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omments4.xml" ContentType="application/vnd.openxmlformats-officedocument.spreadsheetml.comment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omments5.xml" ContentType="application/vnd.openxmlformats-officedocument.spreadsheetml.comments+xml"/>
  <Override PartName="/xl/drawings/drawing4.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theme/themeOverride1.xml" ContentType="application/vnd.openxmlformats-officedocument.themeOverride+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style17.xml" ContentType="application/vnd.ms-office.chartstyle+xml"/>
  <Override PartName="/xl/charts/colors17.xml" ContentType="application/vnd.ms-office.chartcolorstyle+xml"/>
  <Override PartName="/xl/charts/chart24.xml" ContentType="application/vnd.openxmlformats-officedocument.drawingml.chart+xml"/>
  <Override PartName="/xl/charts/style18.xml" ContentType="application/vnd.ms-office.chartstyle+xml"/>
  <Override PartName="/xl/charts/colors18.xml" ContentType="application/vnd.ms-office.chartcolorstyle+xml"/>
  <Override PartName="/xl/charts/chart25.xml" ContentType="application/vnd.openxmlformats-officedocument.drawingml.chart+xml"/>
  <Override PartName="/xl/charts/style19.xml" ContentType="application/vnd.ms-office.chartstyle+xml"/>
  <Override PartName="/xl/charts/colors19.xml" ContentType="application/vnd.ms-office.chartcolorstyle+xml"/>
  <Override PartName="/xl/charts/chart26.xml" ContentType="application/vnd.openxmlformats-officedocument.drawingml.chart+xml"/>
  <Override PartName="/xl/charts/style20.xml" ContentType="application/vnd.ms-office.chartstyle+xml"/>
  <Override PartName="/xl/charts/colors20.xml" ContentType="application/vnd.ms-office.chartcolorstyle+xml"/>
  <Override PartName="/xl/charts/chart27.xml" ContentType="application/vnd.openxmlformats-officedocument.drawingml.chart+xml"/>
  <Override PartName="/xl/charts/style21.xml" ContentType="application/vnd.ms-office.chartstyle+xml"/>
  <Override PartName="/xl/charts/colors21.xml" ContentType="application/vnd.ms-office.chartcolorstyle+xml"/>
  <Override PartName="/xl/charts/chart28.xml" ContentType="application/vnd.openxmlformats-officedocument.drawingml.chart+xml"/>
  <Override PartName="/xl/charts/style22.xml" ContentType="application/vnd.ms-office.chartstyle+xml"/>
  <Override PartName="/xl/charts/colors22.xml" ContentType="application/vnd.ms-office.chartcolorstyle+xml"/>
  <Override PartName="/xl/charts/chart29.xml" ContentType="application/vnd.openxmlformats-officedocument.drawingml.chart+xml"/>
  <Override PartName="/xl/charts/style23.xml" ContentType="application/vnd.ms-office.chartstyle+xml"/>
  <Override PartName="/xl/charts/colors23.xml" ContentType="application/vnd.ms-office.chartcolorstyle+xml"/>
  <Override PartName="/xl/charts/chart30.xml" ContentType="application/vnd.openxmlformats-officedocument.drawingml.chart+xml"/>
  <Override PartName="/xl/charts/style24.xml" ContentType="application/vnd.ms-office.chartstyle+xml"/>
  <Override PartName="/xl/charts/colors24.xml" ContentType="application/vnd.ms-office.chartcolorstyle+xml"/>
  <Override PartName="/xl/charts/chart31.xml" ContentType="application/vnd.openxmlformats-officedocument.drawingml.chart+xml"/>
  <Override PartName="/xl/charts/style25.xml" ContentType="application/vnd.ms-office.chartstyle+xml"/>
  <Override PartName="/xl/charts/colors25.xml" ContentType="application/vnd.ms-office.chartcolorstyle+xml"/>
  <Override PartName="/xl/charts/chart32.xml" ContentType="application/vnd.openxmlformats-officedocument.drawingml.chart+xml"/>
  <Override PartName="/xl/charts/style26.xml" ContentType="application/vnd.ms-office.chartstyle+xml"/>
  <Override PartName="/xl/charts/colors26.xml" ContentType="application/vnd.ms-office.chartcolorstyle+xml"/>
  <Override PartName="/xl/charts/chart33.xml" ContentType="application/vnd.openxmlformats-officedocument.drawingml.chart+xml"/>
  <Override PartName="/xl/charts/style27.xml" ContentType="application/vnd.ms-office.chartstyle+xml"/>
  <Override PartName="/xl/charts/colors27.xml" ContentType="application/vnd.ms-office.chartcolorstyle+xml"/>
  <Override PartName="/xl/charts/chart34.xml" ContentType="application/vnd.openxmlformats-officedocument.drawingml.chart+xml"/>
  <Override PartName="/xl/charts/style28.xml" ContentType="application/vnd.ms-office.chartstyle+xml"/>
  <Override PartName="/xl/charts/colors28.xml" ContentType="application/vnd.ms-office.chartcolorstyle+xml"/>
  <Override PartName="/xl/charts/chart35.xml" ContentType="application/vnd.openxmlformats-officedocument.drawingml.chart+xml"/>
  <Override PartName="/xl/charts/style29.xml" ContentType="application/vnd.ms-office.chartstyle+xml"/>
  <Override PartName="/xl/charts/colors29.xml" ContentType="application/vnd.ms-office.chartcolorstyle+xml"/>
  <Override PartName="/xl/charts/chart36.xml" ContentType="application/vnd.openxmlformats-officedocument.drawingml.chart+xml"/>
  <Override PartName="/xl/charts/style30.xml" ContentType="application/vnd.ms-office.chartstyle+xml"/>
  <Override PartName="/xl/charts/colors30.xml" ContentType="application/vnd.ms-office.chartcolorstyle+xml"/>
  <Override PartName="/xl/charts/chart37.xml" ContentType="application/vnd.openxmlformats-officedocument.drawingml.chart+xml"/>
  <Override PartName="/xl/charts/style31.xml" ContentType="application/vnd.ms-office.chartstyle+xml"/>
  <Override PartName="/xl/charts/colors31.xml" ContentType="application/vnd.ms-office.chartcolorstyle+xml"/>
  <Override PartName="/xl/charts/chart38.xml" ContentType="application/vnd.openxmlformats-officedocument.drawingml.chart+xml"/>
  <Override PartName="/xl/charts/style32.xml" ContentType="application/vnd.ms-office.chartstyle+xml"/>
  <Override PartName="/xl/charts/colors32.xml" ContentType="application/vnd.ms-office.chartcolorstyle+xml"/>
  <Override PartName="/xl/comments6.xml" ContentType="application/vnd.openxmlformats-officedocument.spreadsheetml.comments+xml"/>
  <Override PartName="/xl/drawings/drawing5.xml" ContentType="application/vnd.openxmlformats-officedocument.drawing+xml"/>
  <Override PartName="/xl/comments7.xml" ContentType="application/vnd.openxmlformats-officedocument.spreadsheetml.comments+xml"/>
  <Override PartName="/xl/charts/chart39.xml" ContentType="application/vnd.openxmlformats-officedocument.drawingml.chart+xml"/>
  <Override PartName="/xl/drawings/drawing6.xml" ContentType="application/vnd.openxmlformats-officedocument.drawingml.chartshapes+xml"/>
  <Override PartName="/xl/charts/chart40.xml" ContentType="application/vnd.openxmlformats-officedocument.drawingml.chart+xml"/>
  <Override PartName="/xl/drawings/drawing7.xml" ContentType="application/vnd.openxmlformats-officedocument.drawingml.chartshapes+xml"/>
  <Override PartName="/xl/charts/chart41.xml" ContentType="application/vnd.openxmlformats-officedocument.drawingml.chart+xml"/>
  <Override PartName="/xl/charts/chart42.xml" ContentType="application/vnd.openxmlformats-officedocument.drawingml.chart+xml"/>
  <Override PartName="/xl/drawings/drawing8.xml" ContentType="application/vnd.openxmlformats-officedocument.drawingml.chartshapes+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style33.xml" ContentType="application/vnd.ms-office.chartstyle+xml"/>
  <Override PartName="/xl/charts/colors33.xml" ContentType="application/vnd.ms-office.chartcolorstyle+xml"/>
  <Override PartName="/xl/charts/chart46.xml" ContentType="application/vnd.openxmlformats-officedocument.drawingml.chart+xml"/>
  <Override PartName="/xl/charts/chart47.xml" ContentType="application/vnd.openxmlformats-officedocument.drawingml.chart+xml"/>
  <Override PartName="/xl/charts/style34.xml" ContentType="application/vnd.ms-office.chartstyle+xml"/>
  <Override PartName="/xl/charts/colors34.xml" ContentType="application/vnd.ms-office.chartcolorstyle+xml"/>
  <Override PartName="/xl/charts/chart48.xml" ContentType="application/vnd.openxmlformats-officedocument.drawingml.chart+xml"/>
  <Override PartName="/xl/charts/chart49.xml" ContentType="application/vnd.openxmlformats-officedocument.drawingml.chart+xml"/>
  <Override PartName="/xl/charts/style35.xml" ContentType="application/vnd.ms-office.chartstyle+xml"/>
  <Override PartName="/xl/charts/colors35.xml" ContentType="application/vnd.ms-office.chartcolorstyle+xml"/>
  <Override PartName="/xl/charts/chart50.xml" ContentType="application/vnd.openxmlformats-officedocument.drawingml.chart+xml"/>
  <Override PartName="/xl/drawings/drawing9.xml" ContentType="application/vnd.openxmlformats-officedocument.drawingml.chartshapes+xml"/>
  <Override PartName="/xl/charts/chart51.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10.xml" ContentType="application/vnd.openxmlformats-officedocument.drawingml.chartshapes+xml"/>
  <Override PartName="/xl/charts/chart52.xml" ContentType="application/vnd.openxmlformats-officedocument.drawingml.chart+xml"/>
  <Override PartName="/xl/charts/style37.xml" ContentType="application/vnd.ms-office.chartstyle+xml"/>
  <Override PartName="/xl/charts/colors37.xml" ContentType="application/vnd.ms-office.chartcolorstyle+xml"/>
  <Override PartName="/xl/charts/chart53.xml" ContentType="application/vnd.openxmlformats-officedocument.drawingml.chart+xml"/>
  <Override PartName="/xl/drawings/drawing11.xml" ContentType="application/vnd.openxmlformats-officedocument.drawingml.chartshapes+xml"/>
  <Override PartName="/xl/charts/chart54.xml" ContentType="application/vnd.openxmlformats-officedocument.drawingml.chart+xml"/>
  <Override PartName="/xl/charts/chart55.xml" ContentType="application/vnd.openxmlformats-officedocument.drawingml.chart+xml"/>
  <Override PartName="/xl/drawings/drawing12.xml" ContentType="application/vnd.openxmlformats-officedocument.drawingml.chartshapes+xml"/>
  <Override PartName="/xl/charts/chart56.xml" ContentType="application/vnd.openxmlformats-officedocument.drawingml.chart+xml"/>
  <Override PartName="/xl/drawings/drawing13.xml" ContentType="application/vnd.openxmlformats-officedocument.drawingml.chartshapes+xml"/>
  <Override PartName="/xl/charts/chart57.xml" ContentType="application/vnd.openxmlformats-officedocument.drawingml.chart+xml"/>
  <Override PartName="/xl/charts/chart58.xml" ContentType="application/vnd.openxmlformats-officedocument.drawingml.chart+xml"/>
  <Override PartName="/xl/drawings/drawing14.xml" ContentType="application/vnd.openxmlformats-officedocument.drawingml.chartshapes+xml"/>
  <Override PartName="/xl/charts/chart59.xml" ContentType="application/vnd.openxmlformats-officedocument.drawingml.chart+xml"/>
  <Override PartName="/xl/drawings/drawing15.xml" ContentType="application/vnd.openxmlformats-officedocument.drawingml.chartshapes+xml"/>
  <Override PartName="/xl/charts/chart60.xml" ContentType="application/vnd.openxmlformats-officedocument.drawingml.chart+xml"/>
  <Override PartName="/xl/charts/chart61.xml" ContentType="application/vnd.openxmlformats-officedocument.drawingml.chart+xml"/>
  <Override PartName="/xl/comments8.xml" ContentType="application/vnd.openxmlformats-officedocument.spreadsheetml.comments+xml"/>
  <Override PartName="/xl/drawings/drawing16.xml" ContentType="application/vnd.openxmlformats-officedocument.drawing+xml"/>
  <Override PartName="/xl/charts/chart62.xml" ContentType="application/vnd.openxmlformats-officedocument.drawingml.chart+xml"/>
  <Override PartName="/xl/charts/style38.xml" ContentType="application/vnd.ms-office.chartstyle+xml"/>
  <Override PartName="/xl/charts/colors38.xml" ContentType="application/vnd.ms-office.chartcolorstyle+xml"/>
  <Override PartName="/xl/charts/chart63.xml" ContentType="application/vnd.openxmlformats-officedocument.drawingml.chart+xml"/>
  <Override PartName="/xl/charts/style39.xml" ContentType="application/vnd.ms-office.chartstyle+xml"/>
  <Override PartName="/xl/charts/colors39.xml" ContentType="application/vnd.ms-office.chartcolorstyle+xml"/>
  <Override PartName="/xl/charts/chart64.xml" ContentType="application/vnd.openxmlformats-officedocument.drawingml.chart+xml"/>
  <Override PartName="/xl/charts/style40.xml" ContentType="application/vnd.ms-office.chartstyle+xml"/>
  <Override PartName="/xl/charts/colors40.xml" ContentType="application/vnd.ms-office.chartcolorstyle+xml"/>
  <Override PartName="/xl/charts/chart65.xml" ContentType="application/vnd.openxmlformats-officedocument.drawingml.chart+xml"/>
  <Override PartName="/xl/charts/style41.xml" ContentType="application/vnd.ms-office.chartstyle+xml"/>
  <Override PartName="/xl/charts/colors41.xml" ContentType="application/vnd.ms-office.chartcolorstyle+xml"/>
  <Override PartName="/xl/charts/chart66.xml" ContentType="application/vnd.openxmlformats-officedocument.drawingml.chart+xml"/>
  <Override PartName="/xl/charts/style42.xml" ContentType="application/vnd.ms-office.chartstyle+xml"/>
  <Override PartName="/xl/charts/colors42.xml" ContentType="application/vnd.ms-office.chartcolorstyle+xml"/>
  <Override PartName="/xl/charts/chart67.xml" ContentType="application/vnd.openxmlformats-officedocument.drawingml.chart+xml"/>
  <Override PartName="/xl/charts/style43.xml" ContentType="application/vnd.ms-office.chartstyle+xml"/>
  <Override PartName="/xl/charts/colors43.xml" ContentType="application/vnd.ms-office.chartcolorstyle+xml"/>
  <Override PartName="/xl/charts/chart68.xml" ContentType="application/vnd.openxmlformats-officedocument.drawingml.chart+xml"/>
  <Override PartName="/xl/charts/style44.xml" ContentType="application/vnd.ms-office.chartstyle+xml"/>
  <Override PartName="/xl/charts/colors44.xml" ContentType="application/vnd.ms-office.chartcolorstyle+xml"/>
  <Override PartName="/xl/charts/chart69.xml" ContentType="application/vnd.openxmlformats-officedocument.drawingml.chart+xml"/>
  <Override PartName="/xl/charts/style45.xml" ContentType="application/vnd.ms-office.chartstyle+xml"/>
  <Override PartName="/xl/charts/colors45.xml" ContentType="application/vnd.ms-office.chartcolorstyle+xml"/>
  <Override PartName="/xl/charts/chart70.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17.xml" ContentType="application/vnd.openxmlformats-officedocument.drawing+xml"/>
  <Override PartName="/xl/charts/chart71.xml" ContentType="application/vnd.openxmlformats-officedocument.drawingml.chart+xml"/>
  <Override PartName="/xl/charts/style47.xml" ContentType="application/vnd.ms-office.chartstyle+xml"/>
  <Override PartName="/xl/charts/colors47.xml" ContentType="application/vnd.ms-office.chartcolorstyle+xml"/>
  <Override PartName="/xl/charts/chart72.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18.xml" ContentType="application/vnd.openxmlformats-officedocument.drawing+xml"/>
  <Override PartName="/xl/comments9.xml" ContentType="application/vnd.openxmlformats-officedocument.spreadsheetml.comments+xml"/>
  <Override PartName="/xl/drawings/drawing19.xml" ContentType="application/vnd.openxmlformats-officedocument.drawing+xml"/>
  <Override PartName="/xl/charts/chart73.xml" ContentType="application/vnd.openxmlformats-officedocument.drawingml.chart+xml"/>
  <Override PartName="/xl/charts/style49.xml" ContentType="application/vnd.ms-office.chartstyle+xml"/>
  <Override PartName="/xl/charts/colors49.xml" ContentType="application/vnd.ms-office.chartcolorstyle+xml"/>
  <Override PartName="/xl/charts/chart74.xml" ContentType="application/vnd.openxmlformats-officedocument.drawingml.chart+xml"/>
  <Override PartName="/xl/charts/style50.xml" ContentType="application/vnd.ms-office.chartstyle+xml"/>
  <Override PartName="/xl/charts/colors50.xml" ContentType="application/vnd.ms-office.chartcolorstyle+xml"/>
  <Override PartName="/xl/charts/chart75.xml" ContentType="application/vnd.openxmlformats-officedocument.drawingml.chart+xml"/>
  <Override PartName="/xl/charts/style51.xml" ContentType="application/vnd.ms-office.chartstyle+xml"/>
  <Override PartName="/xl/charts/colors51.xml" ContentType="application/vnd.ms-office.chartcolorstyle+xml"/>
  <Override PartName="/xl/charts/chart76.xml" ContentType="application/vnd.openxmlformats-officedocument.drawingml.chart+xml"/>
  <Override PartName="/xl/charts/style52.xml" ContentType="application/vnd.ms-office.chartstyle+xml"/>
  <Override PartName="/xl/charts/colors52.xml" ContentType="application/vnd.ms-office.chartcolorstyle+xml"/>
  <Override PartName="/xl/charts/chart77.xml" ContentType="application/vnd.openxmlformats-officedocument.drawingml.chart+xml"/>
  <Override PartName="/xl/charts/style53.xml" ContentType="application/vnd.ms-office.chartstyle+xml"/>
  <Override PartName="/xl/charts/colors53.xml" ContentType="application/vnd.ms-office.chartcolorstyle+xml"/>
  <Override PartName="/xl/charts/chart78.xml" ContentType="application/vnd.openxmlformats-officedocument.drawingml.chart+xml"/>
  <Override PartName="/xl/charts/style54.xml" ContentType="application/vnd.ms-office.chartstyle+xml"/>
  <Override PartName="/xl/charts/colors54.xml" ContentType="application/vnd.ms-office.chartcolorstyle+xml"/>
  <Override PartName="/xl/charts/chart79.xml" ContentType="application/vnd.openxmlformats-officedocument.drawingml.chart+xml"/>
  <Override PartName="/xl/charts/style55.xml" ContentType="application/vnd.ms-office.chartstyle+xml"/>
  <Override PartName="/xl/charts/colors55.xml" ContentType="application/vnd.ms-office.chartcolorstyle+xml"/>
  <Override PartName="/xl/charts/chart80.xml" ContentType="application/vnd.openxmlformats-officedocument.drawingml.chart+xml"/>
  <Override PartName="/xl/charts/style56.xml" ContentType="application/vnd.ms-office.chartstyle+xml"/>
  <Override PartName="/xl/charts/colors56.xml" ContentType="application/vnd.ms-office.chartcolorstyle+xml"/>
  <Override PartName="/xl/charts/chart81.xml" ContentType="application/vnd.openxmlformats-officedocument.drawingml.chart+xml"/>
  <Override PartName="/xl/charts/style57.xml" ContentType="application/vnd.ms-office.chartstyle+xml"/>
  <Override PartName="/xl/charts/colors57.xml" ContentType="application/vnd.ms-office.chartcolorstyle+xml"/>
  <Override PartName="/xl/charts/chart82.xml" ContentType="application/vnd.openxmlformats-officedocument.drawingml.chart+xml"/>
  <Override PartName="/xl/charts/style58.xml" ContentType="application/vnd.ms-office.chartstyle+xml"/>
  <Override PartName="/xl/charts/colors58.xml" ContentType="application/vnd.ms-office.chartcolorstyle+xml"/>
  <Override PartName="/xl/charts/chart83.xml" ContentType="application/vnd.openxmlformats-officedocument.drawingml.chart+xml"/>
  <Override PartName="/xl/charts/style59.xml" ContentType="application/vnd.ms-office.chartstyle+xml"/>
  <Override PartName="/xl/charts/colors59.xml" ContentType="application/vnd.ms-office.chartcolorstyle+xml"/>
  <Override PartName="/xl/charts/chart84.xml" ContentType="application/vnd.openxmlformats-officedocument.drawingml.chart+xml"/>
  <Override PartName="/xl/charts/style60.xml" ContentType="application/vnd.ms-office.chartstyle+xml"/>
  <Override PartName="/xl/charts/colors60.xml" ContentType="application/vnd.ms-office.chartcolorstyle+xml"/>
  <Override PartName="/xl/charts/chart85.xml" ContentType="application/vnd.openxmlformats-officedocument.drawingml.chart+xml"/>
  <Override PartName="/xl/charts/style61.xml" ContentType="application/vnd.ms-office.chartstyle+xml"/>
  <Override PartName="/xl/charts/colors61.xml" ContentType="application/vnd.ms-office.chartcolorstyle+xml"/>
  <Override PartName="/xl/charts/chart86.xml" ContentType="application/vnd.openxmlformats-officedocument.drawingml.chart+xml"/>
  <Override PartName="/xl/charts/style62.xml" ContentType="application/vnd.ms-office.chartstyle+xml"/>
  <Override PartName="/xl/charts/colors62.xml" ContentType="application/vnd.ms-office.chartcolorstyle+xml"/>
  <Override PartName="/xl/charts/chart87.xml" ContentType="application/vnd.openxmlformats-officedocument.drawingml.chart+xml"/>
  <Override PartName="/xl/charts/style63.xml" ContentType="application/vnd.ms-office.chartstyle+xml"/>
  <Override PartName="/xl/charts/colors63.xml" ContentType="application/vnd.ms-office.chartcolorstyle+xml"/>
  <Override PartName="/xl/comments10.xml" ContentType="application/vnd.openxmlformats-officedocument.spreadsheetml.comments+xml"/>
  <Override PartName="/xl/drawings/drawing20.xml" ContentType="application/vnd.openxmlformats-officedocument.drawing+xml"/>
  <Override PartName="/xl/charts/chart88.xml" ContentType="application/vnd.openxmlformats-officedocument.drawingml.chart+xml"/>
  <Override PartName="/xl/charts/style64.xml" ContentType="application/vnd.ms-office.chartstyle+xml"/>
  <Override PartName="/xl/charts/colors64.xml" ContentType="application/vnd.ms-office.chartcolorstyle+xml"/>
  <Override PartName="/xl/charts/chart89.xml" ContentType="application/vnd.openxmlformats-officedocument.drawingml.chart+xml"/>
  <Override PartName="/xl/charts/style65.xml" ContentType="application/vnd.ms-office.chartstyle+xml"/>
  <Override PartName="/xl/charts/colors65.xml" ContentType="application/vnd.ms-office.chartcolorstyle+xml"/>
  <Override PartName="/xl/charts/chart90.xml" ContentType="application/vnd.openxmlformats-officedocument.drawingml.chart+xml"/>
  <Override PartName="/xl/charts/style66.xml" ContentType="application/vnd.ms-office.chartstyle+xml"/>
  <Override PartName="/xl/charts/colors66.xml" ContentType="application/vnd.ms-office.chartcolorstyle+xml"/>
  <Override PartName="/xl/charts/chart91.xml" ContentType="application/vnd.openxmlformats-officedocument.drawingml.chart+xml"/>
  <Override PartName="/xl/charts/style67.xml" ContentType="application/vnd.ms-office.chartstyle+xml"/>
  <Override PartName="/xl/charts/colors67.xml" ContentType="application/vnd.ms-office.chartcolorstyle+xml"/>
  <Override PartName="/xl/charts/chart92.xml" ContentType="application/vnd.openxmlformats-officedocument.drawingml.chart+xml"/>
  <Override PartName="/xl/charts/style68.xml" ContentType="application/vnd.ms-office.chartstyle+xml"/>
  <Override PartName="/xl/charts/colors68.xml" ContentType="application/vnd.ms-office.chartcolorstyle+xml"/>
  <Override PartName="/xl/charts/chart93.xml" ContentType="application/vnd.openxmlformats-officedocument.drawingml.chart+xml"/>
  <Override PartName="/xl/charts/style69.xml" ContentType="application/vnd.ms-office.chartstyle+xml"/>
  <Override PartName="/xl/charts/colors69.xml" ContentType="application/vnd.ms-office.chartcolorstyle+xml"/>
  <Override PartName="/xl/drawings/drawing21.xml" ContentType="application/vnd.openxmlformats-officedocument.drawing+xml"/>
  <Override PartName="/xl/comments11.xml" ContentType="application/vnd.openxmlformats-officedocument.spreadsheetml.comments+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omments12.xml" ContentType="application/vnd.openxmlformats-officedocument.spreadsheetml.comments+xml"/>
  <Override PartName="/xl/drawings/drawing22.xml" ContentType="application/vnd.openxmlformats-officedocument.drawing+xml"/>
  <Override PartName="/xl/comments13.xml" ContentType="application/vnd.openxmlformats-officedocument.spreadsheetml.comments+xml"/>
  <Override PartName="/xl/charts/chart105.xml" ContentType="application/vnd.openxmlformats-officedocument.drawingml.chart+xml"/>
  <Override PartName="/xl/drawings/drawing23.xml" ContentType="application/vnd.openxmlformats-officedocument.drawingml.chartshapes+xml"/>
  <Override PartName="/xl/charts/chart106.xml" ContentType="application/vnd.openxmlformats-officedocument.drawingml.chart+xml"/>
  <Override PartName="/xl/drawings/drawing24.xml" ContentType="application/vnd.openxmlformats-officedocument.drawingml.chartshapes+xml"/>
  <Override PartName="/xl/charts/chart107.xml" ContentType="application/vnd.openxmlformats-officedocument.drawingml.chart+xml"/>
  <Override PartName="/xl/drawings/drawing25.xml" ContentType="application/vnd.openxmlformats-officedocument.drawingml.chartshapes+xml"/>
  <Override PartName="/xl/charts/chart108.xml" ContentType="application/vnd.openxmlformats-officedocument.drawingml.chart+xml"/>
  <Override PartName="/xl/drawings/drawing26.xml" ContentType="application/vnd.openxmlformats-officedocument.drawingml.chartshapes+xml"/>
  <Override PartName="/xl/charts/chart109.xml" ContentType="application/vnd.openxmlformats-officedocument.drawingml.chart+xml"/>
  <Override PartName="/xl/drawings/drawing27.xml" ContentType="application/vnd.openxmlformats-officedocument.drawingml.chartshapes+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drawings/drawing28.xml" ContentType="application/vnd.openxmlformats-officedocument.drawingml.chartshapes+xml"/>
  <Override PartName="/xl/charts/chart114.xml" ContentType="application/vnd.openxmlformats-officedocument.drawingml.chart+xml"/>
  <Override PartName="/xl/drawings/drawing29.xml" ContentType="application/vnd.openxmlformats-officedocument.drawingml.chartshapes+xml"/>
  <Override PartName="/xl/charts/chart115.xml" ContentType="application/vnd.openxmlformats-officedocument.drawingml.chart+xml"/>
  <Override PartName="/xl/charts/chart116.xml" ContentType="application/vnd.openxmlformats-officedocument.drawingml.chart+xml"/>
  <Override PartName="/xl/drawings/drawing30.xml" ContentType="application/vnd.openxmlformats-officedocument.drawingml.chartshapes+xml"/>
  <Override PartName="/xl/charts/chart117.xml" ContentType="application/vnd.openxmlformats-officedocument.drawingml.chart+xml"/>
  <Override PartName="/xl/drawings/drawing31.xml" ContentType="application/vnd.openxmlformats-officedocument.drawingml.chartshapes+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style70.xml" ContentType="application/vnd.ms-office.chartstyle+xml"/>
  <Override PartName="/xl/charts/colors70.xml" ContentType="application/vnd.ms-office.chartcolorstyle+xml"/>
  <Override PartName="/xl/charts/chart122.xml" ContentType="application/vnd.openxmlformats-officedocument.drawingml.chart+xml"/>
  <Override PartName="/xl/charts/chart123.xml" ContentType="application/vnd.openxmlformats-officedocument.drawingml.chart+xml"/>
  <Override PartName="/xl/charts/style71.xml" ContentType="application/vnd.ms-office.chartstyle+xml"/>
  <Override PartName="/xl/charts/colors71.xml" ContentType="application/vnd.ms-office.chartcolorstyle+xml"/>
  <Override PartName="/xl/charts/chart124.xml" ContentType="application/vnd.openxmlformats-officedocument.drawingml.chart+xml"/>
  <Override PartName="/xl/charts/style72.xml" ContentType="application/vnd.ms-office.chartstyle+xml"/>
  <Override PartName="/xl/charts/colors72.xml" ContentType="application/vnd.ms-office.chartcolorstyle+xml"/>
  <Override PartName="/xl/charts/chart125.xml" ContentType="application/vnd.openxmlformats-officedocument.drawingml.chart+xml"/>
  <Override PartName="/xl/charts/chart126.xml" ContentType="application/vnd.openxmlformats-officedocument.drawingml.chart+xml"/>
  <Override PartName="/xl/charts/style73.xml" ContentType="application/vnd.ms-office.chartstyle+xml"/>
  <Override PartName="/xl/charts/colors73.xml" ContentType="application/vnd.ms-office.chartcolorstyle+xml"/>
  <Override PartName="/xl/drawings/drawing32.xml" ContentType="application/vnd.openxmlformats-officedocument.drawingml.chartshapes+xml"/>
  <Override PartName="/xl/charts/chart127.xml" ContentType="application/vnd.openxmlformats-officedocument.drawingml.chart+xml"/>
  <Override PartName="/xl/charts/style74.xml" ContentType="application/vnd.ms-office.chartstyle+xml"/>
  <Override PartName="/xl/charts/colors74.xml" ContentType="application/vnd.ms-office.chartcolorstyle+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drawings/drawing33.xml" ContentType="application/vnd.openxmlformats-officedocument.drawing+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theme/themeOverride2.xml" ContentType="application/vnd.openxmlformats-officedocument.themeOverride+xml"/>
  <Override PartName="/xl/charts/chart132.xml" ContentType="application/vnd.openxmlformats-officedocument.drawingml.chart+xml"/>
  <Override PartName="/xl/charts/chart133.xml" ContentType="application/vnd.openxmlformats-officedocument.drawingml.chart+xml"/>
  <Override PartName="/xl/comments18.xml" ContentType="application/vnd.openxmlformats-officedocument.spreadsheetml.comments+xml"/>
  <Override PartName="/xl/drawings/drawing34.xml" ContentType="application/vnd.openxmlformats-officedocument.drawing+xml"/>
  <Override PartName="/xl/charts/chart134.xml" ContentType="application/vnd.openxmlformats-officedocument.drawingml.chart+xml"/>
  <Override PartName="/xl/charts/style75.xml" ContentType="application/vnd.ms-office.chartstyle+xml"/>
  <Override PartName="/xl/charts/colors75.xml" ContentType="application/vnd.ms-office.chartcolorstyle+xml"/>
  <Override PartName="/xl/charts/chart135.xml" ContentType="application/vnd.openxmlformats-officedocument.drawingml.chart+xml"/>
  <Override PartName="/xl/charts/style76.xml" ContentType="application/vnd.ms-office.chartstyle+xml"/>
  <Override PartName="/xl/charts/colors76.xml" ContentType="application/vnd.ms-office.chartcolorstyle+xml"/>
  <Override PartName="/xl/charts/chart136.xml" ContentType="application/vnd.openxmlformats-officedocument.drawingml.chart+xml"/>
  <Override PartName="/xl/charts/style77.xml" ContentType="application/vnd.ms-office.chartstyle+xml"/>
  <Override PartName="/xl/charts/colors77.xml" ContentType="application/vnd.ms-office.chartcolorstyle+xml"/>
  <Override PartName="/xl/charts/chart137.xml" ContentType="application/vnd.openxmlformats-officedocument.drawingml.chart+xml"/>
  <Override PartName="/xl/charts/style78.xml" ContentType="application/vnd.ms-office.chartstyle+xml"/>
  <Override PartName="/xl/charts/colors78.xml" ContentType="application/vnd.ms-office.chartcolorstyle+xml"/>
  <Override PartName="/xl/charts/chart138.xml" ContentType="application/vnd.openxmlformats-officedocument.drawingml.chart+xml"/>
  <Override PartName="/xl/charts/style79.xml" ContentType="application/vnd.ms-office.chartstyle+xml"/>
  <Override PartName="/xl/charts/colors79.xml" ContentType="application/vnd.ms-office.chartcolorstyle+xml"/>
  <Override PartName="/xl/charts/chart139.xml" ContentType="application/vnd.openxmlformats-officedocument.drawingml.chart+xml"/>
  <Override PartName="/xl/charts/style80.xml" ContentType="application/vnd.ms-office.chartstyle+xml"/>
  <Override PartName="/xl/charts/colors80.xml" ContentType="application/vnd.ms-office.chartcolorstyle+xml"/>
  <Override PartName="/xl/charts/chart140.xml" ContentType="application/vnd.openxmlformats-officedocument.drawingml.chart+xml"/>
  <Override PartName="/xl/charts/style81.xml" ContentType="application/vnd.ms-office.chartstyle+xml"/>
  <Override PartName="/xl/charts/colors81.xml" ContentType="application/vnd.ms-office.chartcolorstyle+xml"/>
  <Override PartName="/xl/charts/chart141.xml" ContentType="application/vnd.openxmlformats-officedocument.drawingml.chart+xml"/>
  <Override PartName="/xl/charts/style82.xml" ContentType="application/vnd.ms-office.chartstyle+xml"/>
  <Override PartName="/xl/charts/colors82.xml" ContentType="application/vnd.ms-office.chartcolorstyle+xml"/>
  <Override PartName="/xl/comments19.xml" ContentType="application/vnd.openxmlformats-officedocument.spreadsheetml.comments+xml"/>
  <Override PartName="/xl/drawings/drawing35.xml" ContentType="application/vnd.openxmlformats-officedocument.drawing+xml"/>
  <Override PartName="/xl/charts/chart142.xml" ContentType="application/vnd.openxmlformats-officedocument.drawingml.chart+xml"/>
  <Override PartName="/xl/charts/style83.xml" ContentType="application/vnd.ms-office.chartstyle+xml"/>
  <Override PartName="/xl/charts/colors83.xml" ContentType="application/vnd.ms-office.chartcolorstyle+xml"/>
  <Override PartName="/xl/drawings/drawing36.xml" ContentType="application/vnd.openxmlformats-officedocument.drawingml.chartshapes+xml"/>
  <Override PartName="/xl/charts/chart143.xml" ContentType="application/vnd.openxmlformats-officedocument.drawingml.chart+xml"/>
  <Override PartName="/xl/charts/style84.xml" ContentType="application/vnd.ms-office.chartstyle+xml"/>
  <Override PartName="/xl/charts/colors84.xml" ContentType="application/vnd.ms-office.chartcolorstyle+xml"/>
  <Override PartName="/xl/drawings/drawing37.xml" ContentType="application/vnd.openxmlformats-officedocument.drawingml.chartshapes+xml"/>
  <Override PartName="/xl/charts/chart144.xml" ContentType="application/vnd.openxmlformats-officedocument.drawingml.chart+xml"/>
  <Override PartName="/xl/charts/style85.xml" ContentType="application/vnd.ms-office.chartstyle+xml"/>
  <Override PartName="/xl/charts/colors85.xml" ContentType="application/vnd.ms-office.chartcolorstyle+xml"/>
  <Override PartName="/xl/drawings/drawing38.xml" ContentType="application/vnd.openxmlformats-officedocument.drawingml.chartshapes+xml"/>
  <Override PartName="/xl/comments20.xml" ContentType="application/vnd.openxmlformats-officedocument.spreadsheetml.comments+xml"/>
  <Override PartName="/xl/drawings/drawing39.xml" ContentType="application/vnd.openxmlformats-officedocument.drawing+xml"/>
  <Override PartName="/xl/charts/chart145.xml" ContentType="application/vnd.openxmlformats-officedocument.drawingml.chart+xml"/>
  <Override PartName="/xl/drawings/drawing40.xml" ContentType="application/vnd.openxmlformats-officedocument.drawingml.chartshapes+xml"/>
  <Override PartName="/xl/charts/chart146.xml" ContentType="application/vnd.openxmlformats-officedocument.drawingml.chart+xml"/>
  <Override PartName="/xl/drawings/drawing41.xml" ContentType="application/vnd.openxmlformats-officedocument.drawingml.chartshapes+xml"/>
  <Override PartName="/xl/charts/chart147.xml" ContentType="application/vnd.openxmlformats-officedocument.drawingml.chart+xml"/>
  <Override PartName="/xl/drawings/drawing42.xml" ContentType="application/vnd.openxmlformats-officedocument.drawingml.chartshapes+xml"/>
  <Override PartName="/xl/drawings/drawing43.xml" ContentType="application/vnd.openxmlformats-officedocument.drawing+xml"/>
  <Override PartName="/xl/charts/chart148.xml" ContentType="application/vnd.openxmlformats-officedocument.drawingml.chart+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D:\Users\zeyichen\Desktop\peers_rs_update\deliverables\models\"/>
    </mc:Choice>
  </mc:AlternateContent>
  <xr:revisionPtr revIDLastSave="0" documentId="13_ncr:1_{6638F505-C31D-4041-91B1-DA1E4D7B9B78}" xr6:coauthVersionLast="47" xr6:coauthVersionMax="47" xr10:uidLastSave="{00000000-0000-0000-0000-000000000000}"/>
  <bookViews>
    <workbookView xWindow="-120" yWindow="-16320" windowWidth="29040" windowHeight="15720" firstSheet="8" activeTab="16" xr2:uid="{C618BA19-A63A-497F-AEB3-BE612AF58A2B}"/>
  </bookViews>
  <sheets>
    <sheet name="同程艺龙" sheetId="72" state="hidden" r:id="rId1"/>
    <sheet name="同程艺龙 Peers" sheetId="73" state="hidden" r:id="rId2"/>
    <sheet name="同程艺龙Charts" sheetId="74" state="hidden" r:id="rId3"/>
    <sheet name="DESP Quarterly" sheetId="75" state="hidden" r:id="rId4"/>
    <sheet name="DESP Annual" sheetId="76" state="hidden" r:id="rId5"/>
    <sheet name="DESP Charts" sheetId="77" state="hidden" r:id="rId6"/>
    <sheet name="MMYT (2)" sheetId="70" state="hidden" r:id="rId7"/>
    <sheet name="MMYT charts (2)" sheetId="71" state="hidden" r:id="rId8"/>
    <sheet name="BKNG" sheetId="41" r:id="rId9"/>
    <sheet name="BKNG Quarterly Charts" sheetId="54" r:id="rId10"/>
    <sheet name="Sheet6" sheetId="69" state="hidden" r:id="rId11"/>
    <sheet name="EXPE" sheetId="37" r:id="rId12"/>
    <sheet name="EXPE Quarterly Charts" sheetId="53" r:id="rId13"/>
    <sheet name="Egencia " sheetId="65" state="hidden" r:id="rId14"/>
    <sheet name="Egencia" sheetId="28" state="hidden" r:id="rId15"/>
    <sheet name="ABNB" sheetId="78" r:id="rId16"/>
    <sheet name="ABNB Quarterly Charts" sheetId="79" r:id="rId17"/>
    <sheet name="Quarterly Charts " sheetId="66" r:id="rId18"/>
    <sheet name="MMYT" sheetId="55" state="hidden" r:id="rId19"/>
    <sheet name="MMYT charts" sheetId="56" state="hidden" r:id="rId20"/>
    <sheet name="OYO Estimation" sheetId="57" state="hidden" r:id="rId21"/>
    <sheet name="OWW" sheetId="16" state="hidden" r:id="rId22"/>
    <sheet name="Despegar Quarterly" sheetId="29" state="hidden" r:id="rId23"/>
    <sheet name="Despegar Annual" sheetId="30" state="hidden" r:id="rId24"/>
    <sheet name="Despegar Charts" sheetId="31" state="hidden" r:id="rId25"/>
    <sheet name="TOUR (RMB)" sheetId="58" state="hidden" r:id="rId26"/>
    <sheet name="TOUR charts" sheetId="67" state="hidden" r:id="rId27"/>
    <sheet name="TOUR Finanicals" sheetId="61" state="hidden" r:id="rId28"/>
    <sheet name="TOUR Assumptions" sheetId="62" state="hidden" r:id="rId29"/>
    <sheet name="TOUR DCF" sheetId="64" state="hidden" r:id="rId30"/>
    <sheet name="Forms" sheetId="59" state="hidden" r:id="rId31"/>
    <sheet name="TOUR VS. CTRIP" sheetId="60" state="hidden" r:id="rId32"/>
    <sheet name="TRIP" sheetId="15" state="hidden" r:id="rId33"/>
    <sheet name="Comparison" sheetId="23" state="hidden" r:id="rId34"/>
    <sheet name="Annual Charts" sheetId="22" state="hidden" r:id="rId35"/>
    <sheet name="Sheet1 (2)" sheetId="18" state="hidden" r:id="rId36"/>
    <sheet name="Greater China" sheetId="13" state="hidden" r:id="rId37"/>
    <sheet name="Europe" sheetId="9" state="hidden" r:id="rId38"/>
    <sheet name="模拟利润表_Aug 2013" sheetId="11" state="hidden" r:id="rId39"/>
    <sheet name="Summary" sheetId="12" state="hidden" r:id="rId40"/>
    <sheet name="Sheet1" sheetId="17" state="hidden" r:id="rId41"/>
    <sheet name="Sheet2" sheetId="20" state="hidden" r:id="rId42"/>
    <sheet name="Sheet3" sheetId="21" state="hidden" r:id="rId43"/>
    <sheet name="Sheet4" sheetId="24" state="hidden" r:id="rId44"/>
    <sheet name="Sheet5" sheetId="27" state="hidden" r:id="rId45"/>
  </sheets>
  <externalReferences>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s>
  <definedNames>
    <definedName name="_1994" localSheetId="4">#REF!</definedName>
    <definedName name="_1994" localSheetId="5">#REF!</definedName>
    <definedName name="_1994" localSheetId="3">#REF!</definedName>
    <definedName name="_1994" localSheetId="30">#REF!</definedName>
    <definedName name="_1994" localSheetId="18">#REF!</definedName>
    <definedName name="_1994" localSheetId="6">#REF!</definedName>
    <definedName name="_1994" localSheetId="19">#REF!</definedName>
    <definedName name="_1994" localSheetId="7">#REF!</definedName>
    <definedName name="_1994" localSheetId="20">#REF!</definedName>
    <definedName name="_1994" localSheetId="17">#REF!</definedName>
    <definedName name="_1994" localSheetId="25">#REF!</definedName>
    <definedName name="_1994" localSheetId="31">#REF!</definedName>
    <definedName name="_1994" localSheetId="0">#REF!</definedName>
    <definedName name="_1994" localSheetId="1">#REF!</definedName>
    <definedName name="_1994">#REF!</definedName>
    <definedName name="_1995" localSheetId="4">#REF!</definedName>
    <definedName name="_1995" localSheetId="5">#REF!</definedName>
    <definedName name="_1995" localSheetId="3">#REF!</definedName>
    <definedName name="_1995" localSheetId="30">#REF!</definedName>
    <definedName name="_1995" localSheetId="18">#REF!</definedName>
    <definedName name="_1995" localSheetId="6">#REF!</definedName>
    <definedName name="_1995" localSheetId="19">#REF!</definedName>
    <definedName name="_1995" localSheetId="7">#REF!</definedName>
    <definedName name="_1995" localSheetId="20">#REF!</definedName>
    <definedName name="_1995" localSheetId="17">#REF!</definedName>
    <definedName name="_1995" localSheetId="25">#REF!</definedName>
    <definedName name="_1995" localSheetId="31">#REF!</definedName>
    <definedName name="_1995" localSheetId="0">#REF!</definedName>
    <definedName name="_1995" localSheetId="1">#REF!</definedName>
    <definedName name="_1995">#REF!</definedName>
    <definedName name="_1996" localSheetId="4">#REF!</definedName>
    <definedName name="_1996" localSheetId="5">#REF!</definedName>
    <definedName name="_1996" localSheetId="3">#REF!</definedName>
    <definedName name="_1996" localSheetId="30">#REF!</definedName>
    <definedName name="_1996" localSheetId="18">#REF!</definedName>
    <definedName name="_1996" localSheetId="6">#REF!</definedName>
    <definedName name="_1996" localSheetId="19">#REF!</definedName>
    <definedName name="_1996" localSheetId="7">#REF!</definedName>
    <definedName name="_1996" localSheetId="20">#REF!</definedName>
    <definedName name="_1996" localSheetId="17">#REF!</definedName>
    <definedName name="_1996" localSheetId="25">#REF!</definedName>
    <definedName name="_1996" localSheetId="31">#REF!</definedName>
    <definedName name="_1996" localSheetId="0">#REF!</definedName>
    <definedName name="_1996" localSheetId="1">#REF!</definedName>
    <definedName name="_1996">#REF!</definedName>
    <definedName name="_1997" localSheetId="4">#REF!</definedName>
    <definedName name="_1997" localSheetId="5">#REF!</definedName>
    <definedName name="_1997" localSheetId="3">#REF!</definedName>
    <definedName name="_1997" localSheetId="30">#REF!</definedName>
    <definedName name="_1997" localSheetId="18">#REF!</definedName>
    <definedName name="_1997" localSheetId="6">#REF!</definedName>
    <definedName name="_1997" localSheetId="19">#REF!</definedName>
    <definedName name="_1997" localSheetId="7">#REF!</definedName>
    <definedName name="_1997" localSheetId="20">#REF!</definedName>
    <definedName name="_1997" localSheetId="17">#REF!</definedName>
    <definedName name="_1997" localSheetId="25">#REF!</definedName>
    <definedName name="_1997" localSheetId="31">#REF!</definedName>
    <definedName name="_1997" localSheetId="0">#REF!</definedName>
    <definedName name="_1997" localSheetId="1">#REF!</definedName>
    <definedName name="_1997">#REF!</definedName>
    <definedName name="_1998" localSheetId="4">#REF!</definedName>
    <definedName name="_1998" localSheetId="5">#REF!</definedName>
    <definedName name="_1998" localSheetId="3">#REF!</definedName>
    <definedName name="_1998" localSheetId="30">#REF!</definedName>
    <definedName name="_1998" localSheetId="18">#REF!</definedName>
    <definedName name="_1998" localSheetId="6">#REF!</definedName>
    <definedName name="_1998" localSheetId="19">#REF!</definedName>
    <definedName name="_1998" localSheetId="7">#REF!</definedName>
    <definedName name="_1998" localSheetId="20">#REF!</definedName>
    <definedName name="_1998" localSheetId="17">#REF!</definedName>
    <definedName name="_1998" localSheetId="25">#REF!</definedName>
    <definedName name="_1998" localSheetId="31">#REF!</definedName>
    <definedName name="_1998" localSheetId="0">#REF!</definedName>
    <definedName name="_1998" localSheetId="1">#REF!</definedName>
    <definedName name="_1998">#REF!</definedName>
    <definedName name="_1999" localSheetId="4">#REF!</definedName>
    <definedName name="_1999" localSheetId="5">#REF!</definedName>
    <definedName name="_1999" localSheetId="3">#REF!</definedName>
    <definedName name="_1999" localSheetId="30">#REF!</definedName>
    <definedName name="_1999" localSheetId="18">#REF!</definedName>
    <definedName name="_1999" localSheetId="6">#REF!</definedName>
    <definedName name="_1999" localSheetId="19">#REF!</definedName>
    <definedName name="_1999" localSheetId="7">#REF!</definedName>
    <definedName name="_1999" localSheetId="20">#REF!</definedName>
    <definedName name="_1999" localSheetId="17">#REF!</definedName>
    <definedName name="_1999" localSheetId="25">#REF!</definedName>
    <definedName name="_1999" localSheetId="31">#REF!</definedName>
    <definedName name="_1999" localSheetId="0">#REF!</definedName>
    <definedName name="_1999" localSheetId="1">#REF!</definedName>
    <definedName name="_1999">#REF!</definedName>
    <definedName name="_1Q94" localSheetId="4">#REF!</definedName>
    <definedName name="_1Q94" localSheetId="5">#REF!</definedName>
    <definedName name="_1Q94" localSheetId="3">#REF!</definedName>
    <definedName name="_1Q94" localSheetId="30">#REF!</definedName>
    <definedName name="_1Q94" localSheetId="18">#REF!</definedName>
    <definedName name="_1Q94" localSheetId="6">#REF!</definedName>
    <definedName name="_1Q94" localSheetId="19">#REF!</definedName>
    <definedName name="_1Q94" localSheetId="7">#REF!</definedName>
    <definedName name="_1Q94" localSheetId="20">#REF!</definedName>
    <definedName name="_1Q94" localSheetId="17">#REF!</definedName>
    <definedName name="_1Q94" localSheetId="25">#REF!</definedName>
    <definedName name="_1Q94" localSheetId="31">#REF!</definedName>
    <definedName name="_1Q94" localSheetId="0">#REF!</definedName>
    <definedName name="_1Q94" localSheetId="1">#REF!</definedName>
    <definedName name="_1Q94">#REF!</definedName>
    <definedName name="_1Q95" localSheetId="4">#REF!</definedName>
    <definedName name="_1Q95" localSheetId="5">#REF!</definedName>
    <definedName name="_1Q95" localSheetId="3">#REF!</definedName>
    <definedName name="_1Q95" localSheetId="30">#REF!</definedName>
    <definedName name="_1Q95" localSheetId="18">#REF!</definedName>
    <definedName name="_1Q95" localSheetId="6">#REF!</definedName>
    <definedName name="_1Q95" localSheetId="19">#REF!</definedName>
    <definedName name="_1Q95" localSheetId="7">#REF!</definedName>
    <definedName name="_1Q95" localSheetId="20">#REF!</definedName>
    <definedName name="_1Q95" localSheetId="17">#REF!</definedName>
    <definedName name="_1Q95" localSheetId="25">#REF!</definedName>
    <definedName name="_1Q95" localSheetId="31">#REF!</definedName>
    <definedName name="_1Q95" localSheetId="0">#REF!</definedName>
    <definedName name="_1Q95" localSheetId="1">#REF!</definedName>
    <definedName name="_1Q95">#REF!</definedName>
    <definedName name="_2Q94" localSheetId="4">#REF!</definedName>
    <definedName name="_2Q94" localSheetId="5">#REF!</definedName>
    <definedName name="_2Q94" localSheetId="3">#REF!</definedName>
    <definedName name="_2Q94" localSheetId="30">#REF!</definedName>
    <definedName name="_2Q94" localSheetId="18">#REF!</definedName>
    <definedName name="_2Q94" localSheetId="6">#REF!</definedName>
    <definedName name="_2Q94" localSheetId="19">#REF!</definedName>
    <definedName name="_2Q94" localSheetId="7">#REF!</definedName>
    <definedName name="_2Q94" localSheetId="20">#REF!</definedName>
    <definedName name="_2Q94" localSheetId="17">#REF!</definedName>
    <definedName name="_2Q94" localSheetId="25">#REF!</definedName>
    <definedName name="_2Q94" localSheetId="31">#REF!</definedName>
    <definedName name="_2Q94" localSheetId="0">#REF!</definedName>
    <definedName name="_2Q94" localSheetId="1">#REF!</definedName>
    <definedName name="_2Q94">#REF!</definedName>
    <definedName name="_2Q95" localSheetId="4">#REF!</definedName>
    <definedName name="_2Q95" localSheetId="5">#REF!</definedName>
    <definedName name="_2Q95" localSheetId="3">#REF!</definedName>
    <definedName name="_2Q95" localSheetId="30">#REF!</definedName>
    <definedName name="_2Q95" localSheetId="18">#REF!</definedName>
    <definedName name="_2Q95" localSheetId="6">#REF!</definedName>
    <definedName name="_2Q95" localSheetId="19">#REF!</definedName>
    <definedName name="_2Q95" localSheetId="7">#REF!</definedName>
    <definedName name="_2Q95" localSheetId="20">#REF!</definedName>
    <definedName name="_2Q95" localSheetId="17">#REF!</definedName>
    <definedName name="_2Q95" localSheetId="25">#REF!</definedName>
    <definedName name="_2Q95" localSheetId="31">#REF!</definedName>
    <definedName name="_2Q95" localSheetId="0">#REF!</definedName>
    <definedName name="_2Q95" localSheetId="1">#REF!</definedName>
    <definedName name="_2Q95">#REF!</definedName>
    <definedName name="_3Q94" localSheetId="4">#REF!</definedName>
    <definedName name="_3Q94" localSheetId="5">#REF!</definedName>
    <definedName name="_3Q94" localSheetId="3">#REF!</definedName>
    <definedName name="_3Q94" localSheetId="30">#REF!</definedName>
    <definedName name="_3Q94" localSheetId="18">#REF!</definedName>
    <definedName name="_3Q94" localSheetId="6">#REF!</definedName>
    <definedName name="_3Q94" localSheetId="19">#REF!</definedName>
    <definedName name="_3Q94" localSheetId="7">#REF!</definedName>
    <definedName name="_3Q94" localSheetId="20">#REF!</definedName>
    <definedName name="_3Q94" localSheetId="17">#REF!</definedName>
    <definedName name="_3Q94" localSheetId="25">#REF!</definedName>
    <definedName name="_3Q94" localSheetId="31">#REF!</definedName>
    <definedName name="_3Q94" localSheetId="0">#REF!</definedName>
    <definedName name="_3Q94" localSheetId="1">#REF!</definedName>
    <definedName name="_3Q94">#REF!</definedName>
    <definedName name="_3Q95" localSheetId="4">#REF!</definedName>
    <definedName name="_3Q95" localSheetId="5">#REF!</definedName>
    <definedName name="_3Q95" localSheetId="3">#REF!</definedName>
    <definedName name="_3Q95" localSheetId="30">#REF!</definedName>
    <definedName name="_3Q95" localSheetId="18">#REF!</definedName>
    <definedName name="_3Q95" localSheetId="6">#REF!</definedName>
    <definedName name="_3Q95" localSheetId="19">#REF!</definedName>
    <definedName name="_3Q95" localSheetId="7">#REF!</definedName>
    <definedName name="_3Q95" localSheetId="20">#REF!</definedName>
    <definedName name="_3Q95" localSheetId="17">#REF!</definedName>
    <definedName name="_3Q95" localSheetId="25">#REF!</definedName>
    <definedName name="_3Q95" localSheetId="31">#REF!</definedName>
    <definedName name="_3Q95" localSheetId="0">#REF!</definedName>
    <definedName name="_3Q95" localSheetId="1">#REF!</definedName>
    <definedName name="_3Q95">#REF!</definedName>
    <definedName name="_4Q94" localSheetId="4">#REF!</definedName>
    <definedName name="_4Q94" localSheetId="5">#REF!</definedName>
    <definedName name="_4Q94" localSheetId="3">#REF!</definedName>
    <definedName name="_4Q94" localSheetId="30">#REF!</definedName>
    <definedName name="_4Q94" localSheetId="18">#REF!</definedName>
    <definedName name="_4Q94" localSheetId="6">#REF!</definedName>
    <definedName name="_4Q94" localSheetId="19">#REF!</definedName>
    <definedName name="_4Q94" localSheetId="7">#REF!</definedName>
    <definedName name="_4Q94" localSheetId="20">#REF!</definedName>
    <definedName name="_4Q94" localSheetId="17">#REF!</definedName>
    <definedName name="_4Q94" localSheetId="25">#REF!</definedName>
    <definedName name="_4Q94" localSheetId="31">#REF!</definedName>
    <definedName name="_4Q94" localSheetId="0">#REF!</definedName>
    <definedName name="_4Q94" localSheetId="1">#REF!</definedName>
    <definedName name="_4Q94">#REF!</definedName>
    <definedName name="_4Q95" localSheetId="4">#REF!</definedName>
    <definedName name="_4Q95" localSheetId="5">#REF!</definedName>
    <definedName name="_4Q95" localSheetId="3">#REF!</definedName>
    <definedName name="_4Q95" localSheetId="30">#REF!</definedName>
    <definedName name="_4Q95" localSheetId="18">#REF!</definedName>
    <definedName name="_4Q95" localSheetId="6">#REF!</definedName>
    <definedName name="_4Q95" localSheetId="19">#REF!</definedName>
    <definedName name="_4Q95" localSheetId="7">#REF!</definedName>
    <definedName name="_4Q95" localSheetId="20">#REF!</definedName>
    <definedName name="_4Q95" localSheetId="17">#REF!</definedName>
    <definedName name="_4Q95" localSheetId="25">#REF!</definedName>
    <definedName name="_4Q95" localSheetId="31">#REF!</definedName>
    <definedName name="_4Q95" localSheetId="0">#REF!</definedName>
    <definedName name="_4Q95" localSheetId="1">#REF!</definedName>
    <definedName name="_4Q95">#REF!</definedName>
    <definedName name="_C__CP_EXPANDED_ITEMS">"PROP|cp_3136015"</definedName>
    <definedName name="_C__CP_HIDDEN_ITEMS">"C_I_B_FAIR_VALUE,c_I_DEFINED_BEN,c_C_EXPLORATION,c_C_RECEIPTS, c_C_PAYMENTS,c_I_AMORT_GW_NOP,c_TAX_RATE_PF,c_CS_BPS,c_SOC,c_SOC_CURRENCY,c_SOC_ADJ"</definedName>
    <definedName name="_C__CP_HIDDEN_ITEMS_VISIBLE">FALSE</definedName>
    <definedName name="_C_B_CAP_WORKING_PD">"_C_B_CAP_WORKING_PS_7_2012_2020"</definedName>
    <definedName name="_C_BALANCE_DATE_PD">"_C_BALANCE_DATE_PS_7_2012_2020"</definedName>
    <definedName name="_C_c_ANAV_PS_PD">"_C_c_ANAV_PS_PS_7_2012_2020"</definedName>
    <definedName name="_C_c_AUDUSD_PA_PD">"_C_c_AUDUSD_PA_PS_7_2012_2020"</definedName>
    <definedName name="_C_c_AUDUSD_PE_PD">"_C_c_AUDUSD_PE_PS_7_2012_2020"</definedName>
    <definedName name="_C_c_AVG_CS_ROA_EBIT_PD">"_C_c_AVG_CS_ROA_EBIT_PS_7_2012_2020"</definedName>
    <definedName name="_C_c_AVG_CS_ROA_PD">"_C_c_AVG_CS_ROA_PS_7_2012_2020"</definedName>
    <definedName name="_C_c_AVG_CS_ROE_PD">"_C_c_AVG_CS_ROE_PS_7_2012_2020"</definedName>
    <definedName name="_C_c_AVG_CS_ROTE_INT_PD">"_C_c_AVG_CS_ROTE_INT_PS_7_2012_2020"</definedName>
    <definedName name="_C_c_AVG_STATED_ROA_PD">"_C_c_AVG_STATED_ROA_PS_7_2012_2020"</definedName>
    <definedName name="_C_c_AVG_STATED_ROE_PD">"_C_c_AVG_STATED_ROE_PS_7_2012_2020"</definedName>
    <definedName name="_C_c_B_AUM_BV_PD">"_C_c_B_AUM_BV_PS_7_2012_2020"</definedName>
    <definedName name="_C_c_B_AVG_TANGIBLE_EQ_PD">"_C_c_B_AVG_TANGIBLE_EQ_PS_7_2012_2020"</definedName>
    <definedName name="_C_c_B_BRAND_PD">"_C_c_B_BRAND_PS_7_2012_2020"</definedName>
    <definedName name="_C_c_B_BV_GW_PD">"_C_c_B_BV_GW_PS_7_2012_2020"</definedName>
    <definedName name="_C_c_B_CA_ASB_PD">"_C_c_B_CA_ASB_PS_7_2012_2020"</definedName>
    <definedName name="_C_c_B_CA_BAD_DEBT_PROV_PD">"_C_c_B_CA_BAD_DEBT_PROV_PS_7_2012_2020"</definedName>
    <definedName name="_C_c_B_CA_CON_CR_FA_PD">"_C_c_B_CA_CON_CR_FA_PS_7_2012_2020"</definedName>
    <definedName name="_C_c_B_CA_DEFCOST_PD">"_C_c_B_CA_DEFCOST_PS_7_2012_2020"</definedName>
    <definedName name="_C_c_B_CA_FORSALE_PD">"_C_c_B_CA_FORSALE_PS_7_2012_2020"</definedName>
    <definedName name="_C_c_B_CA_INV_PD">"_C_c_B_CA_INV_PS_7_2012_2020"</definedName>
    <definedName name="_C_c_B_CA_INVEST_PD">"_C_c_B_CA_INVEST_PS_7_2012_2020"</definedName>
    <definedName name="_C_c_B_CA_OTH_REC_PD">"_C_c_B_CA_OTH_REC_PS_7_2012_2020"</definedName>
    <definedName name="_C_c_B_CA_OTHER_PD">"_C_c_B_CA_OTHER_PS_7_2012_2020"</definedName>
    <definedName name="_C_c_B_CA_PREPAY_PD">"_C_c_B_CA_PREPAY_PS_7_2012_2020"</definedName>
    <definedName name="_C_c_B_CA_REC_PD">"_C_c_B_CA_REC_PS_7_2012_2020"</definedName>
    <definedName name="_C_c_B_CA_TRADE_REC_PD">"_C_c_B_CA_TRADE_REC_PS_7_2012_2020"</definedName>
    <definedName name="_C_c_B_CAP_EXP_PD">"_C_c_B_CAP_EXP_PS_7_2012_2020"</definedName>
    <definedName name="_C_c_B_CASH_OPER_PD">"_C_c_B_CASH_OPER_PS_7_2012_2020"</definedName>
    <definedName name="_C_c_B_CASH_PD">"_C_c_B_CASH_PS_7_2012_2020"</definedName>
    <definedName name="_C_c_B_CL_ACCREXP_PD">"_C_c_B_CL_ACCREXP_PS_7_2012_2020"</definedName>
    <definedName name="_C_c_B_CL_ASB_PD">"_C_c_B_CL_ASB_PS_7_2012_2020"</definedName>
    <definedName name="_C_c_B_CL_BONDS_PD">"_C_c_B_CL_BONDS_PS_7_2012_2020"</definedName>
    <definedName name="_C_c_B_CL_CON_CR_REFIN_PD">"_C_c_B_CL_CON_CR_REFIN_PS_7_2012_2020"</definedName>
    <definedName name="_C_c_B_CL_CUSTADV_PD">"_C_c_B_CL_CUSTADV_PS_7_2012_2020"</definedName>
    <definedName name="_C_c_B_CL_DEF_REV_PD">"_C_c_B_CL_DEF_REV_PS_7_2012_2020"</definedName>
    <definedName name="_C_c_B_CL_DIV_PROV_PD">"_C_c_B_CL_DIV_PROV_PS_7_2012_2020"</definedName>
    <definedName name="_C_c_B_CL_EMP_PROV_PD">"_C_c_B_CL_EMP_PROV_PS_7_2012_2020"</definedName>
    <definedName name="_C_c_B_CL_LEASE_PD">"_C_c_B_CL_LEASE_PS_7_2012_2020"</definedName>
    <definedName name="_C_c_B_CL_OTH_PROV_PD">"_C_c_B_CL_OTH_PROV_PS_7_2012_2020"</definedName>
    <definedName name="_C_c_B_CL_PROV_PD">"_C_c_B_CL_PROV_PS_7_2012_2020"</definedName>
    <definedName name="_C_c_B_CL_RESTR_PROV_PD">"_C_c_B_CL_RESTR_PROV_PS_7_2012_2020"</definedName>
    <definedName name="_C_c_B_CL_TAX_PROV_PD">"_C_c_B_CL_TAX_PROV_PS_7_2012_2020"</definedName>
    <definedName name="_C_c_B_CURR_ASS_PD">"_C_c_B_CURR_ASS_PS_7_2012_2020"</definedName>
    <definedName name="_C_c_B_CURR_BORROW_PD">"_C_c_B_CURR_BORROW_PS_7_2012_2020"</definedName>
    <definedName name="_C_c_B_CURR_CRED_PD">"_C_c_B_CURR_CRED_PS_7_2012_2020"</definedName>
    <definedName name="_C_c_B_CURR_DEBT_PD">"_C_c_B_CURR_DEBT_PS_7_2012_2020"</definedName>
    <definedName name="_C_c_B_CURR_LIAB_PD">"_C_c_B_CURR_LIAB_PS_7_2012_2020"</definedName>
    <definedName name="_C_c_B_DERIV_PD">"_C_c_B_DERIV_PS_7_2012_2020"</definedName>
    <definedName name="_C_c_B_DERIVLIAB_PD">"_C_c_B_DERIVLIAB_PS_7_2012_2020"</definedName>
    <definedName name="_C_c_B_EV_ADJASSOC_PD">"_C_c_B_EV_ADJASSOC_PS_7_2012_2020"</definedName>
    <definedName name="_C_c_B_EV_ADJINV_PD">"_C_c_B_EV_ADJINV_PS_7_2012_2020"</definedName>
    <definedName name="_C_c_B_EV_ADJLEAS_PD">"_C_c_B_EV_ADJLEAS_PS_7_2012_2020"</definedName>
    <definedName name="_C_c_B_EV_ADJMINOR_PD">"_C_c_B_EV_ADJMINOR_PS_7_2012_2020"</definedName>
    <definedName name="_C_c_B_EV_ADJMLP_PD">"_C_c_B_EV_ADJMLP_PS_7_2012_2020"</definedName>
    <definedName name="_C_c_B_EV_ADJNONC_PD">"_C_c_B_EV_ADJNONC_PS_7_2012_2020"</definedName>
    <definedName name="_C_c_B_EV_ADJOBLIG_PD">"_C_c_B_EV_ADJOBLIG_PS_7_2012_2020"</definedName>
    <definedName name="_C_c_B_EV_ADJPENS_PD">"_C_c_B_EV_ADJPENS_PS_7_2012_2020"</definedName>
    <definedName name="_C_c_B_EV_ADJUST_PD">"_C_c_B_EV_ADJUST_PS_7_2012_2020"</definedName>
    <definedName name="_C_c_B_FUT_TAX_PD">"_C_c_B_FUT_TAX_PS_7_2012_2020"</definedName>
    <definedName name="_C_c_B_GW_AMORT_PD">"_C_c_B_GW_AMORT_PS_7_2012_2020"</definedName>
    <definedName name="_C_c_B_GW_PD">"_C_c_B_GW_PS_7_2012_2020"</definedName>
    <definedName name="_C_c_B_INTANG_PD">"_C_c_B_INTANG_PS_7_2012_2020"</definedName>
    <definedName name="_C_c_B_NCA_AGRIC_PD">"_C_c_B_NCA_AGRIC_PS_7_2012_2020"</definedName>
    <definedName name="_C_c_B_NCA_ASB_PD">"_C_c_B_NCA_ASB_PS_7_2012_2020"</definedName>
    <definedName name="_C_c_B_NCA_ASSOC_PD">"_C_c_B_NCA_ASSOC_PS_7_2012_2020"</definedName>
    <definedName name="_C_c_B_NCA_CWIP_PD">"_C_c_B_NCA_CWIP_PS_7_2012_2020"</definedName>
    <definedName name="_C_c_B_NCA_DERIV_PD">"_C_c_B_NCA_DERIV_PS_7_2012_2020"</definedName>
    <definedName name="_C_c_B_NCA_INV_PD">"_C_c_B_NCA_INV_PS_7_2012_2020"</definedName>
    <definedName name="_C_c_B_NCA_INVEST_PD">"_C_c_B_NCA_INVEST_PS_7_2012_2020"</definedName>
    <definedName name="_C_c_B_NCA_OTHINV_PD">"_C_c_B_NCA_OTHINV_PS_7_2012_2020"</definedName>
    <definedName name="_C_c_B_NCA_REC_PD">"_C_c_B_NCA_REC_PS_7_2012_2020"</definedName>
    <definedName name="_C_c_B_NCL_ASB_PD">"_C_c_B_NCL_ASB_PS_7_2012_2020"</definedName>
    <definedName name="_C_c_B_NCL_BONDS_PD">"_C_c_B_NCL_BONDS_PS_7_2012_2020"</definedName>
    <definedName name="_C_c_B_NCL_BORROW_PD">"_C_c_B_NCL_BORROW_PS_7_2012_2020"</definedName>
    <definedName name="_C_c_B_NCL_CONV_DEBT_PD">"_C_c_B_NCL_CONV_DEBT_PS_7_2012_2020"</definedName>
    <definedName name="_C_c_B_NCL_CRED_PD">"_C_c_B_NCL_CRED_PS_7_2012_2020"</definedName>
    <definedName name="_C_c_B_NCL_DERIV_PD">"_C_c_B_NCL_DERIV_PS_7_2012_2020"</definedName>
    <definedName name="_C_c_B_NCL_EMP_PROV_PD">"_C_c_B_NCL_EMP_PROV_PS_7_2012_2020"</definedName>
    <definedName name="_C_c_B_NCL_LEASES_PD">"_C_c_B_NCL_LEASES_PS_7_2012_2020"</definedName>
    <definedName name="_C_c_B_NCL_OTH_PROV_PD">"_C_c_B_NCL_OTH_PROV_PS_7_2012_2020"</definedName>
    <definedName name="_C_c_B_NCL_PROV_PD">"_C_c_B_NCL_PROV_PS_7_2012_2020"</definedName>
    <definedName name="_C_c_B_NCL_RESTR_PROV_PD">"_C_c_B_NCL_RESTR_PROV_PS_7_2012_2020"</definedName>
    <definedName name="_C_c_B_NCL_TAX_PROV_PD">"_C_c_B_NCL_TAX_PROV_PS_7_2012_2020"</definedName>
    <definedName name="_C_c_B_NON_CURR_ASS_PD">"_C_c_B_NON_CURR_ASS_PS_7_2012_2020"</definedName>
    <definedName name="_C_c_B_NON_CURR_LIAB_PD">"_C_c_B_NON_CURR_LIAB_PS_7_2012_2020"</definedName>
    <definedName name="_C_c_B_OBSF_PV_PD">"_C_c_B_OBSF_PV_PS_7_2012_2020"</definedName>
    <definedName name="_C_c_B_OTH_INT_PD">"_C_c_B_OTH_INT_PS_7_2012_2020"</definedName>
    <definedName name="_C_c_B_OTH_NCA_PD">"_C_c_B_OTH_NCA_PS_7_2012_2020"</definedName>
    <definedName name="_C_c_B_OTHER_CL_PD">"_C_c_B_OTHER_CL_PS_7_2012_2020"</definedName>
    <definedName name="_C_c_B_OTHER_CRED_PD">"_C_c_B_OTHER_CRED_PS_7_2012_2020"</definedName>
    <definedName name="_C_c_B_OTHER_NCL_PD">"_C_c_B_OTHER_NCL_PS_7_2012_2020"</definedName>
    <definedName name="_C_c_B_PPE_ACC_DEPR_PD">"_C_c_B_PPE_ACC_DEPR_PS_7_2012_2020"</definedName>
    <definedName name="_C_c_B_PPE_BOOK_VAL_PD">"_C_c_B_PPE_BOOK_VAL_PS_7_2012_2020"</definedName>
    <definedName name="_C_c_B_PPE_LEASE_IMP_PD">"_C_c_B_PPE_LEASE_IMP_PS_7_2012_2020"</definedName>
    <definedName name="_C_c_B_PPE_PD">"_C_c_B_PPE_PS_7_2012_2020"</definedName>
    <definedName name="_C_c_B_RESTR_CASH_PD">"_C_c_B_RESTR_CASH_PS_7_2012_2020"</definedName>
    <definedName name="_C_c_B_SECURITIES_PD">"_C_c_B_SECURITIES_PS_7_2012_2020"</definedName>
    <definedName name="_C_c_B_TANGIBLES_EQ_ADJ_PD">"_C_c_B_TANGIBLES_EQ_ADJ_PS_7_2012_2020"</definedName>
    <definedName name="_C_c_B_TANGIBLES_EQ_PD">"_C_c_B_TANGIBLES_EQ_PS_7_2012_2020"</definedName>
    <definedName name="_C_c_B_TOT_ASS_PD">"_C_c_B_TOT_ASS_PS_7_2012_2020"</definedName>
    <definedName name="_C_c_B_TOT_LIAB_PD">"_C_c_B_TOT_LIAB_PS_7_2012_2020"</definedName>
    <definedName name="_C_c_BORROW_CORE_PD">"_C_c_BORROW_CORE_PS_7_2012_2020"</definedName>
    <definedName name="_C_c_BORROW_NC_PD">"_C_c_BORROW_NC_PS_7_2012_2020"</definedName>
    <definedName name="_C_c_BORROW_PD">"_C_c_BORROW_PS_7_2012_2020"</definedName>
    <definedName name="_C_c_BPS_PD">"_C_c_BPS_PS_7_2012_2020"</definedName>
    <definedName name="_C_c_BPS_TOTEQ_PD">"_C_c_BPS_TOTEQ_PS_7_2012_2020"</definedName>
    <definedName name="_C_c_C_ACQUISITIONS_PD">"_C_c_C_ACQUISITIONS_PS_7_2012_2020"</definedName>
    <definedName name="_C_c_C_ASSOC_INV_PD">"_C_c_C_ASSOC_INV_PS_7_2012_2020"</definedName>
    <definedName name="_C_c_C_CAP_RAISING_PD">"_C_c_C_CAP_RAISING_PS_7_2012_2020"</definedName>
    <definedName name="_C_c_C_CAPEX_PD">"_C_c_C_CAPEX_PS_7_2012_2020"</definedName>
    <definedName name="_C_c_C_CHG_WC_PD">"_C_c_C_CHG_WC_PS_7_2012_2020"</definedName>
    <definedName name="_C_c_C_DISC_PD">"_C_c_C_DISC_PS_7_2012_2020"</definedName>
    <definedName name="_C_c_C_DISPOSALES_PD">"_C_c_C_DISPOSALES_PS_7_2012_2020"</definedName>
    <definedName name="_C_c_C_DIV_PAID_PD">"_C_c_C_DIV_PAID_PS_7_2012_2020"</definedName>
    <definedName name="_C_c_C_DIV_REC_PD">"_C_c_C_DIV_REC_PS_7_2012_2020"</definedName>
    <definedName name="_C_c_C_EBIT_PD">"_C_c_C_EBIT_PS_7_2012_2020"</definedName>
    <definedName name="_C_c_C_EXP_CAPEX_PD">"_C_c_C_EXP_CAPEX_PS_7_2012_2020"</definedName>
    <definedName name="_C_c_C_FINANCING_PD">"_C_c_C_FINANCING_PS_7_2012_2020"</definedName>
    <definedName name="_C_c_C_FOREX_PD">"_C_c_C_FOREX_PS_7_2012_2020"</definedName>
    <definedName name="_C_c_C_GROSS_PROFIT_PD">"_C_c_C_GROSS_PROFIT_PS_7_2012_2020"</definedName>
    <definedName name="_C_c_C_INT_PAID_PD">"_C_c_C_INT_PAID_PS_7_2012_2020"</definedName>
    <definedName name="_C_c_C_INT_REC_PD">"_C_c_C_INT_REC_PS_7_2012_2020"</definedName>
    <definedName name="_C_c_C_INTANG_CAP_PD">"_C_c_C_INTANG_CAP_PS_7_2012_2020"</definedName>
    <definedName name="_C_c_C_INTEREST_PD">"_C_c_C_INTEREST_PS_7_2012_2020"</definedName>
    <definedName name="_C_c_C_INVESTING_PD">"_C_c_C_INVESTING_PS_7_2012_2020"</definedName>
    <definedName name="_C_c_C_LEASE_FIN_PD">"_C_c_C_LEASE_FIN_PS_7_2012_2020"</definedName>
    <definedName name="_C_c_C_MAINT_CAPEX_PD">"_C_c_C_MAINT_CAPEX_PS_7_2012_2020"</definedName>
    <definedName name="_C_c_C_NET_BORROW_PD">"_C_c_C_NET_BORROW_PS_7_2012_2020"</definedName>
    <definedName name="_C_c_C_NON_CASH_PD">"_C_c_C_NON_CASH_PS_7_2012_2020"</definedName>
    <definedName name="_C_c_C_OPERATING_PD">"_C_c_C_OPERATING_PS_7_2012_2020"</definedName>
    <definedName name="_C_c_C_OTHER_FC_PD">"_C_c_C_OTHER_FC_PS_7_2012_2020"</definedName>
    <definedName name="_C_c_C_OTHER_IC_PD">"_C_c_C_OTHER_IC_PS_7_2012_2020"</definedName>
    <definedName name="_C_c_C_OTHER_OC_PD">"_C_c_C_OTHER_OC_PS_7_2012_2020"</definedName>
    <definedName name="_C_c_C_PURCHASE_PPE_PD">"_C_c_C_PURCHASE_PPE_PS_7_2012_2020"</definedName>
    <definedName name="_C_c_C_ROYALTIES_PD">"_C_c_C_ROYALTIES_PS_7_2012_2020"</definedName>
    <definedName name="_C_c_C_SALE_PPE_PD">"_C_c_C_SALE_PPE_PS_7_2012_2020"</definedName>
    <definedName name="_C_c_C_STOCK_BUYBACK_PD">"_C_c_C_STOCK_BUYBACK_PS_7_2012_2020"</definedName>
    <definedName name="_C_c_C_STOCK_ISSUED_PD">"_C_c_C_STOCK_ISSUED_PS_7_2012_2020"</definedName>
    <definedName name="_C_c_C_TAX_PD">"_C_c_C_TAX_PS_7_2012_2020"</definedName>
    <definedName name="_C_c_CASH_CHANGE_PD">"_C_c_CASH_CHANGE_PS_7_2012_2020"</definedName>
    <definedName name="_C_c_CASH_PE_PD">"_C_c_CASH_PE_PS_7_2012_2020"</definedName>
    <definedName name="_C_c_COMP_EPS_PD">"_C_c_COMP_EPS_PS_7_2012_2020"</definedName>
    <definedName name="_C_c_COPUSD_PA_PD">"_C_c_COPUSD_PA_PS_7_2012_2020"</definedName>
    <definedName name="_C_c_COPUSD_PE_PD">"_C_c_COPUSD_PE_PS_7_2012_2020"</definedName>
    <definedName name="_C_c_CORE_COMP_EPS_PD">"_C_c_CORE_COMP_EPS_PS_7_2012_2020"</definedName>
    <definedName name="_C_c_CORE_EPS_BASIC_PD">"_C_c_CORE_EPS_BASIC_PS_7_2012_2020"</definedName>
    <definedName name="_C_c_CP_CONVERTIBLE_PD">"_C_c_CP_CONVERTIBLE_PS_7_2012_2020"</definedName>
    <definedName name="_C_c_CP_LIMITED_VOTE_PD">"_C_c_CP_LIMITED_VOTE_PS_7_2012_2020"</definedName>
    <definedName name="_C_c_CP_OPTIONS_PD">"_C_c_CP_OPTIONS_PS_7_2012_2020"</definedName>
    <definedName name="_C_c_CP_ORDINARY_PD">"_C_c_CP_ORDINARY_PS_7_2012_2020"</definedName>
    <definedName name="_C_c_CP_OTHER_PD">"_C_c_CP_OTHER_PS_7_2012_2020"</definedName>
    <definedName name="_C_c_CP_PARTLY_PAID_PD">"_C_c_CP_PARTLY_PAID_PS_7_2012_2020"</definedName>
    <definedName name="_C_c_CP_PREF_DEBT_PD">"_C_c_CP_PREF_DEBT_PS_7_2012_2020"</definedName>
    <definedName name="_C_c_CP_PREF_EQUITY_PD">"_C_c_CP_PREF_EQUITY_PS_7_2012_2020"</definedName>
    <definedName name="_C_c_CP_SHARES_PD">"_C_c_CP_SHARES_PS_7_2012_2020"</definedName>
    <definedName name="_C_c_CP_TREASURY_PD">"_C_c_CP_TREASURY_PS_7_2012_2020"</definedName>
    <definedName name="_C_c_CPS_PD">"_C_c_CPS_PS_7_2012_2020"</definedName>
    <definedName name="_C_c_CS_EPS_BASIC_PD">"_C_c_CS_EPS_BASIC_PS_7_2012_2020"</definedName>
    <definedName name="_C_c_CS_NTA_PS_PD">"_C_c_CS_NTA_PS_PS_7_2012_2020"</definedName>
    <definedName name="_C_c_CT_CONVERTIBLE_PD">"_C_c_CT_CONVERTIBLE_PS_7_2012_2020"</definedName>
    <definedName name="_C_c_CT_LIMITED_VOTE_PD">"_C_c_CT_LIMITED_VOTE_PS_7_2012_2020"</definedName>
    <definedName name="_C_c_CT_OPTIONS_PD">"_C_c_CT_OPTIONS_PS_7_2012_2020"</definedName>
    <definedName name="_C_c_CT_ORDINARY_PD">"_C_c_CT_ORDINARY_PS_7_2012_2020"</definedName>
    <definedName name="_C_c_CT_OTHER_PD">"_C_c_CT_OTHER_PS_7_2012_2020"</definedName>
    <definedName name="_C_c_CT_PARTLY_PAID_PD">"_C_c_CT_PARTLY_PAID_PS_7_2012_2020"</definedName>
    <definedName name="_C_c_CT_PREF_DEBT_PD">"_C_c_CT_PREF_DEBT_PS_7_2012_2020"</definedName>
    <definedName name="_C_c_CT_PREF_EQUITY_PD">"_C_c_CT_PREF_EQUITY_PS_7_2012_2020"</definedName>
    <definedName name="_C_c_CT_SHARES_PD">"_C_c_CT_SHARES_PS_7_2012_2020"</definedName>
    <definedName name="_C_c_CT_TREASURY_PD">"_C_c_CT_TREASURY_PS_7_2012_2020"</definedName>
    <definedName name="_C_c_DEBT_MATURE_PD">"_C_c_DEBT_MATURE_PS_7_2012_2020"</definedName>
    <definedName name="_C_c_DIV_YIELD_PD">"_C_c_DIV_YIELD_PS_7_2012_2020"</definedName>
    <definedName name="_C_c_DPS_FINAL_EX_PD">"_C_c_DPS_FINAL_EX_PS_7_2012_2020"</definedName>
    <definedName name="_C_c_DPS_FINAL_PD">"_C_c_DPS_FINAL_PS_7_2012_2020"</definedName>
    <definedName name="_C_c_DPS_INTERIM_EX_PD">"_C_c_DPS_INTERIM_EX_PS_7_2012_2020"</definedName>
    <definedName name="_C_c_DPS_INTERIM_PD">"_C_c_DPS_INTERIM_PS_7_2012_2020"</definedName>
    <definedName name="_C_c_DPS_PD">"_C_c_DPS_PS_7_2012_2020"</definedName>
    <definedName name="_C_c_DPS_SPECIAL_EX_PD">"_C_c_DPS_SPECIAL_EX_PS_7_2012_2020"</definedName>
    <definedName name="_C_c_DPS_SPECIAL_PD">"_C_c_DPS_SPECIAL_PS_7_2012_2020"</definedName>
    <definedName name="_C_c_EBIT_MARGIN_PD">"_C_c_EBIT_MARGIN_PS_7_2012_2020"</definedName>
    <definedName name="_C_c_EBIT_MULTIPLE_AN_PD">"_C_c_EBIT_MULTIPLE_AN_PS_7_2012_2020"</definedName>
    <definedName name="_C_c_EBIT_MULTIPLE_CURR_PD">"_C_c_EBIT_MULTIPLE_CURR_PS_7_2012_2020"</definedName>
    <definedName name="_C_c_EBIT_MULTIPLE_PD">"_C_c_EBIT_MULTIPLE_PS_7_2012_2020"</definedName>
    <definedName name="_C_c_EBITDA_MARGIN_PD">"_C_c_EBITDA_MARGIN_PS_7_2012_2020"</definedName>
    <definedName name="_C_c_EBITDA_MULTIPLE_AN_PD">"_C_c_EBITDA_MULTIPLE_AN_PS_7_2012_2020"</definedName>
    <definedName name="_C_c_EBITDA_MULTIPLE_CU_PD">"_C_c_EBITDA_MULTIPLE_CU_PS_7_2012_2020"</definedName>
    <definedName name="_C_c_EBITDA_MULTIPLE_PD">"_C_c_EBITDA_MULTIPLE_PS_7_2012_2020"</definedName>
    <definedName name="_C_c_EBITDAR_MULTIPLE_A_PD">"_C_c_EBITDAR_MULTIPLE_A_PS_7_2012_2020"</definedName>
    <definedName name="_C_c_EBITDAR_MULTIPLE_C_PD">"_C_c_EBITDAR_MULTIPLE_C_PS_7_2012_2020"</definedName>
    <definedName name="_C_c_EBITDAR_MULTIPLE_PD">"_C_c_EBITDAR_MULTIPLE_PS_7_2012_2020"</definedName>
    <definedName name="_C_c_ENTVAL_ANNUAL_PD">"_C_c_ENTVAL_ANNUAL_PS_7_2012_2020"</definedName>
    <definedName name="_C_c_ENTVAL_CURR_PD">"_C_c_ENTVAL_CURR_PS_7_2012_2020"</definedName>
    <definedName name="_C_c_EPS_GWTH_FX_PD">"_C_c_EPS_GWTH_FX_PS_7_2012_2020"</definedName>
    <definedName name="_C_c_EPS_PD">"_C_c_EPS_PS_7_2012_2020"</definedName>
    <definedName name="_C_c_EPS_PRE_AMO_PD">"_C_c_EPS_PRE_AMO_PS_7_2012_2020"</definedName>
    <definedName name="_C_c_EPS_PRE_GW_PD">"_C_c_EPS_PRE_GW_PS_7_2012_2020"</definedName>
    <definedName name="_C_c_EPS_PRE_GWO_PD">"_C_c_EPS_PRE_GWO_PS_7_2012_2020"</definedName>
    <definedName name="_C_c_EPS_SHARES_PD">"_C_c_EPS_SHARES_PS_7_2012_2020"</definedName>
    <definedName name="_C_c_EQ_ADJ_PD">"_C_c_EQ_ADJ_PS_7_2012_2020"</definedName>
    <definedName name="_C_c_EQ_COMMON_PD">"_C_c_EQ_COMMON_PS_7_2012_2020"</definedName>
    <definedName name="_C_c_EQ_CONVERT_PD">"_C_c_EQ_CONVERT_PS_7_2012_2020"</definedName>
    <definedName name="_C_c_EQ_INTERCAP_PD">"_C_c_EQ_INTERCAP_PS_7_2012_2020"</definedName>
    <definedName name="_C_c_EQ_LIFE_FUND_PD">"_C_c_EQ_LIFE_FUND_PS_7_2012_2020"</definedName>
    <definedName name="_C_c_EQ_MINOR_PD">"_C_c_EQ_MINOR_PS_7_2012_2020"</definedName>
    <definedName name="_C_c_EQ_OTHER_PD">"_C_c_EQ_OTHER_PS_7_2012_2020"</definedName>
    <definedName name="_C_c_EQ_PREF_PD">"_C_c_EQ_PREF_PS_7_2012_2020"</definedName>
    <definedName name="_C_c_EQ_RESERV_ASSREV_PD">"_C_c_EQ_RESERV_ASSREV_PS_7_2012_2020"</definedName>
    <definedName name="_C_c_EQ_RESERV_OTHER_PD">"_C_c_EQ_RESERV_OTHER_PS_7_2012_2020"</definedName>
    <definedName name="_C_c_EQ_RESERV_PD">"_C_c_EQ_RESERV_PS_7_2012_2020"</definedName>
    <definedName name="_C_c_EQ_RETAIN_PROF_PD">"_C_c_EQ_RETAIN_PROF_PS_7_2012_2020"</definedName>
    <definedName name="_C_c_EQ_SHARE_RESERV_PD">"_C_c_EQ_SHARE_RESERV_PS_7_2012_2020"</definedName>
    <definedName name="_C_c_EQ_SHAREHOLD_PD">"_C_c_EQ_SHAREHOLD_PS_7_2012_2020"</definedName>
    <definedName name="_C_c_EQ_SUM_PD">"_C_c_EQ_SUM_PS_7_2012_2020"</definedName>
    <definedName name="_C_c_EURUSD_PA_PD">"_C_c_EURUSD_PA_PS_7_2012_2020"</definedName>
    <definedName name="_C_c_EURUSD_PE_PD">"_C_c_EURUSD_PE_PS_7_2012_2020"</definedName>
    <definedName name="_C_c_FCF_PS_PD">"_C_c_FCF_PS_PS_7_2012_2020"</definedName>
    <definedName name="_C_c_FCF_YIELD_PD">"_C_c_FCF_YIELD_PS_7_2012_2020"</definedName>
    <definedName name="_C_c_FREE_CASH_ADJ_PD">"_C_c_FREE_CASH_ADJ_PS_7_2012_2020"</definedName>
    <definedName name="_C_C_FREE_CF_PD">"_C_C_FREE_CF_PS_7_2012_2020"</definedName>
    <definedName name="_C_c_GBPUSD_PA_PD">"_C_c_GBPUSD_PA_PS_7_2012_2020"</definedName>
    <definedName name="_C_c_GBPUSD_PE_PD">"_C_c_GBPUSD_PE_PS_7_2012_2020"</definedName>
    <definedName name="_C_c_GEARING_PD">"_C_c_GEARING_PS_7_2012_2020"</definedName>
    <definedName name="_C_c_GROSS_MARGIN_PD">"_C_c_GROSS_MARGIN_PS_7_2012_2020"</definedName>
    <definedName name="_C_c_I_ABNORMAL_NPAT_PD">"_C_c_I_ABNORMAL_NPAT_PS_7_2012_2020"</definedName>
    <definedName name="_C_c_I_ABNORMAL_PBT_PD">"_C_c_I_ABNORMAL_PBT_PS_7_2012_2020"</definedName>
    <definedName name="_C_c_I_ABNORMAL_TAX_PD">"_C_c_I_ABNORMAL_TAX_PS_7_2012_2020"</definedName>
    <definedName name="_C_c_I_AMORT_GW_PD">"_C_c_I_AMORT_GW_PS_7_2012_2020"</definedName>
    <definedName name="_C_c_I_AMORT_INTAN_PD">"_C_c_I_AMORT_INTAN_PS_7_2012_2020"</definedName>
    <definedName name="_C_c_I_AMORT_OTHER_PD">"_C_c_I_AMORT_OTHER_PS_7_2012_2020"</definedName>
    <definedName name="_C_c_I_ANALYST_ADJ_CORE_PD">"_C_c_I_ANALYST_ADJ_CORE_PS_7_2012_2020"</definedName>
    <definedName name="_C_c_I_ANALYST_ADJ_PD">"_C_c_I_ANALYST_ADJ_PS_7_2012_2020"</definedName>
    <definedName name="_C_c_I_ASSET_SALES_PD">"_C_c_I_ASSET_SALES_PS_7_2012_2020"</definedName>
    <definedName name="_C_c_I_B_BRCOM_EXP_PD">"_C_c_I_B_BRCOM_EXP_PS_7_2012_2020"</definedName>
    <definedName name="_C_c_I_B_FAIR_VALUE_PD">"_C_c_I_B_FAIR_VALUE_PS_7_2012_2020"</definedName>
    <definedName name="_C_c_I_CAPGAINS_NRO_PD">"_C_c_I_CAPGAINS_NRO_PS_7_2012_2020"</definedName>
    <definedName name="_C_c_I_COGS_PD">"_C_c_I_COGS_PS_7_2012_2020"</definedName>
    <definedName name="_C_c_I_CORE_EBIT_PD">"_C_c_I_CORE_EBIT_PS_7_2012_2020"</definedName>
    <definedName name="_C_c_I_CORE_EBITA_PD">"_C_c_I_CORE_EBITA_PS_7_2012_2020"</definedName>
    <definedName name="_C_c_I_CORE_EBITDA_PD">"_C_c_I_CORE_EBITDA_PS_7_2012_2020"</definedName>
    <definedName name="_C_c_I_CORE_NPAT_PD">"_C_c_I_CORE_NPAT_PS_7_2012_2020"</definedName>
    <definedName name="_C_c_I_CORE_PBT_PD">"_C_c_I_CORE_PBT_PS_7_2012_2020"</definedName>
    <definedName name="_C_c_I_CORE_PBTADJ_PD">"_C_c_I_CORE_PBTADJ_PS_7_2012_2020"</definedName>
    <definedName name="_C_c_I_CORE_TAX_PD">"_C_c_I_CORE_TAX_PS_7_2012_2020"</definedName>
    <definedName name="_C_c_I_CORE_TAX_RATE_PD">"_C_c_I_CORE_TAX_RATE_PS_7_2012_2020"</definedName>
    <definedName name="_C_c_I_DEPR_AMORT_PD">"_C_c_I_DEPR_AMORT_PS_7_2012_2020"</definedName>
    <definedName name="_C_c_I_DEPR_PD">"_C_c_I_DEPR_PS_7_2012_2020"</definedName>
    <definedName name="_C_c_I_DIVIDENDS_PD">"_C_c_I_DIVIDENDS_PS_7_2012_2020"</definedName>
    <definedName name="_C_c_I_EBIT_PD">"_C_c_I_EBIT_PS_7_2012_2020"</definedName>
    <definedName name="_C_c_I_EBITA_PD">"_C_c_I_EBITA_PS_7_2012_2020"</definedName>
    <definedName name="_C_c_I_EBITDA_PD">"_C_c_I_EBITDA_PS_7_2012_2020"</definedName>
    <definedName name="_C_c_I_EMP_COST_PD">"_C_c_I_EMP_COST_PS_7_2012_2020"</definedName>
    <definedName name="_C_c_I_EMP_PERF_PD">"_C_c_I_EMP_PERF_PS_7_2012_2020"</definedName>
    <definedName name="_C_c_I_EMP_SHARES_NR_PD">"_C_c_I_EMP_SHARES_NR_PS_7_2012_2020"</definedName>
    <definedName name="_C_c_I_EMP_SHARES_PD">"_C_c_I_EMP_SHARES_PS_7_2012_2020"</definedName>
    <definedName name="_C_c_I_EMP_TOTAL_PD">"_C_c_I_EMP_TOTAL_PS_7_2012_2020"</definedName>
    <definedName name="_C_c_I_EPS_ADJ_PD">"_C_c_I_EPS_ADJ_PS_7_2012_2020"</definedName>
    <definedName name="_C_c_I_EQ_ACC_PAT_PD">"_C_c_I_EQ_ACC_PAT_PS_7_2012_2020"</definedName>
    <definedName name="_C_c_I_EQ_ACC_PBT_PD">"_C_c_I_EQ_ACC_PBT_PS_7_2012_2020"</definedName>
    <definedName name="_C_c_I_EQ_ACC_TAX_PD">"_C_c_I_EQ_ACC_TAX_PS_7_2012_2020"</definedName>
    <definedName name="_C_c_I_EXPENSES_PD">"_C_c_I_EXPENSES_PS_7_2012_2020"</definedName>
    <definedName name="_C_c_I_FINANCE_INC_PD">"_C_c_I_FINANCE_INC_PS_7_2012_2020"</definedName>
    <definedName name="_C_c_I_FOREX_LOSS_PD">"_C_c_I_FOREX_LOSS_PS_7_2012_2020"</definedName>
    <definedName name="_C_c_I_FRANCH_PD">"_C_c_I_FRANCH_PS_7_2012_2020"</definedName>
    <definedName name="_C_c_I_GROSS_PROFIT_PD">"_C_c_I_GROSS_PROFIT_PS_7_2012_2020"</definedName>
    <definedName name="_C_c_I_HEDGE_EXP_PD">"_C_c_I_HEDGE_EXP_PS_7_2012_2020"</definedName>
    <definedName name="_C_c_I_IMPAIRMENT_NRO_PD">"_C_c_I_IMPAIRMENT_NRO_PS_7_2012_2020"</definedName>
    <definedName name="_C_c_I_IMPAIRMENT_PD">"_C_c_I_IMPAIRMENT_PS_7_2012_2020"</definedName>
    <definedName name="_C_c_I_INC_DISC_PD">"_C_c_I_INC_DISC_PS_7_2012_2020"</definedName>
    <definedName name="_C_c_I_INC_TAX_PD">"_C_c_I_INC_TAX_PS_7_2012_2020"</definedName>
    <definedName name="_C_c_I_INDINC_PD">"_C_c_I_INDINC_PS_7_2012_2020"</definedName>
    <definedName name="_C_c_I_INT_CONV_EXP_PD">"_C_c_I_INT_CONV_EXP_PS_7_2012_2020"</definedName>
    <definedName name="_C_c_I_INT_EXP_PD">"_C_c_I_INT_EXP_PS_7_2012_2020"</definedName>
    <definedName name="_C_c_I_INT_INCOME_PD">"_C_c_I_INT_INCOME_PS_7_2012_2020"</definedName>
    <definedName name="_C_c_I_INT_LEASE_EXP_PD">"_C_c_I_INT_LEASE_EXP_PS_7_2012_2020"</definedName>
    <definedName name="_C_c_I_INVEST_INCOME_PD">"_C_c_I_INVEST_INCOME_PS_7_2012_2020"</definedName>
    <definedName name="_C_c_I_LEASING_EXP_PD">"_C_c_I_LEASING_EXP_PS_7_2012_2020"</definedName>
    <definedName name="_C_c_I_MINOR_PD">"_C_c_I_MINOR_PS_7_2012_2020"</definedName>
    <definedName name="_C_c_I_NET_INTEREST_PD">"_C_c_I_NET_INTEREST_PS_7_2012_2020"</definedName>
    <definedName name="_C_c_I_NONREC_ITEMS_PD">"_C_c_I_NONREC_ITEMS_PS_7_2012_2020"</definedName>
    <definedName name="_C_c_I_NOP_ITEMS_PD">"_C_c_I_NOP_ITEMS_PS_7_2012_2020"</definedName>
    <definedName name="_C_c_I_NPAT_ADJ_PD">"_C_c_I_NPAT_ADJ_PS_7_2012_2020"</definedName>
    <definedName name="_C_c_I_NPAT_PD">"_C_c_I_NPAT_PS_7_2012_2020"</definedName>
    <definedName name="_C_c_I_NRO_ITEMS_PD">"_C_c_I_NRO_ITEMS_PS_7_2012_2020"</definedName>
    <definedName name="_C_c_I_OCC_IT_COST_PD">"_C_c_I_OCC_IT_COST_PS_7_2012_2020"</definedName>
    <definedName name="_C_c_I_OOP_EXPENSES_PD">"_C_c_I_OOP_EXPENSES_PS_7_2012_2020"</definedName>
    <definedName name="_C_c_I_OOP_INCOME_PD">"_C_c_I_OOP_INCOME_PS_7_2012_2020"</definedName>
    <definedName name="_C_c_I_OOP_ITEMS_PD">"_C_c_I_OOP_ITEMS_PS_7_2012_2020"</definedName>
    <definedName name="_C_c_I_OP_DIVIDEND_PD">"_C_c_I_OP_DIVIDEND_PS_7_2012_2020"</definedName>
    <definedName name="_C_c_I_OPERATING_INC_PD">"_C_c_I_OPERATING_INC_PS_7_2012_2020"</definedName>
    <definedName name="_C_c_I_OTH_COREEBITAADJ_PD">"_C_c_I_OTH_COREEBITAADJ_PS_7_2012_2020"</definedName>
    <definedName name="_C_c_I_OTH_COREEBITADJ_PD">"_C_c_I_OTH_COREEBITADJ_PS_7_2012_2020"</definedName>
    <definedName name="_C_c_I_OTH_COREEBITDAAD_PD">"_C_c_I_OTH_COREEBITDAAD_PS_7_2012_2020"</definedName>
    <definedName name="_C_c_I_OTH_EBITADJ_PD">"_C_c_I_OTH_EBITADJ_PS_7_2012_2020"</definedName>
    <definedName name="_C_c_I_OTH_EBITDA_PD">"_C_c_I_OTH_EBITDA_PS_7_2012_2020"</definedName>
    <definedName name="_C_c_I_OTH_EXP_PD">"_C_c_I_OTH_EXP_PS_7_2012_2020"</definedName>
    <definedName name="_C_c_I_OTH_NO_AMORT_PD">"_C_c_I_OTH_NO_AMORT_PS_7_2012_2020"</definedName>
    <definedName name="_C_c_I_OTH_NO_DEPR_PD">"_C_c_I_OTH_NO_DEPR_PS_7_2012_2020"</definedName>
    <definedName name="_C_c_I_OTHER_PAT_PD">"_C_c_I_OTHER_PAT_PS_7_2012_2020"</definedName>
    <definedName name="_C_c_I_OTHER_PBT_PD">"_C_c_I_OTHER_PBT_PS_7_2012_2020"</definedName>
    <definedName name="_C_c_I_OTHER_PD">"_C_c_I_OTHER_PS_7_2012_2020"</definedName>
    <definedName name="_C_c_I_OTHER_TAX_PD">"_C_c_I_OTHER_TAX_PS_7_2012_2020"</definedName>
    <definedName name="_C_c_I_PBT_PD">"_C_c_I_PBT_PS_7_2012_2020"</definedName>
    <definedName name="_C_c_I_PBT_REPORTED_PD">"_C_c_I_PBT_REPORTED_PS_7_2012_2020"</definedName>
    <definedName name="_C_c_I_PREF_DIV_PAID_PD">"_C_c_I_PREF_DIV_PAID_PS_7_2012_2020"</definedName>
    <definedName name="_C_c_I_PROPINC_PD">"_C_c_I_PROPINC_PS_7_2012_2020"</definedName>
    <definedName name="_C_c_I_PROVISIONS_PD">"_C_c_I_PROVISIONS_PS_7_2012_2020"</definedName>
    <definedName name="_C_c_I_REP_EBIT_PD">"_C_c_I_REP_EBIT_PS_7_2012_2020"</definedName>
    <definedName name="_C_c_I_REP_EBITA_PD">"_C_c_I_REP_EBITA_PS_7_2012_2020"</definedName>
    <definedName name="_C_c_I_REP_EBITAADJ_PD">"_C_c_I_REP_EBITAADJ_PS_7_2012_2020"</definedName>
    <definedName name="_C_c_I_REP_EBITDA_PD">"_C_c_I_REP_EBITDA_PS_7_2012_2020"</definedName>
    <definedName name="_C_c_I_REP_EBITDAADJ_PD">"_C_c_I_REP_EBITDAADJ_PS_7_2012_2020"</definedName>
    <definedName name="_C_c_I_REP_NPAT_PD">"_C_c_I_REP_NPAT_PS_7_2012_2020"</definedName>
    <definedName name="_C_c_I_REP_PAT_PD">"_C_c_I_REP_PAT_PS_7_2012_2020"</definedName>
    <definedName name="_C_c_I_RES_AND_DEV_PD">"_C_c_I_RES_AND_DEV_PS_7_2012_2020"</definedName>
    <definedName name="_C_c_I_RESTRUCT_EXP_NRO_PD">"_C_c_I_RESTRUCT_EXP_NRO_PS_7_2012_2020"</definedName>
    <definedName name="_C_c_I_RESTRUCT_EXP_PD">"_C_c_I_RESTRUCT_EXP_PS_7_2012_2020"</definedName>
    <definedName name="_C_c_I_REVAL_NONREC_PD">"_C_c_I_REVAL_NONREC_PS_7_2012_2020"</definedName>
    <definedName name="_C_c_I_REVALUATIONS_PD">"_C_c_I_REVALUATIONS_PS_7_2012_2020"</definedName>
    <definedName name="_C_c_I_REVENUES_PD">"_C_c_I_REVENUES_PS_7_2012_2020"</definedName>
    <definedName name="_C_c_I_ROYALTIES_PD">"_C_c_I_ROYALTIES_PS_7_2012_2020"</definedName>
    <definedName name="_C_c_I_SALES_GWTH_ACQ_PD">"_C_c_I_SALES_GWTH_ACQ_PS_7_2012_2020"</definedName>
    <definedName name="_C_c_I_SALES_GWTH_FX_PD">"_C_c_I_SALES_GWTH_FX_PS_7_2012_2020"</definedName>
    <definedName name="_C_c_I_SALES_GWTH_PD">"_C_c_I_SALES_GWTH_PS_7_2012_2020"</definedName>
    <definedName name="_C_c_I_SALES_PD">"_C_c_I_SALES_PS_7_2012_2020"</definedName>
    <definedName name="_C_c_I_SGA_PD">"_C_c_I_SGA_PS_7_2012_2020"</definedName>
    <definedName name="_C_c_I_TAX_PD">"_C_c_I_TAX_PS_7_2012_2020"</definedName>
    <definedName name="_C_c_INT_COVER_PD">"_C_c_INT_COVER_PS_7_2012_2020"</definedName>
    <definedName name="_C_c_INV_CAP_ADJ_PD">"_C_c_INV_CAP_ADJ_PS_7_2012_2020"</definedName>
    <definedName name="_C_c_INV_CAP_OTH_PD">"_C_c_INV_CAP_OTH_PS_7_2012_2020"</definedName>
    <definedName name="_C_c_IRR_PD">"_C_c_IRR_PS_7_2012_2020"</definedName>
    <definedName name="_C_c_KD_ANN_PD">"_C_c_KD_ANN_PS_7_2012_2020"</definedName>
    <definedName name="_C_c_KE_ANN_PD">"_C_c_KE_ANN_PS_7_2012_2020"</definedName>
    <definedName name="_C_c_LEVERAGE_AVG_PD">"_C_c_LEVERAGE_AVG_PS_7_2012_2020"</definedName>
    <definedName name="_C_c_LEVERAGE_PD">"_C_c_LEVERAGE_PS_7_2012_2020"</definedName>
    <definedName name="_C_c_MVI_PD">"_C_c_MVI_PS_7_2012_2020"</definedName>
    <definedName name="_C_c_NDE_PD">"_C_c_NDE_PS_7_2012_2020"</definedName>
    <definedName name="_C_c_NET_DEBT_ADJ_PD">"_C_c_NET_DEBT_ADJ_PS_7_2012_2020"</definedName>
    <definedName name="_C_c_NET_DEBT_PD">"_C_c_NET_DEBT_PS_7_2012_2020"</definedName>
    <definedName name="_C_c_NOT_INTEREST_PD">"_C_c_NOT_INTEREST_PS_7_2012_2020"</definedName>
    <definedName name="_C_c_NTA_PD">"_C_c_NTA_PS_7_2012_2020"</definedName>
    <definedName name="_C_c_NTA_PS_PD">"_C_c_NTA_PS_PS_7_2012_2020"</definedName>
    <definedName name="_C_c_NZDUSD_PA_PD">"_C_c_NZDUSD_PA_PS_7_2012_2020"</definedName>
    <definedName name="_C_c_NZDUSD_PE_PD">"_C_c_NZDUSD_PE_PS_7_2012_2020"</definedName>
    <definedName name="_C_c_OTHER_NONREC_OP_PD">"_C_c_OTHER_NONREC_OP_PS_7_2012_2020"</definedName>
    <definedName name="_C_c_OTHER_NONREC_PD">"_C_c_OTHER_NONREC_PS_7_2012_2020"</definedName>
    <definedName name="_C_c_PAYOUT_PD">"_C_c_PAYOUT_PS_7_2012_2020"</definedName>
    <definedName name="_C_c_PB_PD">"_C_c_PB_PS_7_2012_2020"</definedName>
    <definedName name="_C_c_PE_MVI_PD">"_C_c_PE_MVI_PS_7_2012_2020"</definedName>
    <definedName name="_C_c_PE_PD">"_C_c_PE_PS_7_2012_2020"</definedName>
    <definedName name="_C_c_PEN_LIAB_PD">"_C_c_PEN_LIAB_PS_7_2012_2020"</definedName>
    <definedName name="_C_c_PNTA_PD">"_C_c_PNTA_PS_7_2012_2020"</definedName>
    <definedName name="_C_c_PSALES_PD">"_C_c_PSALES_PS_7_2012_2020"</definedName>
    <definedName name="_C_c_PUB_ACCSTAND_PD">"_C_c_PUB_ACCSTAND_PS_7_2012_2020"</definedName>
    <definedName name="_C_c_PUB_ADJENTVAL_PD">"_C_c_PUB_ADJENTVAL_PS_7_2012_2020"</definedName>
    <definedName name="_C_c_PUB_AVAIL_DEBTFCLT_PD">"_C_c_PUB_AVAIL_DEBTFCLT_PS_7_2012_2020"</definedName>
    <definedName name="_C_c_PUB_DPS_PD">"_C_c_PUB_DPS_PS_7_2012_2020"</definedName>
    <definedName name="_C_c_PUB_DRIVER_PD">"_C_c_PUB_DRIVER_PS_7_2012_2020"</definedName>
    <definedName name="_C_c_PUB_EBITDA_PD">"_C_c_PUB_EBITDA_PS_7_2012_2020"</definedName>
    <definedName name="_C_c_PUB_EMPLOYEE_PD">"_C_c_PUB_EMPLOYEE_PS_7_2012_2020"</definedName>
    <definedName name="_C_c_PUB_EPS_PD">"_C_c_PUB_EPS_PS_7_2012_2020"</definedName>
    <definedName name="_C_c_PUB_FCF_PD">"_C_c_PUB_FCF_PS_7_2012_2020"</definedName>
    <definedName name="_C_c_PUB_NETINC_PD">"_C_c_PUB_NETINC_PS_7_2012_2020"</definedName>
    <definedName name="_C_c_PUB_OP_INCOME_PD">"_C_c_PUB_OP_INCOME_PS_7_2012_2020"</definedName>
    <definedName name="_C_c_PUB_ORGANIC_GWTH_PD">"_C_c_PUB_ORGANIC_GWTH_PS_7_2012_2020"</definedName>
    <definedName name="_C_c_PUB_PBT_PD">"_C_c_PUB_PBT_PS_7_2012_2020"</definedName>
    <definedName name="_C_c_PUB_RECURRING_PROF_PD">"_C_c_PUB_RECURRING_PROF_PS_7_2012_2020"</definedName>
    <definedName name="_C_c_PUB_REVENUES_PD">"_C_c_PUB_REVENUES_PS_7_2012_2020"</definedName>
    <definedName name="_C_c_PUB_SALES_PD">"_C_c_PUB_SALES_PS_7_2012_2020"</definedName>
    <definedName name="_C_c_REP_EPS_BASIC_PD">"_C_c_REP_EPS_BASIC_PS_7_2012_2020"</definedName>
    <definedName name="_C_c_REP_EPS_PD">"_C_c_REP_EPS_PS_7_2012_2020"</definedName>
    <definedName name="_C_c_ROA_PD">"_C_c_ROA_PS_7_2012_2020"</definedName>
    <definedName name="_C_c_ROE_PD">"_C_c_ROE_PS_7_2012_2020"</definedName>
    <definedName name="_C_c_ROIC_PD">"_C_c_ROIC_PS_7_2012_2020"</definedName>
    <definedName name="_C_c_SHR_REPUR_PRICE_PD">"_C_c_SHR_REPUR_PRICE_PS_7_2012_2020"</definedName>
    <definedName name="_C_c_SHR_REPURCHASE_PD">"_C_c_SHR_REPURCHASE_PS_7_2012_2020"</definedName>
    <definedName name="_C_c_TAX_RATE_PD">"_C_c_TAX_RATE_PS_7_2012_2020"</definedName>
    <definedName name="_C_c_TBPS_EFPOWA_PD">"_C_c_TBPS_EFPOWA_PS_7_2012_2020"</definedName>
    <definedName name="_C_c_TOT_FLEET_PD">"_C_c_TOT_FLEET_PS_7_2012_2020"</definedName>
    <definedName name="_C_c_TOTAL_CF_PD">"_C_c_TOTAL_CF_PS_7_2012_2020"</definedName>
    <definedName name="_C_C_UNLEV_FREE_CF_PD">"_C_C_UNLEV_FREE_CF_PS_7_2012_2020"</definedName>
    <definedName name="_C_c_USDARS_PA_PD">"_C_c_USDARS_PA_PS_7_2012_2020"</definedName>
    <definedName name="_C_c_USDARS_PE_PD">"_C_c_USDARS_PE_PS_7_2012_2020"</definedName>
    <definedName name="_C_c_USDBRL_PA_PD">"_C_c_USDBRL_PA_PS_7_2012_2020"</definedName>
    <definedName name="_C_c_USDBRL_PE_PD">"_C_c_USDBRL_PE_PS_7_2012_2020"</definedName>
    <definedName name="_C_c_USDCAD_PA_PD">"_C_c_USDCAD_PA_PS_7_2012_2020"</definedName>
    <definedName name="_C_c_USDCAD_PE_PD">"_C_c_USDCAD_PE_PS_7_2012_2020"</definedName>
    <definedName name="_C_c_USDCHF_PA_PD">"_C_c_USDCHF_PA_PS_7_2012_2020"</definedName>
    <definedName name="_C_c_USDCHF_PE_PD">"_C_c_USDCHF_PE_PS_7_2012_2020"</definedName>
    <definedName name="_C_c_USDCLP_PA_PD">"_C_c_USDCLP_PA_PS_7_2012_2020"</definedName>
    <definedName name="_C_c_USDCLP_PE_PD">"_C_c_USDCLP_PE_PS_7_2012_2020"</definedName>
    <definedName name="_C_c_USDCNY_PA_PD">"_C_c_USDCNY_PA_PS_7_2012_2020"</definedName>
    <definedName name="_C_c_USDCNY_PE_PD">"_C_c_USDCNY_PE_PS_7_2012_2020"</definedName>
    <definedName name="_C_c_USDDKK_PA_PD">"_C_c_USDDKK_PA_PS_7_2012_2020"</definedName>
    <definedName name="_C_c_USDDKK_PE_PD">"_C_c_USDDKK_PE_PS_7_2012_2020"</definedName>
    <definedName name="_C_c_USDHKD_PA_PD">"_C_c_USDHKD_PA_PS_7_2012_2020"</definedName>
    <definedName name="_C_c_USDHKD_PE_PD">"_C_c_USDHKD_PE_PS_7_2012_2020"</definedName>
    <definedName name="_C_c_USDINR_PA_PD">"_C_c_USDINR_PA_PS_7_2012_2020"</definedName>
    <definedName name="_C_c_USDINR_PE_PD">"_C_c_USDINR_PE_PS_7_2012_2020"</definedName>
    <definedName name="_C_c_USDJPY_PA_PD">"_C_c_USDJPY_PA_PS_7_2012_2020"</definedName>
    <definedName name="_C_c_USDJPY_PE_PD">"_C_c_USDJPY_PE_PS_7_2012_2020"</definedName>
    <definedName name="_C_c_USDKRW_PA_PD">"_C_c_USDKRW_PA_PS_7_2012_2020"</definedName>
    <definedName name="_C_c_USDKRW_PE_PD">"_C_c_USDKRW_PE_PS_7_2012_2020"</definedName>
    <definedName name="_C_c_USDMXN_PA_PD">"_C_c_USDMXN_PA_PS_7_2012_2020"</definedName>
    <definedName name="_C_c_USDMXN_PE_PD">"_C_c_USDMXN_PE_PS_7_2012_2020"</definedName>
    <definedName name="_C_c_USDMYR_PA_PD">"_C_c_USDMYR_PA_PS_7_2012_2020"</definedName>
    <definedName name="_C_c_USDMYR_PE_PD">"_C_c_USDMYR_PE_PS_7_2012_2020"</definedName>
    <definedName name="_C_c_USDNOK_PA_PD">"_C_c_USDNOK_PA_PS_7_2012_2020"</definedName>
    <definedName name="_C_c_USDNOK_PE_PD">"_C_c_USDNOK_PE_PS_7_2012_2020"</definedName>
    <definedName name="_C_c_USDPEN_PA_PD">"_C_c_USDPEN_PA_PS_7_2012_2020"</definedName>
    <definedName name="_C_c_USDPEN_PE_PD">"_C_c_USDPEN_PE_PS_7_2012_2020"</definedName>
    <definedName name="_C_c_USDPHP_PA_PD">"_C_c_USDPHP_PA_PS_7_2012_2020"</definedName>
    <definedName name="_C_c_USDPHP_PE_PD">"_C_c_USDPHP_PE_PS_7_2012_2020"</definedName>
    <definedName name="_C_c_USDPLN_PA_PD">"_C_c_USDPLN_PA_PS_7_2012_2020"</definedName>
    <definedName name="_C_c_USDPLN_PE_PD">"_C_c_USDPLN_PE_PS_7_2012_2020"</definedName>
    <definedName name="_C_c_USDSEK_PA_PD">"_C_c_USDSEK_PA_PS_7_2012_2020"</definedName>
    <definedName name="_C_c_USDSEK_PE_PD">"_C_c_USDSEK_PE_PS_7_2012_2020"</definedName>
    <definedName name="_C_c_USDSGD_PA_PD">"_C_c_USDSGD_PA_PS_7_2012_2020"</definedName>
    <definedName name="_C_c_USDSGD_PE_PD">"_C_c_USDSGD_PE_PS_7_2012_2020"</definedName>
    <definedName name="_C_c_USDTWD_PA_PD">"_C_c_USDTWD_PA_PS_7_2012_2020"</definedName>
    <definedName name="_C_c_USDTWD_PE_PD">"_C_c_USDTWD_PE_PS_7_2012_2020"</definedName>
    <definedName name="_C_c_USDZAR_PA_PD">"_C_c_USDZAR_PA_PS_7_2012_2020"</definedName>
    <definedName name="_C_c_USDZAR_PE_PD">"_C_c_USDZAR_PE_PS_7_2012_2020"</definedName>
    <definedName name="_C_c_WACC_PD">"_C_c_WACC_PS_7_2012_2020"</definedName>
    <definedName name="_C_EVtoIC_PD">"_C_EVtoIC_PS_7_2012_2020"</definedName>
    <definedName name="_C_EXPENSE_CHF_PD">"_C_EXPENSE_CHF_PS_7_2012_2020"</definedName>
    <definedName name="_C_EXPENSES_CCYTOT_PD">"_C_EXPENSES_CCYTOT_PS_7_2012_2020"</definedName>
    <definedName name="_C_EXPENSES_EUR_PD">"_C_EXPENSES_EUR_PS_7_2012_2020"</definedName>
    <definedName name="_C_EXPENSES_GBP_PD">"_C_EXPENSES_GBP_PS_7_2012_2020"</definedName>
    <definedName name="_C_EXPENSES_JPY_PD">"_C_EXPENSES_JPY_PS_7_2012_2020"</definedName>
    <definedName name="_C_EXPENSES_OTH_PD">"_C_EXPENSES_OTH_PS_7_2012_2020"</definedName>
    <definedName name="_C_EXPENSES_USD_PD">"_C_EXPENSES_USD_PS_7_2012_2020"</definedName>
    <definedName name="_C_GSALES_AE_PD">"_C_GSALES_AE_PS_7_2012_2020"</definedName>
    <definedName name="_C_GSALES_AFRICA_PD">"_C_GSALES_AFRICA_PS_7_2012_2020"</definedName>
    <definedName name="_C_GSALES_AMERICAS_PD">"_C_GSALES_AMERICAS_PS_7_2012_2020"</definedName>
    <definedName name="_C_GSALES_AR_PD">"_C_GSALES_AR_PS_7_2012_2020"</definedName>
    <definedName name="_C_GSALES_ASIA_PD">"_C_GSALES_ASIA_PS_7_2012_2020"</definedName>
    <definedName name="_C_GSALES_AT_PD">"_C_GSALES_AT_PS_7_2012_2020"</definedName>
    <definedName name="_C_GSALES_AU_PD">"_C_GSALES_AU_PS_7_2012_2020"</definedName>
    <definedName name="_C_GSALES_BE_PD">"_C_GSALES_BE_PS_7_2012_2020"</definedName>
    <definedName name="_C_GSALES_BG_PD">"_C_GSALES_BG_PS_7_2012_2020"</definedName>
    <definedName name="_C_GSALES_BR_PD">"_C_GSALES_BR_PS_7_2012_2020"</definedName>
    <definedName name="_C_GSALES_CA_PD">"_C_GSALES_CA_PS_7_2012_2020"</definedName>
    <definedName name="_C_GSALES_CH_PD">"_C_GSALES_CH_PS_7_2012_2020"</definedName>
    <definedName name="_C_GSALES_CL_PD">"_C_GSALES_CL_PS_7_2012_2020"</definedName>
    <definedName name="_C_GSALES_CN_PD">"_C_GSALES_CN_PS_7_2012_2020"</definedName>
    <definedName name="_C_GSALES_CO_PD">"_C_GSALES_CO_PS_7_2012_2020"</definedName>
    <definedName name="_C_GSALES_CZ_PD">"_C_GSALES_CZ_PS_7_2012_2020"</definedName>
    <definedName name="_C_GSALES_DE_PD">"_C_GSALES_DE_PS_7_2012_2020"</definedName>
    <definedName name="_C_GSALES_DEV_EUR_PD">"_C_GSALES_DEV_EUR_PS_7_2012_2020"</definedName>
    <definedName name="_C_GSALES_DK_PD">"_C_GSALES_DK_PS_7_2012_2020"</definedName>
    <definedName name="_C_GSALES_EG_PD">"_C_GSALES_EG_PS_7_2012_2020"</definedName>
    <definedName name="_C_GSALES_EME_PD">"_C_GSALES_EME_PS_7_2012_2020"</definedName>
    <definedName name="_C_GSALES_ES_PD">"_C_GSALES_ES_PS_7_2012_2020"</definedName>
    <definedName name="_C_GSALES_EUROPE_PD">"_C_GSALES_EUROPE_PS_7_2012_2020"</definedName>
    <definedName name="_C_GSALES_EUROZ_PD">"_C_GSALES_EUROZ_PS_7_2012_2020"</definedName>
    <definedName name="_C_GSALES_FI_PD">"_C_GSALES_FI_PS_7_2012_2020"</definedName>
    <definedName name="_C_GSALES_FR_PD">"_C_GSALES_FR_PS_7_2012_2020"</definedName>
    <definedName name="_C_GSALES_GB_PD">"_C_GSALES_GB_PS_7_2012_2020"</definedName>
    <definedName name="_C_GSALES_GR_PD">"_C_GSALES_GR_PS_7_2012_2020"</definedName>
    <definedName name="_C_GSALES_HK_PD">"_C_GSALES_HK_PS_7_2012_2020"</definedName>
    <definedName name="_C_GSALES_HR_PD">"_C_GSALES_HR_PS_7_2012_2020"</definedName>
    <definedName name="_C_GSALES_HU_PD">"_C_GSALES_HU_PS_7_2012_2020"</definedName>
    <definedName name="_C_GSALES_ID_PD">"_C_GSALES_ID_PS_7_2012_2020"</definedName>
    <definedName name="_C_GSALES_IE_PD">"_C_GSALES_IE_PS_7_2012_2020"</definedName>
    <definedName name="_C_GSALES_IL_PD">"_C_GSALES_IL_PS_7_2012_2020"</definedName>
    <definedName name="_C_GSALES_IN_PD">"_C_GSALES_IN_PS_7_2012_2020"</definedName>
    <definedName name="_C_GSALES_IOC_PD">"_C_GSALES_IOC_PS_7_2012_2020"</definedName>
    <definedName name="_C_GSALES_IT_PD">"_C_GSALES_IT_PS_7_2012_2020"</definedName>
    <definedName name="_C_GSALES_JP_PD">"_C_GSALES_JP_PS_7_2012_2020"</definedName>
    <definedName name="_C_GSALES_KR_PD">"_C_GSALES_KR_PS_7_2012_2020"</definedName>
    <definedName name="_C_GSALES_KZ_PD">"_C_GSALES_KZ_PS_7_2012_2020"</definedName>
    <definedName name="_C_GSALES_LU_PD">"_C_GSALES_LU_PS_7_2012_2020"</definedName>
    <definedName name="_C_GSALES_MA_PD">"_C_GSALES_MA_PS_7_2012_2020"</definedName>
    <definedName name="_C_GSALES_MD_PD">"_C_GSALES_MD_PS_7_2012_2020"</definedName>
    <definedName name="_C_GSALES_MIDEAST_PD">"_C_GSALES_MIDEAST_PS_7_2012_2020"</definedName>
    <definedName name="_C_GSALES_MX_PD">"_C_GSALES_MX_PS_7_2012_2020"</definedName>
    <definedName name="_C_GSALES_MY_PD">"_C_GSALES_MY_PS_7_2012_2020"</definedName>
    <definedName name="_C_GSALES_NG_PD">"_C_GSALES_NG_PS_7_2012_2020"</definedName>
    <definedName name="_C_GSALES_NJA_PD">"_C_GSALES_NJA_PS_7_2012_2020"</definedName>
    <definedName name="_C_GSALES_NL_PD">"_C_GSALES_NL_PS_7_2012_2020"</definedName>
    <definedName name="_C_GSALES_NO_PD">"_C_GSALES_NO_PS_7_2012_2020"</definedName>
    <definedName name="_C_GSALES_NOR_PD">"_C_GSALES_NOR_PS_7_2012_2020"</definedName>
    <definedName name="_C_GSALES_NTHAM_PD">"_C_GSALES_NTHAM_PS_7_2012_2020"</definedName>
    <definedName name="_C_GSALES_NZ_PD">"_C_GSALES_NZ_PS_7_2012_2020"</definedName>
    <definedName name="_C_GSALES_OAFRICA_PD">"_C_GSALES_OAFRICA_PS_7_2012_2020"</definedName>
    <definedName name="_C_GSALES_OAMERICAS_PD">"_C_GSALES_OAMERICAS_PS_7_2012_2020"</definedName>
    <definedName name="_C_GSALES_OASIA_PD">"_C_GSALES_OASIA_PS_7_2012_2020"</definedName>
    <definedName name="_C_GSALES_OCEANIA_PD">"_C_GSALES_OCEANIA_PS_7_2012_2020"</definedName>
    <definedName name="_C_GSALES_ODE_PD">"_C_GSALES_ODE_PS_7_2012_2020"</definedName>
    <definedName name="_C_GSALES_OEUROPE_PD">"_C_GSALES_OEUROPE_PS_7_2012_2020"</definedName>
    <definedName name="_C_GSALES_OME_PD">"_C_GSALES_OME_PS_7_2012_2020"</definedName>
    <definedName name="_C_GSALES_OTHER_PD">"_C_GSALES_OTHER_PS_7_2012_2020"</definedName>
    <definedName name="_C_GSALES_PH_PD">"_C_GSALES_PH_PS_7_2012_2020"</definedName>
    <definedName name="_C_GSALES_PK_PD">"_C_GSALES_PK_PS_7_2012_2020"</definedName>
    <definedName name="_C_GSALES_PL_PD">"_C_GSALES_PL_PS_7_2012_2020"</definedName>
    <definedName name="_C_GSALES_PT_PD">"_C_GSALES_PT_PS_7_2012_2020"</definedName>
    <definedName name="_C_GSALES_QA_PD">"_C_GSALES_QA_PS_7_2012_2020"</definedName>
    <definedName name="_C_GSALES_RO_PD">"_C_GSALES_RO_PS_7_2012_2020"</definedName>
    <definedName name="_C_GSALES_RS_PD">"_C_GSALES_RS_PS_7_2012_2020"</definedName>
    <definedName name="_C_GSALES_RU_PD">"_C_GSALES_RU_PS_7_2012_2020"</definedName>
    <definedName name="_C_GSALES_SA_PD">"_C_GSALES_SA_PS_7_2012_2020"</definedName>
    <definedName name="_C_GSALES_SE_PD">"_C_GSALES_SE_PS_7_2012_2020"</definedName>
    <definedName name="_C_GSALES_SG_PD">"_C_GSALES_SG_PS_7_2012_2020"</definedName>
    <definedName name="_C_GSALES_SK_PD">"_C_GSALES_SK_PS_7_2012_2020"</definedName>
    <definedName name="_C_GSALES_STHAM_PD">"_C_GSALES_STHAM_PS_7_2012_2020"</definedName>
    <definedName name="_C_GSALES_TH_PD">"_C_GSALES_TH_PS_7_2012_2020"</definedName>
    <definedName name="_C_GSALES_TOTAL_PD">"_C_GSALES_TOTAL_PS_7_2012_2020"</definedName>
    <definedName name="_C_GSALES_TR_PD">"_C_GSALES_TR_PS_7_2012_2020"</definedName>
    <definedName name="_C_GSALES_TW_PD">"_C_GSALES_TW_PS_7_2012_2020"</definedName>
    <definedName name="_C_GSALES_UA_PD">"_C_GSALES_UA_PS_7_2012_2020"</definedName>
    <definedName name="_C_GSALES_US_PD">"_C_GSALES_US_PS_7_2012_2020"</definedName>
    <definedName name="_C_GSALES_UY_PD">"_C_GSALES_UY_PS_7_2012_2020"</definedName>
    <definedName name="_C_GSALES_VN_PD">"_C_GSALES_VN_PS_7_2012_2020"</definedName>
    <definedName name="_C_GSALES_ZA_PD">"_C_GSALES_ZA_PS_7_2012_2020"</definedName>
    <definedName name="_C_OPEN_ASSUMPTION_PAGES">"RAT|PUB|CCY|GEOS"</definedName>
    <definedName name="_C_TARGET_PRICE" localSheetId="4">[1]RAVE!$H$8</definedName>
    <definedName name="_C_TARGET_PRICE" localSheetId="5">[1]RAVE!$H$8</definedName>
    <definedName name="_C_TARGET_PRICE" localSheetId="3">[1]RAVE!$H$8</definedName>
    <definedName name="_C_TARGET_PRICE" localSheetId="17">[2]RAVE!$H$8</definedName>
    <definedName name="_C_TARGET_PRICE" localSheetId="0">[1]RAVE!$H$8</definedName>
    <definedName name="_C_TARGET_PRICE" localSheetId="1">[1]RAVE!$H$8</definedName>
    <definedName name="_C_TARGET_PRICE">[3]RAVE!$H$8</definedName>
    <definedName name="_C_TEMPLATE_BUSINESS_TYPES">"NJA,NONFIN"</definedName>
    <definedName name="_C_TEMPLATE_COIN_DISPLAY">"DEFAULT"</definedName>
    <definedName name="_C_TEMPLATE_CREATED">"#28-Sep-2017 16:20#"</definedName>
    <definedName name="_C_TEMPLATE_CREATED_BY">"iji"</definedName>
    <definedName name="_C_TEMPLATE_TEMPLATE_NAME">"LIVE"</definedName>
    <definedName name="_DAT1">[4]Sens!$A$9:$F$15</definedName>
    <definedName name="_DAT2">[4]Sens!$A$19:$F$25</definedName>
    <definedName name="_DAT3">[4]Sens!$A$29:$F$35</definedName>
    <definedName name="_DAT4">[4]Sens!$H$9:$M$15</definedName>
    <definedName name="_DAT5">[4]Sens!$H$19:$M$25</definedName>
    <definedName name="_DAT6">[4]Sens!$H$29:$M$35</definedName>
    <definedName name="_DAT7">[4]Sens!$A$39:$F$45</definedName>
    <definedName name="_DAT8">[4]Sens!$H$39:$M$45</definedName>
    <definedName name="_DCF2" localSheetId="4">#REF!</definedName>
    <definedName name="_DCF2" localSheetId="5">#REF!</definedName>
    <definedName name="_DCF2" localSheetId="3">#REF!</definedName>
    <definedName name="_DCF2" localSheetId="30">#REF!</definedName>
    <definedName name="_DCF2" localSheetId="18">#REF!</definedName>
    <definedName name="_DCF2" localSheetId="6">#REF!</definedName>
    <definedName name="_DCF2" localSheetId="19">#REF!</definedName>
    <definedName name="_DCF2" localSheetId="7">#REF!</definedName>
    <definedName name="_DCF2" localSheetId="20">#REF!</definedName>
    <definedName name="_DCF2" localSheetId="17">#REF!</definedName>
    <definedName name="_DCF2" localSheetId="25">#REF!</definedName>
    <definedName name="_DCF2" localSheetId="31">#REF!</definedName>
    <definedName name="_DCF2" localSheetId="0">#REF!</definedName>
    <definedName name="_DCF2" localSheetId="1">#REF!</definedName>
    <definedName name="_DCF2">#REF!</definedName>
    <definedName name="_eps02" localSheetId="4">#REF!</definedName>
    <definedName name="_eps02" localSheetId="5">#REF!</definedName>
    <definedName name="_eps02" localSheetId="3">#REF!</definedName>
    <definedName name="_eps02" localSheetId="30">#REF!</definedName>
    <definedName name="_eps02" localSheetId="18">#REF!</definedName>
    <definedName name="_eps02" localSheetId="6">#REF!</definedName>
    <definedName name="_eps02" localSheetId="19">#REF!</definedName>
    <definedName name="_eps02" localSheetId="7">#REF!</definedName>
    <definedName name="_eps02" localSheetId="20">#REF!</definedName>
    <definedName name="_eps02" localSheetId="17">#REF!</definedName>
    <definedName name="_eps02" localSheetId="25">#REF!</definedName>
    <definedName name="_eps02" localSheetId="31">#REF!</definedName>
    <definedName name="_eps02" localSheetId="0">#REF!</definedName>
    <definedName name="_eps02" localSheetId="1">#REF!</definedName>
    <definedName name="_eps02">#REF!</definedName>
    <definedName name="_eps03" localSheetId="4">#REF!</definedName>
    <definedName name="_eps03" localSheetId="5">#REF!</definedName>
    <definedName name="_eps03" localSheetId="3">#REF!</definedName>
    <definedName name="_eps03" localSheetId="30">#REF!</definedName>
    <definedName name="_eps03" localSheetId="18">#REF!</definedName>
    <definedName name="_eps03" localSheetId="6">#REF!</definedName>
    <definedName name="_eps03" localSheetId="19">#REF!</definedName>
    <definedName name="_eps03" localSheetId="7">#REF!</definedName>
    <definedName name="_eps03" localSheetId="20">#REF!</definedName>
    <definedName name="_eps03" localSheetId="17">#REF!</definedName>
    <definedName name="_eps03" localSheetId="25">#REF!</definedName>
    <definedName name="_eps03" localSheetId="31">#REF!</definedName>
    <definedName name="_eps03" localSheetId="0">#REF!</definedName>
    <definedName name="_eps03" localSheetId="1">#REF!</definedName>
    <definedName name="_eps03">#REF!</definedName>
    <definedName name="_eps04" localSheetId="4">#REF!</definedName>
    <definedName name="_eps04" localSheetId="5">#REF!</definedName>
    <definedName name="_eps04" localSheetId="3">#REF!</definedName>
    <definedName name="_eps04" localSheetId="30">#REF!</definedName>
    <definedName name="_eps04" localSheetId="18">#REF!</definedName>
    <definedName name="_eps04" localSheetId="6">#REF!</definedName>
    <definedName name="_eps04" localSheetId="19">#REF!</definedName>
    <definedName name="_eps04" localSheetId="7">#REF!</definedName>
    <definedName name="_eps04" localSheetId="20">#REF!</definedName>
    <definedName name="_eps04" localSheetId="17">#REF!</definedName>
    <definedName name="_eps04" localSheetId="25">#REF!</definedName>
    <definedName name="_eps04" localSheetId="31">#REF!</definedName>
    <definedName name="_eps04" localSheetId="0">#REF!</definedName>
    <definedName name="_eps04" localSheetId="1">#REF!</definedName>
    <definedName name="_eps04">#REF!</definedName>
    <definedName name="_eps05" localSheetId="4">#REF!</definedName>
    <definedName name="_eps05" localSheetId="5">#REF!</definedName>
    <definedName name="_eps05" localSheetId="3">#REF!</definedName>
    <definedName name="_eps05" localSheetId="30">#REF!</definedName>
    <definedName name="_eps05" localSheetId="18">#REF!</definedName>
    <definedName name="_eps05" localSheetId="6">#REF!</definedName>
    <definedName name="_eps05" localSheetId="19">#REF!</definedName>
    <definedName name="_eps05" localSheetId="7">#REF!</definedName>
    <definedName name="_eps05" localSheetId="20">#REF!</definedName>
    <definedName name="_eps05" localSheetId="17">#REF!</definedName>
    <definedName name="_eps05" localSheetId="25">#REF!</definedName>
    <definedName name="_eps05" localSheetId="31">#REF!</definedName>
    <definedName name="_eps05" localSheetId="0">#REF!</definedName>
    <definedName name="_eps05" localSheetId="1">#REF!</definedName>
    <definedName name="_eps05">#REF!</definedName>
    <definedName name="_eps06" localSheetId="4">#REF!</definedName>
    <definedName name="_eps06" localSheetId="5">#REF!</definedName>
    <definedName name="_eps06" localSheetId="3">#REF!</definedName>
    <definedName name="_eps06" localSheetId="30">#REF!</definedName>
    <definedName name="_eps06" localSheetId="18">#REF!</definedName>
    <definedName name="_eps06" localSheetId="6">#REF!</definedName>
    <definedName name="_eps06" localSheetId="19">#REF!</definedName>
    <definedName name="_eps06" localSheetId="7">#REF!</definedName>
    <definedName name="_eps06" localSheetId="20">#REF!</definedName>
    <definedName name="_eps06" localSheetId="17">#REF!</definedName>
    <definedName name="_eps06" localSheetId="25">#REF!</definedName>
    <definedName name="_eps06" localSheetId="31">#REF!</definedName>
    <definedName name="_eps06" localSheetId="0">#REF!</definedName>
    <definedName name="_eps06" localSheetId="1">#REF!</definedName>
    <definedName name="_eps06">#REF!</definedName>
    <definedName name="_xlnm._FilterDatabase" localSheetId="8" hidden="1">BKNG!$A$4:$Z$279</definedName>
    <definedName name="_xlnm._FilterDatabase" localSheetId="11" hidden="1">EXPE!$A$3:$AI$350</definedName>
    <definedName name="_grm02" localSheetId="4">#REF!</definedName>
    <definedName name="_grm02" localSheetId="5">#REF!</definedName>
    <definedName name="_grm02" localSheetId="3">#REF!</definedName>
    <definedName name="_grm02" localSheetId="30">#REF!</definedName>
    <definedName name="_grm02" localSheetId="18">#REF!</definedName>
    <definedName name="_grm02" localSheetId="6">#REF!</definedName>
    <definedName name="_grm02" localSheetId="19">#REF!</definedName>
    <definedName name="_grm02" localSheetId="7">#REF!</definedName>
    <definedName name="_grm02" localSheetId="20">#REF!</definedName>
    <definedName name="_grm02" localSheetId="17">#REF!</definedName>
    <definedName name="_grm02" localSheetId="25">#REF!</definedName>
    <definedName name="_grm02" localSheetId="31">#REF!</definedName>
    <definedName name="_grm02" localSheetId="0">#REF!</definedName>
    <definedName name="_grm02" localSheetId="1">#REF!</definedName>
    <definedName name="_grm02">#REF!</definedName>
    <definedName name="_grm03" localSheetId="4">#REF!</definedName>
    <definedName name="_grm03" localSheetId="5">#REF!</definedName>
    <definedName name="_grm03" localSheetId="3">#REF!</definedName>
    <definedName name="_grm03" localSheetId="30">#REF!</definedName>
    <definedName name="_grm03" localSheetId="18">#REF!</definedName>
    <definedName name="_grm03" localSheetId="6">#REF!</definedName>
    <definedName name="_grm03" localSheetId="19">#REF!</definedName>
    <definedName name="_grm03" localSheetId="7">#REF!</definedName>
    <definedName name="_grm03" localSheetId="20">#REF!</definedName>
    <definedName name="_grm03" localSheetId="17">#REF!</definedName>
    <definedName name="_grm03" localSheetId="25">#REF!</definedName>
    <definedName name="_grm03" localSheetId="31">#REF!</definedName>
    <definedName name="_grm03" localSheetId="0">#REF!</definedName>
    <definedName name="_grm03" localSheetId="1">#REF!</definedName>
    <definedName name="_grm03">#REF!</definedName>
    <definedName name="_grm04" localSheetId="4">#REF!</definedName>
    <definedName name="_grm04" localSheetId="5">#REF!</definedName>
    <definedName name="_grm04" localSheetId="3">#REF!</definedName>
    <definedName name="_grm04" localSheetId="30">#REF!</definedName>
    <definedName name="_grm04" localSheetId="18">#REF!</definedName>
    <definedName name="_grm04" localSheetId="6">#REF!</definedName>
    <definedName name="_grm04" localSheetId="19">#REF!</definedName>
    <definedName name="_grm04" localSheetId="7">#REF!</definedName>
    <definedName name="_grm04" localSheetId="20">#REF!</definedName>
    <definedName name="_grm04" localSheetId="17">#REF!</definedName>
    <definedName name="_grm04" localSheetId="25">#REF!</definedName>
    <definedName name="_grm04" localSheetId="31">#REF!</definedName>
    <definedName name="_grm04" localSheetId="0">#REF!</definedName>
    <definedName name="_grm04" localSheetId="1">#REF!</definedName>
    <definedName name="_grm04">#REF!</definedName>
    <definedName name="_grm05" localSheetId="4">#REF!</definedName>
    <definedName name="_grm05" localSheetId="5">#REF!</definedName>
    <definedName name="_grm05" localSheetId="3">#REF!</definedName>
    <definedName name="_grm05" localSheetId="30">#REF!</definedName>
    <definedName name="_grm05" localSheetId="18">#REF!</definedName>
    <definedName name="_grm05" localSheetId="6">#REF!</definedName>
    <definedName name="_grm05" localSheetId="19">#REF!</definedName>
    <definedName name="_grm05" localSheetId="7">#REF!</definedName>
    <definedName name="_grm05" localSheetId="20">#REF!</definedName>
    <definedName name="_grm05" localSheetId="17">#REF!</definedName>
    <definedName name="_grm05" localSheetId="25">#REF!</definedName>
    <definedName name="_grm05" localSheetId="31">#REF!</definedName>
    <definedName name="_grm05" localSheetId="0">#REF!</definedName>
    <definedName name="_grm05" localSheetId="1">#REF!</definedName>
    <definedName name="_grm05">#REF!</definedName>
    <definedName name="_O4" localSheetId="4">'DESP Annual'!_O4</definedName>
    <definedName name="_O4" localSheetId="5">'DESP Charts'!_O4</definedName>
    <definedName name="_O4" localSheetId="3">'DESP Quarterly'!_O4</definedName>
    <definedName name="_O4" localSheetId="30">Forms!_O4</definedName>
    <definedName name="_O4" localSheetId="18">MMYT!_O4</definedName>
    <definedName name="_O4" localSheetId="6">'MMYT (2)'!_O4</definedName>
    <definedName name="_O4" localSheetId="19">'MMYT charts'!_O4</definedName>
    <definedName name="_O4" localSheetId="7">'MMYT charts (2)'!_O4</definedName>
    <definedName name="_O4" localSheetId="20">'OYO Estimation'!_O4</definedName>
    <definedName name="_O4" localSheetId="17">'Quarterly Charts '!_O4</definedName>
    <definedName name="_O4" localSheetId="25">'TOUR (RMB)'!_O4</definedName>
    <definedName name="_O4" localSheetId="31">'TOUR VS. CTRIP'!_O4</definedName>
    <definedName name="_O4" localSheetId="0">同程艺龙!_O4</definedName>
    <definedName name="_O4" localSheetId="1">'同程艺龙 Peers'!_O4</definedName>
    <definedName name="_O4">Forms!_O4</definedName>
    <definedName name="_Order1" hidden="1">255</definedName>
    <definedName name="_Order2" hidden="1">255</definedName>
    <definedName name="_rd02" localSheetId="4">#REF!</definedName>
    <definedName name="_rd02" localSheetId="5">#REF!</definedName>
    <definedName name="_rd02" localSheetId="3">#REF!</definedName>
    <definedName name="_rd02" localSheetId="30">#REF!</definedName>
    <definedName name="_rd02" localSheetId="18">#REF!</definedName>
    <definedName name="_rd02" localSheetId="6">#REF!</definedName>
    <definedName name="_rd02" localSheetId="19">#REF!</definedName>
    <definedName name="_rd02" localSheetId="7">#REF!</definedName>
    <definedName name="_rd02" localSheetId="20">#REF!</definedName>
    <definedName name="_rd02" localSheetId="17">#REF!</definedName>
    <definedName name="_rd02" localSheetId="25">#REF!</definedName>
    <definedName name="_rd02" localSheetId="31">#REF!</definedName>
    <definedName name="_rd02" localSheetId="0">#REF!</definedName>
    <definedName name="_rd02" localSheetId="1">#REF!</definedName>
    <definedName name="_rd02">#REF!</definedName>
    <definedName name="_rd03" localSheetId="4">#REF!</definedName>
    <definedName name="_rd03" localSheetId="5">#REF!</definedName>
    <definedName name="_rd03" localSheetId="3">#REF!</definedName>
    <definedName name="_rd03" localSheetId="30">#REF!</definedName>
    <definedName name="_rd03" localSheetId="18">#REF!</definedName>
    <definedName name="_rd03" localSheetId="6">#REF!</definedName>
    <definedName name="_rd03" localSheetId="19">#REF!</definedName>
    <definedName name="_rd03" localSheetId="7">#REF!</definedName>
    <definedName name="_rd03" localSheetId="20">#REF!</definedName>
    <definedName name="_rd03" localSheetId="17">#REF!</definedName>
    <definedName name="_rd03" localSheetId="25">#REF!</definedName>
    <definedName name="_rd03" localSheetId="31">#REF!</definedName>
    <definedName name="_rd03" localSheetId="0">#REF!</definedName>
    <definedName name="_rd03" localSheetId="1">#REF!</definedName>
    <definedName name="_rd03">#REF!</definedName>
    <definedName name="_Regression_Int" hidden="1">1</definedName>
    <definedName name="_rev02" localSheetId="4">#REF!</definedName>
    <definedName name="_rev02" localSheetId="5">#REF!</definedName>
    <definedName name="_rev02" localSheetId="3">#REF!</definedName>
    <definedName name="_rev02" localSheetId="30">#REF!</definedName>
    <definedName name="_rev02" localSheetId="18">#REF!</definedName>
    <definedName name="_rev02" localSheetId="6">#REF!</definedName>
    <definedName name="_rev02" localSheetId="19">#REF!</definedName>
    <definedName name="_rev02" localSheetId="7">#REF!</definedName>
    <definedName name="_rev02" localSheetId="20">#REF!</definedName>
    <definedName name="_rev02" localSheetId="17">#REF!</definedName>
    <definedName name="_rev02" localSheetId="25">#REF!</definedName>
    <definedName name="_rev02" localSheetId="31">#REF!</definedName>
    <definedName name="_rev02" localSheetId="0">#REF!</definedName>
    <definedName name="_rev02" localSheetId="1">#REF!</definedName>
    <definedName name="_rev02">#REF!</definedName>
    <definedName name="_rev03" localSheetId="4">#REF!</definedName>
    <definedName name="_rev03" localSheetId="5">#REF!</definedName>
    <definedName name="_rev03" localSheetId="3">#REF!</definedName>
    <definedName name="_rev03" localSheetId="30">#REF!</definedName>
    <definedName name="_rev03" localSheetId="18">#REF!</definedName>
    <definedName name="_rev03" localSheetId="6">#REF!</definedName>
    <definedName name="_rev03" localSheetId="19">#REF!</definedName>
    <definedName name="_rev03" localSheetId="7">#REF!</definedName>
    <definedName name="_rev03" localSheetId="20">#REF!</definedName>
    <definedName name="_rev03" localSheetId="17">#REF!</definedName>
    <definedName name="_rev03" localSheetId="25">#REF!</definedName>
    <definedName name="_rev03" localSheetId="31">#REF!</definedName>
    <definedName name="_rev03" localSheetId="0">#REF!</definedName>
    <definedName name="_rev03" localSheetId="1">#REF!</definedName>
    <definedName name="_rev03">#REF!</definedName>
    <definedName name="_rev04" localSheetId="4">#REF!</definedName>
    <definedName name="_rev04" localSheetId="5">#REF!</definedName>
    <definedName name="_rev04" localSheetId="3">#REF!</definedName>
    <definedName name="_rev04" localSheetId="30">#REF!</definedName>
    <definedName name="_rev04" localSheetId="18">#REF!</definedName>
    <definedName name="_rev04" localSheetId="6">#REF!</definedName>
    <definedName name="_rev04" localSheetId="19">#REF!</definedName>
    <definedName name="_rev04" localSheetId="7">#REF!</definedName>
    <definedName name="_rev04" localSheetId="20">#REF!</definedName>
    <definedName name="_rev04" localSheetId="17">#REF!</definedName>
    <definedName name="_rev04" localSheetId="25">#REF!</definedName>
    <definedName name="_rev04" localSheetId="31">#REF!</definedName>
    <definedName name="_rev04" localSheetId="0">#REF!</definedName>
    <definedName name="_rev04" localSheetId="1">#REF!</definedName>
    <definedName name="_rev04">#REF!</definedName>
    <definedName name="_rev05" localSheetId="4">#REF!</definedName>
    <definedName name="_rev05" localSheetId="5">#REF!</definedName>
    <definedName name="_rev05" localSheetId="3">#REF!</definedName>
    <definedName name="_rev05" localSheetId="30">#REF!</definedName>
    <definedName name="_rev05" localSheetId="18">#REF!</definedName>
    <definedName name="_rev05" localSheetId="6">#REF!</definedName>
    <definedName name="_rev05" localSheetId="19">#REF!</definedName>
    <definedName name="_rev05" localSheetId="7">#REF!</definedName>
    <definedName name="_rev05" localSheetId="20">#REF!</definedName>
    <definedName name="_rev05" localSheetId="17">#REF!</definedName>
    <definedName name="_rev05" localSheetId="25">#REF!</definedName>
    <definedName name="_rev05" localSheetId="31">#REF!</definedName>
    <definedName name="_rev05" localSheetId="0">#REF!</definedName>
    <definedName name="_rev05" localSheetId="1">#REF!</definedName>
    <definedName name="_rev05">#REF!</definedName>
    <definedName name="_rev06" localSheetId="4">#REF!</definedName>
    <definedName name="_rev06" localSheetId="5">#REF!</definedName>
    <definedName name="_rev06" localSheetId="3">#REF!</definedName>
    <definedName name="_rev06" localSheetId="30">#REF!</definedName>
    <definedName name="_rev06" localSheetId="18">#REF!</definedName>
    <definedName name="_rev06" localSheetId="6">#REF!</definedName>
    <definedName name="_rev06" localSheetId="19">#REF!</definedName>
    <definedName name="_rev06" localSheetId="7">#REF!</definedName>
    <definedName name="_rev06" localSheetId="20">#REF!</definedName>
    <definedName name="_rev06" localSheetId="17">#REF!</definedName>
    <definedName name="_rev06" localSheetId="25">#REF!</definedName>
    <definedName name="_rev06" localSheetId="31">#REF!</definedName>
    <definedName name="_rev06" localSheetId="0">#REF!</definedName>
    <definedName name="_rev06" localSheetId="1">#REF!</definedName>
    <definedName name="_rev06">#REF!</definedName>
    <definedName name="_rev07" localSheetId="4">#REF!</definedName>
    <definedName name="_rev07" localSheetId="5">#REF!</definedName>
    <definedName name="_rev07" localSheetId="3">#REF!</definedName>
    <definedName name="_rev07" localSheetId="30">#REF!</definedName>
    <definedName name="_rev07" localSheetId="18">#REF!</definedName>
    <definedName name="_rev07" localSheetId="6">#REF!</definedName>
    <definedName name="_rev07" localSheetId="19">#REF!</definedName>
    <definedName name="_rev07" localSheetId="7">#REF!</definedName>
    <definedName name="_rev07" localSheetId="20">#REF!</definedName>
    <definedName name="_rev07" localSheetId="17">#REF!</definedName>
    <definedName name="_rev07" localSheetId="25">#REF!</definedName>
    <definedName name="_rev07" localSheetId="31">#REF!</definedName>
    <definedName name="_rev07" localSheetId="0">#REF!</definedName>
    <definedName name="_rev07" localSheetId="1">#REF!</definedName>
    <definedName name="_rev07">#REF!</definedName>
    <definedName name="_sga02" localSheetId="4">#REF!</definedName>
    <definedName name="_sga02" localSheetId="5">#REF!</definedName>
    <definedName name="_sga02" localSheetId="3">#REF!</definedName>
    <definedName name="_sga02" localSheetId="30">#REF!</definedName>
    <definedName name="_sga02" localSheetId="18">#REF!</definedName>
    <definedName name="_sga02" localSheetId="6">#REF!</definedName>
    <definedName name="_sga02" localSheetId="19">#REF!</definedName>
    <definedName name="_sga02" localSheetId="7">#REF!</definedName>
    <definedName name="_sga02" localSheetId="20">#REF!</definedName>
    <definedName name="_sga02" localSheetId="17">#REF!</definedName>
    <definedName name="_sga02" localSheetId="25">#REF!</definedName>
    <definedName name="_sga02" localSheetId="31">#REF!</definedName>
    <definedName name="_sga02" localSheetId="0">#REF!</definedName>
    <definedName name="_sga02" localSheetId="1">#REF!</definedName>
    <definedName name="_sga02">#REF!</definedName>
    <definedName name="_sga03" localSheetId="4">#REF!</definedName>
    <definedName name="_sga03" localSheetId="5">#REF!</definedName>
    <definedName name="_sga03" localSheetId="3">#REF!</definedName>
    <definedName name="_sga03" localSheetId="30">#REF!</definedName>
    <definedName name="_sga03" localSheetId="18">#REF!</definedName>
    <definedName name="_sga03" localSheetId="6">#REF!</definedName>
    <definedName name="_sga03" localSheetId="19">#REF!</definedName>
    <definedName name="_sga03" localSheetId="7">#REF!</definedName>
    <definedName name="_sga03" localSheetId="20">#REF!</definedName>
    <definedName name="_sga03" localSheetId="17">#REF!</definedName>
    <definedName name="_sga03" localSheetId="25">#REF!</definedName>
    <definedName name="_sga03" localSheetId="31">#REF!</definedName>
    <definedName name="_sga03" localSheetId="0">#REF!</definedName>
    <definedName name="_sga03" localSheetId="1">#REF!</definedName>
    <definedName name="_sga03">#REF!</definedName>
    <definedName name="_Table2_Out" localSheetId="4" hidden="1">#REF!</definedName>
    <definedName name="_Table2_Out" localSheetId="5" hidden="1">#REF!</definedName>
    <definedName name="_Table2_Out" localSheetId="3" hidden="1">#REF!</definedName>
    <definedName name="_Table2_Out" localSheetId="30" hidden="1">#REF!</definedName>
    <definedName name="_Table2_Out" localSheetId="18" hidden="1">#REF!</definedName>
    <definedName name="_Table2_Out" localSheetId="6" hidden="1">#REF!</definedName>
    <definedName name="_Table2_Out" localSheetId="19" hidden="1">#REF!</definedName>
    <definedName name="_Table2_Out" localSheetId="7" hidden="1">#REF!</definedName>
    <definedName name="_Table2_Out" localSheetId="20" hidden="1">#REF!</definedName>
    <definedName name="_Table2_Out" localSheetId="17" hidden="1">#REF!</definedName>
    <definedName name="_Table2_Out" localSheetId="25" hidden="1">#REF!</definedName>
    <definedName name="_Table2_Out" localSheetId="31" hidden="1">#REF!</definedName>
    <definedName name="_Table2_Out" localSheetId="0" hidden="1">#REF!</definedName>
    <definedName name="_Table2_Out" localSheetId="1" hidden="1">#REF!</definedName>
    <definedName name="_Table2_Out" hidden="1">#REF!</definedName>
    <definedName name="a" localSheetId="4">[5]Sens!$A$9:$F$15</definedName>
    <definedName name="a" localSheetId="5">[5]Sens!$A$9:$F$15</definedName>
    <definedName name="a" localSheetId="3">[5]Sens!$A$9:$F$15</definedName>
    <definedName name="a" localSheetId="18">[6]Sens!$A$9:$F$15</definedName>
    <definedName name="a" localSheetId="6">[6]Sens!$A$9:$F$15</definedName>
    <definedName name="a" localSheetId="19">[6]Sens!$A$9:$F$15</definedName>
    <definedName name="a" localSheetId="7">[6]Sens!$A$9:$F$15</definedName>
    <definedName name="a" localSheetId="20">[6]Sens!$A$9:$F$15</definedName>
    <definedName name="a">[7]Sens!$A$9:$F$15</definedName>
    <definedName name="aa" localSheetId="4">'DESP Annual'!aa</definedName>
    <definedName name="aa" localSheetId="5">'DESP Charts'!aa</definedName>
    <definedName name="aa" localSheetId="3">'DESP Quarterly'!aa</definedName>
    <definedName name="aa" localSheetId="30">Forms!aa</definedName>
    <definedName name="aa" localSheetId="18">MMYT!aa</definedName>
    <definedName name="aa" localSheetId="6">'MMYT (2)'!aa</definedName>
    <definedName name="aa" localSheetId="19">'MMYT charts'!aa</definedName>
    <definedName name="aa" localSheetId="7">'MMYT charts (2)'!aa</definedName>
    <definedName name="aa" localSheetId="20">'OYO Estimation'!aa</definedName>
    <definedName name="aa" localSheetId="17">'Quarterly Charts '!aa</definedName>
    <definedName name="aa" localSheetId="25">'TOUR (RMB)'!aa</definedName>
    <definedName name="aa" localSheetId="31">'TOUR VS. CTRIP'!aa</definedName>
    <definedName name="aa" localSheetId="0">同程艺龙!aa</definedName>
    <definedName name="aa" localSheetId="1">'同程艺龙 Peers'!aa</definedName>
    <definedName name="aa">Forms!aa</definedName>
    <definedName name="aaaa" localSheetId="4">'DESP Annual'!aaaa</definedName>
    <definedName name="aaaa" localSheetId="5">'DESP Charts'!aaaa</definedName>
    <definedName name="aaaa" localSheetId="3">'DESP Quarterly'!aaaa</definedName>
    <definedName name="aaaa" localSheetId="30">Forms!aaaa</definedName>
    <definedName name="aaaa" localSheetId="18">MMYT!aaaa</definedName>
    <definedName name="aaaa" localSheetId="6">'MMYT (2)'!aaaa</definedName>
    <definedName name="aaaa" localSheetId="19">'MMYT charts'!aaaa</definedName>
    <definedName name="aaaa" localSheetId="7">'MMYT charts (2)'!aaaa</definedName>
    <definedName name="aaaa" localSheetId="20">'OYO Estimation'!aaaa</definedName>
    <definedName name="aaaa" localSheetId="17">'Quarterly Charts '!aaaa</definedName>
    <definedName name="aaaa" localSheetId="25">'TOUR (RMB)'!aaaa</definedName>
    <definedName name="aaaa" localSheetId="31">'TOUR VS. CTRIP'!aaaa</definedName>
    <definedName name="aaaa" localSheetId="0">同程艺龙!aaaa</definedName>
    <definedName name="aaaa" localSheetId="1">'同程艺龙 Peers'!aaaa</definedName>
    <definedName name="aaaa">Forms!aaaa</definedName>
    <definedName name="Adjusted_Net_Operating_Profit" localSheetId="4">[8]NOPAT_VDF!$C$26:$AU$26</definedName>
    <definedName name="Adjusted_Net_Operating_Profit" localSheetId="5">[8]NOPAT_VDF!$C$26:$AU$26</definedName>
    <definedName name="Adjusted_Net_Operating_Profit" localSheetId="3">[8]NOPAT_VDF!$C$26:$AU$26</definedName>
    <definedName name="Adjusted_Net_Operating_Profit" localSheetId="18">[9]NOPAT_VDF!$C$26:$AU$26</definedName>
    <definedName name="Adjusted_Net_Operating_Profit" localSheetId="6">[9]NOPAT_VDF!$C$26:$AU$26</definedName>
    <definedName name="Adjusted_Net_Operating_Profit" localSheetId="19">[9]NOPAT_VDF!$C$26:$AU$26</definedName>
    <definedName name="Adjusted_Net_Operating_Profit" localSheetId="7">[9]NOPAT_VDF!$C$26:$AU$26</definedName>
    <definedName name="Adjusted_Net_Operating_Profit" localSheetId="20">[9]NOPAT_VDF!$C$26:$AU$26</definedName>
    <definedName name="Adjusted_Net_Operating_Profit">[10]NOPAT_VDF!$C$26:$AU$26</definedName>
    <definedName name="Aggregate_Firm_Value" localSheetId="4">[11]EGR!#REF!</definedName>
    <definedName name="Aggregate_Firm_Value" localSheetId="5">[11]EGR!#REF!</definedName>
    <definedName name="Aggregate_Firm_Value" localSheetId="3">[11]EGR!#REF!</definedName>
    <definedName name="Aggregate_Firm_Value" localSheetId="30">[12]EGR!#REF!</definedName>
    <definedName name="Aggregate_Firm_Value" localSheetId="18">[13]EGR!#REF!</definedName>
    <definedName name="Aggregate_Firm_Value" localSheetId="6">[13]EGR!#REF!</definedName>
    <definedName name="Aggregate_Firm_Value" localSheetId="19">[13]EGR!#REF!</definedName>
    <definedName name="Aggregate_Firm_Value" localSheetId="7">[13]EGR!#REF!</definedName>
    <definedName name="Aggregate_Firm_Value" localSheetId="20">[13]EGR!#REF!</definedName>
    <definedName name="Aggregate_Firm_Value" localSheetId="17">[12]EGR!#REF!</definedName>
    <definedName name="Aggregate_Firm_Value" localSheetId="25">[12]EGR!#REF!</definedName>
    <definedName name="Aggregate_Firm_Value" localSheetId="31">[12]EGR!#REF!</definedName>
    <definedName name="Aggregate_Firm_Value" localSheetId="0">[12]EGR!#REF!</definedName>
    <definedName name="Aggregate_Firm_Value" localSheetId="1">[12]EGR!#REF!</definedName>
    <definedName name="Aggregate_Firm_Value">[12]EGR!#REF!</definedName>
    <definedName name="AJHFkjDGHF" localSheetId="4" hidden="1">{"Annual_Income",#N/A,FALSE,"Report Page";"Balance_Cash_Flow",#N/A,FALSE,"Report Page";"Quarterly_Income",#N/A,FALSE,"Report Page"}</definedName>
    <definedName name="AJHFkjDGHF" localSheetId="5" hidden="1">{"Annual_Income",#N/A,FALSE,"Report Page";"Balance_Cash_Flow",#N/A,FALSE,"Report Page";"Quarterly_Income",#N/A,FALSE,"Report Page"}</definedName>
    <definedName name="AJHFkjDGHF" localSheetId="3" hidden="1">{"Annual_Income",#N/A,FALSE,"Report Page";"Balance_Cash_Flow",#N/A,FALSE,"Report Page";"Quarterly_Income",#N/A,FALSE,"Report Page"}</definedName>
    <definedName name="AJHFkjDGHF" localSheetId="30" hidden="1">{"Annual_Income",#N/A,FALSE,"Report Page";"Balance_Cash_Flow",#N/A,FALSE,"Report Page";"Quarterly_Income",#N/A,FALSE,"Report Page"}</definedName>
    <definedName name="AJHFkjDGHF" localSheetId="18" hidden="1">{"Annual_Income",#N/A,FALSE,"Report Page";"Balance_Cash_Flow",#N/A,FALSE,"Report Page";"Quarterly_Income",#N/A,FALSE,"Report Page"}</definedName>
    <definedName name="AJHFkjDGHF" localSheetId="6" hidden="1">{"Annual_Income",#N/A,FALSE,"Report Page";"Balance_Cash_Flow",#N/A,FALSE,"Report Page";"Quarterly_Income",#N/A,FALSE,"Report Page"}</definedName>
    <definedName name="AJHFkjDGHF" localSheetId="19" hidden="1">{"Annual_Income",#N/A,FALSE,"Report Page";"Balance_Cash_Flow",#N/A,FALSE,"Report Page";"Quarterly_Income",#N/A,FALSE,"Report Page"}</definedName>
    <definedName name="AJHFkjDGHF" localSheetId="7" hidden="1">{"Annual_Income",#N/A,FALSE,"Report Page";"Balance_Cash_Flow",#N/A,FALSE,"Report Page";"Quarterly_Income",#N/A,FALSE,"Report Page"}</definedName>
    <definedName name="AJHFkjDGHF" localSheetId="20" hidden="1">{"Annual_Income",#N/A,FALSE,"Report Page";"Balance_Cash_Flow",#N/A,FALSE,"Report Page";"Quarterly_Income",#N/A,FALSE,"Report Page"}</definedName>
    <definedName name="AJHFkjDGHF" localSheetId="17" hidden="1">{"Annual_Income",#N/A,FALSE,"Report Page";"Balance_Cash_Flow",#N/A,FALSE,"Report Page";"Quarterly_Income",#N/A,FALSE,"Report Page"}</definedName>
    <definedName name="AJHFkjDGHF" localSheetId="25" hidden="1">{"Annual_Income",#N/A,FALSE,"Report Page";"Balance_Cash_Flow",#N/A,FALSE,"Report Page";"Quarterly_Income",#N/A,FALSE,"Report Page"}</definedName>
    <definedName name="AJHFkjDGHF" localSheetId="31" hidden="1">{"Annual_Income",#N/A,FALSE,"Report Page";"Balance_Cash_Flow",#N/A,FALSE,"Report Page";"Quarterly_Income",#N/A,FALSE,"Report Page"}</definedName>
    <definedName name="AJHFkjDGHF" localSheetId="0" hidden="1">{"Annual_Income",#N/A,FALSE,"Report Page";"Balance_Cash_Flow",#N/A,FALSE,"Report Page";"Quarterly_Income",#N/A,FALSE,"Report Page"}</definedName>
    <definedName name="AJHFkjDGHF" localSheetId="1" hidden="1">{"Annual_Income",#N/A,FALSE,"Report Page";"Balance_Cash_Flow",#N/A,FALSE,"Report Page";"Quarterly_Income",#N/A,FALSE,"Report Page"}</definedName>
    <definedName name="AJHFkjDGHF" hidden="1">{"Annual_Income",#N/A,FALSE,"Report Page";"Balance_Cash_Flow",#N/A,FALSE,"Report Page";"Quarterly_Income",#N/A,FALSE,"Report Page"}</definedName>
    <definedName name="ANNUAL" localSheetId="4">#REF!</definedName>
    <definedName name="ANNUAL" localSheetId="5">#REF!</definedName>
    <definedName name="ANNUAL" localSheetId="3">#REF!</definedName>
    <definedName name="ANNUAL" localSheetId="30">#REF!</definedName>
    <definedName name="ANNUAL" localSheetId="18">#REF!</definedName>
    <definedName name="ANNUAL" localSheetId="6">#REF!</definedName>
    <definedName name="ANNUAL" localSheetId="19">#REF!</definedName>
    <definedName name="ANNUAL" localSheetId="7">#REF!</definedName>
    <definedName name="ANNUAL" localSheetId="20">#REF!</definedName>
    <definedName name="ANNUAL" localSheetId="17">#REF!</definedName>
    <definedName name="ANNUAL" localSheetId="25">#REF!</definedName>
    <definedName name="ANNUAL" localSheetId="31">#REF!</definedName>
    <definedName name="ANNUAL" localSheetId="0">#REF!</definedName>
    <definedName name="ANNUAL" localSheetId="1">#REF!</definedName>
    <definedName name="ANNUAL">#REF!</definedName>
    <definedName name="anscount" hidden="1">1</definedName>
    <definedName name="Argentina" localSheetId="4">#REF!</definedName>
    <definedName name="Argentina" localSheetId="5">#REF!</definedName>
    <definedName name="Argentina" localSheetId="3">#REF!</definedName>
    <definedName name="Argentina" localSheetId="30">#REF!</definedName>
    <definedName name="Argentina" localSheetId="18">#REF!</definedName>
    <definedName name="Argentina" localSheetId="6">#REF!</definedName>
    <definedName name="Argentina" localSheetId="19">#REF!</definedName>
    <definedName name="Argentina" localSheetId="7">#REF!</definedName>
    <definedName name="Argentina" localSheetId="20">#REF!</definedName>
    <definedName name="Argentina" localSheetId="17">#REF!</definedName>
    <definedName name="Argentina" localSheetId="25">#REF!</definedName>
    <definedName name="Argentina" localSheetId="31">#REF!</definedName>
    <definedName name="Argentina" localSheetId="0">#REF!</definedName>
    <definedName name="Argentina" localSheetId="1">#REF!</definedName>
    <definedName name="Argentina">#REF!</definedName>
    <definedName name="asdf2eer" localSheetId="4">#REF!</definedName>
    <definedName name="asdf2eer" localSheetId="5">#REF!</definedName>
    <definedName name="asdf2eer" localSheetId="3">#REF!</definedName>
    <definedName name="asdf2eer" localSheetId="30">#REF!</definedName>
    <definedName name="asdf2eer" localSheetId="18">#REF!</definedName>
    <definedName name="asdf2eer" localSheetId="6">#REF!</definedName>
    <definedName name="asdf2eer" localSheetId="19">#REF!</definedName>
    <definedName name="asdf2eer" localSheetId="7">#REF!</definedName>
    <definedName name="asdf2eer" localSheetId="20">#REF!</definedName>
    <definedName name="asdf2eer" localSheetId="17">#REF!</definedName>
    <definedName name="asdf2eer" localSheetId="25">#REF!</definedName>
    <definedName name="asdf2eer" localSheetId="31">#REF!</definedName>
    <definedName name="asdf2eer" localSheetId="0">#REF!</definedName>
    <definedName name="asdf2eer" localSheetId="1">#REF!</definedName>
    <definedName name="asdf2eer">#REF!</definedName>
    <definedName name="assets" localSheetId="4">#REF!</definedName>
    <definedName name="assets" localSheetId="5">#REF!</definedName>
    <definedName name="assets" localSheetId="3">#REF!</definedName>
    <definedName name="assets" localSheetId="30">#REF!</definedName>
    <definedName name="assets" localSheetId="18">#REF!</definedName>
    <definedName name="assets" localSheetId="6">#REF!</definedName>
    <definedName name="assets" localSheetId="19">#REF!</definedName>
    <definedName name="assets" localSheetId="7">#REF!</definedName>
    <definedName name="assets" localSheetId="20">#REF!</definedName>
    <definedName name="assets" localSheetId="17">#REF!</definedName>
    <definedName name="assets" localSheetId="25">#REF!</definedName>
    <definedName name="assets" localSheetId="31">#REF!</definedName>
    <definedName name="assets" localSheetId="0">#REF!</definedName>
    <definedName name="assets" localSheetId="1">#REF!</definedName>
    <definedName name="assets">#REF!</definedName>
    <definedName name="Average_invested_capital" localSheetId="4">'[8]Invested capital_VDF'!$C$89:$AZ$89</definedName>
    <definedName name="Average_invested_capital" localSheetId="5">'[8]Invested capital_VDF'!$C$89:$AZ$89</definedName>
    <definedName name="Average_invested_capital" localSheetId="3">'[8]Invested capital_VDF'!$C$89:$AZ$89</definedName>
    <definedName name="Average_invested_capital" localSheetId="18">'[9]Invested capital_VDF'!$C$89:$AZ$89</definedName>
    <definedName name="Average_invested_capital" localSheetId="6">'[9]Invested capital_VDF'!$C$89:$AZ$89</definedName>
    <definedName name="Average_invested_capital" localSheetId="19">'[9]Invested capital_VDF'!$C$89:$AZ$89</definedName>
    <definedName name="Average_invested_capital" localSheetId="7">'[9]Invested capital_VDF'!$C$89:$AZ$89</definedName>
    <definedName name="Average_invested_capital" localSheetId="20">'[9]Invested capital_VDF'!$C$89:$AZ$89</definedName>
    <definedName name="Average_invested_capital">'[10]Invested capital_VDF'!$C$89:$AZ$89</definedName>
    <definedName name="Average_invested_capital_DCF" localSheetId="4">[8]DCF_VDF!$C$78:$AZ$78</definedName>
    <definedName name="Average_invested_capital_DCF" localSheetId="5">[8]DCF_VDF!$C$78:$AZ$78</definedName>
    <definedName name="Average_invested_capital_DCF" localSheetId="3">[8]DCF_VDF!$C$78:$AZ$78</definedName>
    <definedName name="Average_invested_capital_DCF" localSheetId="18">[9]DCF_VDF!$C$78:$AZ$78</definedName>
    <definedName name="Average_invested_capital_DCF" localSheetId="6">[9]DCF_VDF!$C$78:$AZ$78</definedName>
    <definedName name="Average_invested_capital_DCF" localSheetId="19">[9]DCF_VDF!$C$78:$AZ$78</definedName>
    <definedName name="Average_invested_capital_DCF" localSheetId="7">[9]DCF_VDF!$C$78:$AZ$78</definedName>
    <definedName name="Average_invested_capital_DCF" localSheetId="20">[9]DCF_VDF!$C$78:$AZ$78</definedName>
    <definedName name="Average_invested_capital_DCF">[10]DCF_VDF!$C$78:$AZ$78</definedName>
    <definedName name="b" localSheetId="4">'DESP Annual'!b</definedName>
    <definedName name="b" localSheetId="5">'DESP Charts'!b</definedName>
    <definedName name="b" localSheetId="3">'DESP Quarterly'!b</definedName>
    <definedName name="b" localSheetId="30">Forms!b</definedName>
    <definedName name="b" localSheetId="18">MMYT!b</definedName>
    <definedName name="b" localSheetId="6">'MMYT (2)'!b</definedName>
    <definedName name="b" localSheetId="19">'MMYT charts'!b</definedName>
    <definedName name="b" localSheetId="7">'MMYT charts (2)'!b</definedName>
    <definedName name="b" localSheetId="20">'OYO Estimation'!b</definedName>
    <definedName name="b" localSheetId="17">'Quarterly Charts '!b</definedName>
    <definedName name="b" localSheetId="25">'TOUR (RMB)'!b</definedName>
    <definedName name="b" localSheetId="31">'TOUR VS. CTRIP'!b</definedName>
    <definedName name="b" localSheetId="0">同程艺龙!b</definedName>
    <definedName name="b" localSheetId="1">'同程艺龙 Peers'!b</definedName>
    <definedName name="b">Forms!b</definedName>
    <definedName name="BACK_A">[14]AcqIS:AcqBSCF!$A$54:$N$55</definedName>
    <definedName name="BKNG" localSheetId="4">[15]GZ商旅业务!#REF!</definedName>
    <definedName name="BKNG" localSheetId="5">[15]GZ商旅业务!#REF!</definedName>
    <definedName name="BKNG" localSheetId="3">[15]GZ商旅业务!#REF!</definedName>
    <definedName name="BKNG" localSheetId="30">[15]GZ商旅业务!#REF!</definedName>
    <definedName name="BKNG" localSheetId="18">[15]GZ商旅业务!#REF!</definedName>
    <definedName name="BKNG" localSheetId="6">[15]GZ商旅业务!#REF!</definedName>
    <definedName name="BKNG" localSheetId="19">[15]GZ商旅业务!#REF!</definedName>
    <definedName name="BKNG" localSheetId="7">[15]GZ商旅业务!#REF!</definedName>
    <definedName name="BKNG" localSheetId="20">[15]GZ商旅业务!#REF!</definedName>
    <definedName name="BKNG" localSheetId="17">[15]GZ商旅业务!#REF!</definedName>
    <definedName name="BKNG" localSheetId="25">[15]GZ商旅业务!#REF!</definedName>
    <definedName name="BKNG" localSheetId="31">[15]GZ商旅业务!#REF!</definedName>
    <definedName name="BKNG" localSheetId="0">[15]GZ商旅业务!#REF!</definedName>
    <definedName name="BKNG" localSheetId="1">[15]GZ商旅业务!#REF!</definedName>
    <definedName name="BKNG">[15]GZ商旅业务!#REF!</definedName>
    <definedName name="BS_data">'[16]Balance Sheet'!$B$36:$AC$64</definedName>
    <definedName name="BS_dates">'[16]Balance Sheet'!$B$6:$AC$6</definedName>
    <definedName name="BS_vertical_items" localSheetId="4">'[16]Balance Sheet'!#REF!</definedName>
    <definedName name="BS_vertical_items" localSheetId="5">'[16]Balance Sheet'!#REF!</definedName>
    <definedName name="BS_vertical_items" localSheetId="3">'[16]Balance Sheet'!#REF!</definedName>
    <definedName name="BS_vertical_items" localSheetId="30">'[16]Balance Sheet'!#REF!</definedName>
    <definedName name="BS_vertical_items" localSheetId="18">'[16]Balance Sheet'!#REF!</definedName>
    <definedName name="BS_vertical_items" localSheetId="6">'[16]Balance Sheet'!#REF!</definedName>
    <definedName name="BS_vertical_items" localSheetId="19">'[16]Balance Sheet'!#REF!</definedName>
    <definedName name="BS_vertical_items" localSheetId="7">'[16]Balance Sheet'!#REF!</definedName>
    <definedName name="BS_vertical_items" localSheetId="20">'[16]Balance Sheet'!#REF!</definedName>
    <definedName name="BS_vertical_items" localSheetId="17">'[16]Balance Sheet'!#REF!</definedName>
    <definedName name="BS_vertical_items" localSheetId="25">'[16]Balance Sheet'!#REF!</definedName>
    <definedName name="BS_vertical_items" localSheetId="31">'[16]Balance Sheet'!#REF!</definedName>
    <definedName name="BS_vertical_items" localSheetId="0">'[16]Balance Sheet'!#REF!</definedName>
    <definedName name="BS_vertical_items" localSheetId="1">'[16]Balance Sheet'!#REF!</definedName>
    <definedName name="BS_vertical_items">'[16]Balance Sheet'!#REF!</definedName>
    <definedName name="c_c_b_tangible">"_C_c_B_TANGIBLES_EQ_PS_7_2011_2019"</definedName>
    <definedName name="CAGR" localSheetId="4">'DESP Annual'!CAGR</definedName>
    <definedName name="CAGR" localSheetId="5">'DESP Charts'!CAGR</definedName>
    <definedName name="CAGR" localSheetId="3">'DESP Quarterly'!CAGR</definedName>
    <definedName name="CAGR" localSheetId="30">Forms!CAGR</definedName>
    <definedName name="CAGR" localSheetId="18">MMYT!CAGR</definedName>
    <definedName name="CAGR" localSheetId="6">'MMYT (2)'!CAGR</definedName>
    <definedName name="CAGR" localSheetId="19">'MMYT charts'!CAGR</definedName>
    <definedName name="CAGR" localSheetId="7">'MMYT charts (2)'!CAGR</definedName>
    <definedName name="CAGR" localSheetId="20">'OYO Estimation'!CAGR</definedName>
    <definedName name="CAGR" localSheetId="17">'Quarterly Charts '!CAGR</definedName>
    <definedName name="CAGR" localSheetId="25">'TOUR (RMB)'!CAGR</definedName>
    <definedName name="CAGR" localSheetId="31">'TOUR VS. CTRIP'!CAGR</definedName>
    <definedName name="CAGR" localSheetId="0">同程艺龙!CAGR</definedName>
    <definedName name="CAGR" localSheetId="1">'同程艺龙 Peers'!CAGR</definedName>
    <definedName name="CAGR">Forms!CAGR</definedName>
    <definedName name="cagr2" localSheetId="4">'DESP Annual'!cagr2</definedName>
    <definedName name="cagr2" localSheetId="5">'DESP Charts'!cagr2</definedName>
    <definedName name="cagr2" localSheetId="3">'DESP Quarterly'!cagr2</definedName>
    <definedName name="cagr2" localSheetId="30">Forms!cagr2</definedName>
    <definedName name="cagr2" localSheetId="18">MMYT!cagr2</definedName>
    <definedName name="cagr2" localSheetId="6">'MMYT (2)'!cagr2</definedName>
    <definedName name="cagr2" localSheetId="19">'MMYT charts'!cagr2</definedName>
    <definedName name="cagr2" localSheetId="7">'MMYT charts (2)'!cagr2</definedName>
    <definedName name="cagr2" localSheetId="20">'OYO Estimation'!cagr2</definedName>
    <definedName name="cagr2" localSheetId="17">'Quarterly Charts '!cagr2</definedName>
    <definedName name="cagr2" localSheetId="25">'TOUR (RMB)'!cagr2</definedName>
    <definedName name="cagr2" localSheetId="31">'TOUR VS. CTRIP'!cagr2</definedName>
    <definedName name="cagr2" localSheetId="0">同程艺龙!cagr2</definedName>
    <definedName name="cagr2" localSheetId="1">'同程艺龙 Peers'!cagr2</definedName>
    <definedName name="cagr2">Forms!cagr2</definedName>
    <definedName name="capex02" localSheetId="4">#REF!</definedName>
    <definedName name="capex02" localSheetId="5">#REF!</definedName>
    <definedName name="capex02" localSheetId="3">#REF!</definedName>
    <definedName name="capex02" localSheetId="30">#REF!</definedName>
    <definedName name="capex02" localSheetId="18">#REF!</definedName>
    <definedName name="capex02" localSheetId="6">#REF!</definedName>
    <definedName name="capex02" localSheetId="19">#REF!</definedName>
    <definedName name="capex02" localSheetId="7">#REF!</definedName>
    <definedName name="capex02" localSheetId="20">#REF!</definedName>
    <definedName name="capex02" localSheetId="17">#REF!</definedName>
    <definedName name="capex02" localSheetId="25">#REF!</definedName>
    <definedName name="capex02" localSheetId="31">#REF!</definedName>
    <definedName name="capex02" localSheetId="0">#REF!</definedName>
    <definedName name="capex02" localSheetId="1">#REF!</definedName>
    <definedName name="capex02">#REF!</definedName>
    <definedName name="capex03" localSheetId="4">#REF!</definedName>
    <definedName name="capex03" localSheetId="5">#REF!</definedName>
    <definedName name="capex03" localSheetId="3">#REF!</definedName>
    <definedName name="capex03" localSheetId="30">#REF!</definedName>
    <definedName name="capex03" localSheetId="18">#REF!</definedName>
    <definedName name="capex03" localSheetId="6">#REF!</definedName>
    <definedName name="capex03" localSheetId="19">#REF!</definedName>
    <definedName name="capex03" localSheetId="7">#REF!</definedName>
    <definedName name="capex03" localSheetId="20">#REF!</definedName>
    <definedName name="capex03" localSheetId="17">#REF!</definedName>
    <definedName name="capex03" localSheetId="25">#REF!</definedName>
    <definedName name="capex03" localSheetId="31">#REF!</definedName>
    <definedName name="capex03" localSheetId="0">#REF!</definedName>
    <definedName name="capex03" localSheetId="1">#REF!</definedName>
    <definedName name="capex03">#REF!</definedName>
    <definedName name="capexcurrent" localSheetId="4">#REF!</definedName>
    <definedName name="capexcurrent" localSheetId="5">#REF!</definedName>
    <definedName name="capexcurrent" localSheetId="3">#REF!</definedName>
    <definedName name="capexcurrent" localSheetId="30">#REF!</definedName>
    <definedName name="capexcurrent" localSheetId="18">#REF!</definedName>
    <definedName name="capexcurrent" localSheetId="6">#REF!</definedName>
    <definedName name="capexcurrent" localSheetId="19">#REF!</definedName>
    <definedName name="capexcurrent" localSheetId="7">#REF!</definedName>
    <definedName name="capexcurrent" localSheetId="20">#REF!</definedName>
    <definedName name="capexcurrent" localSheetId="17">#REF!</definedName>
    <definedName name="capexcurrent" localSheetId="25">#REF!</definedName>
    <definedName name="capexcurrent" localSheetId="31">#REF!</definedName>
    <definedName name="capexcurrent" localSheetId="0">#REF!</definedName>
    <definedName name="capexcurrent" localSheetId="1">#REF!</definedName>
    <definedName name="capexcurrent">#REF!</definedName>
    <definedName name="cash" localSheetId="4">#REF!</definedName>
    <definedName name="cash" localSheetId="5">#REF!</definedName>
    <definedName name="cash" localSheetId="3">#REF!</definedName>
    <definedName name="cash" localSheetId="30">#REF!</definedName>
    <definedName name="cash" localSheetId="18">#REF!</definedName>
    <definedName name="cash" localSheetId="6">#REF!</definedName>
    <definedName name="cash" localSheetId="19">#REF!</definedName>
    <definedName name="cash" localSheetId="7">#REF!</definedName>
    <definedName name="cash" localSheetId="20">#REF!</definedName>
    <definedName name="cash" localSheetId="17">#REF!</definedName>
    <definedName name="cash" localSheetId="25">#REF!</definedName>
    <definedName name="cash" localSheetId="31">#REF!</definedName>
    <definedName name="cash" localSheetId="0">#REF!</definedName>
    <definedName name="cash" localSheetId="1">#REF!</definedName>
    <definedName name="cash">#REF!</definedName>
    <definedName name="Cash_DCF" localSheetId="4">[8]DCF_VDF!$C$33:$AZ$33</definedName>
    <definedName name="Cash_DCF" localSheetId="5">[8]DCF_VDF!$C$33:$AZ$33</definedName>
    <definedName name="Cash_DCF" localSheetId="3">[8]DCF_VDF!$C$33:$AZ$33</definedName>
    <definedName name="Cash_DCF" localSheetId="18">[9]DCF_VDF!$C$33:$AZ$33</definedName>
    <definedName name="Cash_DCF" localSheetId="6">[9]DCF_VDF!$C$33:$AZ$33</definedName>
    <definedName name="Cash_DCF" localSheetId="19">[9]DCF_VDF!$C$33:$AZ$33</definedName>
    <definedName name="Cash_DCF" localSheetId="7">[9]DCF_VDF!$C$33:$AZ$33</definedName>
    <definedName name="Cash_DCF" localSheetId="20">[9]DCF_VDF!$C$33:$AZ$33</definedName>
    <definedName name="Cash_DCF">[10]DCF_VDF!$C$33:$AZ$33</definedName>
    <definedName name="Cash_Operating_Taxes" localSheetId="4">[8]NOPAT_VDF!$C$39:$AU$39</definedName>
    <definedName name="Cash_Operating_Taxes" localSheetId="5">[8]NOPAT_VDF!$C$39:$AU$39</definedName>
    <definedName name="Cash_Operating_Taxes" localSheetId="3">[8]NOPAT_VDF!$C$39:$AU$39</definedName>
    <definedName name="Cash_Operating_Taxes" localSheetId="18">[9]NOPAT_VDF!$C$39:$AU$39</definedName>
    <definedName name="Cash_Operating_Taxes" localSheetId="6">[9]NOPAT_VDF!$C$39:$AU$39</definedName>
    <definedName name="Cash_Operating_Taxes" localSheetId="19">[9]NOPAT_VDF!$C$39:$AU$39</definedName>
    <definedName name="Cash_Operating_Taxes" localSheetId="7">[9]NOPAT_VDF!$C$39:$AU$39</definedName>
    <definedName name="Cash_Operating_Taxes" localSheetId="20">[9]NOPAT_VDF!$C$39:$AU$39</definedName>
    <definedName name="Cash_Operating_Taxes">[10]NOPAT_VDF!$C$39:$AU$39</definedName>
    <definedName name="cfps.00" localSheetId="4">#REF!</definedName>
    <definedName name="cfps.00" localSheetId="5">#REF!</definedName>
    <definedName name="cfps.00" localSheetId="3">#REF!</definedName>
    <definedName name="cfps.00" localSheetId="30">#REF!</definedName>
    <definedName name="cfps.00" localSheetId="18">#REF!</definedName>
    <definedName name="cfps.00" localSheetId="6">#REF!</definedName>
    <definedName name="cfps.00" localSheetId="19">#REF!</definedName>
    <definedName name="cfps.00" localSheetId="7">#REF!</definedName>
    <definedName name="cfps.00" localSheetId="20">#REF!</definedName>
    <definedName name="cfps.00" localSheetId="17">#REF!</definedName>
    <definedName name="cfps.00" localSheetId="25">#REF!</definedName>
    <definedName name="cfps.00" localSheetId="31">#REF!</definedName>
    <definedName name="cfps.00" localSheetId="0">#REF!</definedName>
    <definedName name="cfps.00" localSheetId="1">#REF!</definedName>
    <definedName name="cfps.00">#REF!</definedName>
    <definedName name="cfps.97" localSheetId="4">#REF!</definedName>
    <definedName name="cfps.97" localSheetId="5">#REF!</definedName>
    <definedName name="cfps.97" localSheetId="3">#REF!</definedName>
    <definedName name="cfps.97" localSheetId="30">#REF!</definedName>
    <definedName name="cfps.97" localSheetId="18">#REF!</definedName>
    <definedName name="cfps.97" localSheetId="6">#REF!</definedName>
    <definedName name="cfps.97" localSheetId="19">#REF!</definedName>
    <definedName name="cfps.97" localSheetId="7">#REF!</definedName>
    <definedName name="cfps.97" localSheetId="20">#REF!</definedName>
    <definedName name="cfps.97" localSheetId="17">#REF!</definedName>
    <definedName name="cfps.97" localSheetId="25">#REF!</definedName>
    <definedName name="cfps.97" localSheetId="31">#REF!</definedName>
    <definedName name="cfps.97" localSheetId="0">#REF!</definedName>
    <definedName name="cfps.97" localSheetId="1">#REF!</definedName>
    <definedName name="cfps.97">#REF!</definedName>
    <definedName name="cfps.98" localSheetId="4">#REF!</definedName>
    <definedName name="cfps.98" localSheetId="5">#REF!</definedName>
    <definedName name="cfps.98" localSheetId="3">#REF!</definedName>
    <definedName name="cfps.98" localSheetId="30">#REF!</definedName>
    <definedName name="cfps.98" localSheetId="18">#REF!</definedName>
    <definedName name="cfps.98" localSheetId="6">#REF!</definedName>
    <definedName name="cfps.98" localSheetId="19">#REF!</definedName>
    <definedName name="cfps.98" localSheetId="7">#REF!</definedName>
    <definedName name="cfps.98" localSheetId="20">#REF!</definedName>
    <definedName name="cfps.98" localSheetId="17">#REF!</definedName>
    <definedName name="cfps.98" localSheetId="25">#REF!</definedName>
    <definedName name="cfps.98" localSheetId="31">#REF!</definedName>
    <definedName name="cfps.98" localSheetId="0">#REF!</definedName>
    <definedName name="cfps.98" localSheetId="1">#REF!</definedName>
    <definedName name="cfps.98">#REF!</definedName>
    <definedName name="cfps.99" localSheetId="4">#REF!</definedName>
    <definedName name="cfps.99" localSheetId="5">#REF!</definedName>
    <definedName name="cfps.99" localSheetId="3">#REF!</definedName>
    <definedName name="cfps.99" localSheetId="30">#REF!</definedName>
    <definedName name="cfps.99" localSheetId="18">#REF!</definedName>
    <definedName name="cfps.99" localSheetId="6">#REF!</definedName>
    <definedName name="cfps.99" localSheetId="19">#REF!</definedName>
    <definedName name="cfps.99" localSheetId="7">#REF!</definedName>
    <definedName name="cfps.99" localSheetId="20">#REF!</definedName>
    <definedName name="cfps.99" localSheetId="17">#REF!</definedName>
    <definedName name="cfps.99" localSheetId="25">#REF!</definedName>
    <definedName name="cfps.99" localSheetId="31">#REF!</definedName>
    <definedName name="cfps.99" localSheetId="0">#REF!</definedName>
    <definedName name="cfps.99" localSheetId="1">#REF!</definedName>
    <definedName name="cfps.99">#REF!</definedName>
    <definedName name="CFPS_Curr_Yr" localSheetId="4">#REF!</definedName>
    <definedName name="CFPS_Curr_Yr" localSheetId="5">#REF!</definedName>
    <definedName name="CFPS_Curr_Yr" localSheetId="3">#REF!</definedName>
    <definedName name="CFPS_Curr_Yr" localSheetId="30">#REF!</definedName>
    <definedName name="CFPS_Curr_Yr" localSheetId="18">#REF!</definedName>
    <definedName name="CFPS_Curr_Yr" localSheetId="6">#REF!</definedName>
    <definedName name="CFPS_Curr_Yr" localSheetId="19">#REF!</definedName>
    <definedName name="CFPS_Curr_Yr" localSheetId="7">#REF!</definedName>
    <definedName name="CFPS_Curr_Yr" localSheetId="20">#REF!</definedName>
    <definedName name="CFPS_Curr_Yr" localSheetId="17">#REF!</definedName>
    <definedName name="CFPS_Curr_Yr" localSheetId="25">#REF!</definedName>
    <definedName name="CFPS_Curr_Yr" localSheetId="31">#REF!</definedName>
    <definedName name="CFPS_Curr_Yr" localSheetId="0">#REF!</definedName>
    <definedName name="CFPS_Curr_Yr" localSheetId="1">#REF!</definedName>
    <definedName name="CFPS_Curr_Yr">#REF!</definedName>
    <definedName name="CFPS_Lst_Yr" localSheetId="4">#REF!</definedName>
    <definedName name="CFPS_Lst_Yr" localSheetId="5">#REF!</definedName>
    <definedName name="CFPS_Lst_Yr" localSheetId="3">#REF!</definedName>
    <definedName name="CFPS_Lst_Yr" localSheetId="30">#REF!</definedName>
    <definedName name="CFPS_Lst_Yr" localSheetId="18">#REF!</definedName>
    <definedName name="CFPS_Lst_Yr" localSheetId="6">#REF!</definedName>
    <definedName name="CFPS_Lst_Yr" localSheetId="19">#REF!</definedName>
    <definedName name="CFPS_Lst_Yr" localSheetId="7">#REF!</definedName>
    <definedName name="CFPS_Lst_Yr" localSheetId="20">#REF!</definedName>
    <definedName name="CFPS_Lst_Yr" localSheetId="17">#REF!</definedName>
    <definedName name="CFPS_Lst_Yr" localSheetId="25">#REF!</definedName>
    <definedName name="CFPS_Lst_Yr" localSheetId="31">#REF!</definedName>
    <definedName name="CFPS_Lst_Yr" localSheetId="0">#REF!</definedName>
    <definedName name="CFPS_Lst_Yr" localSheetId="1">#REF!</definedName>
    <definedName name="CFPS_Lst_Yr">#REF!</definedName>
    <definedName name="CFPS_Next_Yr" localSheetId="4">#REF!</definedName>
    <definedName name="CFPS_Next_Yr" localSheetId="5">#REF!</definedName>
    <definedName name="CFPS_Next_Yr" localSheetId="3">#REF!</definedName>
    <definedName name="CFPS_Next_Yr" localSheetId="30">#REF!</definedName>
    <definedName name="CFPS_Next_Yr" localSheetId="18">#REF!</definedName>
    <definedName name="CFPS_Next_Yr" localSheetId="6">#REF!</definedName>
    <definedName name="CFPS_Next_Yr" localSheetId="19">#REF!</definedName>
    <definedName name="CFPS_Next_Yr" localSheetId="7">#REF!</definedName>
    <definedName name="CFPS_Next_Yr" localSheetId="20">#REF!</definedName>
    <definedName name="CFPS_Next_Yr" localSheetId="17">#REF!</definedName>
    <definedName name="CFPS_Next_Yr" localSheetId="25">#REF!</definedName>
    <definedName name="CFPS_Next_Yr" localSheetId="31">#REF!</definedName>
    <definedName name="CFPS_Next_Yr" localSheetId="0">#REF!</definedName>
    <definedName name="CFPS_Next_Yr" localSheetId="1">#REF!</definedName>
    <definedName name="CFPS_Next_Yr">#REF!</definedName>
    <definedName name="Charts1" localSheetId="4">#REF!</definedName>
    <definedName name="Charts1" localSheetId="5">#REF!</definedName>
    <definedName name="Charts1" localSheetId="3">#REF!</definedName>
    <definedName name="Charts1" localSheetId="30">#REF!</definedName>
    <definedName name="Charts1" localSheetId="18">#REF!</definedName>
    <definedName name="Charts1" localSheetId="6">#REF!</definedName>
    <definedName name="Charts1" localSheetId="19">#REF!</definedName>
    <definedName name="Charts1" localSheetId="7">#REF!</definedName>
    <definedName name="Charts1" localSheetId="20">#REF!</definedName>
    <definedName name="Charts1" localSheetId="17">#REF!</definedName>
    <definedName name="Charts1" localSheetId="25">#REF!</definedName>
    <definedName name="Charts1" localSheetId="31">#REF!</definedName>
    <definedName name="Charts1" localSheetId="0">#REF!</definedName>
    <definedName name="Charts1" localSheetId="1">#REF!</definedName>
    <definedName name="Charts1">#REF!</definedName>
    <definedName name="Charts2" localSheetId="4">#REF!</definedName>
    <definedName name="Charts2" localSheetId="5">#REF!</definedName>
    <definedName name="Charts2" localSheetId="3">#REF!</definedName>
    <definedName name="Charts2" localSheetId="30">#REF!</definedName>
    <definedName name="Charts2" localSheetId="18">#REF!</definedName>
    <definedName name="Charts2" localSheetId="6">#REF!</definedName>
    <definedName name="Charts2" localSheetId="19">#REF!</definedName>
    <definedName name="Charts2" localSheetId="7">#REF!</definedName>
    <definedName name="Charts2" localSheetId="20">#REF!</definedName>
    <definedName name="Charts2" localSheetId="17">#REF!</definedName>
    <definedName name="Charts2" localSheetId="25">#REF!</definedName>
    <definedName name="Charts2" localSheetId="31">#REF!</definedName>
    <definedName name="Charts2" localSheetId="0">#REF!</definedName>
    <definedName name="Charts2" localSheetId="1">#REF!</definedName>
    <definedName name="Charts2">#REF!</definedName>
    <definedName name="Chile1" localSheetId="4">#REF!</definedName>
    <definedName name="Chile1" localSheetId="5">#REF!</definedName>
    <definedName name="Chile1" localSheetId="3">#REF!</definedName>
    <definedName name="Chile1" localSheetId="30">#REF!</definedName>
    <definedName name="Chile1" localSheetId="18">#REF!</definedName>
    <definedName name="Chile1" localSheetId="6">#REF!</definedName>
    <definedName name="Chile1" localSheetId="19">#REF!</definedName>
    <definedName name="Chile1" localSheetId="7">#REF!</definedName>
    <definedName name="Chile1" localSheetId="20">#REF!</definedName>
    <definedName name="Chile1" localSheetId="17">#REF!</definedName>
    <definedName name="Chile1" localSheetId="25">#REF!</definedName>
    <definedName name="Chile1" localSheetId="31">#REF!</definedName>
    <definedName name="Chile1" localSheetId="0">#REF!</definedName>
    <definedName name="Chile1" localSheetId="1">#REF!</definedName>
    <definedName name="Chile1">#REF!</definedName>
    <definedName name="Chile2" localSheetId="4">#REF!</definedName>
    <definedName name="Chile2" localSheetId="5">#REF!</definedName>
    <definedName name="Chile2" localSheetId="3">#REF!</definedName>
    <definedName name="Chile2" localSheetId="30">#REF!</definedName>
    <definedName name="Chile2" localSheetId="18">#REF!</definedName>
    <definedName name="Chile2" localSheetId="6">#REF!</definedName>
    <definedName name="Chile2" localSheetId="19">#REF!</definedName>
    <definedName name="Chile2" localSheetId="7">#REF!</definedName>
    <definedName name="Chile2" localSheetId="20">#REF!</definedName>
    <definedName name="Chile2" localSheetId="17">#REF!</definedName>
    <definedName name="Chile2" localSheetId="25">#REF!</definedName>
    <definedName name="Chile2" localSheetId="31">#REF!</definedName>
    <definedName name="Chile2" localSheetId="0">#REF!</definedName>
    <definedName name="Chile2" localSheetId="1">#REF!</definedName>
    <definedName name="Chile2">#REF!</definedName>
    <definedName name="Closed_End" localSheetId="4">#REF!</definedName>
    <definedName name="Closed_End" localSheetId="5">#REF!</definedName>
    <definedName name="Closed_End" localSheetId="3">#REF!</definedName>
    <definedName name="Closed_End" localSheetId="30">#REF!</definedName>
    <definedName name="Closed_End" localSheetId="18">#REF!</definedName>
    <definedName name="Closed_End" localSheetId="6">#REF!</definedName>
    <definedName name="Closed_End" localSheetId="19">#REF!</definedName>
    <definedName name="Closed_End" localSheetId="7">#REF!</definedName>
    <definedName name="Closed_End" localSheetId="20">#REF!</definedName>
    <definedName name="Closed_End" localSheetId="17">#REF!</definedName>
    <definedName name="Closed_End" localSheetId="25">#REF!</definedName>
    <definedName name="Closed_End" localSheetId="31">#REF!</definedName>
    <definedName name="Closed_End" localSheetId="0">#REF!</definedName>
    <definedName name="Closed_End" localSheetId="1">#REF!</definedName>
    <definedName name="Closed_End">#REF!</definedName>
    <definedName name="Co_Group_Coeff" localSheetId="4">#REF!</definedName>
    <definedName name="Co_Group_Coeff" localSheetId="5">#REF!</definedName>
    <definedName name="Co_Group_Coeff" localSheetId="3">#REF!</definedName>
    <definedName name="Co_Group_Coeff" localSheetId="30">#REF!</definedName>
    <definedName name="Co_Group_Coeff" localSheetId="18">#REF!</definedName>
    <definedName name="Co_Group_Coeff" localSheetId="6">#REF!</definedName>
    <definedName name="Co_Group_Coeff" localSheetId="19">#REF!</definedName>
    <definedName name="Co_Group_Coeff" localSheetId="7">#REF!</definedName>
    <definedName name="Co_Group_Coeff" localSheetId="20">#REF!</definedName>
    <definedName name="Co_Group_Coeff" localSheetId="17">#REF!</definedName>
    <definedName name="Co_Group_Coeff" localSheetId="25">#REF!</definedName>
    <definedName name="Co_Group_Coeff" localSheetId="31">#REF!</definedName>
    <definedName name="Co_Group_Coeff" localSheetId="0">#REF!</definedName>
    <definedName name="Co_Group_Coeff" localSheetId="1">#REF!</definedName>
    <definedName name="Co_Group_Coeff">#REF!</definedName>
    <definedName name="Co_Ind_Coeff" localSheetId="4">#REF!</definedName>
    <definedName name="Co_Ind_Coeff" localSheetId="5">#REF!</definedName>
    <definedName name="Co_Ind_Coeff" localSheetId="3">#REF!</definedName>
    <definedName name="Co_Ind_Coeff" localSheetId="30">#REF!</definedName>
    <definedName name="Co_Ind_Coeff" localSheetId="18">#REF!</definedName>
    <definedName name="Co_Ind_Coeff" localSheetId="6">#REF!</definedName>
    <definedName name="Co_Ind_Coeff" localSheetId="19">#REF!</definedName>
    <definedName name="Co_Ind_Coeff" localSheetId="7">#REF!</definedName>
    <definedName name="Co_Ind_Coeff" localSheetId="20">#REF!</definedName>
    <definedName name="Co_Ind_Coeff" localSheetId="17">#REF!</definedName>
    <definedName name="Co_Ind_Coeff" localSheetId="25">#REF!</definedName>
    <definedName name="Co_Ind_Coeff" localSheetId="31">#REF!</definedName>
    <definedName name="Co_Ind_Coeff" localSheetId="0">#REF!</definedName>
    <definedName name="Co_Ind_Coeff" localSheetId="1">#REF!</definedName>
    <definedName name="Co_Ind_Coeff">#REF!</definedName>
    <definedName name="Co_Industry_Coeff" localSheetId="4">#REF!</definedName>
    <definedName name="Co_Industry_Coeff" localSheetId="5">#REF!</definedName>
    <definedName name="Co_Industry_Coeff" localSheetId="3">#REF!</definedName>
    <definedName name="Co_Industry_Coeff" localSheetId="30">#REF!</definedName>
    <definedName name="Co_Industry_Coeff" localSheetId="18">#REF!</definedName>
    <definedName name="Co_Industry_Coeff" localSheetId="6">#REF!</definedName>
    <definedName name="Co_Industry_Coeff" localSheetId="19">#REF!</definedName>
    <definedName name="Co_Industry_Coeff" localSheetId="7">#REF!</definedName>
    <definedName name="Co_Industry_Coeff" localSheetId="20">#REF!</definedName>
    <definedName name="Co_Industry_Coeff" localSheetId="17">#REF!</definedName>
    <definedName name="Co_Industry_Coeff" localSheetId="25">#REF!</definedName>
    <definedName name="Co_Industry_Coeff" localSheetId="31">#REF!</definedName>
    <definedName name="Co_Industry_Coeff" localSheetId="0">#REF!</definedName>
    <definedName name="Co_Industry_Coeff" localSheetId="1">#REF!</definedName>
    <definedName name="Co_Industry_Coeff">#REF!</definedName>
    <definedName name="Comparables_Value" localSheetId="4">[11]EGR!#REF!</definedName>
    <definedName name="Comparables_Value" localSheetId="5">[11]EGR!#REF!</definedName>
    <definedName name="Comparables_Value" localSheetId="3">[11]EGR!#REF!</definedName>
    <definedName name="Comparables_Value" localSheetId="30">[12]EGR!#REF!</definedName>
    <definedName name="Comparables_Value" localSheetId="18">[13]EGR!#REF!</definedName>
    <definedName name="Comparables_Value" localSheetId="6">[13]EGR!#REF!</definedName>
    <definedName name="Comparables_Value" localSheetId="19">[13]EGR!#REF!</definedName>
    <definedName name="Comparables_Value" localSheetId="7">[13]EGR!#REF!</definedName>
    <definedName name="Comparables_Value" localSheetId="20">[13]EGR!#REF!</definedName>
    <definedName name="Comparables_Value" localSheetId="17">[12]EGR!#REF!</definedName>
    <definedName name="Comparables_Value" localSheetId="25">[12]EGR!#REF!</definedName>
    <definedName name="Comparables_Value" localSheetId="31">[12]EGR!#REF!</definedName>
    <definedName name="Comparables_Value" localSheetId="0">[12]EGR!#REF!</definedName>
    <definedName name="Comparables_Value" localSheetId="1">[12]EGR!#REF!</definedName>
    <definedName name="Comparables_Value">[12]EGR!#REF!</definedName>
    <definedName name="ConsEst" localSheetId="4">#REF!</definedName>
    <definedName name="ConsEst" localSheetId="5">#REF!</definedName>
    <definedName name="ConsEst" localSheetId="3">#REF!</definedName>
    <definedName name="ConsEst" localSheetId="30">#REF!</definedName>
    <definedName name="ConsEst" localSheetId="18">#REF!</definedName>
    <definedName name="ConsEst" localSheetId="6">#REF!</definedName>
    <definedName name="ConsEst" localSheetId="19">#REF!</definedName>
    <definedName name="ConsEst" localSheetId="7">#REF!</definedName>
    <definedName name="ConsEst" localSheetId="20">#REF!</definedName>
    <definedName name="ConsEst" localSheetId="17">#REF!</definedName>
    <definedName name="ConsEst" localSheetId="25">#REF!</definedName>
    <definedName name="ConsEst" localSheetId="31">#REF!</definedName>
    <definedName name="ConsEst" localSheetId="0">#REF!</definedName>
    <definedName name="ConsEst" localSheetId="1">#REF!</definedName>
    <definedName name="ConsEst">#REF!</definedName>
    <definedName name="cos.00" localSheetId="4">#REF!</definedName>
    <definedName name="cos.00" localSheetId="5">#REF!</definedName>
    <definedName name="cos.00" localSheetId="3">#REF!</definedName>
    <definedName name="cos.00" localSheetId="30">#REF!</definedName>
    <definedName name="cos.00" localSheetId="18">#REF!</definedName>
    <definedName name="cos.00" localSheetId="6">#REF!</definedName>
    <definedName name="cos.00" localSheetId="19">#REF!</definedName>
    <definedName name="cos.00" localSheetId="7">#REF!</definedName>
    <definedName name="cos.00" localSheetId="20">#REF!</definedName>
    <definedName name="cos.00" localSheetId="17">#REF!</definedName>
    <definedName name="cos.00" localSheetId="25">#REF!</definedName>
    <definedName name="cos.00" localSheetId="31">#REF!</definedName>
    <definedName name="cos.00" localSheetId="0">#REF!</definedName>
    <definedName name="cos.00" localSheetId="1">#REF!</definedName>
    <definedName name="cos.00">#REF!</definedName>
    <definedName name="cos.98" localSheetId="4">#REF!</definedName>
    <definedName name="cos.98" localSheetId="5">#REF!</definedName>
    <definedName name="cos.98" localSheetId="3">#REF!</definedName>
    <definedName name="cos.98" localSheetId="30">#REF!</definedName>
    <definedName name="cos.98" localSheetId="18">#REF!</definedName>
    <definedName name="cos.98" localSheetId="6">#REF!</definedName>
    <definedName name="cos.98" localSheetId="19">#REF!</definedName>
    <definedName name="cos.98" localSheetId="7">#REF!</definedName>
    <definedName name="cos.98" localSheetId="20">#REF!</definedName>
    <definedName name="cos.98" localSheetId="17">#REF!</definedName>
    <definedName name="cos.98" localSheetId="25">#REF!</definedName>
    <definedName name="cos.98" localSheetId="31">#REF!</definedName>
    <definedName name="cos.98" localSheetId="0">#REF!</definedName>
    <definedName name="cos.98" localSheetId="1">#REF!</definedName>
    <definedName name="cos.98">#REF!</definedName>
    <definedName name="cos.99" localSheetId="4">#REF!</definedName>
    <definedName name="cos.99" localSheetId="5">#REF!</definedName>
    <definedName name="cos.99" localSheetId="3">#REF!</definedName>
    <definedName name="cos.99" localSheetId="30">#REF!</definedName>
    <definedName name="cos.99" localSheetId="18">#REF!</definedName>
    <definedName name="cos.99" localSheetId="6">#REF!</definedName>
    <definedName name="cos.99" localSheetId="19">#REF!</definedName>
    <definedName name="cos.99" localSheetId="7">#REF!</definedName>
    <definedName name="cos.99" localSheetId="20">#REF!</definedName>
    <definedName name="cos.99" localSheetId="17">#REF!</definedName>
    <definedName name="cos.99" localSheetId="25">#REF!</definedName>
    <definedName name="cos.99" localSheetId="31">#REF!</definedName>
    <definedName name="cos.99" localSheetId="0">#REF!</definedName>
    <definedName name="cos.99" localSheetId="1">#REF!</definedName>
    <definedName name="cos.99">#REF!</definedName>
    <definedName name="CreditSrvSecurites" localSheetId="4">#REF!</definedName>
    <definedName name="CreditSrvSecurites" localSheetId="5">#REF!</definedName>
    <definedName name="CreditSrvSecurites" localSheetId="3">#REF!</definedName>
    <definedName name="CreditSrvSecurites" localSheetId="30">#REF!</definedName>
    <definedName name="CreditSrvSecurites" localSheetId="18">#REF!</definedName>
    <definedName name="CreditSrvSecurites" localSheetId="6">#REF!</definedName>
    <definedName name="CreditSrvSecurites" localSheetId="19">#REF!</definedName>
    <definedName name="CreditSrvSecurites" localSheetId="7">#REF!</definedName>
    <definedName name="CreditSrvSecurites" localSheetId="20">#REF!</definedName>
    <definedName name="CreditSrvSecurites" localSheetId="17">#REF!</definedName>
    <definedName name="CreditSrvSecurites" localSheetId="25">#REF!</definedName>
    <definedName name="CreditSrvSecurites" localSheetId="31">#REF!</definedName>
    <definedName name="CreditSrvSecurites" localSheetId="0">#REF!</definedName>
    <definedName name="CreditSrvSecurites" localSheetId="1">#REF!</definedName>
    <definedName name="CreditSrvSecurites">#REF!</definedName>
    <definedName name="currenteps" localSheetId="4">#REF!</definedName>
    <definedName name="currenteps" localSheetId="5">#REF!</definedName>
    <definedName name="currenteps" localSheetId="3">#REF!</definedName>
    <definedName name="currenteps" localSheetId="30">#REF!</definedName>
    <definedName name="currenteps" localSheetId="18">#REF!</definedName>
    <definedName name="currenteps" localSheetId="6">#REF!</definedName>
    <definedName name="currenteps" localSheetId="19">#REF!</definedName>
    <definedName name="currenteps" localSheetId="7">#REF!</definedName>
    <definedName name="currenteps" localSheetId="20">#REF!</definedName>
    <definedName name="currenteps" localSheetId="17">#REF!</definedName>
    <definedName name="currenteps" localSheetId="25">#REF!</definedName>
    <definedName name="currenteps" localSheetId="31">#REF!</definedName>
    <definedName name="currenteps" localSheetId="0">#REF!</definedName>
    <definedName name="currenteps" localSheetId="1">#REF!</definedName>
    <definedName name="currenteps">#REF!</definedName>
    <definedName name="currentrevs" localSheetId="4">#REF!</definedName>
    <definedName name="currentrevs" localSheetId="5">#REF!</definedName>
    <definedName name="currentrevs" localSheetId="3">#REF!</definedName>
    <definedName name="currentrevs" localSheetId="30">#REF!</definedName>
    <definedName name="currentrevs" localSheetId="18">#REF!</definedName>
    <definedName name="currentrevs" localSheetId="6">#REF!</definedName>
    <definedName name="currentrevs" localSheetId="19">#REF!</definedName>
    <definedName name="currentrevs" localSheetId="7">#REF!</definedName>
    <definedName name="currentrevs" localSheetId="20">#REF!</definedName>
    <definedName name="currentrevs" localSheetId="17">#REF!</definedName>
    <definedName name="currentrevs" localSheetId="25">#REF!</definedName>
    <definedName name="currentrevs" localSheetId="31">#REF!</definedName>
    <definedName name="currentrevs" localSheetId="0">#REF!</definedName>
    <definedName name="currentrevs" localSheetId="1">#REF!</definedName>
    <definedName name="currentrevs">#REF!</definedName>
    <definedName name="CY_93">[17]JAN94RIG!$A$421:$IV$472</definedName>
    <definedName name="CY_94">[17]JAN94RIG!$A$473:$IV$524</definedName>
    <definedName name="d" localSheetId="4">[5]Sens!$A$19:$F$25</definedName>
    <definedName name="d" localSheetId="5">[5]Sens!$A$19:$F$25</definedName>
    <definedName name="d" localSheetId="3">[5]Sens!$A$19:$F$25</definedName>
    <definedName name="d" localSheetId="18">[6]Sens!$A$19:$F$25</definedName>
    <definedName name="d" localSheetId="6">[6]Sens!$A$19:$F$25</definedName>
    <definedName name="d" localSheetId="19">[6]Sens!$A$19:$F$25</definedName>
    <definedName name="d" localSheetId="7">[6]Sens!$A$19:$F$25</definedName>
    <definedName name="d" localSheetId="20">[6]Sens!$A$19:$F$25</definedName>
    <definedName name="d">[7]Sens!$A$19:$F$25</definedName>
    <definedName name="DCF" localSheetId="4">#REF!</definedName>
    <definedName name="DCF" localSheetId="5">#REF!</definedName>
    <definedName name="DCF" localSheetId="3">#REF!</definedName>
    <definedName name="DCF" localSheetId="30">#REF!</definedName>
    <definedName name="DCF" localSheetId="18">#REF!</definedName>
    <definedName name="DCF" localSheetId="6">#REF!</definedName>
    <definedName name="DCF" localSheetId="19">#REF!</definedName>
    <definedName name="DCF" localSheetId="7">#REF!</definedName>
    <definedName name="DCF" localSheetId="20">#REF!</definedName>
    <definedName name="DCF" localSheetId="17">#REF!</definedName>
    <definedName name="DCF" localSheetId="25">#REF!</definedName>
    <definedName name="DCF" localSheetId="31">#REF!</definedName>
    <definedName name="DCF" localSheetId="0">#REF!</definedName>
    <definedName name="DCF" localSheetId="1">#REF!</definedName>
    <definedName name="DCF">#REF!</definedName>
    <definedName name="DCF_A" localSheetId="4">#REF!</definedName>
    <definedName name="DCF_A" localSheetId="5">#REF!</definedName>
    <definedName name="DCF_A" localSheetId="3">#REF!</definedName>
    <definedName name="DCF_A" localSheetId="30">#REF!</definedName>
    <definedName name="DCF_A" localSheetId="18">#REF!</definedName>
    <definedName name="DCF_A" localSheetId="6">#REF!</definedName>
    <definedName name="DCF_A" localSheetId="19">#REF!</definedName>
    <definedName name="DCF_A" localSheetId="7">#REF!</definedName>
    <definedName name="DCF_A" localSheetId="20">#REF!</definedName>
    <definedName name="DCF_A" localSheetId="17">#REF!</definedName>
    <definedName name="DCF_A" localSheetId="25">#REF!</definedName>
    <definedName name="DCF_A" localSheetId="31">#REF!</definedName>
    <definedName name="DCF_A" localSheetId="0">#REF!</definedName>
    <definedName name="DCF_A" localSheetId="1">#REF!</definedName>
    <definedName name="DCF_A">#REF!</definedName>
    <definedName name="DCF_A2" localSheetId="4">#REF!</definedName>
    <definedName name="DCF_A2" localSheetId="5">#REF!</definedName>
    <definedName name="DCF_A2" localSheetId="3">#REF!</definedName>
    <definedName name="DCF_A2" localSheetId="30">#REF!</definedName>
    <definedName name="DCF_A2" localSheetId="18">#REF!</definedName>
    <definedName name="DCF_A2" localSheetId="6">#REF!</definedName>
    <definedName name="DCF_A2" localSheetId="19">#REF!</definedName>
    <definedName name="DCF_A2" localSheetId="7">#REF!</definedName>
    <definedName name="DCF_A2" localSheetId="20">#REF!</definedName>
    <definedName name="DCF_A2" localSheetId="17">#REF!</definedName>
    <definedName name="DCF_A2" localSheetId="25">#REF!</definedName>
    <definedName name="DCF_A2" localSheetId="31">#REF!</definedName>
    <definedName name="DCF_A2" localSheetId="0">#REF!</definedName>
    <definedName name="DCF_A2" localSheetId="1">#REF!</definedName>
    <definedName name="DCF_A2">#REF!</definedName>
    <definedName name="DCF_EY1" localSheetId="4">[8]DCF_VDF!$D$1:$D$65536</definedName>
    <definedName name="DCF_EY1" localSheetId="5">[8]DCF_VDF!$D$1:$D$65536</definedName>
    <definedName name="DCF_EY1" localSheetId="3">[8]DCF_VDF!$D$1:$D$65536</definedName>
    <definedName name="DCF_EY1" localSheetId="18">[9]DCF_VDF!$D$1:$D$65536</definedName>
    <definedName name="DCF_EY1" localSheetId="6">[9]DCF_VDF!$D$1:$D$65536</definedName>
    <definedName name="DCF_EY1" localSheetId="19">[9]DCF_VDF!$D$1:$D$65536</definedName>
    <definedName name="DCF_EY1" localSheetId="7">[9]DCF_VDF!$D$1:$D$65536</definedName>
    <definedName name="DCF_EY1" localSheetId="20">[9]DCF_VDF!$D$1:$D$65536</definedName>
    <definedName name="DCF_EY1">[10]DCF_VDF!$D$1:$D$65536</definedName>
    <definedName name="DCF_EY10" localSheetId="4">[8]DCF_VDF!$M$1:$M$65536</definedName>
    <definedName name="DCF_EY10" localSheetId="5">[8]DCF_VDF!$M$1:$M$65536</definedName>
    <definedName name="DCF_EY10" localSheetId="3">[8]DCF_VDF!$M$1:$M$65536</definedName>
    <definedName name="DCF_EY10" localSheetId="18">[9]DCF_VDF!$M$1:$M$65536</definedName>
    <definedName name="DCF_EY10" localSheetId="6">[9]DCF_VDF!$M$1:$M$65536</definedName>
    <definedName name="DCF_EY10" localSheetId="19">[9]DCF_VDF!$M$1:$M$65536</definedName>
    <definedName name="DCF_EY10" localSheetId="7">[9]DCF_VDF!$M$1:$M$65536</definedName>
    <definedName name="DCF_EY10" localSheetId="20">[9]DCF_VDF!$M$1:$M$65536</definedName>
    <definedName name="DCF_EY10">[10]DCF_VDF!$M$1:$M$65536</definedName>
    <definedName name="DCF_EY14" localSheetId="4">[8]DCF_VDF!$Q$1:$Q$65536</definedName>
    <definedName name="DCF_EY14" localSheetId="5">[8]DCF_VDF!$Q$1:$Q$65536</definedName>
    <definedName name="DCF_EY14" localSheetId="3">[8]DCF_VDF!$Q$1:$Q$65536</definedName>
    <definedName name="DCF_EY14" localSheetId="18">[9]DCF_VDF!$Q$1:$Q$65536</definedName>
    <definedName name="DCF_EY14" localSheetId="6">[9]DCF_VDF!$Q$1:$Q$65536</definedName>
    <definedName name="DCF_EY14" localSheetId="19">[9]DCF_VDF!$Q$1:$Q$65536</definedName>
    <definedName name="DCF_EY14" localSheetId="7">[9]DCF_VDF!$Q$1:$Q$65536</definedName>
    <definedName name="DCF_EY14" localSheetId="20">[9]DCF_VDF!$Q$1:$Q$65536</definedName>
    <definedName name="DCF_EY14">[10]DCF_VDF!$Q$1:$Q$65536</definedName>
    <definedName name="DCF_EY15" localSheetId="4">[8]DCF_VDF!$R$1:$R$65536</definedName>
    <definedName name="DCF_EY15" localSheetId="5">[8]DCF_VDF!$R$1:$R$65536</definedName>
    <definedName name="DCF_EY15" localSheetId="3">[8]DCF_VDF!$R$1:$R$65536</definedName>
    <definedName name="DCF_EY15" localSheetId="18">[9]DCF_VDF!$R$1:$R$65536</definedName>
    <definedName name="DCF_EY15" localSheetId="6">[9]DCF_VDF!$R$1:$R$65536</definedName>
    <definedName name="DCF_EY15" localSheetId="19">[9]DCF_VDF!$R$1:$R$65536</definedName>
    <definedName name="DCF_EY15" localSheetId="7">[9]DCF_VDF!$R$1:$R$65536</definedName>
    <definedName name="DCF_EY15" localSheetId="20">[9]DCF_VDF!$R$1:$R$65536</definedName>
    <definedName name="DCF_EY15">[10]DCF_VDF!$R$1:$R$65536</definedName>
    <definedName name="DCF_EY2" localSheetId="4">[8]DCF_VDF!$E$1:$E$65536</definedName>
    <definedName name="DCF_EY2" localSheetId="5">[8]DCF_VDF!$E$1:$E$65536</definedName>
    <definedName name="DCF_EY2" localSheetId="3">[8]DCF_VDF!$E$1:$E$65536</definedName>
    <definedName name="DCF_EY2" localSheetId="18">[9]DCF_VDF!$E$1:$E$65536</definedName>
    <definedName name="DCF_EY2" localSheetId="6">[9]DCF_VDF!$E$1:$E$65536</definedName>
    <definedName name="DCF_EY2" localSheetId="19">[9]DCF_VDF!$E$1:$E$65536</definedName>
    <definedName name="DCF_EY2" localSheetId="7">[9]DCF_VDF!$E$1:$E$65536</definedName>
    <definedName name="DCF_EY2" localSheetId="20">[9]DCF_VDF!$E$1:$E$65536</definedName>
    <definedName name="DCF_EY2">[10]DCF_VDF!$E$1:$E$65536</definedName>
    <definedName name="DCF_EY24" localSheetId="4">[8]DCF_VDF!$AA$1:$AA$65536</definedName>
    <definedName name="DCF_EY24" localSheetId="5">[8]DCF_VDF!$AA$1:$AA$65536</definedName>
    <definedName name="DCF_EY24" localSheetId="3">[8]DCF_VDF!$AA$1:$AA$65536</definedName>
    <definedName name="DCF_EY24" localSheetId="18">[9]DCF_VDF!$AA$1:$AA$65536</definedName>
    <definedName name="DCF_EY24" localSheetId="6">[9]DCF_VDF!$AA$1:$AA$65536</definedName>
    <definedName name="DCF_EY24" localSheetId="19">[9]DCF_VDF!$AA$1:$AA$65536</definedName>
    <definedName name="DCF_EY24" localSheetId="7">[9]DCF_VDF!$AA$1:$AA$65536</definedName>
    <definedName name="DCF_EY24" localSheetId="20">[9]DCF_VDF!$AA$1:$AA$65536</definedName>
    <definedName name="DCF_EY24">[10]DCF_VDF!$AA$1:$AA$65536</definedName>
    <definedName name="DCF_EY25" localSheetId="4">[8]DCF_VDF!$AB$1:$AB$65536</definedName>
    <definedName name="DCF_EY25" localSheetId="5">[8]DCF_VDF!$AB$1:$AB$65536</definedName>
    <definedName name="DCF_EY25" localSheetId="3">[8]DCF_VDF!$AB$1:$AB$65536</definedName>
    <definedName name="DCF_EY25" localSheetId="18">[9]DCF_VDF!$AB$1:$AB$65536</definedName>
    <definedName name="DCF_EY25" localSheetId="6">[9]DCF_VDF!$AB$1:$AB$65536</definedName>
    <definedName name="DCF_EY25" localSheetId="19">[9]DCF_VDF!$AB$1:$AB$65536</definedName>
    <definedName name="DCF_EY25" localSheetId="7">[9]DCF_VDF!$AB$1:$AB$65536</definedName>
    <definedName name="DCF_EY25" localSheetId="20">[9]DCF_VDF!$AB$1:$AB$65536</definedName>
    <definedName name="DCF_EY25">[10]DCF_VDF!$AB$1:$AB$65536</definedName>
    <definedName name="DCF_EY3" localSheetId="4">[8]DCF_VDF!$F$1:$F$65536</definedName>
    <definedName name="DCF_EY3" localSheetId="5">[8]DCF_VDF!$F$1:$F$65536</definedName>
    <definedName name="DCF_EY3" localSheetId="3">[8]DCF_VDF!$F$1:$F$65536</definedName>
    <definedName name="DCF_EY3" localSheetId="18">[9]DCF_VDF!$F$1:$F$65536</definedName>
    <definedName name="DCF_EY3" localSheetId="6">[9]DCF_VDF!$F$1:$F$65536</definedName>
    <definedName name="DCF_EY3" localSheetId="19">[9]DCF_VDF!$F$1:$F$65536</definedName>
    <definedName name="DCF_EY3" localSheetId="7">[9]DCF_VDF!$F$1:$F$65536</definedName>
    <definedName name="DCF_EY3" localSheetId="20">[9]DCF_VDF!$F$1:$F$65536</definedName>
    <definedName name="DCF_EY3">[10]DCF_VDF!$F$1:$F$65536</definedName>
    <definedName name="DCF_EY4" localSheetId="4">[8]DCF_VDF!$G$1:$G$65536</definedName>
    <definedName name="DCF_EY4" localSheetId="5">[8]DCF_VDF!$G$1:$G$65536</definedName>
    <definedName name="DCF_EY4" localSheetId="3">[8]DCF_VDF!$G$1:$G$65536</definedName>
    <definedName name="DCF_EY4" localSheetId="18">[9]DCF_VDF!$G$1:$G$65536</definedName>
    <definedName name="DCF_EY4" localSheetId="6">[9]DCF_VDF!$G$1:$G$65536</definedName>
    <definedName name="DCF_EY4" localSheetId="19">[9]DCF_VDF!$G$1:$G$65536</definedName>
    <definedName name="DCF_EY4" localSheetId="7">[9]DCF_VDF!$G$1:$G$65536</definedName>
    <definedName name="DCF_EY4" localSheetId="20">[9]DCF_VDF!$G$1:$G$65536</definedName>
    <definedName name="DCF_EY4">[10]DCF_VDF!$G$1:$G$65536</definedName>
    <definedName name="DCF_EY5" localSheetId="4">[8]DCF_VDF!$H$1:$H$65536</definedName>
    <definedName name="DCF_EY5" localSheetId="5">[8]DCF_VDF!$H$1:$H$65536</definedName>
    <definedName name="DCF_EY5" localSheetId="3">[8]DCF_VDF!$H$1:$H$65536</definedName>
    <definedName name="DCF_EY5" localSheetId="18">[9]DCF_VDF!$H$1:$H$65536</definedName>
    <definedName name="DCF_EY5" localSheetId="6">[9]DCF_VDF!$H$1:$H$65536</definedName>
    <definedName name="DCF_EY5" localSheetId="19">[9]DCF_VDF!$H$1:$H$65536</definedName>
    <definedName name="DCF_EY5" localSheetId="7">[9]DCF_VDF!$H$1:$H$65536</definedName>
    <definedName name="DCF_EY5" localSheetId="20">[9]DCF_VDF!$H$1:$H$65536</definedName>
    <definedName name="DCF_EY5">[10]DCF_VDF!$H$1:$H$65536</definedName>
    <definedName name="DCF_EY9" localSheetId="4">[8]DCF_VDF!$L$1:$L$65536</definedName>
    <definedName name="DCF_EY9" localSheetId="5">[8]DCF_VDF!$L$1:$L$65536</definedName>
    <definedName name="DCF_EY9" localSheetId="3">[8]DCF_VDF!$L$1:$L$65536</definedName>
    <definedName name="DCF_EY9" localSheetId="18">[9]DCF_VDF!$L$1:$L$65536</definedName>
    <definedName name="DCF_EY9" localSheetId="6">[9]DCF_VDF!$L$1:$L$65536</definedName>
    <definedName name="DCF_EY9" localSheetId="19">[9]DCF_VDF!$L$1:$L$65536</definedName>
    <definedName name="DCF_EY9" localSheetId="7">[9]DCF_VDF!$L$1:$L$65536</definedName>
    <definedName name="DCF_EY9" localSheetId="20">[9]DCF_VDF!$L$1:$L$65536</definedName>
    <definedName name="DCF_EY9">[10]DCF_VDF!$L$1:$L$65536</definedName>
    <definedName name="DCF_P" localSheetId="4">[8]DCF_VDF!$C$1:$C$65536</definedName>
    <definedName name="DCF_P" localSheetId="5">[8]DCF_VDF!$C$1:$C$65536</definedName>
    <definedName name="DCF_P" localSheetId="3">[8]DCF_VDF!$C$1:$C$65536</definedName>
    <definedName name="DCF_P" localSheetId="18">[9]DCF_VDF!$C$1:$C$65536</definedName>
    <definedName name="DCF_P" localSheetId="6">[9]DCF_VDF!$C$1:$C$65536</definedName>
    <definedName name="DCF_P" localSheetId="19">[9]DCF_VDF!$C$1:$C$65536</definedName>
    <definedName name="DCF_P" localSheetId="7">[9]DCF_VDF!$C$1:$C$65536</definedName>
    <definedName name="DCF_P" localSheetId="20">[9]DCF_VDF!$C$1:$C$65536</definedName>
    <definedName name="DCF_P">[10]DCF_VDF!$C$1:$C$65536</definedName>
    <definedName name="dd" localSheetId="4">[5]Sens!$A$29:$F$35</definedName>
    <definedName name="dd" localSheetId="5">[5]Sens!$A$29:$F$35</definedName>
    <definedName name="dd" localSheetId="3">[5]Sens!$A$29:$F$35</definedName>
    <definedName name="dd" localSheetId="18">[6]Sens!$A$29:$F$35</definedName>
    <definedName name="dd" localSheetId="6">[6]Sens!$A$29:$F$35</definedName>
    <definedName name="dd" localSheetId="19">[6]Sens!$A$29:$F$35</definedName>
    <definedName name="dd" localSheetId="7">[6]Sens!$A$29:$F$35</definedName>
    <definedName name="dd" localSheetId="20">[6]Sens!$A$29:$F$35</definedName>
    <definedName name="dd">[7]Sens!$A$29:$F$35</definedName>
    <definedName name="ddd" localSheetId="4">'DESP Annual'!ddd</definedName>
    <definedName name="ddd" localSheetId="5">'DESP Charts'!ddd</definedName>
    <definedName name="ddd" localSheetId="3">'DESP Quarterly'!ddd</definedName>
    <definedName name="ddd" localSheetId="30">Forms!ddd</definedName>
    <definedName name="ddd" localSheetId="18">MMYT!ddd</definedName>
    <definedName name="ddd" localSheetId="6">'MMYT (2)'!ddd</definedName>
    <definedName name="ddd" localSheetId="19">'MMYT charts'!ddd</definedName>
    <definedName name="ddd" localSheetId="7">'MMYT charts (2)'!ddd</definedName>
    <definedName name="ddd" localSheetId="20">'OYO Estimation'!ddd</definedName>
    <definedName name="ddd" localSheetId="17">'Quarterly Charts '!ddd</definedName>
    <definedName name="ddd" localSheetId="25">'TOUR (RMB)'!ddd</definedName>
    <definedName name="ddd" localSheetId="31">'TOUR VS. CTRIP'!ddd</definedName>
    <definedName name="ddd" localSheetId="0">同程艺龙!ddd</definedName>
    <definedName name="ddd" localSheetId="1">'同程艺龙 Peers'!ddd</definedName>
    <definedName name="ddd">Forms!ddd</definedName>
    <definedName name="debt" localSheetId="4">#REF!</definedName>
    <definedName name="debt" localSheetId="5">#REF!</definedName>
    <definedName name="debt" localSheetId="3">#REF!</definedName>
    <definedName name="debt" localSheetId="30">#REF!</definedName>
    <definedName name="debt" localSheetId="18">#REF!</definedName>
    <definedName name="debt" localSheetId="6">#REF!</definedName>
    <definedName name="debt" localSheetId="19">#REF!</definedName>
    <definedName name="debt" localSheetId="7">#REF!</definedName>
    <definedName name="debt" localSheetId="20">#REF!</definedName>
    <definedName name="debt" localSheetId="17">#REF!</definedName>
    <definedName name="debt" localSheetId="25">#REF!</definedName>
    <definedName name="debt" localSheetId="31">#REF!</definedName>
    <definedName name="debt" localSheetId="0">#REF!</definedName>
    <definedName name="debt" localSheetId="1">#REF!</definedName>
    <definedName name="debt">#REF!</definedName>
    <definedName name="Debt_growth" localSheetId="4">[8]NOPAT_VDF!$M$153:$Q$153</definedName>
    <definedName name="Debt_growth" localSheetId="5">[8]NOPAT_VDF!$M$153:$Q$153</definedName>
    <definedName name="Debt_growth" localSheetId="3">[8]NOPAT_VDF!$M$153:$Q$153</definedName>
    <definedName name="Debt_growth" localSheetId="18">[9]NOPAT_VDF!$M$153:$Q$153</definedName>
    <definedName name="Debt_growth" localSheetId="6">[9]NOPAT_VDF!$M$153:$Q$153</definedName>
    <definedName name="Debt_growth" localSheetId="19">[9]NOPAT_VDF!$M$153:$Q$153</definedName>
    <definedName name="Debt_growth" localSheetId="7">[9]NOPAT_VDF!$M$153:$Q$153</definedName>
    <definedName name="Debt_growth" localSheetId="20">[9]NOPAT_VDF!$M$153:$Q$153</definedName>
    <definedName name="Debt_growth">[10]NOPAT_VDF!$M$153:$Q$153</definedName>
    <definedName name="delta">#N/A</definedName>
    <definedName name="delta2" localSheetId="4">'DESP Annual'!delta2</definedName>
    <definedName name="delta2" localSheetId="5">'DESP Charts'!delta2</definedName>
    <definedName name="delta2" localSheetId="3">'DESP Quarterly'!delta2</definedName>
    <definedName name="delta2" localSheetId="30">Forms!delta2</definedName>
    <definedName name="delta2" localSheetId="18">MMYT!delta2</definedName>
    <definedName name="delta2" localSheetId="6">'MMYT (2)'!delta2</definedName>
    <definedName name="delta2" localSheetId="19">'MMYT charts'!delta2</definedName>
    <definedName name="delta2" localSheetId="7">'MMYT charts (2)'!delta2</definedName>
    <definedName name="delta2" localSheetId="20">'OYO Estimation'!delta2</definedName>
    <definedName name="delta2" localSheetId="17">'Quarterly Charts '!delta2</definedName>
    <definedName name="delta2" localSheetId="25">'TOUR (RMB)'!delta2</definedName>
    <definedName name="delta2" localSheetId="31">'TOUR VS. CTRIP'!delta2</definedName>
    <definedName name="delta2" localSheetId="0">同程艺龙!delta2</definedName>
    <definedName name="delta2" localSheetId="1">'同程艺龙 Peers'!delta2</definedName>
    <definedName name="delta2">Forms!delta2</definedName>
    <definedName name="delta3" localSheetId="4">'DESP Annual'!delta3</definedName>
    <definedName name="delta3" localSheetId="5">'DESP Charts'!delta3</definedName>
    <definedName name="delta3" localSheetId="3">'DESP Quarterly'!delta3</definedName>
    <definedName name="delta3" localSheetId="30">Forms!delta3</definedName>
    <definedName name="delta3" localSheetId="18">MMYT!delta3</definedName>
    <definedName name="delta3" localSheetId="6">'MMYT (2)'!delta3</definedName>
    <definedName name="delta3" localSheetId="19">'MMYT charts'!delta3</definedName>
    <definedName name="delta3" localSheetId="7">'MMYT charts (2)'!delta3</definedName>
    <definedName name="delta3" localSheetId="20">'OYO Estimation'!delta3</definedName>
    <definedName name="delta3" localSheetId="17">'Quarterly Charts '!delta3</definedName>
    <definedName name="delta3" localSheetId="25">'TOUR (RMB)'!delta3</definedName>
    <definedName name="delta3" localSheetId="31">'TOUR VS. CTRIP'!delta3</definedName>
    <definedName name="delta3" localSheetId="0">同程艺龙!delta3</definedName>
    <definedName name="delta3" localSheetId="1">'同程艺龙 Peers'!delta3</definedName>
    <definedName name="delta3">Forms!delta3</definedName>
    <definedName name="Dep_and_Amort" localSheetId="4">[8]NOPAT_VDF!$C$100:$AU$100</definedName>
    <definedName name="Dep_and_Amort" localSheetId="5">[8]NOPAT_VDF!$C$100:$AU$100</definedName>
    <definedName name="Dep_and_Amort" localSheetId="3">[8]NOPAT_VDF!$C$100:$AU$100</definedName>
    <definedName name="Dep_and_Amort" localSheetId="18">[9]NOPAT_VDF!$C$100:$AU$100</definedName>
    <definedName name="Dep_and_Amort" localSheetId="6">[9]NOPAT_VDF!$C$100:$AU$100</definedName>
    <definedName name="Dep_and_Amort" localSheetId="19">[9]NOPAT_VDF!$C$100:$AU$100</definedName>
    <definedName name="Dep_and_Amort" localSheetId="7">[9]NOPAT_VDF!$C$100:$AU$100</definedName>
    <definedName name="Dep_and_Amort" localSheetId="20">[9]NOPAT_VDF!$C$100:$AU$100</definedName>
    <definedName name="Dep_and_Amort">[10]NOPAT_VDF!$C$100:$AU$100</definedName>
    <definedName name="Dep_margin_fore" localSheetId="4">[18]Forecasts_VDF!#REF!</definedName>
    <definedName name="Dep_margin_fore" localSheetId="5">[18]Forecasts_VDF!#REF!</definedName>
    <definedName name="Dep_margin_fore" localSheetId="3">[18]Forecasts_VDF!#REF!</definedName>
    <definedName name="Dep_margin_fore" localSheetId="30">[19]Forecasts_VDF!#REF!</definedName>
    <definedName name="Dep_margin_fore" localSheetId="18">[20]Forecasts_VDF!#REF!</definedName>
    <definedName name="Dep_margin_fore" localSheetId="6">[20]Forecasts_VDF!#REF!</definedName>
    <definedName name="Dep_margin_fore" localSheetId="19">[20]Forecasts_VDF!#REF!</definedName>
    <definedName name="Dep_margin_fore" localSheetId="7">[20]Forecasts_VDF!#REF!</definedName>
    <definedName name="Dep_margin_fore" localSheetId="20">[20]Forecasts_VDF!#REF!</definedName>
    <definedName name="Dep_margin_fore" localSheetId="17">[19]Forecasts_VDF!#REF!</definedName>
    <definedName name="Dep_margin_fore" localSheetId="25">[19]Forecasts_VDF!#REF!</definedName>
    <definedName name="Dep_margin_fore" localSheetId="31">[19]Forecasts_VDF!#REF!</definedName>
    <definedName name="Dep_margin_fore" localSheetId="0">[19]Forecasts_VDF!#REF!</definedName>
    <definedName name="Dep_margin_fore" localSheetId="1">[19]Forecasts_VDF!#REF!</definedName>
    <definedName name="Dep_margin_fore">[19]Forecasts_VDF!#REF!</definedName>
    <definedName name="Depreciation" localSheetId="4">[8]NOPAT_VDF!$C$104:$AE$104</definedName>
    <definedName name="Depreciation" localSheetId="5">[8]NOPAT_VDF!$C$104:$AE$104</definedName>
    <definedName name="Depreciation" localSheetId="3">[8]NOPAT_VDF!$C$104:$AE$104</definedName>
    <definedName name="Depreciation" localSheetId="18">[9]NOPAT_VDF!$C$104:$AE$104</definedName>
    <definedName name="Depreciation" localSheetId="6">[9]NOPAT_VDF!$C$104:$AE$104</definedName>
    <definedName name="Depreciation" localSheetId="19">[9]NOPAT_VDF!$C$104:$AE$104</definedName>
    <definedName name="Depreciation" localSheetId="7">[9]NOPAT_VDF!$C$104:$AE$104</definedName>
    <definedName name="Depreciation" localSheetId="20">[9]NOPAT_VDF!$C$104:$AE$104</definedName>
    <definedName name="Depreciation">[10]NOPAT_VDF!$C$104:$AE$104</definedName>
    <definedName name="dfdf" localSheetId="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3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1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1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2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1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3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3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1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1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2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1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3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3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1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1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2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1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3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ivchg" localSheetId="4">#REF!</definedName>
    <definedName name="divchg" localSheetId="5">#REF!</definedName>
    <definedName name="divchg" localSheetId="3">#REF!</definedName>
    <definedName name="divchg" localSheetId="30">#REF!</definedName>
    <definedName name="divchg" localSheetId="18">#REF!</definedName>
    <definedName name="divchg" localSheetId="6">#REF!</definedName>
    <definedName name="divchg" localSheetId="19">#REF!</definedName>
    <definedName name="divchg" localSheetId="7">#REF!</definedName>
    <definedName name="divchg" localSheetId="20">#REF!</definedName>
    <definedName name="divchg" localSheetId="17">#REF!</definedName>
    <definedName name="divchg" localSheetId="25">#REF!</definedName>
    <definedName name="divchg" localSheetId="31">#REF!</definedName>
    <definedName name="divchg" localSheetId="0">#REF!</definedName>
    <definedName name="divchg" localSheetId="1">#REF!</definedName>
    <definedName name="divchg">#REF!</definedName>
    <definedName name="dmsales" localSheetId="4">#REF!</definedName>
    <definedName name="dmsales" localSheetId="5">#REF!</definedName>
    <definedName name="dmsales" localSheetId="3">#REF!</definedName>
    <definedName name="dmsales" localSheetId="30">#REF!</definedName>
    <definedName name="dmsales" localSheetId="18">#REF!</definedName>
    <definedName name="dmsales" localSheetId="6">#REF!</definedName>
    <definedName name="dmsales" localSheetId="19">#REF!</definedName>
    <definedName name="dmsales" localSheetId="7">#REF!</definedName>
    <definedName name="dmsales" localSheetId="20">#REF!</definedName>
    <definedName name="dmsales" localSheetId="17">#REF!</definedName>
    <definedName name="dmsales" localSheetId="25">#REF!</definedName>
    <definedName name="dmsales" localSheetId="31">#REF!</definedName>
    <definedName name="dmsales" localSheetId="0">#REF!</definedName>
    <definedName name="dmsales" localSheetId="1">#REF!</definedName>
    <definedName name="dmsales">#REF!</definedName>
    <definedName name="DPS_Curr_Yr" localSheetId="4">#REF!</definedName>
    <definedName name="DPS_Curr_Yr" localSheetId="5">#REF!</definedName>
    <definedName name="DPS_Curr_Yr" localSheetId="3">#REF!</definedName>
    <definedName name="DPS_Curr_Yr" localSheetId="30">#REF!</definedName>
    <definedName name="DPS_Curr_Yr" localSheetId="18">#REF!</definedName>
    <definedName name="DPS_Curr_Yr" localSheetId="6">#REF!</definedName>
    <definedName name="DPS_Curr_Yr" localSheetId="19">#REF!</definedName>
    <definedName name="DPS_Curr_Yr" localSheetId="7">#REF!</definedName>
    <definedName name="DPS_Curr_Yr" localSheetId="20">#REF!</definedName>
    <definedName name="DPS_Curr_Yr" localSheetId="17">#REF!</definedName>
    <definedName name="DPS_Curr_Yr" localSheetId="25">#REF!</definedName>
    <definedName name="DPS_Curr_Yr" localSheetId="31">#REF!</definedName>
    <definedName name="DPS_Curr_Yr" localSheetId="0">#REF!</definedName>
    <definedName name="DPS_Curr_Yr" localSheetId="1">#REF!</definedName>
    <definedName name="DPS_Curr_Yr">#REF!</definedName>
    <definedName name="DPS_Lst_Yr" localSheetId="4">#REF!</definedName>
    <definedName name="DPS_Lst_Yr" localSheetId="5">#REF!</definedName>
    <definedName name="DPS_Lst_Yr" localSheetId="3">#REF!</definedName>
    <definedName name="DPS_Lst_Yr" localSheetId="30">#REF!</definedName>
    <definedName name="DPS_Lst_Yr" localSheetId="18">#REF!</definedName>
    <definedName name="DPS_Lst_Yr" localSheetId="6">#REF!</definedName>
    <definedName name="DPS_Lst_Yr" localSheetId="19">#REF!</definedName>
    <definedName name="DPS_Lst_Yr" localSheetId="7">#REF!</definedName>
    <definedName name="DPS_Lst_Yr" localSheetId="20">#REF!</definedName>
    <definedName name="DPS_Lst_Yr" localSheetId="17">#REF!</definedName>
    <definedName name="DPS_Lst_Yr" localSheetId="25">#REF!</definedName>
    <definedName name="DPS_Lst_Yr" localSheetId="31">#REF!</definedName>
    <definedName name="DPS_Lst_Yr" localSheetId="0">#REF!</definedName>
    <definedName name="DPS_Lst_Yr" localSheetId="1">#REF!</definedName>
    <definedName name="DPS_Lst_Yr">#REF!</definedName>
    <definedName name="DPS_Next_Yr" localSheetId="4">#REF!</definedName>
    <definedName name="DPS_Next_Yr" localSheetId="5">#REF!</definedName>
    <definedName name="DPS_Next_Yr" localSheetId="3">#REF!</definedName>
    <definedName name="DPS_Next_Yr" localSheetId="30">#REF!</definedName>
    <definedName name="DPS_Next_Yr" localSheetId="18">#REF!</definedName>
    <definedName name="DPS_Next_Yr" localSheetId="6">#REF!</definedName>
    <definedName name="DPS_Next_Yr" localSheetId="19">#REF!</definedName>
    <definedName name="DPS_Next_Yr" localSheetId="7">#REF!</definedName>
    <definedName name="DPS_Next_Yr" localSheetId="20">#REF!</definedName>
    <definedName name="DPS_Next_Yr" localSheetId="17">#REF!</definedName>
    <definedName name="DPS_Next_Yr" localSheetId="25">#REF!</definedName>
    <definedName name="DPS_Next_Yr" localSheetId="31">#REF!</definedName>
    <definedName name="DPS_Next_Yr" localSheetId="0">#REF!</definedName>
    <definedName name="DPS_Next_Yr" localSheetId="1">#REF!</definedName>
    <definedName name="DPS_Next_Yr">#REF!</definedName>
    <definedName name="EBIT" localSheetId="4">[8]NOPAT_VDF!$C$17:$AZ$17</definedName>
    <definedName name="EBIT" localSheetId="5">[8]NOPAT_VDF!$C$17:$AZ$17</definedName>
    <definedName name="EBIT" localSheetId="3">[8]NOPAT_VDF!$C$17:$AZ$17</definedName>
    <definedName name="EBIT" localSheetId="18">[9]NOPAT_VDF!$C$17:$AZ$17</definedName>
    <definedName name="EBIT" localSheetId="6">[9]NOPAT_VDF!$C$17:$AZ$17</definedName>
    <definedName name="EBIT" localSheetId="19">[9]NOPAT_VDF!$C$17:$AZ$17</definedName>
    <definedName name="EBIT" localSheetId="7">[9]NOPAT_VDF!$C$17:$AZ$17</definedName>
    <definedName name="EBIT" localSheetId="20">[9]NOPAT_VDF!$C$17:$AZ$17</definedName>
    <definedName name="EBIT">[10]NOPAT_VDF!$C$17:$AZ$17</definedName>
    <definedName name="ebit.97" localSheetId="4">#REF!</definedName>
    <definedName name="ebit.97" localSheetId="5">#REF!</definedName>
    <definedName name="ebit.97" localSheetId="3">#REF!</definedName>
    <definedName name="ebit.97" localSheetId="30">#REF!</definedName>
    <definedName name="ebit.97" localSheetId="18">#REF!</definedName>
    <definedName name="ebit.97" localSheetId="6">#REF!</definedName>
    <definedName name="ebit.97" localSheetId="19">#REF!</definedName>
    <definedName name="ebit.97" localSheetId="7">#REF!</definedName>
    <definedName name="ebit.97" localSheetId="20">#REF!</definedName>
    <definedName name="ebit.97" localSheetId="17">#REF!</definedName>
    <definedName name="ebit.97" localSheetId="25">#REF!</definedName>
    <definedName name="ebit.97" localSheetId="31">#REF!</definedName>
    <definedName name="ebit.97" localSheetId="0">#REF!</definedName>
    <definedName name="ebit.97" localSheetId="1">#REF!</definedName>
    <definedName name="ebit.97">#REF!</definedName>
    <definedName name="ebit.98" localSheetId="4">#REF!</definedName>
    <definedName name="ebit.98" localSheetId="5">#REF!</definedName>
    <definedName name="ebit.98" localSheetId="3">#REF!</definedName>
    <definedName name="ebit.98" localSheetId="30">#REF!</definedName>
    <definedName name="ebit.98" localSheetId="18">#REF!</definedName>
    <definedName name="ebit.98" localSheetId="6">#REF!</definedName>
    <definedName name="ebit.98" localSheetId="19">#REF!</definedName>
    <definedName name="ebit.98" localSheetId="7">#REF!</definedName>
    <definedName name="ebit.98" localSheetId="20">#REF!</definedName>
    <definedName name="ebit.98" localSheetId="17">#REF!</definedName>
    <definedName name="ebit.98" localSheetId="25">#REF!</definedName>
    <definedName name="ebit.98" localSheetId="31">#REF!</definedName>
    <definedName name="ebit.98" localSheetId="0">#REF!</definedName>
    <definedName name="ebit.98" localSheetId="1">#REF!</definedName>
    <definedName name="ebit.98">#REF!</definedName>
    <definedName name="EBIT_margin" localSheetId="4">[8]NOPAT_VDF!$C$111:$AU$111</definedName>
    <definedName name="EBIT_margin" localSheetId="5">[8]NOPAT_VDF!$C$111:$AU$111</definedName>
    <definedName name="EBIT_margin" localSheetId="3">[8]NOPAT_VDF!$C$111:$AU$111</definedName>
    <definedName name="EBIT_margin" localSheetId="18">[9]NOPAT_VDF!$C$111:$AU$111</definedName>
    <definedName name="EBIT_margin" localSheetId="6">[9]NOPAT_VDF!$C$111:$AU$111</definedName>
    <definedName name="EBIT_margin" localSheetId="19">[9]NOPAT_VDF!$C$111:$AU$111</definedName>
    <definedName name="EBIT_margin" localSheetId="7">[9]NOPAT_VDF!$C$111:$AU$111</definedName>
    <definedName name="EBIT_margin" localSheetId="20">[9]NOPAT_VDF!$C$111:$AU$111</definedName>
    <definedName name="EBIT_margin">[10]NOPAT_VDF!$C$111:$AU$111</definedName>
    <definedName name="EBIT_margin_fore" localSheetId="4">[18]Forecasts_VDF!#REF!</definedName>
    <definedName name="EBIT_margin_fore" localSheetId="5">[18]Forecasts_VDF!#REF!</definedName>
    <definedName name="EBIT_margin_fore" localSheetId="3">[18]Forecasts_VDF!#REF!</definedName>
    <definedName name="EBIT_margin_fore" localSheetId="30">[19]Forecasts_VDF!#REF!</definedName>
    <definedName name="EBIT_margin_fore" localSheetId="18">[20]Forecasts_VDF!#REF!</definedName>
    <definedName name="EBIT_margin_fore" localSheetId="6">[20]Forecasts_VDF!#REF!</definedName>
    <definedName name="EBIT_margin_fore" localSheetId="19">[20]Forecasts_VDF!#REF!</definedName>
    <definedName name="EBIT_margin_fore" localSheetId="7">[20]Forecasts_VDF!#REF!</definedName>
    <definedName name="EBIT_margin_fore" localSheetId="20">[20]Forecasts_VDF!#REF!</definedName>
    <definedName name="EBIT_margin_fore" localSheetId="17">[19]Forecasts_VDF!#REF!</definedName>
    <definedName name="EBIT_margin_fore" localSheetId="25">[19]Forecasts_VDF!#REF!</definedName>
    <definedName name="EBIT_margin_fore" localSheetId="31">[19]Forecasts_VDF!#REF!</definedName>
    <definedName name="EBIT_margin_fore" localSheetId="0">[19]Forecasts_VDF!#REF!</definedName>
    <definedName name="EBIT_margin_fore" localSheetId="1">[19]Forecasts_VDF!#REF!</definedName>
    <definedName name="EBIT_margin_fore">[19]Forecasts_VDF!#REF!</definedName>
    <definedName name="EBIT95" localSheetId="4">#REF!</definedName>
    <definedName name="EBIT95" localSheetId="5">#REF!</definedName>
    <definedName name="EBIT95" localSheetId="3">#REF!</definedName>
    <definedName name="EBIT95" localSheetId="30">#REF!</definedName>
    <definedName name="EBIT95" localSheetId="18">#REF!</definedName>
    <definedName name="EBIT95" localSheetId="6">#REF!</definedName>
    <definedName name="EBIT95" localSheetId="19">#REF!</definedName>
    <definedName name="EBIT95" localSheetId="7">#REF!</definedName>
    <definedName name="EBIT95" localSheetId="20">#REF!</definedName>
    <definedName name="EBIT95" localSheetId="17">#REF!</definedName>
    <definedName name="EBIT95" localSheetId="25">#REF!</definedName>
    <definedName name="EBIT95" localSheetId="31">#REF!</definedName>
    <definedName name="EBIT95" localSheetId="0">#REF!</definedName>
    <definedName name="EBIT95" localSheetId="1">#REF!</definedName>
    <definedName name="EBIT95">#REF!</definedName>
    <definedName name="EBITA" localSheetId="4">[8]NOPAT_VDF!$C$101:$AZ$101</definedName>
    <definedName name="EBITA" localSheetId="5">[8]NOPAT_VDF!$C$101:$AZ$101</definedName>
    <definedName name="EBITA" localSheetId="3">[8]NOPAT_VDF!$C$101:$AZ$101</definedName>
    <definedName name="EBITA" localSheetId="18">[9]NOPAT_VDF!$C$101:$AZ$101</definedName>
    <definedName name="EBITA" localSheetId="6">[9]NOPAT_VDF!$C$101:$AZ$101</definedName>
    <definedName name="EBITA" localSheetId="19">[9]NOPAT_VDF!$C$101:$AZ$101</definedName>
    <definedName name="EBITA" localSheetId="7">[9]NOPAT_VDF!$C$101:$AZ$101</definedName>
    <definedName name="EBITA" localSheetId="20">[9]NOPAT_VDF!$C$101:$AZ$101</definedName>
    <definedName name="EBITA">[10]NOPAT_VDF!$C$101:$AZ$101</definedName>
    <definedName name="EBITDA" localSheetId="4">[8]NOPAT_VDF!$C$102:$AE$102</definedName>
    <definedName name="EBITDA" localSheetId="5">[8]NOPAT_VDF!$C$102:$AE$102</definedName>
    <definedName name="EBITDA" localSheetId="3">[8]NOPAT_VDF!$C$102:$AE$102</definedName>
    <definedName name="EBITDA" localSheetId="18">[9]NOPAT_VDF!$C$102:$AE$102</definedName>
    <definedName name="EBITDA" localSheetId="6">[9]NOPAT_VDF!$C$102:$AE$102</definedName>
    <definedName name="EBITDA" localSheetId="19">[9]NOPAT_VDF!$C$102:$AE$102</definedName>
    <definedName name="EBITDA" localSheetId="7">[9]NOPAT_VDF!$C$102:$AE$102</definedName>
    <definedName name="EBITDA" localSheetId="20">[9]NOPAT_VDF!$C$102:$AE$102</definedName>
    <definedName name="EBITDA">[10]NOPAT_VDF!$C$102:$AE$102</definedName>
    <definedName name="ebitda.00" localSheetId="4">#REF!</definedName>
    <definedName name="ebitda.00" localSheetId="5">#REF!</definedName>
    <definedName name="ebitda.00" localSheetId="3">#REF!</definedName>
    <definedName name="ebitda.00" localSheetId="30">#REF!</definedName>
    <definedName name="ebitda.00" localSheetId="18">#REF!</definedName>
    <definedName name="ebitda.00" localSheetId="6">#REF!</definedName>
    <definedName name="ebitda.00" localSheetId="19">#REF!</definedName>
    <definedName name="ebitda.00" localSheetId="7">#REF!</definedName>
    <definedName name="ebitda.00" localSheetId="20">#REF!</definedName>
    <definedName name="ebitda.00" localSheetId="17">#REF!</definedName>
    <definedName name="ebitda.00" localSheetId="25">#REF!</definedName>
    <definedName name="ebitda.00" localSheetId="31">#REF!</definedName>
    <definedName name="ebitda.00" localSheetId="0">#REF!</definedName>
    <definedName name="ebitda.00" localSheetId="1">#REF!</definedName>
    <definedName name="ebitda.00">#REF!</definedName>
    <definedName name="ebitda.01" localSheetId="4">#REF!</definedName>
    <definedName name="ebitda.01" localSheetId="5">#REF!</definedName>
    <definedName name="ebitda.01" localSheetId="3">#REF!</definedName>
    <definedName name="ebitda.01" localSheetId="30">#REF!</definedName>
    <definedName name="ebitda.01" localSheetId="18">#REF!</definedName>
    <definedName name="ebitda.01" localSheetId="6">#REF!</definedName>
    <definedName name="ebitda.01" localSheetId="19">#REF!</definedName>
    <definedName name="ebitda.01" localSheetId="7">#REF!</definedName>
    <definedName name="ebitda.01" localSheetId="20">#REF!</definedName>
    <definedName name="ebitda.01" localSheetId="17">#REF!</definedName>
    <definedName name="ebitda.01" localSheetId="25">#REF!</definedName>
    <definedName name="ebitda.01" localSheetId="31">#REF!</definedName>
    <definedName name="ebitda.01" localSheetId="0">#REF!</definedName>
    <definedName name="ebitda.01" localSheetId="1">#REF!</definedName>
    <definedName name="ebitda.01">#REF!</definedName>
    <definedName name="ebitda.02" localSheetId="4">#REF!</definedName>
    <definedName name="ebitda.02" localSheetId="5">#REF!</definedName>
    <definedName name="ebitda.02" localSheetId="3">#REF!</definedName>
    <definedName name="ebitda.02" localSheetId="30">#REF!</definedName>
    <definedName name="ebitda.02" localSheetId="18">#REF!</definedName>
    <definedName name="ebitda.02" localSheetId="6">#REF!</definedName>
    <definedName name="ebitda.02" localSheetId="19">#REF!</definedName>
    <definedName name="ebitda.02" localSheetId="7">#REF!</definedName>
    <definedName name="ebitda.02" localSheetId="20">#REF!</definedName>
    <definedName name="ebitda.02" localSheetId="17">#REF!</definedName>
    <definedName name="ebitda.02" localSheetId="25">#REF!</definedName>
    <definedName name="ebitda.02" localSheetId="31">#REF!</definedName>
    <definedName name="ebitda.02" localSheetId="0">#REF!</definedName>
    <definedName name="ebitda.02" localSheetId="1">#REF!</definedName>
    <definedName name="ebitda.02">#REF!</definedName>
    <definedName name="ebitda.03" localSheetId="4">#REF!</definedName>
    <definedName name="ebitda.03" localSheetId="5">#REF!</definedName>
    <definedName name="ebitda.03" localSheetId="3">#REF!</definedName>
    <definedName name="ebitda.03" localSheetId="30">#REF!</definedName>
    <definedName name="ebitda.03" localSheetId="18">#REF!</definedName>
    <definedName name="ebitda.03" localSheetId="6">#REF!</definedName>
    <definedName name="ebitda.03" localSheetId="19">#REF!</definedName>
    <definedName name="ebitda.03" localSheetId="7">#REF!</definedName>
    <definedName name="ebitda.03" localSheetId="20">#REF!</definedName>
    <definedName name="ebitda.03" localSheetId="17">#REF!</definedName>
    <definedName name="ebitda.03" localSheetId="25">#REF!</definedName>
    <definedName name="ebitda.03" localSheetId="31">#REF!</definedName>
    <definedName name="ebitda.03" localSheetId="0">#REF!</definedName>
    <definedName name="ebitda.03" localSheetId="1">#REF!</definedName>
    <definedName name="ebitda.03">#REF!</definedName>
    <definedName name="ebitda.97" localSheetId="4">#REF!</definedName>
    <definedName name="ebitda.97" localSheetId="5">#REF!</definedName>
    <definedName name="ebitda.97" localSheetId="3">#REF!</definedName>
    <definedName name="ebitda.97" localSheetId="30">#REF!</definedName>
    <definedName name="ebitda.97" localSheetId="18">#REF!</definedName>
    <definedName name="ebitda.97" localSheetId="6">#REF!</definedName>
    <definedName name="ebitda.97" localSheetId="19">#REF!</definedName>
    <definedName name="ebitda.97" localSheetId="7">#REF!</definedName>
    <definedName name="ebitda.97" localSheetId="20">#REF!</definedName>
    <definedName name="ebitda.97" localSheetId="17">#REF!</definedName>
    <definedName name="ebitda.97" localSheetId="25">#REF!</definedName>
    <definedName name="ebitda.97" localSheetId="31">#REF!</definedName>
    <definedName name="ebitda.97" localSheetId="0">#REF!</definedName>
    <definedName name="ebitda.97" localSheetId="1">#REF!</definedName>
    <definedName name="ebitda.97">#REF!</definedName>
    <definedName name="ebitda.98" localSheetId="4">#REF!</definedName>
    <definedName name="ebitda.98" localSheetId="5">#REF!</definedName>
    <definedName name="ebitda.98" localSheetId="3">#REF!</definedName>
    <definedName name="ebitda.98" localSheetId="30">#REF!</definedName>
    <definedName name="ebitda.98" localSheetId="18">#REF!</definedName>
    <definedName name="ebitda.98" localSheetId="6">#REF!</definedName>
    <definedName name="ebitda.98" localSheetId="19">#REF!</definedName>
    <definedName name="ebitda.98" localSheetId="7">#REF!</definedName>
    <definedName name="ebitda.98" localSheetId="20">#REF!</definedName>
    <definedName name="ebitda.98" localSheetId="17">#REF!</definedName>
    <definedName name="ebitda.98" localSheetId="25">#REF!</definedName>
    <definedName name="ebitda.98" localSheetId="31">#REF!</definedName>
    <definedName name="ebitda.98" localSheetId="0">#REF!</definedName>
    <definedName name="ebitda.98" localSheetId="1">#REF!</definedName>
    <definedName name="ebitda.98">#REF!</definedName>
    <definedName name="ebitda.99" localSheetId="4">#REF!</definedName>
    <definedName name="ebitda.99" localSheetId="5">#REF!</definedName>
    <definedName name="ebitda.99" localSheetId="3">#REF!</definedName>
    <definedName name="ebitda.99" localSheetId="30">#REF!</definedName>
    <definedName name="ebitda.99" localSheetId="18">#REF!</definedName>
    <definedName name="ebitda.99" localSheetId="6">#REF!</definedName>
    <definedName name="ebitda.99" localSheetId="19">#REF!</definedName>
    <definedName name="ebitda.99" localSheetId="7">#REF!</definedName>
    <definedName name="ebitda.99" localSheetId="20">#REF!</definedName>
    <definedName name="ebitda.99" localSheetId="17">#REF!</definedName>
    <definedName name="ebitda.99" localSheetId="25">#REF!</definedName>
    <definedName name="ebitda.99" localSheetId="31">#REF!</definedName>
    <definedName name="ebitda.99" localSheetId="0">#REF!</definedName>
    <definedName name="ebitda.99" localSheetId="1">#REF!</definedName>
    <definedName name="ebitda.99">#REF!</definedName>
    <definedName name="EBITDA_DCF" localSheetId="4">[8]DCF_VDF!$C$15:$AZ$15</definedName>
    <definedName name="EBITDA_DCF" localSheetId="5">[8]DCF_VDF!$C$15:$AZ$15</definedName>
    <definedName name="EBITDA_DCF" localSheetId="3">[8]DCF_VDF!$C$15:$AZ$15</definedName>
    <definedName name="EBITDA_DCF" localSheetId="18">[9]DCF_VDF!$C$15:$AZ$15</definedName>
    <definedName name="EBITDA_DCF" localSheetId="6">[9]DCF_VDF!$C$15:$AZ$15</definedName>
    <definedName name="EBITDA_DCF" localSheetId="19">[9]DCF_VDF!$C$15:$AZ$15</definedName>
    <definedName name="EBITDA_DCF" localSheetId="7">[9]DCF_VDF!$C$15:$AZ$15</definedName>
    <definedName name="EBITDA_DCF" localSheetId="20">[9]DCF_VDF!$C$15:$AZ$15</definedName>
    <definedName name="EBITDA_DCF">[10]DCF_VDF!$C$15:$AZ$15</definedName>
    <definedName name="EBITDA_growth_avg" localSheetId="4">[8]NOPAT_VDF!#REF!</definedName>
    <definedName name="EBITDA_growth_avg" localSheetId="5">[8]NOPAT_VDF!#REF!</definedName>
    <definedName name="EBITDA_growth_avg" localSheetId="3">[8]NOPAT_VDF!#REF!</definedName>
    <definedName name="EBITDA_growth_avg" localSheetId="30">[10]NOPAT_VDF!#REF!</definedName>
    <definedName name="EBITDA_growth_avg" localSheetId="18">[9]NOPAT_VDF!#REF!</definedName>
    <definedName name="EBITDA_growth_avg" localSheetId="6">[9]NOPAT_VDF!#REF!</definedName>
    <definedName name="EBITDA_growth_avg" localSheetId="19">[9]NOPAT_VDF!#REF!</definedName>
    <definedName name="EBITDA_growth_avg" localSheetId="7">[9]NOPAT_VDF!#REF!</definedName>
    <definedName name="EBITDA_growth_avg" localSheetId="20">[9]NOPAT_VDF!#REF!</definedName>
    <definedName name="EBITDA_growth_avg" localSheetId="17">[10]NOPAT_VDF!#REF!</definedName>
    <definedName name="EBITDA_growth_avg" localSheetId="25">[10]NOPAT_VDF!#REF!</definedName>
    <definedName name="EBITDA_growth_avg" localSheetId="31">[10]NOPAT_VDF!#REF!</definedName>
    <definedName name="EBITDA_growth_avg" localSheetId="0">[10]NOPAT_VDF!#REF!</definedName>
    <definedName name="EBITDA_growth_avg" localSheetId="1">[10]NOPAT_VDF!#REF!</definedName>
    <definedName name="EBITDA_growth_avg">[10]NOPAT_VDF!#REF!</definedName>
    <definedName name="EBITDA_margin" localSheetId="4">[8]NOPAT_VDF!$C$109:$AZ$109</definedName>
    <definedName name="EBITDA_margin" localSheetId="5">[8]NOPAT_VDF!$C$109:$AZ$109</definedName>
    <definedName name="EBITDA_margin" localSheetId="3">[8]NOPAT_VDF!$C$109:$AZ$109</definedName>
    <definedName name="EBITDA_margin" localSheetId="18">[9]NOPAT_VDF!$C$109:$AZ$109</definedName>
    <definedName name="EBITDA_margin" localSheetId="6">[9]NOPAT_VDF!$C$109:$AZ$109</definedName>
    <definedName name="EBITDA_margin" localSheetId="19">[9]NOPAT_VDF!$C$109:$AZ$109</definedName>
    <definedName name="EBITDA_margin" localSheetId="7">[9]NOPAT_VDF!$C$109:$AZ$109</definedName>
    <definedName name="EBITDA_margin" localSheetId="20">[9]NOPAT_VDF!$C$109:$AZ$109</definedName>
    <definedName name="EBITDA_margin">[10]NOPAT_VDF!$C$109:$AZ$109</definedName>
    <definedName name="EBITDA_Share" localSheetId="4">[8]NOPAT_VDF!#REF!</definedName>
    <definedName name="EBITDA_Share" localSheetId="5">[8]NOPAT_VDF!#REF!</definedName>
    <definedName name="EBITDA_Share" localSheetId="3">[8]NOPAT_VDF!#REF!</definedName>
    <definedName name="EBITDA_Share" localSheetId="30">[10]NOPAT_VDF!#REF!</definedName>
    <definedName name="EBITDA_Share" localSheetId="18">[9]NOPAT_VDF!#REF!</definedName>
    <definedName name="EBITDA_Share" localSheetId="6">[9]NOPAT_VDF!#REF!</definedName>
    <definedName name="EBITDA_Share" localSheetId="19">[9]NOPAT_VDF!#REF!</definedName>
    <definedName name="EBITDA_Share" localSheetId="7">[9]NOPAT_VDF!#REF!</definedName>
    <definedName name="EBITDA_Share" localSheetId="20">[9]NOPAT_VDF!#REF!</definedName>
    <definedName name="EBITDA_Share" localSheetId="17">[10]NOPAT_VDF!#REF!</definedName>
    <definedName name="EBITDA_Share" localSheetId="25">[10]NOPAT_VDF!#REF!</definedName>
    <definedName name="EBITDA_Share" localSheetId="31">[10]NOPAT_VDF!#REF!</definedName>
    <definedName name="EBITDA_Share" localSheetId="0">[10]NOPAT_VDF!#REF!</definedName>
    <definedName name="EBITDA_Share" localSheetId="1">[10]NOPAT_VDF!#REF!</definedName>
    <definedName name="EBITDA_Share">[10]NOPAT_VDF!#REF!</definedName>
    <definedName name="ebitda02" localSheetId="4">#REF!</definedName>
    <definedName name="ebitda02" localSheetId="5">#REF!</definedName>
    <definedName name="ebitda02" localSheetId="3">#REF!</definedName>
    <definedName name="ebitda02" localSheetId="30">#REF!</definedName>
    <definedName name="ebitda02" localSheetId="18">#REF!</definedName>
    <definedName name="ebitda02" localSheetId="6">#REF!</definedName>
    <definedName name="ebitda02" localSheetId="19">#REF!</definedName>
    <definedName name="ebitda02" localSheetId="7">#REF!</definedName>
    <definedName name="ebitda02" localSheetId="20">#REF!</definedName>
    <definedName name="ebitda02" localSheetId="17">#REF!</definedName>
    <definedName name="ebitda02" localSheetId="25">#REF!</definedName>
    <definedName name="ebitda02" localSheetId="31">#REF!</definedName>
    <definedName name="ebitda02" localSheetId="0">#REF!</definedName>
    <definedName name="ebitda02" localSheetId="1">#REF!</definedName>
    <definedName name="ebitda02">#REF!</definedName>
    <definedName name="ebitda03" localSheetId="4">#REF!</definedName>
    <definedName name="ebitda03" localSheetId="5">#REF!</definedName>
    <definedName name="ebitda03" localSheetId="3">#REF!</definedName>
    <definedName name="ebitda03" localSheetId="30">#REF!</definedName>
    <definedName name="ebitda03" localSheetId="18">#REF!</definedName>
    <definedName name="ebitda03" localSheetId="6">#REF!</definedName>
    <definedName name="ebitda03" localSheetId="19">#REF!</definedName>
    <definedName name="ebitda03" localSheetId="7">#REF!</definedName>
    <definedName name="ebitda03" localSheetId="20">#REF!</definedName>
    <definedName name="ebitda03" localSheetId="17">#REF!</definedName>
    <definedName name="ebitda03" localSheetId="25">#REF!</definedName>
    <definedName name="ebitda03" localSheetId="31">#REF!</definedName>
    <definedName name="ebitda03" localSheetId="0">#REF!</definedName>
    <definedName name="ebitda03" localSheetId="1">#REF!</definedName>
    <definedName name="ebitda03">#REF!</definedName>
    <definedName name="ebitda04" localSheetId="4">#REF!</definedName>
    <definedName name="ebitda04" localSheetId="5">#REF!</definedName>
    <definedName name="ebitda04" localSheetId="3">#REF!</definedName>
    <definedName name="ebitda04" localSheetId="30">#REF!</definedName>
    <definedName name="ebitda04" localSheetId="18">#REF!</definedName>
    <definedName name="ebitda04" localSheetId="6">#REF!</definedName>
    <definedName name="ebitda04" localSheetId="19">#REF!</definedName>
    <definedName name="ebitda04" localSheetId="7">#REF!</definedName>
    <definedName name="ebitda04" localSheetId="20">#REF!</definedName>
    <definedName name="ebitda04" localSheetId="17">#REF!</definedName>
    <definedName name="ebitda04" localSheetId="25">#REF!</definedName>
    <definedName name="ebitda04" localSheetId="31">#REF!</definedName>
    <definedName name="ebitda04" localSheetId="0">#REF!</definedName>
    <definedName name="ebitda04" localSheetId="1">#REF!</definedName>
    <definedName name="ebitda04">#REF!</definedName>
    <definedName name="ebitda05" localSheetId="4">#REF!</definedName>
    <definedName name="ebitda05" localSheetId="5">#REF!</definedName>
    <definedName name="ebitda05" localSheetId="3">#REF!</definedName>
    <definedName name="ebitda05" localSheetId="30">#REF!</definedName>
    <definedName name="ebitda05" localSheetId="18">#REF!</definedName>
    <definedName name="ebitda05" localSheetId="6">#REF!</definedName>
    <definedName name="ebitda05" localSheetId="19">#REF!</definedName>
    <definedName name="ebitda05" localSheetId="7">#REF!</definedName>
    <definedName name="ebitda05" localSheetId="20">#REF!</definedName>
    <definedName name="ebitda05" localSheetId="17">#REF!</definedName>
    <definedName name="ebitda05" localSheetId="25">#REF!</definedName>
    <definedName name="ebitda05" localSheetId="31">#REF!</definedName>
    <definedName name="ebitda05" localSheetId="0">#REF!</definedName>
    <definedName name="ebitda05" localSheetId="1">#REF!</definedName>
    <definedName name="ebitda05">#REF!</definedName>
    <definedName name="ebitdacagr" localSheetId="4">#REF!</definedName>
    <definedName name="ebitdacagr" localSheetId="5">#REF!</definedName>
    <definedName name="ebitdacagr" localSheetId="3">#REF!</definedName>
    <definedName name="ebitdacagr" localSheetId="30">#REF!</definedName>
    <definedName name="ebitdacagr" localSheetId="18">#REF!</definedName>
    <definedName name="ebitdacagr" localSheetId="6">#REF!</definedName>
    <definedName name="ebitdacagr" localSheetId="19">#REF!</definedName>
    <definedName name="ebitdacagr" localSheetId="7">#REF!</definedName>
    <definedName name="ebitdacagr" localSheetId="20">#REF!</definedName>
    <definedName name="ebitdacagr" localSheetId="17">#REF!</definedName>
    <definedName name="ebitdacagr" localSheetId="25">#REF!</definedName>
    <definedName name="ebitdacagr" localSheetId="31">#REF!</definedName>
    <definedName name="ebitdacagr" localSheetId="0">#REF!</definedName>
    <definedName name="ebitdacagr" localSheetId="1">#REF!</definedName>
    <definedName name="ebitdacagr">#REF!</definedName>
    <definedName name="ebitdacurrent" localSheetId="4">#REF!</definedName>
    <definedName name="ebitdacurrent" localSheetId="5">#REF!</definedName>
    <definedName name="ebitdacurrent" localSheetId="3">#REF!</definedName>
    <definedName name="ebitdacurrent" localSheetId="30">#REF!</definedName>
    <definedName name="ebitdacurrent" localSheetId="18">#REF!</definedName>
    <definedName name="ebitdacurrent" localSheetId="6">#REF!</definedName>
    <definedName name="ebitdacurrent" localSheetId="19">#REF!</definedName>
    <definedName name="ebitdacurrent" localSheetId="7">#REF!</definedName>
    <definedName name="ebitdacurrent" localSheetId="20">#REF!</definedName>
    <definedName name="ebitdacurrent" localSheetId="17">#REF!</definedName>
    <definedName name="ebitdacurrent" localSheetId="25">#REF!</definedName>
    <definedName name="ebitdacurrent" localSheetId="31">#REF!</definedName>
    <definedName name="ebitdacurrent" localSheetId="0">#REF!</definedName>
    <definedName name="ebitdacurrent" localSheetId="1">#REF!</definedName>
    <definedName name="ebitdacurrent">#REF!</definedName>
    <definedName name="ebitdas.00" localSheetId="4">#REF!</definedName>
    <definedName name="ebitdas.00" localSheetId="5">#REF!</definedName>
    <definedName name="ebitdas.00" localSheetId="3">#REF!</definedName>
    <definedName name="ebitdas.00" localSheetId="30">#REF!</definedName>
    <definedName name="ebitdas.00" localSheetId="18">#REF!</definedName>
    <definedName name="ebitdas.00" localSheetId="6">#REF!</definedName>
    <definedName name="ebitdas.00" localSheetId="19">#REF!</definedName>
    <definedName name="ebitdas.00" localSheetId="7">#REF!</definedName>
    <definedName name="ebitdas.00" localSheetId="20">#REF!</definedName>
    <definedName name="ebitdas.00" localSheetId="17">#REF!</definedName>
    <definedName name="ebitdas.00" localSheetId="25">#REF!</definedName>
    <definedName name="ebitdas.00" localSheetId="31">#REF!</definedName>
    <definedName name="ebitdas.00" localSheetId="0">#REF!</definedName>
    <definedName name="ebitdas.00" localSheetId="1">#REF!</definedName>
    <definedName name="ebitdas.00">#REF!</definedName>
    <definedName name="ebitdas.01" localSheetId="4">#REF!</definedName>
    <definedName name="ebitdas.01" localSheetId="5">#REF!</definedName>
    <definedName name="ebitdas.01" localSheetId="3">#REF!</definedName>
    <definedName name="ebitdas.01" localSheetId="30">#REF!</definedName>
    <definedName name="ebitdas.01" localSheetId="18">#REF!</definedName>
    <definedName name="ebitdas.01" localSheetId="6">#REF!</definedName>
    <definedName name="ebitdas.01" localSheetId="19">#REF!</definedName>
    <definedName name="ebitdas.01" localSheetId="7">#REF!</definedName>
    <definedName name="ebitdas.01" localSheetId="20">#REF!</definedName>
    <definedName name="ebitdas.01" localSheetId="17">#REF!</definedName>
    <definedName name="ebitdas.01" localSheetId="25">#REF!</definedName>
    <definedName name="ebitdas.01" localSheetId="31">#REF!</definedName>
    <definedName name="ebitdas.01" localSheetId="0">#REF!</definedName>
    <definedName name="ebitdas.01" localSheetId="1">#REF!</definedName>
    <definedName name="ebitdas.01">#REF!</definedName>
    <definedName name="ebitdas.97" localSheetId="4">#REF!</definedName>
    <definedName name="ebitdas.97" localSheetId="5">#REF!</definedName>
    <definedName name="ebitdas.97" localSheetId="3">#REF!</definedName>
    <definedName name="ebitdas.97" localSheetId="30">#REF!</definedName>
    <definedName name="ebitdas.97" localSheetId="18">#REF!</definedName>
    <definedName name="ebitdas.97" localSheetId="6">#REF!</definedName>
    <definedName name="ebitdas.97" localSheetId="19">#REF!</definedName>
    <definedName name="ebitdas.97" localSheetId="7">#REF!</definedName>
    <definedName name="ebitdas.97" localSheetId="20">#REF!</definedName>
    <definedName name="ebitdas.97" localSheetId="17">#REF!</definedName>
    <definedName name="ebitdas.97" localSheetId="25">#REF!</definedName>
    <definedName name="ebitdas.97" localSheetId="31">#REF!</definedName>
    <definedName name="ebitdas.97" localSheetId="0">#REF!</definedName>
    <definedName name="ebitdas.97" localSheetId="1">#REF!</definedName>
    <definedName name="ebitdas.97">#REF!</definedName>
    <definedName name="ebitdas.98" localSheetId="4">#REF!</definedName>
    <definedName name="ebitdas.98" localSheetId="5">#REF!</definedName>
    <definedName name="ebitdas.98" localSheetId="3">#REF!</definedName>
    <definedName name="ebitdas.98" localSheetId="30">#REF!</definedName>
    <definedName name="ebitdas.98" localSheetId="18">#REF!</definedName>
    <definedName name="ebitdas.98" localSheetId="6">#REF!</definedName>
    <definedName name="ebitdas.98" localSheetId="19">#REF!</definedName>
    <definedName name="ebitdas.98" localSheetId="7">#REF!</definedName>
    <definedName name="ebitdas.98" localSheetId="20">#REF!</definedName>
    <definedName name="ebitdas.98" localSheetId="17">#REF!</definedName>
    <definedName name="ebitdas.98" localSheetId="25">#REF!</definedName>
    <definedName name="ebitdas.98" localSheetId="31">#REF!</definedName>
    <definedName name="ebitdas.98" localSheetId="0">#REF!</definedName>
    <definedName name="ebitdas.98" localSheetId="1">#REF!</definedName>
    <definedName name="ebitdas.98">#REF!</definedName>
    <definedName name="ebitdas.99" localSheetId="4">#REF!</definedName>
    <definedName name="ebitdas.99" localSheetId="5">#REF!</definedName>
    <definedName name="ebitdas.99" localSheetId="3">#REF!</definedName>
    <definedName name="ebitdas.99" localSheetId="30">#REF!</definedName>
    <definedName name="ebitdas.99" localSheetId="18">#REF!</definedName>
    <definedName name="ebitdas.99" localSheetId="6">#REF!</definedName>
    <definedName name="ebitdas.99" localSheetId="19">#REF!</definedName>
    <definedName name="ebitdas.99" localSheetId="7">#REF!</definedName>
    <definedName name="ebitdas.99" localSheetId="20">#REF!</definedName>
    <definedName name="ebitdas.99" localSheetId="17">#REF!</definedName>
    <definedName name="ebitdas.99" localSheetId="25">#REF!</definedName>
    <definedName name="ebitdas.99" localSheetId="31">#REF!</definedName>
    <definedName name="ebitdas.99" localSheetId="0">#REF!</definedName>
    <definedName name="ebitdas.99" localSheetId="1">#REF!</definedName>
    <definedName name="ebitdas.99">#REF!</definedName>
    <definedName name="EBITSENS" localSheetId="4">#REF!</definedName>
    <definedName name="EBITSENS" localSheetId="5">#REF!</definedName>
    <definedName name="EBITSENS" localSheetId="3">#REF!</definedName>
    <definedName name="EBITSENS" localSheetId="30">#REF!</definedName>
    <definedName name="EBITSENS" localSheetId="18">#REF!</definedName>
    <definedName name="EBITSENS" localSheetId="6">#REF!</definedName>
    <definedName name="EBITSENS" localSheetId="19">#REF!</definedName>
    <definedName name="EBITSENS" localSheetId="7">#REF!</definedName>
    <definedName name="EBITSENS" localSheetId="20">#REF!</definedName>
    <definedName name="EBITSENS" localSheetId="17">#REF!</definedName>
    <definedName name="EBITSENS" localSheetId="25">#REF!</definedName>
    <definedName name="EBITSENS" localSheetId="31">#REF!</definedName>
    <definedName name="EBITSENS" localSheetId="0">#REF!</definedName>
    <definedName name="EBITSENS" localSheetId="1">#REF!</definedName>
    <definedName name="EBITSENS">#REF!</definedName>
    <definedName name="EPS" localSheetId="4">[8]NOPAT_VDF!$C$96:$AU$96</definedName>
    <definedName name="EPS" localSheetId="5">[8]NOPAT_VDF!$C$96:$AU$96</definedName>
    <definedName name="EPS" localSheetId="3">[8]NOPAT_VDF!$C$96:$AU$96</definedName>
    <definedName name="EPS" localSheetId="18">[9]NOPAT_VDF!$C$96:$AU$96</definedName>
    <definedName name="EPS" localSheetId="6">[9]NOPAT_VDF!$C$96:$AU$96</definedName>
    <definedName name="EPS" localSheetId="19">[9]NOPAT_VDF!$C$96:$AU$96</definedName>
    <definedName name="EPS" localSheetId="7">[9]NOPAT_VDF!$C$96:$AU$96</definedName>
    <definedName name="EPS" localSheetId="20">[9]NOPAT_VDF!$C$96:$AU$96</definedName>
    <definedName name="EPS">[10]NOPAT_VDF!$C$96:$AU$96</definedName>
    <definedName name="eps.00" localSheetId="4">#REF!</definedName>
    <definedName name="eps.00" localSheetId="5">#REF!</definedName>
    <definedName name="eps.00" localSheetId="3">#REF!</definedName>
    <definedName name="eps.00" localSheetId="30">#REF!</definedName>
    <definedName name="eps.00" localSheetId="18">#REF!</definedName>
    <definedName name="eps.00" localSheetId="6">#REF!</definedName>
    <definedName name="eps.00" localSheetId="19">#REF!</definedName>
    <definedName name="eps.00" localSheetId="7">#REF!</definedName>
    <definedName name="eps.00" localSheetId="20">#REF!</definedName>
    <definedName name="eps.00" localSheetId="17">#REF!</definedName>
    <definedName name="eps.00" localSheetId="25">#REF!</definedName>
    <definedName name="eps.00" localSheetId="31">#REF!</definedName>
    <definedName name="eps.00" localSheetId="0">#REF!</definedName>
    <definedName name="eps.00" localSheetId="1">#REF!</definedName>
    <definedName name="eps.00">#REF!</definedName>
    <definedName name="eps.01" localSheetId="4">#REF!</definedName>
    <definedName name="eps.01" localSheetId="5">#REF!</definedName>
    <definedName name="eps.01" localSheetId="3">#REF!</definedName>
    <definedName name="eps.01" localSheetId="30">#REF!</definedName>
    <definedName name="eps.01" localSheetId="18">#REF!</definedName>
    <definedName name="eps.01" localSheetId="6">#REF!</definedName>
    <definedName name="eps.01" localSheetId="19">#REF!</definedName>
    <definedName name="eps.01" localSheetId="7">#REF!</definedName>
    <definedName name="eps.01" localSheetId="20">#REF!</definedName>
    <definedName name="eps.01" localSheetId="17">#REF!</definedName>
    <definedName name="eps.01" localSheetId="25">#REF!</definedName>
    <definedName name="eps.01" localSheetId="31">#REF!</definedName>
    <definedName name="eps.01" localSheetId="0">#REF!</definedName>
    <definedName name="eps.01" localSheetId="1">#REF!</definedName>
    <definedName name="eps.01">#REF!</definedName>
    <definedName name="eps.02" localSheetId="4">#REF!</definedName>
    <definedName name="eps.02" localSheetId="5">#REF!</definedName>
    <definedName name="eps.02" localSheetId="3">#REF!</definedName>
    <definedName name="eps.02" localSheetId="30">#REF!</definedName>
    <definedName name="eps.02" localSheetId="18">#REF!</definedName>
    <definedName name="eps.02" localSheetId="6">#REF!</definedName>
    <definedName name="eps.02" localSheetId="19">#REF!</definedName>
    <definedName name="eps.02" localSheetId="7">#REF!</definedName>
    <definedName name="eps.02" localSheetId="20">#REF!</definedName>
    <definedName name="eps.02" localSheetId="17">#REF!</definedName>
    <definedName name="eps.02" localSheetId="25">#REF!</definedName>
    <definedName name="eps.02" localSheetId="31">#REF!</definedName>
    <definedName name="eps.02" localSheetId="0">#REF!</definedName>
    <definedName name="eps.02" localSheetId="1">#REF!</definedName>
    <definedName name="eps.02">#REF!</definedName>
    <definedName name="eps.03" localSheetId="4">#REF!</definedName>
    <definedName name="eps.03" localSheetId="5">#REF!</definedName>
    <definedName name="eps.03" localSheetId="3">#REF!</definedName>
    <definedName name="eps.03" localSheetId="30">#REF!</definedName>
    <definedName name="eps.03" localSheetId="18">#REF!</definedName>
    <definedName name="eps.03" localSheetId="6">#REF!</definedName>
    <definedName name="eps.03" localSheetId="19">#REF!</definedName>
    <definedName name="eps.03" localSheetId="7">#REF!</definedName>
    <definedName name="eps.03" localSheetId="20">#REF!</definedName>
    <definedName name="eps.03" localSheetId="17">#REF!</definedName>
    <definedName name="eps.03" localSheetId="25">#REF!</definedName>
    <definedName name="eps.03" localSheetId="31">#REF!</definedName>
    <definedName name="eps.03" localSheetId="0">#REF!</definedName>
    <definedName name="eps.03" localSheetId="1">#REF!</definedName>
    <definedName name="eps.03">#REF!</definedName>
    <definedName name="eps.93" localSheetId="4">#REF!</definedName>
    <definedName name="eps.93" localSheetId="5">#REF!</definedName>
    <definedName name="eps.93" localSheetId="3">#REF!</definedName>
    <definedName name="eps.93" localSheetId="30">#REF!</definedName>
    <definedName name="eps.93" localSheetId="18">#REF!</definedName>
    <definedName name="eps.93" localSheetId="6">#REF!</definedName>
    <definedName name="eps.93" localSheetId="19">#REF!</definedName>
    <definedName name="eps.93" localSheetId="7">#REF!</definedName>
    <definedName name="eps.93" localSheetId="20">#REF!</definedName>
    <definedName name="eps.93" localSheetId="17">#REF!</definedName>
    <definedName name="eps.93" localSheetId="25">#REF!</definedName>
    <definedName name="eps.93" localSheetId="31">#REF!</definedName>
    <definedName name="eps.93" localSheetId="0">#REF!</definedName>
    <definedName name="eps.93" localSheetId="1">#REF!</definedName>
    <definedName name="eps.93">#REF!</definedName>
    <definedName name="eps.94" localSheetId="4">#REF!</definedName>
    <definedName name="eps.94" localSheetId="5">#REF!</definedName>
    <definedName name="eps.94" localSheetId="3">#REF!</definedName>
    <definedName name="eps.94" localSheetId="30">#REF!</definedName>
    <definedName name="eps.94" localSheetId="18">#REF!</definedName>
    <definedName name="eps.94" localSheetId="6">#REF!</definedName>
    <definedName name="eps.94" localSheetId="19">#REF!</definedName>
    <definedName name="eps.94" localSheetId="7">#REF!</definedName>
    <definedName name="eps.94" localSheetId="20">#REF!</definedName>
    <definedName name="eps.94" localSheetId="17">#REF!</definedName>
    <definedName name="eps.94" localSheetId="25">#REF!</definedName>
    <definedName name="eps.94" localSheetId="31">#REF!</definedName>
    <definedName name="eps.94" localSheetId="0">#REF!</definedName>
    <definedName name="eps.94" localSheetId="1">#REF!</definedName>
    <definedName name="eps.94">#REF!</definedName>
    <definedName name="eps.95" localSheetId="4">#REF!</definedName>
    <definedName name="eps.95" localSheetId="5">#REF!</definedName>
    <definedName name="eps.95" localSheetId="3">#REF!</definedName>
    <definedName name="eps.95" localSheetId="30">#REF!</definedName>
    <definedName name="eps.95" localSheetId="18">#REF!</definedName>
    <definedName name="eps.95" localSheetId="6">#REF!</definedName>
    <definedName name="eps.95" localSheetId="19">#REF!</definedName>
    <definedName name="eps.95" localSheetId="7">#REF!</definedName>
    <definedName name="eps.95" localSheetId="20">#REF!</definedName>
    <definedName name="eps.95" localSheetId="17">#REF!</definedName>
    <definedName name="eps.95" localSheetId="25">#REF!</definedName>
    <definedName name="eps.95" localSheetId="31">#REF!</definedName>
    <definedName name="eps.95" localSheetId="0">#REF!</definedName>
    <definedName name="eps.95" localSheetId="1">#REF!</definedName>
    <definedName name="eps.95">#REF!</definedName>
    <definedName name="eps.96" localSheetId="4">#REF!</definedName>
    <definedName name="eps.96" localSheetId="5">#REF!</definedName>
    <definedName name="eps.96" localSheetId="3">#REF!</definedName>
    <definedName name="eps.96" localSheetId="30">#REF!</definedName>
    <definedName name="eps.96" localSheetId="18">#REF!</definedName>
    <definedName name="eps.96" localSheetId="6">#REF!</definedName>
    <definedName name="eps.96" localSheetId="19">#REF!</definedName>
    <definedName name="eps.96" localSheetId="7">#REF!</definedName>
    <definedName name="eps.96" localSheetId="20">#REF!</definedName>
    <definedName name="eps.96" localSheetId="17">#REF!</definedName>
    <definedName name="eps.96" localSheetId="25">#REF!</definedName>
    <definedName name="eps.96" localSheetId="31">#REF!</definedName>
    <definedName name="eps.96" localSheetId="0">#REF!</definedName>
    <definedName name="eps.96" localSheetId="1">#REF!</definedName>
    <definedName name="eps.96">#REF!</definedName>
    <definedName name="eps.97" localSheetId="4">#REF!</definedName>
    <definedName name="eps.97" localSheetId="5">#REF!</definedName>
    <definedName name="eps.97" localSheetId="3">#REF!</definedName>
    <definedName name="eps.97" localSheetId="30">#REF!</definedName>
    <definedName name="eps.97" localSheetId="18">#REF!</definedName>
    <definedName name="eps.97" localSheetId="6">#REF!</definedName>
    <definedName name="eps.97" localSheetId="19">#REF!</definedName>
    <definedName name="eps.97" localSheetId="7">#REF!</definedName>
    <definedName name="eps.97" localSheetId="20">#REF!</definedName>
    <definedName name="eps.97" localSheetId="17">#REF!</definedName>
    <definedName name="eps.97" localSheetId="25">#REF!</definedName>
    <definedName name="eps.97" localSheetId="31">#REF!</definedName>
    <definedName name="eps.97" localSheetId="0">#REF!</definedName>
    <definedName name="eps.97" localSheetId="1">#REF!</definedName>
    <definedName name="eps.97">#REF!</definedName>
    <definedName name="eps.98" localSheetId="4">#REF!</definedName>
    <definedName name="eps.98" localSheetId="5">#REF!</definedName>
    <definedName name="eps.98" localSheetId="3">#REF!</definedName>
    <definedName name="eps.98" localSheetId="30">#REF!</definedName>
    <definedName name="eps.98" localSheetId="18">#REF!</definedName>
    <definedName name="eps.98" localSheetId="6">#REF!</definedName>
    <definedName name="eps.98" localSheetId="19">#REF!</definedName>
    <definedName name="eps.98" localSheetId="7">#REF!</definedName>
    <definedName name="eps.98" localSheetId="20">#REF!</definedName>
    <definedName name="eps.98" localSheetId="17">#REF!</definedName>
    <definedName name="eps.98" localSheetId="25">#REF!</definedName>
    <definedName name="eps.98" localSheetId="31">#REF!</definedName>
    <definedName name="eps.98" localSheetId="0">#REF!</definedName>
    <definedName name="eps.98" localSheetId="1">#REF!</definedName>
    <definedName name="eps.98">#REF!</definedName>
    <definedName name="eps.99" localSheetId="4">#REF!</definedName>
    <definedName name="eps.99" localSheetId="5">#REF!</definedName>
    <definedName name="eps.99" localSheetId="3">#REF!</definedName>
    <definedName name="eps.99" localSheetId="30">#REF!</definedName>
    <definedName name="eps.99" localSheetId="18">#REF!</definedName>
    <definedName name="eps.99" localSheetId="6">#REF!</definedName>
    <definedName name="eps.99" localSheetId="19">#REF!</definedName>
    <definedName name="eps.99" localSheetId="7">#REF!</definedName>
    <definedName name="eps.99" localSheetId="20">#REF!</definedName>
    <definedName name="eps.99" localSheetId="17">#REF!</definedName>
    <definedName name="eps.99" localSheetId="25">#REF!</definedName>
    <definedName name="eps.99" localSheetId="31">#REF!</definedName>
    <definedName name="eps.99" localSheetId="0">#REF!</definedName>
    <definedName name="eps.99" localSheetId="1">#REF!</definedName>
    <definedName name="eps.99">#REF!</definedName>
    <definedName name="EPS_Curr_Qtr" localSheetId="4">#REF!</definedName>
    <definedName name="EPS_Curr_Qtr" localSheetId="5">#REF!</definedName>
    <definedName name="EPS_Curr_Qtr" localSheetId="3">#REF!</definedName>
    <definedName name="EPS_Curr_Qtr" localSheetId="30">#REF!</definedName>
    <definedName name="EPS_Curr_Qtr" localSheetId="18">#REF!</definedName>
    <definedName name="EPS_Curr_Qtr" localSheetId="6">#REF!</definedName>
    <definedName name="EPS_Curr_Qtr" localSheetId="19">#REF!</definedName>
    <definedName name="EPS_Curr_Qtr" localSheetId="7">#REF!</definedName>
    <definedName name="EPS_Curr_Qtr" localSheetId="20">#REF!</definedName>
    <definedName name="EPS_Curr_Qtr" localSheetId="17">#REF!</definedName>
    <definedName name="EPS_Curr_Qtr" localSheetId="25">#REF!</definedName>
    <definedName name="EPS_Curr_Qtr" localSheetId="31">#REF!</definedName>
    <definedName name="EPS_Curr_Qtr" localSheetId="0">#REF!</definedName>
    <definedName name="EPS_Curr_Qtr" localSheetId="1">#REF!</definedName>
    <definedName name="EPS_Curr_Qtr">#REF!</definedName>
    <definedName name="EPS_Curr_Yr" localSheetId="4">#REF!</definedName>
    <definedName name="EPS_Curr_Yr" localSheetId="5">#REF!</definedName>
    <definedName name="EPS_Curr_Yr" localSheetId="3">#REF!</definedName>
    <definedName name="EPS_Curr_Yr" localSheetId="30">#REF!</definedName>
    <definedName name="EPS_Curr_Yr" localSheetId="18">#REF!</definedName>
    <definedName name="EPS_Curr_Yr" localSheetId="6">#REF!</definedName>
    <definedName name="EPS_Curr_Yr" localSheetId="19">#REF!</definedName>
    <definedName name="EPS_Curr_Yr" localSheetId="7">#REF!</definedName>
    <definedName name="EPS_Curr_Yr" localSheetId="20">#REF!</definedName>
    <definedName name="EPS_Curr_Yr" localSheetId="17">#REF!</definedName>
    <definedName name="EPS_Curr_Yr" localSheetId="25">#REF!</definedName>
    <definedName name="EPS_Curr_Yr" localSheetId="31">#REF!</definedName>
    <definedName name="EPS_Curr_Yr" localSheetId="0">#REF!</definedName>
    <definedName name="EPS_Curr_Yr" localSheetId="1">#REF!</definedName>
    <definedName name="EPS_Curr_Yr">#REF!</definedName>
    <definedName name="EPS_growth_avg" localSheetId="4">[8]NOPAT_VDF!#REF!</definedName>
    <definedName name="EPS_growth_avg" localSheetId="5">[8]NOPAT_VDF!#REF!</definedName>
    <definedName name="EPS_growth_avg" localSheetId="3">[8]NOPAT_VDF!#REF!</definedName>
    <definedName name="EPS_growth_avg" localSheetId="30">[10]NOPAT_VDF!#REF!</definedName>
    <definedName name="EPS_growth_avg" localSheetId="18">[9]NOPAT_VDF!#REF!</definedName>
    <definedName name="EPS_growth_avg" localSheetId="6">[9]NOPAT_VDF!#REF!</definedName>
    <definedName name="EPS_growth_avg" localSheetId="19">[9]NOPAT_VDF!#REF!</definedName>
    <definedName name="EPS_growth_avg" localSheetId="7">[9]NOPAT_VDF!#REF!</definedName>
    <definedName name="EPS_growth_avg" localSheetId="20">[9]NOPAT_VDF!#REF!</definedName>
    <definedName name="EPS_growth_avg" localSheetId="17">[10]NOPAT_VDF!#REF!</definedName>
    <definedName name="EPS_growth_avg" localSheetId="25">[10]NOPAT_VDF!#REF!</definedName>
    <definedName name="EPS_growth_avg" localSheetId="31">[10]NOPAT_VDF!#REF!</definedName>
    <definedName name="EPS_growth_avg" localSheetId="0">[10]NOPAT_VDF!#REF!</definedName>
    <definedName name="EPS_growth_avg" localSheetId="1">[10]NOPAT_VDF!#REF!</definedName>
    <definedName name="EPS_growth_avg">[10]NOPAT_VDF!#REF!</definedName>
    <definedName name="EPS_Growth_Rate" localSheetId="4">#REF!</definedName>
    <definedName name="EPS_Growth_Rate" localSheetId="5">#REF!</definedName>
    <definedName name="EPS_Growth_Rate" localSheetId="3">#REF!</definedName>
    <definedName name="EPS_Growth_Rate" localSheetId="30">#REF!</definedName>
    <definedName name="EPS_Growth_Rate" localSheetId="18">#REF!</definedName>
    <definedName name="EPS_Growth_Rate" localSheetId="6">#REF!</definedName>
    <definedName name="EPS_Growth_Rate" localSheetId="19">#REF!</definedName>
    <definedName name="EPS_Growth_Rate" localSheetId="7">#REF!</definedName>
    <definedName name="EPS_Growth_Rate" localSheetId="20">#REF!</definedName>
    <definedName name="EPS_Growth_Rate" localSheetId="17">#REF!</definedName>
    <definedName name="EPS_Growth_Rate" localSheetId="25">#REF!</definedName>
    <definedName name="EPS_Growth_Rate" localSheetId="31">#REF!</definedName>
    <definedName name="EPS_Growth_Rate" localSheetId="0">#REF!</definedName>
    <definedName name="EPS_Growth_Rate" localSheetId="1">#REF!</definedName>
    <definedName name="EPS_Growth_Rate">#REF!</definedName>
    <definedName name="EPS_Lst_Yr" localSheetId="4">#REF!</definedName>
    <definedName name="EPS_Lst_Yr" localSheetId="5">#REF!</definedName>
    <definedName name="EPS_Lst_Yr" localSheetId="3">#REF!</definedName>
    <definedName name="EPS_Lst_Yr" localSheetId="30">#REF!</definedName>
    <definedName name="EPS_Lst_Yr" localSheetId="18">#REF!</definedName>
    <definedName name="EPS_Lst_Yr" localSheetId="6">#REF!</definedName>
    <definedName name="EPS_Lst_Yr" localSheetId="19">#REF!</definedName>
    <definedName name="EPS_Lst_Yr" localSheetId="7">#REF!</definedName>
    <definedName name="EPS_Lst_Yr" localSheetId="20">#REF!</definedName>
    <definedName name="EPS_Lst_Yr" localSheetId="17">#REF!</definedName>
    <definedName name="EPS_Lst_Yr" localSheetId="25">#REF!</definedName>
    <definedName name="EPS_Lst_Yr" localSheetId="31">#REF!</definedName>
    <definedName name="EPS_Lst_Yr" localSheetId="0">#REF!</definedName>
    <definedName name="EPS_Lst_Yr" localSheetId="1">#REF!</definedName>
    <definedName name="EPS_Lst_Yr">#REF!</definedName>
    <definedName name="EPS_Next_Yr" localSheetId="4">#REF!</definedName>
    <definedName name="EPS_Next_Yr" localSheetId="5">#REF!</definedName>
    <definedName name="EPS_Next_Yr" localSheetId="3">#REF!</definedName>
    <definedName name="EPS_Next_Yr" localSheetId="30">#REF!</definedName>
    <definedName name="EPS_Next_Yr" localSheetId="18">#REF!</definedName>
    <definedName name="EPS_Next_Yr" localSheetId="6">#REF!</definedName>
    <definedName name="EPS_Next_Yr" localSheetId="19">#REF!</definedName>
    <definedName name="EPS_Next_Yr" localSheetId="7">#REF!</definedName>
    <definedName name="EPS_Next_Yr" localSheetId="20">#REF!</definedName>
    <definedName name="EPS_Next_Yr" localSheetId="17">#REF!</definedName>
    <definedName name="EPS_Next_Yr" localSheetId="25">#REF!</definedName>
    <definedName name="EPS_Next_Yr" localSheetId="31">#REF!</definedName>
    <definedName name="EPS_Next_Yr" localSheetId="0">#REF!</definedName>
    <definedName name="EPS_Next_Yr" localSheetId="1">#REF!</definedName>
    <definedName name="EPS_Next_Yr">#REF!</definedName>
    <definedName name="EPS_Qtr_Date" localSheetId="4">#REF!</definedName>
    <definedName name="EPS_Qtr_Date" localSheetId="5">#REF!</definedName>
    <definedName name="EPS_Qtr_Date" localSheetId="3">#REF!</definedName>
    <definedName name="EPS_Qtr_Date" localSheetId="30">#REF!</definedName>
    <definedName name="EPS_Qtr_Date" localSheetId="18">#REF!</definedName>
    <definedName name="EPS_Qtr_Date" localSheetId="6">#REF!</definedName>
    <definedName name="EPS_Qtr_Date" localSheetId="19">#REF!</definedName>
    <definedName name="EPS_Qtr_Date" localSheetId="7">#REF!</definedName>
    <definedName name="EPS_Qtr_Date" localSheetId="20">#REF!</definedName>
    <definedName name="EPS_Qtr_Date" localSheetId="17">#REF!</definedName>
    <definedName name="EPS_Qtr_Date" localSheetId="25">#REF!</definedName>
    <definedName name="EPS_Qtr_Date" localSheetId="31">#REF!</definedName>
    <definedName name="EPS_Qtr_Date" localSheetId="0">#REF!</definedName>
    <definedName name="EPS_Qtr_Date" localSheetId="1">#REF!</definedName>
    <definedName name="EPS_Qtr_Date">#REF!</definedName>
    <definedName name="epscagr" localSheetId="4">#REF!</definedName>
    <definedName name="epscagr" localSheetId="5">#REF!</definedName>
    <definedName name="epscagr" localSheetId="3">#REF!</definedName>
    <definedName name="epscagr" localSheetId="30">#REF!</definedName>
    <definedName name="epscagr" localSheetId="18">#REF!</definedName>
    <definedName name="epscagr" localSheetId="6">#REF!</definedName>
    <definedName name="epscagr" localSheetId="19">#REF!</definedName>
    <definedName name="epscagr" localSheetId="7">#REF!</definedName>
    <definedName name="epscagr" localSheetId="20">#REF!</definedName>
    <definedName name="epscagr" localSheetId="17">#REF!</definedName>
    <definedName name="epscagr" localSheetId="25">#REF!</definedName>
    <definedName name="epscagr" localSheetId="31">#REF!</definedName>
    <definedName name="epscagr" localSheetId="0">#REF!</definedName>
    <definedName name="epscagr" localSheetId="1">#REF!</definedName>
    <definedName name="epscagr">#REF!</definedName>
    <definedName name="Equity_Ticker" localSheetId="4">#REF!</definedName>
    <definedName name="Equity_Ticker" localSheetId="5">#REF!</definedName>
    <definedName name="Equity_Ticker" localSheetId="3">#REF!</definedName>
    <definedName name="Equity_Ticker" localSheetId="30">#REF!</definedName>
    <definedName name="Equity_Ticker" localSheetId="18">#REF!</definedName>
    <definedName name="Equity_Ticker" localSheetId="6">#REF!</definedName>
    <definedName name="Equity_Ticker" localSheetId="19">#REF!</definedName>
    <definedName name="Equity_Ticker" localSheetId="7">#REF!</definedName>
    <definedName name="Equity_Ticker" localSheetId="20">#REF!</definedName>
    <definedName name="Equity_Ticker" localSheetId="17">#REF!</definedName>
    <definedName name="Equity_Ticker" localSheetId="25">#REF!</definedName>
    <definedName name="Equity_Ticker" localSheetId="31">#REF!</definedName>
    <definedName name="Equity_Ticker" localSheetId="0">#REF!</definedName>
    <definedName name="Equity_Ticker" localSheetId="1">#REF!</definedName>
    <definedName name="Equity_Ticker">#REF!</definedName>
    <definedName name="Excess_cash" localSheetId="4">'[8]Invested capital_VDF'!$C$5:$AE$5</definedName>
    <definedName name="Excess_cash" localSheetId="5">'[8]Invested capital_VDF'!$C$5:$AE$5</definedName>
    <definedName name="Excess_cash" localSheetId="3">'[8]Invested capital_VDF'!$C$5:$AE$5</definedName>
    <definedName name="Excess_cash" localSheetId="18">'[9]Invested capital_VDF'!$C$5:$AE$5</definedName>
    <definedName name="Excess_cash" localSheetId="6">'[9]Invested capital_VDF'!$C$5:$AE$5</definedName>
    <definedName name="Excess_cash" localSheetId="19">'[9]Invested capital_VDF'!$C$5:$AE$5</definedName>
    <definedName name="Excess_cash" localSheetId="7">'[9]Invested capital_VDF'!$C$5:$AE$5</definedName>
    <definedName name="Excess_cash" localSheetId="20">'[9]Invested capital_VDF'!$C$5:$AE$5</definedName>
    <definedName name="Excess_cash">'[10]Invested capital_VDF'!$C$5:$AE$5</definedName>
    <definedName name="f" localSheetId="4">'DESP Annual'!f</definedName>
    <definedName name="f" localSheetId="5">'DESP Charts'!f</definedName>
    <definedName name="f" localSheetId="3">'DESP Quarterly'!f</definedName>
    <definedName name="f" localSheetId="30">Forms!f</definedName>
    <definedName name="f" localSheetId="18">MMYT!f</definedName>
    <definedName name="f" localSheetId="6">'MMYT (2)'!f</definedName>
    <definedName name="f" localSheetId="19">'MMYT charts'!f</definedName>
    <definedName name="f" localSheetId="7">'MMYT charts (2)'!f</definedName>
    <definedName name="f" localSheetId="20">'OYO Estimation'!f</definedName>
    <definedName name="f" localSheetId="17">'Quarterly Charts '!f</definedName>
    <definedName name="f" localSheetId="25">'TOUR (RMB)'!f</definedName>
    <definedName name="f" localSheetId="31">'TOUR VS. CTRIP'!f</definedName>
    <definedName name="f" localSheetId="0">同程艺龙!f</definedName>
    <definedName name="f" localSheetId="1">'同程艺龙 Peers'!f</definedName>
    <definedName name="f">Forms!f</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P_165_1_aUrv" localSheetId="4" hidden="1">#REF!</definedName>
    <definedName name="FDP_165_1_aUrv" localSheetId="5" hidden="1">#REF!</definedName>
    <definedName name="FDP_165_1_aUrv" localSheetId="3" hidden="1">#REF!</definedName>
    <definedName name="FDP_165_1_aUrv" localSheetId="30" hidden="1">#REF!</definedName>
    <definedName name="FDP_165_1_aUrv" localSheetId="18" hidden="1">#REF!</definedName>
    <definedName name="FDP_165_1_aUrv" localSheetId="6" hidden="1">#REF!</definedName>
    <definedName name="FDP_165_1_aUrv" localSheetId="19" hidden="1">#REF!</definedName>
    <definedName name="FDP_165_1_aUrv" localSheetId="7" hidden="1">#REF!</definedName>
    <definedName name="FDP_165_1_aUrv" localSheetId="20" hidden="1">#REF!</definedName>
    <definedName name="FDP_165_1_aUrv" localSheetId="17" hidden="1">#REF!</definedName>
    <definedName name="FDP_165_1_aUrv" localSheetId="25" hidden="1">#REF!</definedName>
    <definedName name="FDP_165_1_aUrv" localSheetId="31" hidden="1">#REF!</definedName>
    <definedName name="FDP_165_1_aUrv" localSheetId="0" hidden="1">#REF!</definedName>
    <definedName name="FDP_165_1_aUrv" localSheetId="1" hidden="1">#REF!</definedName>
    <definedName name="FDP_165_1_aUrv" hidden="1">#REF!</definedName>
    <definedName name="FDP_166_1_aUrv" localSheetId="4" hidden="1">#REF!</definedName>
    <definedName name="FDP_166_1_aUrv" localSheetId="5" hidden="1">#REF!</definedName>
    <definedName name="FDP_166_1_aUrv" localSheetId="3" hidden="1">#REF!</definedName>
    <definedName name="FDP_166_1_aUrv" localSheetId="30" hidden="1">#REF!</definedName>
    <definedName name="FDP_166_1_aUrv" localSheetId="18" hidden="1">#REF!</definedName>
    <definedName name="FDP_166_1_aUrv" localSheetId="6" hidden="1">#REF!</definedName>
    <definedName name="FDP_166_1_aUrv" localSheetId="19" hidden="1">#REF!</definedName>
    <definedName name="FDP_166_1_aUrv" localSheetId="7" hidden="1">#REF!</definedName>
    <definedName name="FDP_166_1_aUrv" localSheetId="20" hidden="1">#REF!</definedName>
    <definedName name="FDP_166_1_aUrv" localSheetId="17" hidden="1">#REF!</definedName>
    <definedName name="FDP_166_1_aUrv" localSheetId="25" hidden="1">#REF!</definedName>
    <definedName name="FDP_166_1_aUrv" localSheetId="31" hidden="1">#REF!</definedName>
    <definedName name="FDP_166_1_aUrv" localSheetId="0" hidden="1">#REF!</definedName>
    <definedName name="FDP_166_1_aUrv" localSheetId="1" hidden="1">#REF!</definedName>
    <definedName name="FDP_166_1_aUrv" hidden="1">#REF!</definedName>
    <definedName name="FDP_167_1_aUrv" localSheetId="4" hidden="1">#REF!</definedName>
    <definedName name="FDP_167_1_aUrv" localSheetId="5" hidden="1">#REF!</definedName>
    <definedName name="FDP_167_1_aUrv" localSheetId="3" hidden="1">#REF!</definedName>
    <definedName name="FDP_167_1_aUrv" localSheetId="30" hidden="1">#REF!</definedName>
    <definedName name="FDP_167_1_aUrv" localSheetId="18" hidden="1">#REF!</definedName>
    <definedName name="FDP_167_1_aUrv" localSheetId="6" hidden="1">#REF!</definedName>
    <definedName name="FDP_167_1_aUrv" localSheetId="19" hidden="1">#REF!</definedName>
    <definedName name="FDP_167_1_aUrv" localSheetId="7" hidden="1">#REF!</definedName>
    <definedName name="FDP_167_1_aUrv" localSheetId="20" hidden="1">#REF!</definedName>
    <definedName name="FDP_167_1_aUrv" localSheetId="17" hidden="1">#REF!</definedName>
    <definedName name="FDP_167_1_aUrv" localSheetId="25" hidden="1">#REF!</definedName>
    <definedName name="FDP_167_1_aUrv" localSheetId="31" hidden="1">#REF!</definedName>
    <definedName name="FDP_167_1_aUrv" localSheetId="0" hidden="1">#REF!</definedName>
    <definedName name="FDP_167_1_aUrv" localSheetId="1" hidden="1">#REF!</definedName>
    <definedName name="FDP_167_1_aUrv" hidden="1">#REF!</definedName>
    <definedName name="FDP_168_1_aSrv" localSheetId="4" hidden="1">#REF!</definedName>
    <definedName name="FDP_168_1_aSrv" localSheetId="5" hidden="1">#REF!</definedName>
    <definedName name="FDP_168_1_aSrv" localSheetId="3" hidden="1">#REF!</definedName>
    <definedName name="FDP_168_1_aSrv" localSheetId="30" hidden="1">#REF!</definedName>
    <definedName name="FDP_168_1_aSrv" localSheetId="18" hidden="1">#REF!</definedName>
    <definedName name="FDP_168_1_aSrv" localSheetId="6" hidden="1">#REF!</definedName>
    <definedName name="FDP_168_1_aSrv" localSheetId="19" hidden="1">#REF!</definedName>
    <definedName name="FDP_168_1_aSrv" localSheetId="7" hidden="1">#REF!</definedName>
    <definedName name="FDP_168_1_aSrv" localSheetId="20" hidden="1">#REF!</definedName>
    <definedName name="FDP_168_1_aSrv" localSheetId="17" hidden="1">#REF!</definedName>
    <definedName name="FDP_168_1_aSrv" localSheetId="25" hidden="1">#REF!</definedName>
    <definedName name="FDP_168_1_aSrv" localSheetId="31" hidden="1">#REF!</definedName>
    <definedName name="FDP_168_1_aSrv" localSheetId="0" hidden="1">#REF!</definedName>
    <definedName name="FDP_168_1_aSrv" localSheetId="1" hidden="1">#REF!</definedName>
    <definedName name="FDP_168_1_aSrv" hidden="1">#REF!</definedName>
    <definedName name="FDP_169_1_aUrv" localSheetId="4" hidden="1">#REF!</definedName>
    <definedName name="FDP_169_1_aUrv" localSheetId="5" hidden="1">#REF!</definedName>
    <definedName name="FDP_169_1_aUrv" localSheetId="3" hidden="1">#REF!</definedName>
    <definedName name="FDP_169_1_aUrv" localSheetId="30" hidden="1">#REF!</definedName>
    <definedName name="FDP_169_1_aUrv" localSheetId="18" hidden="1">#REF!</definedName>
    <definedName name="FDP_169_1_aUrv" localSheetId="6" hidden="1">#REF!</definedName>
    <definedName name="FDP_169_1_aUrv" localSheetId="19" hidden="1">#REF!</definedName>
    <definedName name="FDP_169_1_aUrv" localSheetId="7" hidden="1">#REF!</definedName>
    <definedName name="FDP_169_1_aUrv" localSheetId="20" hidden="1">#REF!</definedName>
    <definedName name="FDP_169_1_aUrv" localSheetId="17" hidden="1">#REF!</definedName>
    <definedName name="FDP_169_1_aUrv" localSheetId="25" hidden="1">#REF!</definedName>
    <definedName name="FDP_169_1_aUrv" localSheetId="31" hidden="1">#REF!</definedName>
    <definedName name="FDP_169_1_aUrv" localSheetId="0" hidden="1">#REF!</definedName>
    <definedName name="FDP_169_1_aUrv" localSheetId="1" hidden="1">#REF!</definedName>
    <definedName name="FDP_169_1_aUrv" hidden="1">#REF!</definedName>
    <definedName name="FDP_170_1_aSrv" localSheetId="4" hidden="1">#REF!</definedName>
    <definedName name="FDP_170_1_aSrv" localSheetId="5" hidden="1">#REF!</definedName>
    <definedName name="FDP_170_1_aSrv" localSheetId="3" hidden="1">#REF!</definedName>
    <definedName name="FDP_170_1_aSrv" localSheetId="30" hidden="1">#REF!</definedName>
    <definedName name="FDP_170_1_aSrv" localSheetId="18" hidden="1">#REF!</definedName>
    <definedName name="FDP_170_1_aSrv" localSheetId="6" hidden="1">#REF!</definedName>
    <definedName name="FDP_170_1_aSrv" localSheetId="19" hidden="1">#REF!</definedName>
    <definedName name="FDP_170_1_aSrv" localSheetId="7" hidden="1">#REF!</definedName>
    <definedName name="FDP_170_1_aSrv" localSheetId="20" hidden="1">#REF!</definedName>
    <definedName name="FDP_170_1_aSrv" localSheetId="17" hidden="1">#REF!</definedName>
    <definedName name="FDP_170_1_aSrv" localSheetId="25" hidden="1">#REF!</definedName>
    <definedName name="FDP_170_1_aSrv" localSheetId="31" hidden="1">#REF!</definedName>
    <definedName name="FDP_170_1_aSrv" localSheetId="0" hidden="1">#REF!</definedName>
    <definedName name="FDP_170_1_aSrv" localSheetId="1" hidden="1">#REF!</definedName>
    <definedName name="FDP_170_1_aSrv" hidden="1">#REF!</definedName>
    <definedName name="FDP_171_1_aUrv" localSheetId="4" hidden="1">#REF!</definedName>
    <definedName name="FDP_171_1_aUrv" localSheetId="5" hidden="1">#REF!</definedName>
    <definedName name="FDP_171_1_aUrv" localSheetId="3" hidden="1">#REF!</definedName>
    <definedName name="FDP_171_1_aUrv" localSheetId="30" hidden="1">#REF!</definedName>
    <definedName name="FDP_171_1_aUrv" localSheetId="18" hidden="1">#REF!</definedName>
    <definedName name="FDP_171_1_aUrv" localSheetId="6" hidden="1">#REF!</definedName>
    <definedName name="FDP_171_1_aUrv" localSheetId="19" hidden="1">#REF!</definedName>
    <definedName name="FDP_171_1_aUrv" localSheetId="7" hidden="1">#REF!</definedName>
    <definedName name="FDP_171_1_aUrv" localSheetId="20" hidden="1">#REF!</definedName>
    <definedName name="FDP_171_1_aUrv" localSheetId="17" hidden="1">#REF!</definedName>
    <definedName name="FDP_171_1_aUrv" localSheetId="25" hidden="1">#REF!</definedName>
    <definedName name="FDP_171_1_aUrv" localSheetId="31" hidden="1">#REF!</definedName>
    <definedName name="FDP_171_1_aUrv" localSheetId="0" hidden="1">#REF!</definedName>
    <definedName name="FDP_171_1_aUrv" localSheetId="1" hidden="1">#REF!</definedName>
    <definedName name="FDP_171_1_aUrv" hidden="1">#REF!</definedName>
    <definedName name="FDP_172_1_aUrv" localSheetId="4" hidden="1">#REF!</definedName>
    <definedName name="FDP_172_1_aUrv" localSheetId="5" hidden="1">#REF!</definedName>
    <definedName name="FDP_172_1_aUrv" localSheetId="3" hidden="1">#REF!</definedName>
    <definedName name="FDP_172_1_aUrv" localSheetId="30" hidden="1">#REF!</definedName>
    <definedName name="FDP_172_1_aUrv" localSheetId="18" hidden="1">#REF!</definedName>
    <definedName name="FDP_172_1_aUrv" localSheetId="6" hidden="1">#REF!</definedName>
    <definedName name="FDP_172_1_aUrv" localSheetId="19" hidden="1">#REF!</definedName>
    <definedName name="FDP_172_1_aUrv" localSheetId="7" hidden="1">#REF!</definedName>
    <definedName name="FDP_172_1_aUrv" localSheetId="20" hidden="1">#REF!</definedName>
    <definedName name="FDP_172_1_aUrv" localSheetId="17" hidden="1">#REF!</definedName>
    <definedName name="FDP_172_1_aUrv" localSheetId="25" hidden="1">#REF!</definedName>
    <definedName name="FDP_172_1_aUrv" localSheetId="31" hidden="1">#REF!</definedName>
    <definedName name="FDP_172_1_aUrv" localSheetId="0" hidden="1">#REF!</definedName>
    <definedName name="FDP_172_1_aUrv" localSheetId="1" hidden="1">#REF!</definedName>
    <definedName name="FDP_172_1_aUrv" hidden="1">#REF!</definedName>
    <definedName name="FDP_173_1_aUrv" localSheetId="4" hidden="1">#REF!</definedName>
    <definedName name="FDP_173_1_aUrv" localSheetId="5" hidden="1">#REF!</definedName>
    <definedName name="FDP_173_1_aUrv" localSheetId="3" hidden="1">#REF!</definedName>
    <definedName name="FDP_173_1_aUrv" localSheetId="30" hidden="1">#REF!</definedName>
    <definedName name="FDP_173_1_aUrv" localSheetId="18" hidden="1">#REF!</definedName>
    <definedName name="FDP_173_1_aUrv" localSheetId="6" hidden="1">#REF!</definedName>
    <definedName name="FDP_173_1_aUrv" localSheetId="19" hidden="1">#REF!</definedName>
    <definedName name="FDP_173_1_aUrv" localSheetId="7" hidden="1">#REF!</definedName>
    <definedName name="FDP_173_1_aUrv" localSheetId="20" hidden="1">#REF!</definedName>
    <definedName name="FDP_173_1_aUrv" localSheetId="17" hidden="1">#REF!</definedName>
    <definedName name="FDP_173_1_aUrv" localSheetId="25" hidden="1">#REF!</definedName>
    <definedName name="FDP_173_1_aUrv" localSheetId="31" hidden="1">#REF!</definedName>
    <definedName name="FDP_173_1_aUrv" localSheetId="0" hidden="1">#REF!</definedName>
    <definedName name="FDP_173_1_aUrv" localSheetId="1" hidden="1">#REF!</definedName>
    <definedName name="FDP_173_1_aUrv" hidden="1">#REF!</definedName>
    <definedName name="FDP_174_1_aSrv" localSheetId="4" hidden="1">#REF!</definedName>
    <definedName name="FDP_174_1_aSrv" localSheetId="5" hidden="1">#REF!</definedName>
    <definedName name="FDP_174_1_aSrv" localSheetId="3" hidden="1">#REF!</definedName>
    <definedName name="FDP_174_1_aSrv" localSheetId="30" hidden="1">#REF!</definedName>
    <definedName name="FDP_174_1_aSrv" localSheetId="18" hidden="1">#REF!</definedName>
    <definedName name="FDP_174_1_aSrv" localSheetId="6" hidden="1">#REF!</definedName>
    <definedName name="FDP_174_1_aSrv" localSheetId="19" hidden="1">#REF!</definedName>
    <definedName name="FDP_174_1_aSrv" localSheetId="7" hidden="1">#REF!</definedName>
    <definedName name="FDP_174_1_aSrv" localSheetId="20" hidden="1">#REF!</definedName>
    <definedName name="FDP_174_1_aSrv" localSheetId="17" hidden="1">#REF!</definedName>
    <definedName name="FDP_174_1_aSrv" localSheetId="25" hidden="1">#REF!</definedName>
    <definedName name="FDP_174_1_aSrv" localSheetId="31" hidden="1">#REF!</definedName>
    <definedName name="FDP_174_1_aSrv" localSheetId="0" hidden="1">#REF!</definedName>
    <definedName name="FDP_174_1_aSrv" localSheetId="1" hidden="1">#REF!</definedName>
    <definedName name="FDP_174_1_aSrv" hidden="1">#REF!</definedName>
    <definedName name="FDP_175_1_aUrv" localSheetId="4" hidden="1">#REF!</definedName>
    <definedName name="FDP_175_1_aUrv" localSheetId="5" hidden="1">#REF!</definedName>
    <definedName name="FDP_175_1_aUrv" localSheetId="3" hidden="1">#REF!</definedName>
    <definedName name="FDP_175_1_aUrv" localSheetId="30" hidden="1">#REF!</definedName>
    <definedName name="FDP_175_1_aUrv" localSheetId="18" hidden="1">#REF!</definedName>
    <definedName name="FDP_175_1_aUrv" localSheetId="6" hidden="1">#REF!</definedName>
    <definedName name="FDP_175_1_aUrv" localSheetId="19" hidden="1">#REF!</definedName>
    <definedName name="FDP_175_1_aUrv" localSheetId="7" hidden="1">#REF!</definedName>
    <definedName name="FDP_175_1_aUrv" localSheetId="20" hidden="1">#REF!</definedName>
    <definedName name="FDP_175_1_aUrv" localSheetId="17" hidden="1">#REF!</definedName>
    <definedName name="FDP_175_1_aUrv" localSheetId="25" hidden="1">#REF!</definedName>
    <definedName name="FDP_175_1_aUrv" localSheetId="31" hidden="1">#REF!</definedName>
    <definedName name="FDP_175_1_aUrv" localSheetId="0" hidden="1">#REF!</definedName>
    <definedName name="FDP_175_1_aUrv" localSheetId="1" hidden="1">#REF!</definedName>
    <definedName name="FDP_175_1_aUrv" hidden="1">#REF!</definedName>
    <definedName name="FDP_176_1_aUrv" localSheetId="4" hidden="1">#REF!</definedName>
    <definedName name="FDP_176_1_aUrv" localSheetId="5" hidden="1">#REF!</definedName>
    <definedName name="FDP_176_1_aUrv" localSheetId="3" hidden="1">#REF!</definedName>
    <definedName name="FDP_176_1_aUrv" localSheetId="30" hidden="1">#REF!</definedName>
    <definedName name="FDP_176_1_aUrv" localSheetId="18" hidden="1">#REF!</definedName>
    <definedName name="FDP_176_1_aUrv" localSheetId="6" hidden="1">#REF!</definedName>
    <definedName name="FDP_176_1_aUrv" localSheetId="19" hidden="1">#REF!</definedName>
    <definedName name="FDP_176_1_aUrv" localSheetId="7" hidden="1">#REF!</definedName>
    <definedName name="FDP_176_1_aUrv" localSheetId="20" hidden="1">#REF!</definedName>
    <definedName name="FDP_176_1_aUrv" localSheetId="17" hidden="1">#REF!</definedName>
    <definedName name="FDP_176_1_aUrv" localSheetId="25" hidden="1">#REF!</definedName>
    <definedName name="FDP_176_1_aUrv" localSheetId="31" hidden="1">#REF!</definedName>
    <definedName name="FDP_176_1_aUrv" localSheetId="0" hidden="1">#REF!</definedName>
    <definedName name="FDP_176_1_aUrv" localSheetId="1" hidden="1">#REF!</definedName>
    <definedName name="FDP_176_1_aUrv" hidden="1">#REF!</definedName>
    <definedName name="FDP_177_1_aSrv" localSheetId="4" hidden="1">#REF!</definedName>
    <definedName name="FDP_177_1_aSrv" localSheetId="5" hidden="1">#REF!</definedName>
    <definedName name="FDP_177_1_aSrv" localSheetId="3" hidden="1">#REF!</definedName>
    <definedName name="FDP_177_1_aSrv" localSheetId="30" hidden="1">#REF!</definedName>
    <definedName name="FDP_177_1_aSrv" localSheetId="18" hidden="1">#REF!</definedName>
    <definedName name="FDP_177_1_aSrv" localSheetId="6" hidden="1">#REF!</definedName>
    <definedName name="FDP_177_1_aSrv" localSheetId="19" hidden="1">#REF!</definedName>
    <definedName name="FDP_177_1_aSrv" localSheetId="7" hidden="1">#REF!</definedName>
    <definedName name="FDP_177_1_aSrv" localSheetId="20" hidden="1">#REF!</definedName>
    <definedName name="FDP_177_1_aSrv" localSheetId="17" hidden="1">#REF!</definedName>
    <definedName name="FDP_177_1_aSrv" localSheetId="25" hidden="1">#REF!</definedName>
    <definedName name="FDP_177_1_aSrv" localSheetId="31" hidden="1">#REF!</definedName>
    <definedName name="FDP_177_1_aSrv" localSheetId="0" hidden="1">#REF!</definedName>
    <definedName name="FDP_177_1_aSrv" localSheetId="1" hidden="1">#REF!</definedName>
    <definedName name="FDP_177_1_aSrv" hidden="1">#REF!</definedName>
    <definedName name="FDP_178_1_aSrv" localSheetId="4" hidden="1">#REF!</definedName>
    <definedName name="FDP_178_1_aSrv" localSheetId="5" hidden="1">#REF!</definedName>
    <definedName name="FDP_178_1_aSrv" localSheetId="3" hidden="1">#REF!</definedName>
    <definedName name="FDP_178_1_aSrv" localSheetId="30" hidden="1">#REF!</definedName>
    <definedName name="FDP_178_1_aSrv" localSheetId="18" hidden="1">#REF!</definedName>
    <definedName name="FDP_178_1_aSrv" localSheetId="6" hidden="1">#REF!</definedName>
    <definedName name="FDP_178_1_aSrv" localSheetId="19" hidden="1">#REF!</definedName>
    <definedName name="FDP_178_1_aSrv" localSheetId="7" hidden="1">#REF!</definedName>
    <definedName name="FDP_178_1_aSrv" localSheetId="20" hidden="1">#REF!</definedName>
    <definedName name="FDP_178_1_aSrv" localSheetId="17" hidden="1">#REF!</definedName>
    <definedName name="FDP_178_1_aSrv" localSheetId="25" hidden="1">#REF!</definedName>
    <definedName name="FDP_178_1_aSrv" localSheetId="31" hidden="1">#REF!</definedName>
    <definedName name="FDP_178_1_aSrv" localSheetId="0" hidden="1">#REF!</definedName>
    <definedName name="FDP_178_1_aSrv" localSheetId="1" hidden="1">#REF!</definedName>
    <definedName name="FDP_178_1_aSrv" hidden="1">#REF!</definedName>
    <definedName name="FDP_179_1_aSrv" localSheetId="4" hidden="1">#REF!</definedName>
    <definedName name="FDP_179_1_aSrv" localSheetId="5" hidden="1">#REF!</definedName>
    <definedName name="FDP_179_1_aSrv" localSheetId="3" hidden="1">#REF!</definedName>
    <definedName name="FDP_179_1_aSrv" localSheetId="30" hidden="1">#REF!</definedName>
    <definedName name="FDP_179_1_aSrv" localSheetId="18" hidden="1">#REF!</definedName>
    <definedName name="FDP_179_1_aSrv" localSheetId="6" hidden="1">#REF!</definedName>
    <definedName name="FDP_179_1_aSrv" localSheetId="19" hidden="1">#REF!</definedName>
    <definedName name="FDP_179_1_aSrv" localSheetId="7" hidden="1">#REF!</definedName>
    <definedName name="FDP_179_1_aSrv" localSheetId="20" hidden="1">#REF!</definedName>
    <definedName name="FDP_179_1_aSrv" localSheetId="17" hidden="1">#REF!</definedName>
    <definedName name="FDP_179_1_aSrv" localSheetId="25" hidden="1">#REF!</definedName>
    <definedName name="FDP_179_1_aSrv" localSheetId="31" hidden="1">#REF!</definedName>
    <definedName name="FDP_179_1_aSrv" localSheetId="0" hidden="1">#REF!</definedName>
    <definedName name="FDP_179_1_aSrv" localSheetId="1" hidden="1">#REF!</definedName>
    <definedName name="FDP_179_1_aSrv" hidden="1">#REF!</definedName>
    <definedName name="FDP_180_1_aSrv" localSheetId="4" hidden="1">#REF!</definedName>
    <definedName name="FDP_180_1_aSrv" localSheetId="5" hidden="1">#REF!</definedName>
    <definedName name="FDP_180_1_aSrv" localSheetId="3" hidden="1">#REF!</definedName>
    <definedName name="FDP_180_1_aSrv" localSheetId="30" hidden="1">#REF!</definedName>
    <definedName name="FDP_180_1_aSrv" localSheetId="18" hidden="1">#REF!</definedName>
    <definedName name="FDP_180_1_aSrv" localSheetId="6" hidden="1">#REF!</definedName>
    <definedName name="FDP_180_1_aSrv" localSheetId="19" hidden="1">#REF!</definedName>
    <definedName name="FDP_180_1_aSrv" localSheetId="7" hidden="1">#REF!</definedName>
    <definedName name="FDP_180_1_aSrv" localSheetId="20" hidden="1">#REF!</definedName>
    <definedName name="FDP_180_1_aSrv" localSheetId="17" hidden="1">#REF!</definedName>
    <definedName name="FDP_180_1_aSrv" localSheetId="25" hidden="1">#REF!</definedName>
    <definedName name="FDP_180_1_aSrv" localSheetId="31" hidden="1">#REF!</definedName>
    <definedName name="FDP_180_1_aSrv" localSheetId="0" hidden="1">#REF!</definedName>
    <definedName name="FDP_180_1_aSrv" localSheetId="1" hidden="1">#REF!</definedName>
    <definedName name="FDP_180_1_aSrv" hidden="1">#REF!</definedName>
    <definedName name="FDP_181_1_aUrv" localSheetId="4" hidden="1">#REF!</definedName>
    <definedName name="FDP_181_1_aUrv" localSheetId="5" hidden="1">#REF!</definedName>
    <definedName name="FDP_181_1_aUrv" localSheetId="3" hidden="1">#REF!</definedName>
    <definedName name="FDP_181_1_aUrv" localSheetId="30" hidden="1">#REF!</definedName>
    <definedName name="FDP_181_1_aUrv" localSheetId="18" hidden="1">#REF!</definedName>
    <definedName name="FDP_181_1_aUrv" localSheetId="6" hidden="1">#REF!</definedName>
    <definedName name="FDP_181_1_aUrv" localSheetId="19" hidden="1">#REF!</definedName>
    <definedName name="FDP_181_1_aUrv" localSheetId="7" hidden="1">#REF!</definedName>
    <definedName name="FDP_181_1_aUrv" localSheetId="20" hidden="1">#REF!</definedName>
    <definedName name="FDP_181_1_aUrv" localSheetId="17" hidden="1">#REF!</definedName>
    <definedName name="FDP_181_1_aUrv" localSheetId="25" hidden="1">#REF!</definedName>
    <definedName name="FDP_181_1_aUrv" localSheetId="31" hidden="1">#REF!</definedName>
    <definedName name="FDP_181_1_aUrv" localSheetId="0" hidden="1">#REF!</definedName>
    <definedName name="FDP_181_1_aUrv" localSheetId="1" hidden="1">#REF!</definedName>
    <definedName name="FDP_181_1_aUrv" hidden="1">#REF!</definedName>
    <definedName name="FDP_182_1_aSrv" localSheetId="4" hidden="1">#REF!</definedName>
    <definedName name="FDP_182_1_aSrv" localSheetId="5" hidden="1">#REF!</definedName>
    <definedName name="FDP_182_1_aSrv" localSheetId="3" hidden="1">#REF!</definedName>
    <definedName name="FDP_182_1_aSrv" localSheetId="30" hidden="1">#REF!</definedName>
    <definedName name="FDP_182_1_aSrv" localSheetId="18" hidden="1">#REF!</definedName>
    <definedName name="FDP_182_1_aSrv" localSheetId="6" hidden="1">#REF!</definedName>
    <definedName name="FDP_182_1_aSrv" localSheetId="19" hidden="1">#REF!</definedName>
    <definedName name="FDP_182_1_aSrv" localSheetId="7" hidden="1">#REF!</definedName>
    <definedName name="FDP_182_1_aSrv" localSheetId="20" hidden="1">#REF!</definedName>
    <definedName name="FDP_182_1_aSrv" localSheetId="17" hidden="1">#REF!</definedName>
    <definedName name="FDP_182_1_aSrv" localSheetId="25" hidden="1">#REF!</definedName>
    <definedName name="FDP_182_1_aSrv" localSheetId="31" hidden="1">#REF!</definedName>
    <definedName name="FDP_182_1_aSrv" localSheetId="0" hidden="1">#REF!</definedName>
    <definedName name="FDP_182_1_aSrv" localSheetId="1" hidden="1">#REF!</definedName>
    <definedName name="FDP_182_1_aSrv" hidden="1">#REF!</definedName>
    <definedName name="FDP_183_1_aSrv" localSheetId="4" hidden="1">#REF!</definedName>
    <definedName name="FDP_183_1_aSrv" localSheetId="5" hidden="1">#REF!</definedName>
    <definedName name="FDP_183_1_aSrv" localSheetId="3" hidden="1">#REF!</definedName>
    <definedName name="FDP_183_1_aSrv" localSheetId="30" hidden="1">#REF!</definedName>
    <definedName name="FDP_183_1_aSrv" localSheetId="18" hidden="1">#REF!</definedName>
    <definedName name="FDP_183_1_aSrv" localSheetId="6" hidden="1">#REF!</definedName>
    <definedName name="FDP_183_1_aSrv" localSheetId="19" hidden="1">#REF!</definedName>
    <definedName name="FDP_183_1_aSrv" localSheetId="7" hidden="1">#REF!</definedName>
    <definedName name="FDP_183_1_aSrv" localSheetId="20" hidden="1">#REF!</definedName>
    <definedName name="FDP_183_1_aSrv" localSheetId="17" hidden="1">#REF!</definedName>
    <definedName name="FDP_183_1_aSrv" localSheetId="25" hidden="1">#REF!</definedName>
    <definedName name="FDP_183_1_aSrv" localSheetId="31" hidden="1">#REF!</definedName>
    <definedName name="FDP_183_1_aSrv" localSheetId="0" hidden="1">#REF!</definedName>
    <definedName name="FDP_183_1_aSrv" localSheetId="1" hidden="1">#REF!</definedName>
    <definedName name="FDP_183_1_aSrv" hidden="1">#REF!</definedName>
    <definedName name="FDP_184_1_aUrv" localSheetId="4" hidden="1">#REF!</definedName>
    <definedName name="FDP_184_1_aUrv" localSheetId="5" hidden="1">#REF!</definedName>
    <definedName name="FDP_184_1_aUrv" localSheetId="3" hidden="1">#REF!</definedName>
    <definedName name="FDP_184_1_aUrv" localSheetId="30" hidden="1">#REF!</definedName>
    <definedName name="FDP_184_1_aUrv" localSheetId="18" hidden="1">#REF!</definedName>
    <definedName name="FDP_184_1_aUrv" localSheetId="6" hidden="1">#REF!</definedName>
    <definedName name="FDP_184_1_aUrv" localSheetId="19" hidden="1">#REF!</definedName>
    <definedName name="FDP_184_1_aUrv" localSheetId="7" hidden="1">#REF!</definedName>
    <definedName name="FDP_184_1_aUrv" localSheetId="20" hidden="1">#REF!</definedName>
    <definedName name="FDP_184_1_aUrv" localSheetId="17" hidden="1">#REF!</definedName>
    <definedName name="FDP_184_1_aUrv" localSheetId="25" hidden="1">#REF!</definedName>
    <definedName name="FDP_184_1_aUrv" localSheetId="31" hidden="1">#REF!</definedName>
    <definedName name="FDP_184_1_aUrv" localSheetId="0" hidden="1">#REF!</definedName>
    <definedName name="FDP_184_1_aUrv" localSheetId="1" hidden="1">#REF!</definedName>
    <definedName name="FDP_184_1_aUrv" hidden="1">#REF!</definedName>
    <definedName name="FDP_185_1_aSrv" localSheetId="4" hidden="1">#REF!</definedName>
    <definedName name="FDP_185_1_aSrv" localSheetId="5" hidden="1">#REF!</definedName>
    <definedName name="FDP_185_1_aSrv" localSheetId="3" hidden="1">#REF!</definedName>
    <definedName name="FDP_185_1_aSrv" localSheetId="30" hidden="1">#REF!</definedName>
    <definedName name="FDP_185_1_aSrv" localSheetId="18" hidden="1">#REF!</definedName>
    <definedName name="FDP_185_1_aSrv" localSheetId="6" hidden="1">#REF!</definedName>
    <definedName name="FDP_185_1_aSrv" localSheetId="19" hidden="1">#REF!</definedName>
    <definedName name="FDP_185_1_aSrv" localSheetId="7" hidden="1">#REF!</definedName>
    <definedName name="FDP_185_1_aSrv" localSheetId="20" hidden="1">#REF!</definedName>
    <definedName name="FDP_185_1_aSrv" localSheetId="17" hidden="1">#REF!</definedName>
    <definedName name="FDP_185_1_aSrv" localSheetId="25" hidden="1">#REF!</definedName>
    <definedName name="FDP_185_1_aSrv" localSheetId="31" hidden="1">#REF!</definedName>
    <definedName name="FDP_185_1_aSrv" localSheetId="0" hidden="1">#REF!</definedName>
    <definedName name="FDP_185_1_aSrv" localSheetId="1" hidden="1">#REF!</definedName>
    <definedName name="FDP_185_1_aSrv" hidden="1">#REF!</definedName>
    <definedName name="FDP_186_1_aUrv" localSheetId="4" hidden="1">#REF!</definedName>
    <definedName name="FDP_186_1_aUrv" localSheetId="5" hidden="1">#REF!</definedName>
    <definedName name="FDP_186_1_aUrv" localSheetId="3" hidden="1">#REF!</definedName>
    <definedName name="FDP_186_1_aUrv" localSheetId="30" hidden="1">#REF!</definedName>
    <definedName name="FDP_186_1_aUrv" localSheetId="18" hidden="1">#REF!</definedName>
    <definedName name="FDP_186_1_aUrv" localSheetId="6" hidden="1">#REF!</definedName>
    <definedName name="FDP_186_1_aUrv" localSheetId="19" hidden="1">#REF!</definedName>
    <definedName name="FDP_186_1_aUrv" localSheetId="7" hidden="1">#REF!</definedName>
    <definedName name="FDP_186_1_aUrv" localSheetId="20" hidden="1">#REF!</definedName>
    <definedName name="FDP_186_1_aUrv" localSheetId="17" hidden="1">#REF!</definedName>
    <definedName name="FDP_186_1_aUrv" localSheetId="25" hidden="1">#REF!</definedName>
    <definedName name="FDP_186_1_aUrv" localSheetId="31" hidden="1">#REF!</definedName>
    <definedName name="FDP_186_1_aUrv" localSheetId="0" hidden="1">#REF!</definedName>
    <definedName name="FDP_186_1_aUrv" localSheetId="1" hidden="1">#REF!</definedName>
    <definedName name="FDP_186_1_aUrv" hidden="1">#REF!</definedName>
    <definedName name="FDP_187_1_aSrv" localSheetId="4" hidden="1">#REF!</definedName>
    <definedName name="FDP_187_1_aSrv" localSheetId="5" hidden="1">#REF!</definedName>
    <definedName name="FDP_187_1_aSrv" localSheetId="3" hidden="1">#REF!</definedName>
    <definedName name="FDP_187_1_aSrv" localSheetId="30" hidden="1">#REF!</definedName>
    <definedName name="FDP_187_1_aSrv" localSheetId="18" hidden="1">#REF!</definedName>
    <definedName name="FDP_187_1_aSrv" localSheetId="6" hidden="1">#REF!</definedName>
    <definedName name="FDP_187_1_aSrv" localSheetId="19" hidden="1">#REF!</definedName>
    <definedName name="FDP_187_1_aSrv" localSheetId="7" hidden="1">#REF!</definedName>
    <definedName name="FDP_187_1_aSrv" localSheetId="20" hidden="1">#REF!</definedName>
    <definedName name="FDP_187_1_aSrv" localSheetId="17" hidden="1">#REF!</definedName>
    <definedName name="FDP_187_1_aSrv" localSheetId="25" hidden="1">#REF!</definedName>
    <definedName name="FDP_187_1_aSrv" localSheetId="31" hidden="1">#REF!</definedName>
    <definedName name="FDP_187_1_aSrv" localSheetId="0" hidden="1">#REF!</definedName>
    <definedName name="FDP_187_1_aSrv" localSheetId="1" hidden="1">#REF!</definedName>
    <definedName name="FDP_187_1_aSrv" hidden="1">#REF!</definedName>
    <definedName name="FDP_188_1_aUrv" localSheetId="4" hidden="1">#REF!</definedName>
    <definedName name="FDP_188_1_aUrv" localSheetId="5" hidden="1">#REF!</definedName>
    <definedName name="FDP_188_1_aUrv" localSheetId="3" hidden="1">#REF!</definedName>
    <definedName name="FDP_188_1_aUrv" localSheetId="30" hidden="1">#REF!</definedName>
    <definedName name="FDP_188_1_aUrv" localSheetId="18" hidden="1">#REF!</definedName>
    <definedName name="FDP_188_1_aUrv" localSheetId="6" hidden="1">#REF!</definedName>
    <definedName name="FDP_188_1_aUrv" localSheetId="19" hidden="1">#REF!</definedName>
    <definedName name="FDP_188_1_aUrv" localSheetId="7" hidden="1">#REF!</definedName>
    <definedName name="FDP_188_1_aUrv" localSheetId="20" hidden="1">#REF!</definedName>
    <definedName name="FDP_188_1_aUrv" localSheetId="17" hidden="1">#REF!</definedName>
    <definedName name="FDP_188_1_aUrv" localSheetId="25" hidden="1">#REF!</definedName>
    <definedName name="FDP_188_1_aUrv" localSheetId="31" hidden="1">#REF!</definedName>
    <definedName name="FDP_188_1_aUrv" localSheetId="0" hidden="1">#REF!</definedName>
    <definedName name="FDP_188_1_aUrv" localSheetId="1" hidden="1">#REF!</definedName>
    <definedName name="FDP_188_1_aUrv" hidden="1">#REF!</definedName>
    <definedName name="FDP_189_1_aUrv" localSheetId="4" hidden="1">#REF!</definedName>
    <definedName name="FDP_189_1_aUrv" localSheetId="5" hidden="1">#REF!</definedName>
    <definedName name="FDP_189_1_aUrv" localSheetId="3" hidden="1">#REF!</definedName>
    <definedName name="FDP_189_1_aUrv" localSheetId="30" hidden="1">#REF!</definedName>
    <definedName name="FDP_189_1_aUrv" localSheetId="18" hidden="1">#REF!</definedName>
    <definedName name="FDP_189_1_aUrv" localSheetId="6" hidden="1">#REF!</definedName>
    <definedName name="FDP_189_1_aUrv" localSheetId="19" hidden="1">#REF!</definedName>
    <definedName name="FDP_189_1_aUrv" localSheetId="7" hidden="1">#REF!</definedName>
    <definedName name="FDP_189_1_aUrv" localSheetId="20" hidden="1">#REF!</definedName>
    <definedName name="FDP_189_1_aUrv" localSheetId="17" hidden="1">#REF!</definedName>
    <definedName name="FDP_189_1_aUrv" localSheetId="25" hidden="1">#REF!</definedName>
    <definedName name="FDP_189_1_aUrv" localSheetId="31" hidden="1">#REF!</definedName>
    <definedName name="FDP_189_1_aUrv" localSheetId="0" hidden="1">#REF!</definedName>
    <definedName name="FDP_189_1_aUrv" localSheetId="1" hidden="1">#REF!</definedName>
    <definedName name="FDP_189_1_aUrv" hidden="1">#REF!</definedName>
    <definedName name="FDP_190_1_aUrv" localSheetId="4" hidden="1">#REF!</definedName>
    <definedName name="FDP_190_1_aUrv" localSheetId="5" hidden="1">#REF!</definedName>
    <definedName name="FDP_190_1_aUrv" localSheetId="3" hidden="1">#REF!</definedName>
    <definedName name="FDP_190_1_aUrv" localSheetId="30" hidden="1">#REF!</definedName>
    <definedName name="FDP_190_1_aUrv" localSheetId="18" hidden="1">#REF!</definedName>
    <definedName name="FDP_190_1_aUrv" localSheetId="6" hidden="1">#REF!</definedName>
    <definedName name="FDP_190_1_aUrv" localSheetId="19" hidden="1">#REF!</definedName>
    <definedName name="FDP_190_1_aUrv" localSheetId="7" hidden="1">#REF!</definedName>
    <definedName name="FDP_190_1_aUrv" localSheetId="20" hidden="1">#REF!</definedName>
    <definedName name="FDP_190_1_aUrv" localSheetId="17" hidden="1">#REF!</definedName>
    <definedName name="FDP_190_1_aUrv" localSheetId="25" hidden="1">#REF!</definedName>
    <definedName name="FDP_190_1_aUrv" localSheetId="31" hidden="1">#REF!</definedName>
    <definedName name="FDP_190_1_aUrv" localSheetId="0" hidden="1">#REF!</definedName>
    <definedName name="FDP_190_1_aUrv" localSheetId="1" hidden="1">#REF!</definedName>
    <definedName name="FDP_190_1_aUrv" hidden="1">#REF!</definedName>
    <definedName name="FDP_191_1_aUrv" localSheetId="4" hidden="1">#REF!</definedName>
    <definedName name="FDP_191_1_aUrv" localSheetId="5" hidden="1">#REF!</definedName>
    <definedName name="FDP_191_1_aUrv" localSheetId="3" hidden="1">#REF!</definedName>
    <definedName name="FDP_191_1_aUrv" localSheetId="30" hidden="1">#REF!</definedName>
    <definedName name="FDP_191_1_aUrv" localSheetId="18" hidden="1">#REF!</definedName>
    <definedName name="FDP_191_1_aUrv" localSheetId="6" hidden="1">#REF!</definedName>
    <definedName name="FDP_191_1_aUrv" localSheetId="19" hidden="1">#REF!</definedName>
    <definedName name="FDP_191_1_aUrv" localSheetId="7" hidden="1">#REF!</definedName>
    <definedName name="FDP_191_1_aUrv" localSheetId="20" hidden="1">#REF!</definedName>
    <definedName name="FDP_191_1_aUrv" localSheetId="17" hidden="1">#REF!</definedName>
    <definedName name="FDP_191_1_aUrv" localSheetId="25" hidden="1">#REF!</definedName>
    <definedName name="FDP_191_1_aUrv" localSheetId="31" hidden="1">#REF!</definedName>
    <definedName name="FDP_191_1_aUrv" localSheetId="0" hidden="1">#REF!</definedName>
    <definedName name="FDP_191_1_aUrv" localSheetId="1" hidden="1">#REF!</definedName>
    <definedName name="FDP_191_1_aUrv" hidden="1">#REF!</definedName>
    <definedName name="FDP_192_1_aSrv" localSheetId="4" hidden="1">#REF!</definedName>
    <definedName name="FDP_192_1_aSrv" localSheetId="5" hidden="1">#REF!</definedName>
    <definedName name="FDP_192_1_aSrv" localSheetId="3" hidden="1">#REF!</definedName>
    <definedName name="FDP_192_1_aSrv" localSheetId="30" hidden="1">#REF!</definedName>
    <definedName name="FDP_192_1_aSrv" localSheetId="18" hidden="1">#REF!</definedName>
    <definedName name="FDP_192_1_aSrv" localSheetId="6" hidden="1">#REF!</definedName>
    <definedName name="FDP_192_1_aSrv" localSheetId="19" hidden="1">#REF!</definedName>
    <definedName name="FDP_192_1_aSrv" localSheetId="7" hidden="1">#REF!</definedName>
    <definedName name="FDP_192_1_aSrv" localSheetId="20" hidden="1">#REF!</definedName>
    <definedName name="FDP_192_1_aSrv" localSheetId="17" hidden="1">#REF!</definedName>
    <definedName name="FDP_192_1_aSrv" localSheetId="25" hidden="1">#REF!</definedName>
    <definedName name="FDP_192_1_aSrv" localSheetId="31" hidden="1">#REF!</definedName>
    <definedName name="FDP_192_1_aSrv" localSheetId="0" hidden="1">#REF!</definedName>
    <definedName name="FDP_192_1_aSrv" localSheetId="1" hidden="1">#REF!</definedName>
    <definedName name="FDP_192_1_aSrv" hidden="1">#REF!</definedName>
    <definedName name="FDP_193_1_aUrv" localSheetId="4" hidden="1">#REF!</definedName>
    <definedName name="FDP_193_1_aUrv" localSheetId="5" hidden="1">#REF!</definedName>
    <definedName name="FDP_193_1_aUrv" localSheetId="3" hidden="1">#REF!</definedName>
    <definedName name="FDP_193_1_aUrv" localSheetId="30" hidden="1">#REF!</definedName>
    <definedName name="FDP_193_1_aUrv" localSheetId="18" hidden="1">#REF!</definedName>
    <definedName name="FDP_193_1_aUrv" localSheetId="6" hidden="1">#REF!</definedName>
    <definedName name="FDP_193_1_aUrv" localSheetId="19" hidden="1">#REF!</definedName>
    <definedName name="FDP_193_1_aUrv" localSheetId="7" hidden="1">#REF!</definedName>
    <definedName name="FDP_193_1_aUrv" localSheetId="20" hidden="1">#REF!</definedName>
    <definedName name="FDP_193_1_aUrv" localSheetId="17" hidden="1">#REF!</definedName>
    <definedName name="FDP_193_1_aUrv" localSheetId="25" hidden="1">#REF!</definedName>
    <definedName name="FDP_193_1_aUrv" localSheetId="31" hidden="1">#REF!</definedName>
    <definedName name="FDP_193_1_aUrv" localSheetId="0" hidden="1">#REF!</definedName>
    <definedName name="FDP_193_1_aUrv" localSheetId="1" hidden="1">#REF!</definedName>
    <definedName name="FDP_193_1_aUrv" hidden="1">#REF!</definedName>
    <definedName name="FDP_194_1_aUrv" localSheetId="4" hidden="1">#REF!</definedName>
    <definedName name="FDP_194_1_aUrv" localSheetId="5" hidden="1">#REF!</definedName>
    <definedName name="FDP_194_1_aUrv" localSheetId="3" hidden="1">#REF!</definedName>
    <definedName name="FDP_194_1_aUrv" localSheetId="30" hidden="1">#REF!</definedName>
    <definedName name="FDP_194_1_aUrv" localSheetId="18" hidden="1">#REF!</definedName>
    <definedName name="FDP_194_1_aUrv" localSheetId="6" hidden="1">#REF!</definedName>
    <definedName name="FDP_194_1_aUrv" localSheetId="19" hidden="1">#REF!</definedName>
    <definedName name="FDP_194_1_aUrv" localSheetId="7" hidden="1">#REF!</definedName>
    <definedName name="FDP_194_1_aUrv" localSheetId="20" hidden="1">#REF!</definedName>
    <definedName name="FDP_194_1_aUrv" localSheetId="17" hidden="1">#REF!</definedName>
    <definedName name="FDP_194_1_aUrv" localSheetId="25" hidden="1">#REF!</definedName>
    <definedName name="FDP_194_1_aUrv" localSheetId="31" hidden="1">#REF!</definedName>
    <definedName name="FDP_194_1_aUrv" localSheetId="0" hidden="1">#REF!</definedName>
    <definedName name="FDP_194_1_aUrv" localSheetId="1" hidden="1">#REF!</definedName>
    <definedName name="FDP_194_1_aUrv" hidden="1">#REF!</definedName>
    <definedName name="FDP_195_1_aUrv" localSheetId="4" hidden="1">#REF!</definedName>
    <definedName name="FDP_195_1_aUrv" localSheetId="5" hidden="1">#REF!</definedName>
    <definedName name="FDP_195_1_aUrv" localSheetId="3" hidden="1">#REF!</definedName>
    <definedName name="FDP_195_1_aUrv" localSheetId="30" hidden="1">#REF!</definedName>
    <definedName name="FDP_195_1_aUrv" localSheetId="18" hidden="1">#REF!</definedName>
    <definedName name="FDP_195_1_aUrv" localSheetId="6" hidden="1">#REF!</definedName>
    <definedName name="FDP_195_1_aUrv" localSheetId="19" hidden="1">#REF!</definedName>
    <definedName name="FDP_195_1_aUrv" localSheetId="7" hidden="1">#REF!</definedName>
    <definedName name="FDP_195_1_aUrv" localSheetId="20" hidden="1">#REF!</definedName>
    <definedName name="FDP_195_1_aUrv" localSheetId="17" hidden="1">#REF!</definedName>
    <definedName name="FDP_195_1_aUrv" localSheetId="25" hidden="1">#REF!</definedName>
    <definedName name="FDP_195_1_aUrv" localSheetId="31" hidden="1">#REF!</definedName>
    <definedName name="FDP_195_1_aUrv" localSheetId="0" hidden="1">#REF!</definedName>
    <definedName name="FDP_195_1_aUrv" localSheetId="1" hidden="1">#REF!</definedName>
    <definedName name="FDP_195_1_aUrv" hidden="1">#REF!</definedName>
    <definedName name="FDP_196_1_aSrv" localSheetId="4" hidden="1">#REF!</definedName>
    <definedName name="FDP_196_1_aSrv" localSheetId="5" hidden="1">#REF!</definedName>
    <definedName name="FDP_196_1_aSrv" localSheetId="3" hidden="1">#REF!</definedName>
    <definedName name="FDP_196_1_aSrv" localSheetId="30" hidden="1">#REF!</definedName>
    <definedName name="FDP_196_1_aSrv" localSheetId="18" hidden="1">#REF!</definedName>
    <definedName name="FDP_196_1_aSrv" localSheetId="6" hidden="1">#REF!</definedName>
    <definedName name="FDP_196_1_aSrv" localSheetId="19" hidden="1">#REF!</definedName>
    <definedName name="FDP_196_1_aSrv" localSheetId="7" hidden="1">#REF!</definedName>
    <definedName name="FDP_196_1_aSrv" localSheetId="20" hidden="1">#REF!</definedName>
    <definedName name="FDP_196_1_aSrv" localSheetId="17" hidden="1">#REF!</definedName>
    <definedName name="FDP_196_1_aSrv" localSheetId="25" hidden="1">#REF!</definedName>
    <definedName name="FDP_196_1_aSrv" localSheetId="31" hidden="1">#REF!</definedName>
    <definedName name="FDP_196_1_aSrv" localSheetId="0" hidden="1">#REF!</definedName>
    <definedName name="FDP_196_1_aSrv" localSheetId="1" hidden="1">#REF!</definedName>
    <definedName name="FDP_196_1_aSrv" hidden="1">#REF!</definedName>
    <definedName name="FDP_197_1_aUrv" localSheetId="4" hidden="1">#REF!</definedName>
    <definedName name="FDP_197_1_aUrv" localSheetId="5" hidden="1">#REF!</definedName>
    <definedName name="FDP_197_1_aUrv" localSheetId="3" hidden="1">#REF!</definedName>
    <definedName name="FDP_197_1_aUrv" localSheetId="30" hidden="1">#REF!</definedName>
    <definedName name="FDP_197_1_aUrv" localSheetId="18" hidden="1">#REF!</definedName>
    <definedName name="FDP_197_1_aUrv" localSheetId="6" hidden="1">#REF!</definedName>
    <definedName name="FDP_197_1_aUrv" localSheetId="19" hidden="1">#REF!</definedName>
    <definedName name="FDP_197_1_aUrv" localSheetId="7" hidden="1">#REF!</definedName>
    <definedName name="FDP_197_1_aUrv" localSheetId="20" hidden="1">#REF!</definedName>
    <definedName name="FDP_197_1_aUrv" localSheetId="17" hidden="1">#REF!</definedName>
    <definedName name="FDP_197_1_aUrv" localSheetId="25" hidden="1">#REF!</definedName>
    <definedName name="FDP_197_1_aUrv" localSheetId="31" hidden="1">#REF!</definedName>
    <definedName name="FDP_197_1_aUrv" localSheetId="0" hidden="1">#REF!</definedName>
    <definedName name="FDP_197_1_aUrv" localSheetId="1" hidden="1">#REF!</definedName>
    <definedName name="FDP_197_1_aUrv" hidden="1">#REF!</definedName>
    <definedName name="FDP_198_1_aSrv" localSheetId="4" hidden="1">#REF!</definedName>
    <definedName name="FDP_198_1_aSrv" localSheetId="5" hidden="1">#REF!</definedName>
    <definedName name="FDP_198_1_aSrv" localSheetId="3" hidden="1">#REF!</definedName>
    <definedName name="FDP_198_1_aSrv" localSheetId="30" hidden="1">#REF!</definedName>
    <definedName name="FDP_198_1_aSrv" localSheetId="18" hidden="1">#REF!</definedName>
    <definedName name="FDP_198_1_aSrv" localSheetId="6" hidden="1">#REF!</definedName>
    <definedName name="FDP_198_1_aSrv" localSheetId="19" hidden="1">#REF!</definedName>
    <definedName name="FDP_198_1_aSrv" localSheetId="7" hidden="1">#REF!</definedName>
    <definedName name="FDP_198_1_aSrv" localSheetId="20" hidden="1">#REF!</definedName>
    <definedName name="FDP_198_1_aSrv" localSheetId="17" hidden="1">#REF!</definedName>
    <definedName name="FDP_198_1_aSrv" localSheetId="25" hidden="1">#REF!</definedName>
    <definedName name="FDP_198_1_aSrv" localSheetId="31" hidden="1">#REF!</definedName>
    <definedName name="FDP_198_1_aSrv" localSheetId="0" hidden="1">#REF!</definedName>
    <definedName name="FDP_198_1_aSrv" localSheetId="1" hidden="1">#REF!</definedName>
    <definedName name="FDP_198_1_aSrv" hidden="1">#REF!</definedName>
    <definedName name="FDP_199_1_aUrv" localSheetId="4" hidden="1">#REF!</definedName>
    <definedName name="FDP_199_1_aUrv" localSheetId="5" hidden="1">#REF!</definedName>
    <definedName name="FDP_199_1_aUrv" localSheetId="3" hidden="1">#REF!</definedName>
    <definedName name="FDP_199_1_aUrv" localSheetId="30" hidden="1">#REF!</definedName>
    <definedName name="FDP_199_1_aUrv" localSheetId="18" hidden="1">#REF!</definedName>
    <definedName name="FDP_199_1_aUrv" localSheetId="6" hidden="1">#REF!</definedName>
    <definedName name="FDP_199_1_aUrv" localSheetId="19" hidden="1">#REF!</definedName>
    <definedName name="FDP_199_1_aUrv" localSheetId="7" hidden="1">#REF!</definedName>
    <definedName name="FDP_199_1_aUrv" localSheetId="20" hidden="1">#REF!</definedName>
    <definedName name="FDP_199_1_aUrv" localSheetId="17" hidden="1">#REF!</definedName>
    <definedName name="FDP_199_1_aUrv" localSheetId="25" hidden="1">#REF!</definedName>
    <definedName name="FDP_199_1_aUrv" localSheetId="31" hidden="1">#REF!</definedName>
    <definedName name="FDP_199_1_aUrv" localSheetId="0" hidden="1">#REF!</definedName>
    <definedName name="FDP_199_1_aUrv" localSheetId="1" hidden="1">#REF!</definedName>
    <definedName name="FDP_199_1_aUrv" hidden="1">#REF!</definedName>
    <definedName name="FDP_200_1_aUrv" localSheetId="4" hidden="1">#REF!</definedName>
    <definedName name="FDP_200_1_aUrv" localSheetId="5" hidden="1">#REF!</definedName>
    <definedName name="FDP_200_1_aUrv" localSheetId="3" hidden="1">#REF!</definedName>
    <definedName name="FDP_200_1_aUrv" localSheetId="30" hidden="1">#REF!</definedName>
    <definedName name="FDP_200_1_aUrv" localSheetId="18" hidden="1">#REF!</definedName>
    <definedName name="FDP_200_1_aUrv" localSheetId="6" hidden="1">#REF!</definedName>
    <definedName name="FDP_200_1_aUrv" localSheetId="19" hidden="1">#REF!</definedName>
    <definedName name="FDP_200_1_aUrv" localSheetId="7" hidden="1">#REF!</definedName>
    <definedName name="FDP_200_1_aUrv" localSheetId="20" hidden="1">#REF!</definedName>
    <definedName name="FDP_200_1_aUrv" localSheetId="17" hidden="1">#REF!</definedName>
    <definedName name="FDP_200_1_aUrv" localSheetId="25" hidden="1">#REF!</definedName>
    <definedName name="FDP_200_1_aUrv" localSheetId="31" hidden="1">#REF!</definedName>
    <definedName name="FDP_200_1_aUrv" localSheetId="0" hidden="1">#REF!</definedName>
    <definedName name="FDP_200_1_aUrv" localSheetId="1" hidden="1">#REF!</definedName>
    <definedName name="FDP_200_1_aUrv" hidden="1">#REF!</definedName>
    <definedName name="FDP_201_1_aUrv" localSheetId="4" hidden="1">#REF!</definedName>
    <definedName name="FDP_201_1_aUrv" localSheetId="5" hidden="1">#REF!</definedName>
    <definedName name="FDP_201_1_aUrv" localSheetId="3" hidden="1">#REF!</definedName>
    <definedName name="FDP_201_1_aUrv" localSheetId="30" hidden="1">#REF!</definedName>
    <definedName name="FDP_201_1_aUrv" localSheetId="18" hidden="1">#REF!</definedName>
    <definedName name="FDP_201_1_aUrv" localSheetId="6" hidden="1">#REF!</definedName>
    <definedName name="FDP_201_1_aUrv" localSheetId="19" hidden="1">#REF!</definedName>
    <definedName name="FDP_201_1_aUrv" localSheetId="7" hidden="1">#REF!</definedName>
    <definedName name="FDP_201_1_aUrv" localSheetId="20" hidden="1">#REF!</definedName>
    <definedName name="FDP_201_1_aUrv" localSheetId="17" hidden="1">#REF!</definedName>
    <definedName name="FDP_201_1_aUrv" localSheetId="25" hidden="1">#REF!</definedName>
    <definedName name="FDP_201_1_aUrv" localSheetId="31" hidden="1">#REF!</definedName>
    <definedName name="FDP_201_1_aUrv" localSheetId="0" hidden="1">#REF!</definedName>
    <definedName name="FDP_201_1_aUrv" localSheetId="1" hidden="1">#REF!</definedName>
    <definedName name="FDP_201_1_aUrv" hidden="1">#REF!</definedName>
    <definedName name="FDP_202_1_aUrv" localSheetId="4" hidden="1">#REF!</definedName>
    <definedName name="FDP_202_1_aUrv" localSheetId="5" hidden="1">#REF!</definedName>
    <definedName name="FDP_202_1_aUrv" localSheetId="3" hidden="1">#REF!</definedName>
    <definedName name="FDP_202_1_aUrv" localSheetId="30" hidden="1">#REF!</definedName>
    <definedName name="FDP_202_1_aUrv" localSheetId="18" hidden="1">#REF!</definedName>
    <definedName name="FDP_202_1_aUrv" localSheetId="6" hidden="1">#REF!</definedName>
    <definedName name="FDP_202_1_aUrv" localSheetId="19" hidden="1">#REF!</definedName>
    <definedName name="FDP_202_1_aUrv" localSheetId="7" hidden="1">#REF!</definedName>
    <definedName name="FDP_202_1_aUrv" localSheetId="20" hidden="1">#REF!</definedName>
    <definedName name="FDP_202_1_aUrv" localSheetId="17" hidden="1">#REF!</definedName>
    <definedName name="FDP_202_1_aUrv" localSheetId="25" hidden="1">#REF!</definedName>
    <definedName name="FDP_202_1_aUrv" localSheetId="31" hidden="1">#REF!</definedName>
    <definedName name="FDP_202_1_aUrv" localSheetId="0" hidden="1">#REF!</definedName>
    <definedName name="FDP_202_1_aUrv" localSheetId="1" hidden="1">#REF!</definedName>
    <definedName name="FDP_202_1_aUrv" hidden="1">#REF!</definedName>
    <definedName name="FDP_203_1_aSrv" localSheetId="4" hidden="1">#REF!</definedName>
    <definedName name="FDP_203_1_aSrv" localSheetId="5" hidden="1">#REF!</definedName>
    <definedName name="FDP_203_1_aSrv" localSheetId="3" hidden="1">#REF!</definedName>
    <definedName name="FDP_203_1_aSrv" localSheetId="30" hidden="1">#REF!</definedName>
    <definedName name="FDP_203_1_aSrv" localSheetId="18" hidden="1">#REF!</definedName>
    <definedName name="FDP_203_1_aSrv" localSheetId="6" hidden="1">#REF!</definedName>
    <definedName name="FDP_203_1_aSrv" localSheetId="19" hidden="1">#REF!</definedName>
    <definedName name="FDP_203_1_aSrv" localSheetId="7" hidden="1">#REF!</definedName>
    <definedName name="FDP_203_1_aSrv" localSheetId="20" hidden="1">#REF!</definedName>
    <definedName name="FDP_203_1_aSrv" localSheetId="17" hidden="1">#REF!</definedName>
    <definedName name="FDP_203_1_aSrv" localSheetId="25" hidden="1">#REF!</definedName>
    <definedName name="FDP_203_1_aSrv" localSheetId="31" hidden="1">#REF!</definedName>
    <definedName name="FDP_203_1_aSrv" localSheetId="0" hidden="1">#REF!</definedName>
    <definedName name="FDP_203_1_aSrv" localSheetId="1" hidden="1">#REF!</definedName>
    <definedName name="FDP_203_1_aSrv" hidden="1">#REF!</definedName>
    <definedName name="FDP_204_1_aUrv" localSheetId="4" hidden="1">#REF!</definedName>
    <definedName name="FDP_204_1_aUrv" localSheetId="5" hidden="1">#REF!</definedName>
    <definedName name="FDP_204_1_aUrv" localSheetId="3" hidden="1">#REF!</definedName>
    <definedName name="FDP_204_1_aUrv" localSheetId="30" hidden="1">#REF!</definedName>
    <definedName name="FDP_204_1_aUrv" localSheetId="18" hidden="1">#REF!</definedName>
    <definedName name="FDP_204_1_aUrv" localSheetId="6" hidden="1">#REF!</definedName>
    <definedName name="FDP_204_1_aUrv" localSheetId="19" hidden="1">#REF!</definedName>
    <definedName name="FDP_204_1_aUrv" localSheetId="7" hidden="1">#REF!</definedName>
    <definedName name="FDP_204_1_aUrv" localSheetId="20" hidden="1">#REF!</definedName>
    <definedName name="FDP_204_1_aUrv" localSheetId="17" hidden="1">#REF!</definedName>
    <definedName name="FDP_204_1_aUrv" localSheetId="25" hidden="1">#REF!</definedName>
    <definedName name="FDP_204_1_aUrv" localSheetId="31" hidden="1">#REF!</definedName>
    <definedName name="FDP_204_1_aUrv" localSheetId="0" hidden="1">#REF!</definedName>
    <definedName name="FDP_204_1_aUrv" localSheetId="1" hidden="1">#REF!</definedName>
    <definedName name="FDP_204_1_aUrv" hidden="1">#REF!</definedName>
    <definedName name="FDP_205_1_aUrv" localSheetId="4" hidden="1">#REF!</definedName>
    <definedName name="FDP_205_1_aUrv" localSheetId="5" hidden="1">#REF!</definedName>
    <definedName name="FDP_205_1_aUrv" localSheetId="3" hidden="1">#REF!</definedName>
    <definedName name="FDP_205_1_aUrv" localSheetId="30" hidden="1">#REF!</definedName>
    <definedName name="FDP_205_1_aUrv" localSheetId="18" hidden="1">#REF!</definedName>
    <definedName name="FDP_205_1_aUrv" localSheetId="6" hidden="1">#REF!</definedName>
    <definedName name="FDP_205_1_aUrv" localSheetId="19" hidden="1">#REF!</definedName>
    <definedName name="FDP_205_1_aUrv" localSheetId="7" hidden="1">#REF!</definedName>
    <definedName name="FDP_205_1_aUrv" localSheetId="20" hidden="1">#REF!</definedName>
    <definedName name="FDP_205_1_aUrv" localSheetId="17" hidden="1">#REF!</definedName>
    <definedName name="FDP_205_1_aUrv" localSheetId="25" hidden="1">#REF!</definedName>
    <definedName name="FDP_205_1_aUrv" localSheetId="31" hidden="1">#REF!</definedName>
    <definedName name="FDP_205_1_aUrv" localSheetId="0" hidden="1">#REF!</definedName>
    <definedName name="FDP_205_1_aUrv" localSheetId="1" hidden="1">#REF!</definedName>
    <definedName name="FDP_205_1_aUrv" hidden="1">#REF!</definedName>
    <definedName name="FDP_206_1_aUrv" localSheetId="4" hidden="1">#REF!</definedName>
    <definedName name="FDP_206_1_aUrv" localSheetId="5" hidden="1">#REF!</definedName>
    <definedName name="FDP_206_1_aUrv" localSheetId="3" hidden="1">#REF!</definedName>
    <definedName name="FDP_206_1_aUrv" localSheetId="30" hidden="1">#REF!</definedName>
    <definedName name="FDP_206_1_aUrv" localSheetId="18" hidden="1">#REF!</definedName>
    <definedName name="FDP_206_1_aUrv" localSheetId="6" hidden="1">#REF!</definedName>
    <definedName name="FDP_206_1_aUrv" localSheetId="19" hidden="1">#REF!</definedName>
    <definedName name="FDP_206_1_aUrv" localSheetId="7" hidden="1">#REF!</definedName>
    <definedName name="FDP_206_1_aUrv" localSheetId="20" hidden="1">#REF!</definedName>
    <definedName name="FDP_206_1_aUrv" localSheetId="17" hidden="1">#REF!</definedName>
    <definedName name="FDP_206_1_aUrv" localSheetId="25" hidden="1">#REF!</definedName>
    <definedName name="FDP_206_1_aUrv" localSheetId="31" hidden="1">#REF!</definedName>
    <definedName name="FDP_206_1_aUrv" localSheetId="0" hidden="1">#REF!</definedName>
    <definedName name="FDP_206_1_aUrv" localSheetId="1" hidden="1">#REF!</definedName>
    <definedName name="FDP_206_1_aUrv" hidden="1">#REF!</definedName>
    <definedName name="FDP_207_1_aUrv" localSheetId="4" hidden="1">#REF!</definedName>
    <definedName name="FDP_207_1_aUrv" localSheetId="5" hidden="1">#REF!</definedName>
    <definedName name="FDP_207_1_aUrv" localSheetId="3" hidden="1">#REF!</definedName>
    <definedName name="FDP_207_1_aUrv" localSheetId="30" hidden="1">#REF!</definedName>
    <definedName name="FDP_207_1_aUrv" localSheetId="18" hidden="1">#REF!</definedName>
    <definedName name="FDP_207_1_aUrv" localSheetId="6" hidden="1">#REF!</definedName>
    <definedName name="FDP_207_1_aUrv" localSheetId="19" hidden="1">#REF!</definedName>
    <definedName name="FDP_207_1_aUrv" localSheetId="7" hidden="1">#REF!</definedName>
    <definedName name="FDP_207_1_aUrv" localSheetId="20" hidden="1">#REF!</definedName>
    <definedName name="FDP_207_1_aUrv" localSheetId="17" hidden="1">#REF!</definedName>
    <definedName name="FDP_207_1_aUrv" localSheetId="25" hidden="1">#REF!</definedName>
    <definedName name="FDP_207_1_aUrv" localSheetId="31" hidden="1">#REF!</definedName>
    <definedName name="FDP_207_1_aUrv" localSheetId="0" hidden="1">#REF!</definedName>
    <definedName name="FDP_207_1_aUrv" localSheetId="1" hidden="1">#REF!</definedName>
    <definedName name="FDP_207_1_aUrv" hidden="1">#REF!</definedName>
    <definedName name="FDP_208_1_aSrv" localSheetId="4" hidden="1">#REF!</definedName>
    <definedName name="FDP_208_1_aSrv" localSheetId="5" hidden="1">#REF!</definedName>
    <definedName name="FDP_208_1_aSrv" localSheetId="3" hidden="1">#REF!</definedName>
    <definedName name="FDP_208_1_aSrv" localSheetId="30" hidden="1">#REF!</definedName>
    <definedName name="FDP_208_1_aSrv" localSheetId="18" hidden="1">#REF!</definedName>
    <definedName name="FDP_208_1_aSrv" localSheetId="6" hidden="1">#REF!</definedName>
    <definedName name="FDP_208_1_aSrv" localSheetId="19" hidden="1">#REF!</definedName>
    <definedName name="FDP_208_1_aSrv" localSheetId="7" hidden="1">#REF!</definedName>
    <definedName name="FDP_208_1_aSrv" localSheetId="20" hidden="1">#REF!</definedName>
    <definedName name="FDP_208_1_aSrv" localSheetId="17" hidden="1">#REF!</definedName>
    <definedName name="FDP_208_1_aSrv" localSheetId="25" hidden="1">#REF!</definedName>
    <definedName name="FDP_208_1_aSrv" localSheetId="31" hidden="1">#REF!</definedName>
    <definedName name="FDP_208_1_aSrv" localSheetId="0" hidden="1">#REF!</definedName>
    <definedName name="FDP_208_1_aSrv" localSheetId="1" hidden="1">#REF!</definedName>
    <definedName name="FDP_208_1_aSrv" hidden="1">#REF!</definedName>
    <definedName name="FDP_209_1_aUrv" localSheetId="4" hidden="1">#REF!</definedName>
    <definedName name="FDP_209_1_aUrv" localSheetId="5" hidden="1">#REF!</definedName>
    <definedName name="FDP_209_1_aUrv" localSheetId="3" hidden="1">#REF!</definedName>
    <definedName name="FDP_209_1_aUrv" localSheetId="30" hidden="1">#REF!</definedName>
    <definedName name="FDP_209_1_aUrv" localSheetId="18" hidden="1">#REF!</definedName>
    <definedName name="FDP_209_1_aUrv" localSheetId="6" hidden="1">#REF!</definedName>
    <definedName name="FDP_209_1_aUrv" localSheetId="19" hidden="1">#REF!</definedName>
    <definedName name="FDP_209_1_aUrv" localSheetId="7" hidden="1">#REF!</definedName>
    <definedName name="FDP_209_1_aUrv" localSheetId="20" hidden="1">#REF!</definedName>
    <definedName name="FDP_209_1_aUrv" localSheetId="17" hidden="1">#REF!</definedName>
    <definedName name="FDP_209_1_aUrv" localSheetId="25" hidden="1">#REF!</definedName>
    <definedName name="FDP_209_1_aUrv" localSheetId="31" hidden="1">#REF!</definedName>
    <definedName name="FDP_209_1_aUrv" localSheetId="0" hidden="1">#REF!</definedName>
    <definedName name="FDP_209_1_aUrv" localSheetId="1" hidden="1">#REF!</definedName>
    <definedName name="FDP_209_1_aUrv" hidden="1">#REF!</definedName>
    <definedName name="FDP_210_1_aUrv" localSheetId="4" hidden="1">#REF!</definedName>
    <definedName name="FDP_210_1_aUrv" localSheetId="5" hidden="1">#REF!</definedName>
    <definedName name="FDP_210_1_aUrv" localSheetId="3" hidden="1">#REF!</definedName>
    <definedName name="FDP_210_1_aUrv" localSheetId="30" hidden="1">#REF!</definedName>
    <definedName name="FDP_210_1_aUrv" localSheetId="18" hidden="1">#REF!</definedName>
    <definedName name="FDP_210_1_aUrv" localSheetId="6" hidden="1">#REF!</definedName>
    <definedName name="FDP_210_1_aUrv" localSheetId="19" hidden="1">#REF!</definedName>
    <definedName name="FDP_210_1_aUrv" localSheetId="7" hidden="1">#REF!</definedName>
    <definedName name="FDP_210_1_aUrv" localSheetId="20" hidden="1">#REF!</definedName>
    <definedName name="FDP_210_1_aUrv" localSheetId="17" hidden="1">#REF!</definedName>
    <definedName name="FDP_210_1_aUrv" localSheetId="25" hidden="1">#REF!</definedName>
    <definedName name="FDP_210_1_aUrv" localSheetId="31" hidden="1">#REF!</definedName>
    <definedName name="FDP_210_1_aUrv" localSheetId="0" hidden="1">#REF!</definedName>
    <definedName name="FDP_210_1_aUrv" localSheetId="1" hidden="1">#REF!</definedName>
    <definedName name="FDP_210_1_aUrv" hidden="1">#REF!</definedName>
    <definedName name="FDP_211_1_aUrv" localSheetId="4" hidden="1">#REF!</definedName>
    <definedName name="FDP_211_1_aUrv" localSheetId="5" hidden="1">#REF!</definedName>
    <definedName name="FDP_211_1_aUrv" localSheetId="3" hidden="1">#REF!</definedName>
    <definedName name="FDP_211_1_aUrv" localSheetId="30" hidden="1">#REF!</definedName>
    <definedName name="FDP_211_1_aUrv" localSheetId="18" hidden="1">#REF!</definedName>
    <definedName name="FDP_211_1_aUrv" localSheetId="6" hidden="1">#REF!</definedName>
    <definedName name="FDP_211_1_aUrv" localSheetId="19" hidden="1">#REF!</definedName>
    <definedName name="FDP_211_1_aUrv" localSheetId="7" hidden="1">#REF!</definedName>
    <definedName name="FDP_211_1_aUrv" localSheetId="20" hidden="1">#REF!</definedName>
    <definedName name="FDP_211_1_aUrv" localSheetId="17" hidden="1">#REF!</definedName>
    <definedName name="FDP_211_1_aUrv" localSheetId="25" hidden="1">#REF!</definedName>
    <definedName name="FDP_211_1_aUrv" localSheetId="31" hidden="1">#REF!</definedName>
    <definedName name="FDP_211_1_aUrv" localSheetId="0" hidden="1">#REF!</definedName>
    <definedName name="FDP_211_1_aUrv" localSheetId="1" hidden="1">#REF!</definedName>
    <definedName name="FDP_211_1_aUrv" hidden="1">#REF!</definedName>
    <definedName name="FDP_212_1_aUrv" localSheetId="4" hidden="1">#REF!</definedName>
    <definedName name="FDP_212_1_aUrv" localSheetId="5" hidden="1">#REF!</definedName>
    <definedName name="FDP_212_1_aUrv" localSheetId="3" hidden="1">#REF!</definedName>
    <definedName name="FDP_212_1_aUrv" localSheetId="30" hidden="1">#REF!</definedName>
    <definedName name="FDP_212_1_aUrv" localSheetId="18" hidden="1">#REF!</definedName>
    <definedName name="FDP_212_1_aUrv" localSheetId="6" hidden="1">#REF!</definedName>
    <definedName name="FDP_212_1_aUrv" localSheetId="19" hidden="1">#REF!</definedName>
    <definedName name="FDP_212_1_aUrv" localSheetId="7" hidden="1">#REF!</definedName>
    <definedName name="FDP_212_1_aUrv" localSheetId="20" hidden="1">#REF!</definedName>
    <definedName name="FDP_212_1_aUrv" localSheetId="17" hidden="1">#REF!</definedName>
    <definedName name="FDP_212_1_aUrv" localSheetId="25" hidden="1">#REF!</definedName>
    <definedName name="FDP_212_1_aUrv" localSheetId="31" hidden="1">#REF!</definedName>
    <definedName name="FDP_212_1_aUrv" localSheetId="0" hidden="1">#REF!</definedName>
    <definedName name="FDP_212_1_aUrv" localSheetId="1" hidden="1">#REF!</definedName>
    <definedName name="FDP_212_1_aUrv" hidden="1">#REF!</definedName>
    <definedName name="FDP_213_1_aSrv" localSheetId="4" hidden="1">#REF!</definedName>
    <definedName name="FDP_213_1_aSrv" localSheetId="5" hidden="1">#REF!</definedName>
    <definedName name="FDP_213_1_aSrv" localSheetId="3" hidden="1">#REF!</definedName>
    <definedName name="FDP_213_1_aSrv" localSheetId="30" hidden="1">#REF!</definedName>
    <definedName name="FDP_213_1_aSrv" localSheetId="18" hidden="1">#REF!</definedName>
    <definedName name="FDP_213_1_aSrv" localSheetId="6" hidden="1">#REF!</definedName>
    <definedName name="FDP_213_1_aSrv" localSheetId="19" hidden="1">#REF!</definedName>
    <definedName name="FDP_213_1_aSrv" localSheetId="7" hidden="1">#REF!</definedName>
    <definedName name="FDP_213_1_aSrv" localSheetId="20" hidden="1">#REF!</definedName>
    <definedName name="FDP_213_1_aSrv" localSheetId="17" hidden="1">#REF!</definedName>
    <definedName name="FDP_213_1_aSrv" localSheetId="25" hidden="1">#REF!</definedName>
    <definedName name="FDP_213_1_aSrv" localSheetId="31" hidden="1">#REF!</definedName>
    <definedName name="FDP_213_1_aSrv" localSheetId="0" hidden="1">#REF!</definedName>
    <definedName name="FDP_213_1_aSrv" localSheetId="1" hidden="1">#REF!</definedName>
    <definedName name="FDP_213_1_aSrv" hidden="1">#REF!</definedName>
    <definedName name="FDP_214_1_aUrv" localSheetId="4" hidden="1">#REF!</definedName>
    <definedName name="FDP_214_1_aUrv" localSheetId="5" hidden="1">#REF!</definedName>
    <definedName name="FDP_214_1_aUrv" localSheetId="3" hidden="1">#REF!</definedName>
    <definedName name="FDP_214_1_aUrv" localSheetId="30" hidden="1">#REF!</definedName>
    <definedName name="FDP_214_1_aUrv" localSheetId="18" hidden="1">#REF!</definedName>
    <definedName name="FDP_214_1_aUrv" localSheetId="6" hidden="1">#REF!</definedName>
    <definedName name="FDP_214_1_aUrv" localSheetId="19" hidden="1">#REF!</definedName>
    <definedName name="FDP_214_1_aUrv" localSheetId="7" hidden="1">#REF!</definedName>
    <definedName name="FDP_214_1_aUrv" localSheetId="20" hidden="1">#REF!</definedName>
    <definedName name="FDP_214_1_aUrv" localSheetId="17" hidden="1">#REF!</definedName>
    <definedName name="FDP_214_1_aUrv" localSheetId="25" hidden="1">#REF!</definedName>
    <definedName name="FDP_214_1_aUrv" localSheetId="31" hidden="1">#REF!</definedName>
    <definedName name="FDP_214_1_aUrv" localSheetId="0" hidden="1">#REF!</definedName>
    <definedName name="FDP_214_1_aUrv" localSheetId="1" hidden="1">#REF!</definedName>
    <definedName name="FDP_214_1_aUrv" hidden="1">#REF!</definedName>
    <definedName name="FDP_215_1_aUrv" localSheetId="4" hidden="1">#REF!</definedName>
    <definedName name="FDP_215_1_aUrv" localSheetId="5" hidden="1">#REF!</definedName>
    <definedName name="FDP_215_1_aUrv" localSheetId="3" hidden="1">#REF!</definedName>
    <definedName name="FDP_215_1_aUrv" localSheetId="30" hidden="1">#REF!</definedName>
    <definedName name="FDP_215_1_aUrv" localSheetId="18" hidden="1">#REF!</definedName>
    <definedName name="FDP_215_1_aUrv" localSheetId="6" hidden="1">#REF!</definedName>
    <definedName name="FDP_215_1_aUrv" localSheetId="19" hidden="1">#REF!</definedName>
    <definedName name="FDP_215_1_aUrv" localSheetId="7" hidden="1">#REF!</definedName>
    <definedName name="FDP_215_1_aUrv" localSheetId="20" hidden="1">#REF!</definedName>
    <definedName name="FDP_215_1_aUrv" localSheetId="17" hidden="1">#REF!</definedName>
    <definedName name="FDP_215_1_aUrv" localSheetId="25" hidden="1">#REF!</definedName>
    <definedName name="FDP_215_1_aUrv" localSheetId="31" hidden="1">#REF!</definedName>
    <definedName name="FDP_215_1_aUrv" localSheetId="0" hidden="1">#REF!</definedName>
    <definedName name="FDP_215_1_aUrv" localSheetId="1" hidden="1">#REF!</definedName>
    <definedName name="FDP_215_1_aUrv" hidden="1">#REF!</definedName>
    <definedName name="FDP_216_1_aUrv" localSheetId="4" hidden="1">#REF!</definedName>
    <definedName name="FDP_216_1_aUrv" localSheetId="5" hidden="1">#REF!</definedName>
    <definedName name="FDP_216_1_aUrv" localSheetId="3" hidden="1">#REF!</definedName>
    <definedName name="FDP_216_1_aUrv" localSheetId="30" hidden="1">#REF!</definedName>
    <definedName name="FDP_216_1_aUrv" localSheetId="18" hidden="1">#REF!</definedName>
    <definedName name="FDP_216_1_aUrv" localSheetId="6" hidden="1">#REF!</definedName>
    <definedName name="FDP_216_1_aUrv" localSheetId="19" hidden="1">#REF!</definedName>
    <definedName name="FDP_216_1_aUrv" localSheetId="7" hidden="1">#REF!</definedName>
    <definedName name="FDP_216_1_aUrv" localSheetId="20" hidden="1">#REF!</definedName>
    <definedName name="FDP_216_1_aUrv" localSheetId="17" hidden="1">#REF!</definedName>
    <definedName name="FDP_216_1_aUrv" localSheetId="25" hidden="1">#REF!</definedName>
    <definedName name="FDP_216_1_aUrv" localSheetId="31" hidden="1">#REF!</definedName>
    <definedName name="FDP_216_1_aUrv" localSheetId="0" hidden="1">#REF!</definedName>
    <definedName name="FDP_216_1_aUrv" localSheetId="1" hidden="1">#REF!</definedName>
    <definedName name="FDP_216_1_aUrv" hidden="1">#REF!</definedName>
    <definedName name="FDP_217_1_aUrv" localSheetId="4" hidden="1">#REF!</definedName>
    <definedName name="FDP_217_1_aUrv" localSheetId="5" hidden="1">#REF!</definedName>
    <definedName name="FDP_217_1_aUrv" localSheetId="3" hidden="1">#REF!</definedName>
    <definedName name="FDP_217_1_aUrv" localSheetId="30" hidden="1">#REF!</definedName>
    <definedName name="FDP_217_1_aUrv" localSheetId="18" hidden="1">#REF!</definedName>
    <definedName name="FDP_217_1_aUrv" localSheetId="6" hidden="1">#REF!</definedName>
    <definedName name="FDP_217_1_aUrv" localSheetId="19" hidden="1">#REF!</definedName>
    <definedName name="FDP_217_1_aUrv" localSheetId="7" hidden="1">#REF!</definedName>
    <definedName name="FDP_217_1_aUrv" localSheetId="20" hidden="1">#REF!</definedName>
    <definedName name="FDP_217_1_aUrv" localSheetId="17" hidden="1">#REF!</definedName>
    <definedName name="FDP_217_1_aUrv" localSheetId="25" hidden="1">#REF!</definedName>
    <definedName name="FDP_217_1_aUrv" localSheetId="31" hidden="1">#REF!</definedName>
    <definedName name="FDP_217_1_aUrv" localSheetId="0" hidden="1">#REF!</definedName>
    <definedName name="FDP_217_1_aUrv" localSheetId="1" hidden="1">#REF!</definedName>
    <definedName name="FDP_217_1_aUrv" hidden="1">#REF!</definedName>
    <definedName name="FDP_218_1_aSrv" localSheetId="4" hidden="1">#REF!</definedName>
    <definedName name="FDP_218_1_aSrv" localSheetId="5" hidden="1">#REF!</definedName>
    <definedName name="FDP_218_1_aSrv" localSheetId="3" hidden="1">#REF!</definedName>
    <definedName name="FDP_218_1_aSrv" localSheetId="30" hidden="1">#REF!</definedName>
    <definedName name="FDP_218_1_aSrv" localSheetId="18" hidden="1">#REF!</definedName>
    <definedName name="FDP_218_1_aSrv" localSheetId="6" hidden="1">#REF!</definedName>
    <definedName name="FDP_218_1_aSrv" localSheetId="19" hidden="1">#REF!</definedName>
    <definedName name="FDP_218_1_aSrv" localSheetId="7" hidden="1">#REF!</definedName>
    <definedName name="FDP_218_1_aSrv" localSheetId="20" hidden="1">#REF!</definedName>
    <definedName name="FDP_218_1_aSrv" localSheetId="17" hidden="1">#REF!</definedName>
    <definedName name="FDP_218_1_aSrv" localSheetId="25" hidden="1">#REF!</definedName>
    <definedName name="FDP_218_1_aSrv" localSheetId="31" hidden="1">#REF!</definedName>
    <definedName name="FDP_218_1_aSrv" localSheetId="0" hidden="1">#REF!</definedName>
    <definedName name="FDP_218_1_aSrv" localSheetId="1" hidden="1">#REF!</definedName>
    <definedName name="FDP_218_1_aSrv" hidden="1">#REF!</definedName>
    <definedName name="FDP_219_1_aSrv" localSheetId="4" hidden="1">#REF!</definedName>
    <definedName name="FDP_219_1_aSrv" localSheetId="5" hidden="1">#REF!</definedName>
    <definedName name="FDP_219_1_aSrv" localSheetId="3" hidden="1">#REF!</definedName>
    <definedName name="FDP_219_1_aSrv" localSheetId="30" hidden="1">#REF!</definedName>
    <definedName name="FDP_219_1_aSrv" localSheetId="18" hidden="1">#REF!</definedName>
    <definedName name="FDP_219_1_aSrv" localSheetId="6" hidden="1">#REF!</definedName>
    <definedName name="FDP_219_1_aSrv" localSheetId="19" hidden="1">#REF!</definedName>
    <definedName name="FDP_219_1_aSrv" localSheetId="7" hidden="1">#REF!</definedName>
    <definedName name="FDP_219_1_aSrv" localSheetId="20" hidden="1">#REF!</definedName>
    <definedName name="FDP_219_1_aSrv" localSheetId="17" hidden="1">#REF!</definedName>
    <definedName name="FDP_219_1_aSrv" localSheetId="25" hidden="1">#REF!</definedName>
    <definedName name="FDP_219_1_aSrv" localSheetId="31" hidden="1">#REF!</definedName>
    <definedName name="FDP_219_1_aSrv" localSheetId="0" hidden="1">#REF!</definedName>
    <definedName name="FDP_219_1_aSrv" localSheetId="1" hidden="1">#REF!</definedName>
    <definedName name="FDP_219_1_aSrv" hidden="1">#REF!</definedName>
    <definedName name="FDP_220_1_aSrv" localSheetId="4" hidden="1">#REF!</definedName>
    <definedName name="FDP_220_1_aSrv" localSheetId="5" hidden="1">#REF!</definedName>
    <definedName name="FDP_220_1_aSrv" localSheetId="3" hidden="1">#REF!</definedName>
    <definedName name="FDP_220_1_aSrv" localSheetId="30" hidden="1">#REF!</definedName>
    <definedName name="FDP_220_1_aSrv" localSheetId="18" hidden="1">#REF!</definedName>
    <definedName name="FDP_220_1_aSrv" localSheetId="6" hidden="1">#REF!</definedName>
    <definedName name="FDP_220_1_aSrv" localSheetId="19" hidden="1">#REF!</definedName>
    <definedName name="FDP_220_1_aSrv" localSheetId="7" hidden="1">#REF!</definedName>
    <definedName name="FDP_220_1_aSrv" localSheetId="20" hidden="1">#REF!</definedName>
    <definedName name="FDP_220_1_aSrv" localSheetId="17" hidden="1">#REF!</definedName>
    <definedName name="FDP_220_1_aSrv" localSheetId="25" hidden="1">#REF!</definedName>
    <definedName name="FDP_220_1_aSrv" localSheetId="31" hidden="1">#REF!</definedName>
    <definedName name="FDP_220_1_aSrv" localSheetId="0" hidden="1">#REF!</definedName>
    <definedName name="FDP_220_1_aSrv" localSheetId="1" hidden="1">#REF!</definedName>
    <definedName name="FDP_220_1_aSrv" hidden="1">#REF!</definedName>
    <definedName name="FDP_221_1_aSrv" localSheetId="4" hidden="1">#REF!</definedName>
    <definedName name="FDP_221_1_aSrv" localSheetId="5" hidden="1">#REF!</definedName>
    <definedName name="FDP_221_1_aSrv" localSheetId="3" hidden="1">#REF!</definedName>
    <definedName name="FDP_221_1_aSrv" localSheetId="30" hidden="1">#REF!</definedName>
    <definedName name="FDP_221_1_aSrv" localSheetId="18" hidden="1">#REF!</definedName>
    <definedName name="FDP_221_1_aSrv" localSheetId="6" hidden="1">#REF!</definedName>
    <definedName name="FDP_221_1_aSrv" localSheetId="19" hidden="1">#REF!</definedName>
    <definedName name="FDP_221_1_aSrv" localSheetId="7" hidden="1">#REF!</definedName>
    <definedName name="FDP_221_1_aSrv" localSheetId="20" hidden="1">#REF!</definedName>
    <definedName name="FDP_221_1_aSrv" localSheetId="17" hidden="1">#REF!</definedName>
    <definedName name="FDP_221_1_aSrv" localSheetId="25" hidden="1">#REF!</definedName>
    <definedName name="FDP_221_1_aSrv" localSheetId="31" hidden="1">#REF!</definedName>
    <definedName name="FDP_221_1_aSrv" localSheetId="0" hidden="1">#REF!</definedName>
    <definedName name="FDP_221_1_aSrv" localSheetId="1" hidden="1">#REF!</definedName>
    <definedName name="FDP_221_1_aSrv" hidden="1">#REF!</definedName>
    <definedName name="FDP_222_1_aSrv" localSheetId="4" hidden="1">#REF!</definedName>
    <definedName name="FDP_222_1_aSrv" localSheetId="5" hidden="1">#REF!</definedName>
    <definedName name="FDP_222_1_aSrv" localSheetId="3" hidden="1">#REF!</definedName>
    <definedName name="FDP_222_1_aSrv" localSheetId="30" hidden="1">#REF!</definedName>
    <definedName name="FDP_222_1_aSrv" localSheetId="18" hidden="1">#REF!</definedName>
    <definedName name="FDP_222_1_aSrv" localSheetId="6" hidden="1">#REF!</definedName>
    <definedName name="FDP_222_1_aSrv" localSheetId="19" hidden="1">#REF!</definedName>
    <definedName name="FDP_222_1_aSrv" localSheetId="7" hidden="1">#REF!</definedName>
    <definedName name="FDP_222_1_aSrv" localSheetId="20" hidden="1">#REF!</definedName>
    <definedName name="FDP_222_1_aSrv" localSheetId="17" hidden="1">#REF!</definedName>
    <definedName name="FDP_222_1_aSrv" localSheetId="25" hidden="1">#REF!</definedName>
    <definedName name="FDP_222_1_aSrv" localSheetId="31" hidden="1">#REF!</definedName>
    <definedName name="FDP_222_1_aSrv" localSheetId="0" hidden="1">#REF!</definedName>
    <definedName name="FDP_222_1_aSrv" localSheetId="1" hidden="1">#REF!</definedName>
    <definedName name="FDP_222_1_aSrv" hidden="1">#REF!</definedName>
    <definedName name="FDP_223_1_aSrv" localSheetId="4" hidden="1">#REF!</definedName>
    <definedName name="FDP_223_1_aSrv" localSheetId="5" hidden="1">#REF!</definedName>
    <definedName name="FDP_223_1_aSrv" localSheetId="3" hidden="1">#REF!</definedName>
    <definedName name="FDP_223_1_aSrv" localSheetId="30" hidden="1">#REF!</definedName>
    <definedName name="FDP_223_1_aSrv" localSheetId="18" hidden="1">#REF!</definedName>
    <definedName name="FDP_223_1_aSrv" localSheetId="6" hidden="1">#REF!</definedName>
    <definedName name="FDP_223_1_aSrv" localSheetId="19" hidden="1">#REF!</definedName>
    <definedName name="FDP_223_1_aSrv" localSheetId="7" hidden="1">#REF!</definedName>
    <definedName name="FDP_223_1_aSrv" localSheetId="20" hidden="1">#REF!</definedName>
    <definedName name="FDP_223_1_aSrv" localSheetId="17" hidden="1">#REF!</definedName>
    <definedName name="FDP_223_1_aSrv" localSheetId="25" hidden="1">#REF!</definedName>
    <definedName name="FDP_223_1_aSrv" localSheetId="31" hidden="1">#REF!</definedName>
    <definedName name="FDP_223_1_aSrv" localSheetId="0" hidden="1">#REF!</definedName>
    <definedName name="FDP_223_1_aSrv" localSheetId="1" hidden="1">#REF!</definedName>
    <definedName name="FDP_223_1_aSrv" hidden="1">#REF!</definedName>
    <definedName name="FDP_224_1_aUrv" localSheetId="4" hidden="1">#REF!</definedName>
    <definedName name="FDP_224_1_aUrv" localSheetId="5" hidden="1">#REF!</definedName>
    <definedName name="FDP_224_1_aUrv" localSheetId="3" hidden="1">#REF!</definedName>
    <definedName name="FDP_224_1_aUrv" localSheetId="30" hidden="1">#REF!</definedName>
    <definedName name="FDP_224_1_aUrv" localSheetId="18" hidden="1">#REF!</definedName>
    <definedName name="FDP_224_1_aUrv" localSheetId="6" hidden="1">#REF!</definedName>
    <definedName name="FDP_224_1_aUrv" localSheetId="19" hidden="1">#REF!</definedName>
    <definedName name="FDP_224_1_aUrv" localSheetId="7" hidden="1">#REF!</definedName>
    <definedName name="FDP_224_1_aUrv" localSheetId="20" hidden="1">#REF!</definedName>
    <definedName name="FDP_224_1_aUrv" localSheetId="17" hidden="1">#REF!</definedName>
    <definedName name="FDP_224_1_aUrv" localSheetId="25" hidden="1">#REF!</definedName>
    <definedName name="FDP_224_1_aUrv" localSheetId="31" hidden="1">#REF!</definedName>
    <definedName name="FDP_224_1_aUrv" localSheetId="0" hidden="1">#REF!</definedName>
    <definedName name="FDP_224_1_aUrv" localSheetId="1" hidden="1">#REF!</definedName>
    <definedName name="FDP_224_1_aUrv" hidden="1">#REF!</definedName>
    <definedName name="FDP_225_1_aUrv" localSheetId="4" hidden="1">#REF!</definedName>
    <definedName name="FDP_225_1_aUrv" localSheetId="5" hidden="1">#REF!</definedName>
    <definedName name="FDP_225_1_aUrv" localSheetId="3" hidden="1">#REF!</definedName>
    <definedName name="FDP_225_1_aUrv" localSheetId="30" hidden="1">#REF!</definedName>
    <definedName name="FDP_225_1_aUrv" localSheetId="18" hidden="1">#REF!</definedName>
    <definedName name="FDP_225_1_aUrv" localSheetId="6" hidden="1">#REF!</definedName>
    <definedName name="FDP_225_1_aUrv" localSheetId="19" hidden="1">#REF!</definedName>
    <definedName name="FDP_225_1_aUrv" localSheetId="7" hidden="1">#REF!</definedName>
    <definedName name="FDP_225_1_aUrv" localSheetId="20" hidden="1">#REF!</definedName>
    <definedName name="FDP_225_1_aUrv" localSheetId="17" hidden="1">#REF!</definedName>
    <definedName name="FDP_225_1_aUrv" localSheetId="25" hidden="1">#REF!</definedName>
    <definedName name="FDP_225_1_aUrv" localSheetId="31" hidden="1">#REF!</definedName>
    <definedName name="FDP_225_1_aUrv" localSheetId="0" hidden="1">#REF!</definedName>
    <definedName name="FDP_225_1_aUrv" localSheetId="1" hidden="1">#REF!</definedName>
    <definedName name="FDP_225_1_aUrv" hidden="1">#REF!</definedName>
    <definedName name="FDP_226_1_aUrv" localSheetId="4" hidden="1">#REF!</definedName>
    <definedName name="FDP_226_1_aUrv" localSheetId="5" hidden="1">#REF!</definedName>
    <definedName name="FDP_226_1_aUrv" localSheetId="3" hidden="1">#REF!</definedName>
    <definedName name="FDP_226_1_aUrv" localSheetId="30" hidden="1">#REF!</definedName>
    <definedName name="FDP_226_1_aUrv" localSheetId="18" hidden="1">#REF!</definedName>
    <definedName name="FDP_226_1_aUrv" localSheetId="6" hidden="1">#REF!</definedName>
    <definedName name="FDP_226_1_aUrv" localSheetId="19" hidden="1">#REF!</definedName>
    <definedName name="FDP_226_1_aUrv" localSheetId="7" hidden="1">#REF!</definedName>
    <definedName name="FDP_226_1_aUrv" localSheetId="20" hidden="1">#REF!</definedName>
    <definedName name="FDP_226_1_aUrv" localSheetId="17" hidden="1">#REF!</definedName>
    <definedName name="FDP_226_1_aUrv" localSheetId="25" hidden="1">#REF!</definedName>
    <definedName name="FDP_226_1_aUrv" localSheetId="31" hidden="1">#REF!</definedName>
    <definedName name="FDP_226_1_aUrv" localSheetId="0" hidden="1">#REF!</definedName>
    <definedName name="FDP_226_1_aUrv" localSheetId="1" hidden="1">#REF!</definedName>
    <definedName name="FDP_226_1_aUrv" hidden="1">#REF!</definedName>
    <definedName name="FDP_227_1_aUrv" localSheetId="4" hidden="1">#REF!</definedName>
    <definedName name="FDP_227_1_aUrv" localSheetId="5" hidden="1">#REF!</definedName>
    <definedName name="FDP_227_1_aUrv" localSheetId="3" hidden="1">#REF!</definedName>
    <definedName name="FDP_227_1_aUrv" localSheetId="30" hidden="1">#REF!</definedName>
    <definedName name="FDP_227_1_aUrv" localSheetId="18" hidden="1">#REF!</definedName>
    <definedName name="FDP_227_1_aUrv" localSheetId="6" hidden="1">#REF!</definedName>
    <definedName name="FDP_227_1_aUrv" localSheetId="19" hidden="1">#REF!</definedName>
    <definedName name="FDP_227_1_aUrv" localSheetId="7" hidden="1">#REF!</definedName>
    <definedName name="FDP_227_1_aUrv" localSheetId="20" hidden="1">#REF!</definedName>
    <definedName name="FDP_227_1_aUrv" localSheetId="17" hidden="1">#REF!</definedName>
    <definedName name="FDP_227_1_aUrv" localSheetId="25" hidden="1">#REF!</definedName>
    <definedName name="FDP_227_1_aUrv" localSheetId="31" hidden="1">#REF!</definedName>
    <definedName name="FDP_227_1_aUrv" localSheetId="0" hidden="1">#REF!</definedName>
    <definedName name="FDP_227_1_aUrv" localSheetId="1" hidden="1">#REF!</definedName>
    <definedName name="FDP_227_1_aUrv" hidden="1">#REF!</definedName>
    <definedName name="FDP_228_1_aSrv" localSheetId="4" hidden="1">#REF!</definedName>
    <definedName name="FDP_228_1_aSrv" localSheetId="5" hidden="1">#REF!</definedName>
    <definedName name="FDP_228_1_aSrv" localSheetId="3" hidden="1">#REF!</definedName>
    <definedName name="FDP_228_1_aSrv" localSheetId="30" hidden="1">#REF!</definedName>
    <definedName name="FDP_228_1_aSrv" localSheetId="18" hidden="1">#REF!</definedName>
    <definedName name="FDP_228_1_aSrv" localSheetId="6" hidden="1">#REF!</definedName>
    <definedName name="FDP_228_1_aSrv" localSheetId="19" hidden="1">#REF!</definedName>
    <definedName name="FDP_228_1_aSrv" localSheetId="7" hidden="1">#REF!</definedName>
    <definedName name="FDP_228_1_aSrv" localSheetId="20" hidden="1">#REF!</definedName>
    <definedName name="FDP_228_1_aSrv" localSheetId="17" hidden="1">#REF!</definedName>
    <definedName name="FDP_228_1_aSrv" localSheetId="25" hidden="1">#REF!</definedName>
    <definedName name="FDP_228_1_aSrv" localSheetId="31" hidden="1">#REF!</definedName>
    <definedName name="FDP_228_1_aSrv" localSheetId="0" hidden="1">#REF!</definedName>
    <definedName name="FDP_228_1_aSrv" localSheetId="1" hidden="1">#REF!</definedName>
    <definedName name="FDP_228_1_aSrv" hidden="1">#REF!</definedName>
    <definedName name="FDP_229_1_aSrv" localSheetId="4" hidden="1">#REF!</definedName>
    <definedName name="FDP_229_1_aSrv" localSheetId="5" hidden="1">#REF!</definedName>
    <definedName name="FDP_229_1_aSrv" localSheetId="3" hidden="1">#REF!</definedName>
    <definedName name="FDP_229_1_aSrv" localSheetId="30" hidden="1">#REF!</definedName>
    <definedName name="FDP_229_1_aSrv" localSheetId="18" hidden="1">#REF!</definedName>
    <definedName name="FDP_229_1_aSrv" localSheetId="6" hidden="1">#REF!</definedName>
    <definedName name="FDP_229_1_aSrv" localSheetId="19" hidden="1">#REF!</definedName>
    <definedName name="FDP_229_1_aSrv" localSheetId="7" hidden="1">#REF!</definedName>
    <definedName name="FDP_229_1_aSrv" localSheetId="20" hidden="1">#REF!</definedName>
    <definedName name="FDP_229_1_aSrv" localSheetId="17" hidden="1">#REF!</definedName>
    <definedName name="FDP_229_1_aSrv" localSheetId="25" hidden="1">#REF!</definedName>
    <definedName name="FDP_229_1_aSrv" localSheetId="31" hidden="1">#REF!</definedName>
    <definedName name="FDP_229_1_aSrv" localSheetId="0" hidden="1">#REF!</definedName>
    <definedName name="FDP_229_1_aSrv" localSheetId="1" hidden="1">#REF!</definedName>
    <definedName name="FDP_229_1_aSrv" hidden="1">#REF!</definedName>
    <definedName name="FDP_230_1_aSrv" localSheetId="4" hidden="1">#REF!</definedName>
    <definedName name="FDP_230_1_aSrv" localSheetId="5" hidden="1">#REF!</definedName>
    <definedName name="FDP_230_1_aSrv" localSheetId="3" hidden="1">#REF!</definedName>
    <definedName name="FDP_230_1_aSrv" localSheetId="30" hidden="1">#REF!</definedName>
    <definedName name="FDP_230_1_aSrv" localSheetId="18" hidden="1">#REF!</definedName>
    <definedName name="FDP_230_1_aSrv" localSheetId="6" hidden="1">#REF!</definedName>
    <definedName name="FDP_230_1_aSrv" localSheetId="19" hidden="1">#REF!</definedName>
    <definedName name="FDP_230_1_aSrv" localSheetId="7" hidden="1">#REF!</definedName>
    <definedName name="FDP_230_1_aSrv" localSheetId="20" hidden="1">#REF!</definedName>
    <definedName name="FDP_230_1_aSrv" localSheetId="17" hidden="1">#REF!</definedName>
    <definedName name="FDP_230_1_aSrv" localSheetId="25" hidden="1">#REF!</definedName>
    <definedName name="FDP_230_1_aSrv" localSheetId="31" hidden="1">#REF!</definedName>
    <definedName name="FDP_230_1_aSrv" localSheetId="0" hidden="1">#REF!</definedName>
    <definedName name="FDP_230_1_aSrv" localSheetId="1" hidden="1">#REF!</definedName>
    <definedName name="FDP_230_1_aSrv" hidden="1">#REF!</definedName>
    <definedName name="FDP_231_1_aSrv" localSheetId="4" hidden="1">#REF!</definedName>
    <definedName name="FDP_231_1_aSrv" localSheetId="5" hidden="1">#REF!</definedName>
    <definedName name="FDP_231_1_aSrv" localSheetId="3" hidden="1">#REF!</definedName>
    <definedName name="FDP_231_1_aSrv" localSheetId="30" hidden="1">#REF!</definedName>
    <definedName name="FDP_231_1_aSrv" localSheetId="18" hidden="1">#REF!</definedName>
    <definedName name="FDP_231_1_aSrv" localSheetId="6" hidden="1">#REF!</definedName>
    <definedName name="FDP_231_1_aSrv" localSheetId="19" hidden="1">#REF!</definedName>
    <definedName name="FDP_231_1_aSrv" localSheetId="7" hidden="1">#REF!</definedName>
    <definedName name="FDP_231_1_aSrv" localSheetId="20" hidden="1">#REF!</definedName>
    <definedName name="FDP_231_1_aSrv" localSheetId="17" hidden="1">#REF!</definedName>
    <definedName name="FDP_231_1_aSrv" localSheetId="25" hidden="1">#REF!</definedName>
    <definedName name="FDP_231_1_aSrv" localSheetId="31" hidden="1">#REF!</definedName>
    <definedName name="FDP_231_1_aSrv" localSheetId="0" hidden="1">#REF!</definedName>
    <definedName name="FDP_231_1_aSrv" localSheetId="1" hidden="1">#REF!</definedName>
    <definedName name="FDP_231_1_aSrv" hidden="1">#REF!</definedName>
    <definedName name="FDP_232_1_aSrv" localSheetId="4" hidden="1">#REF!</definedName>
    <definedName name="FDP_232_1_aSrv" localSheetId="5" hidden="1">#REF!</definedName>
    <definedName name="FDP_232_1_aSrv" localSheetId="3" hidden="1">#REF!</definedName>
    <definedName name="FDP_232_1_aSrv" localSheetId="30" hidden="1">#REF!</definedName>
    <definedName name="FDP_232_1_aSrv" localSheetId="18" hidden="1">#REF!</definedName>
    <definedName name="FDP_232_1_aSrv" localSheetId="6" hidden="1">#REF!</definedName>
    <definedName name="FDP_232_1_aSrv" localSheetId="19" hidden="1">#REF!</definedName>
    <definedName name="FDP_232_1_aSrv" localSheetId="7" hidden="1">#REF!</definedName>
    <definedName name="FDP_232_1_aSrv" localSheetId="20" hidden="1">#REF!</definedName>
    <definedName name="FDP_232_1_aSrv" localSheetId="17" hidden="1">#REF!</definedName>
    <definedName name="FDP_232_1_aSrv" localSheetId="25" hidden="1">#REF!</definedName>
    <definedName name="FDP_232_1_aSrv" localSheetId="31" hidden="1">#REF!</definedName>
    <definedName name="FDP_232_1_aSrv" localSheetId="0" hidden="1">#REF!</definedName>
    <definedName name="FDP_232_1_aSrv" localSheetId="1" hidden="1">#REF!</definedName>
    <definedName name="FDP_232_1_aSrv" hidden="1">#REF!</definedName>
    <definedName name="FDP_233_1_aSrv" localSheetId="4" hidden="1">#REF!</definedName>
    <definedName name="FDP_233_1_aSrv" localSheetId="5" hidden="1">#REF!</definedName>
    <definedName name="FDP_233_1_aSrv" localSheetId="3" hidden="1">#REF!</definedName>
    <definedName name="FDP_233_1_aSrv" localSheetId="30" hidden="1">#REF!</definedName>
    <definedName name="FDP_233_1_aSrv" localSheetId="18" hidden="1">#REF!</definedName>
    <definedName name="FDP_233_1_aSrv" localSheetId="6" hidden="1">#REF!</definedName>
    <definedName name="FDP_233_1_aSrv" localSheetId="19" hidden="1">#REF!</definedName>
    <definedName name="FDP_233_1_aSrv" localSheetId="7" hidden="1">#REF!</definedName>
    <definedName name="FDP_233_1_aSrv" localSheetId="20" hidden="1">#REF!</definedName>
    <definedName name="FDP_233_1_aSrv" localSheetId="17" hidden="1">#REF!</definedName>
    <definedName name="FDP_233_1_aSrv" localSheetId="25" hidden="1">#REF!</definedName>
    <definedName name="FDP_233_1_aSrv" localSheetId="31" hidden="1">#REF!</definedName>
    <definedName name="FDP_233_1_aSrv" localSheetId="0" hidden="1">#REF!</definedName>
    <definedName name="FDP_233_1_aSrv" localSheetId="1" hidden="1">#REF!</definedName>
    <definedName name="FDP_233_1_aSrv" hidden="1">#REF!</definedName>
    <definedName name="FDP_234_1_aUrv" localSheetId="4" hidden="1">#REF!</definedName>
    <definedName name="FDP_234_1_aUrv" localSheetId="5" hidden="1">#REF!</definedName>
    <definedName name="FDP_234_1_aUrv" localSheetId="3" hidden="1">#REF!</definedName>
    <definedName name="FDP_234_1_aUrv" localSheetId="30" hidden="1">#REF!</definedName>
    <definedName name="FDP_234_1_aUrv" localSheetId="18" hidden="1">#REF!</definedName>
    <definedName name="FDP_234_1_aUrv" localSheetId="6" hidden="1">#REF!</definedName>
    <definedName name="FDP_234_1_aUrv" localSheetId="19" hidden="1">#REF!</definedName>
    <definedName name="FDP_234_1_aUrv" localSheetId="7" hidden="1">#REF!</definedName>
    <definedName name="FDP_234_1_aUrv" localSheetId="20" hidden="1">#REF!</definedName>
    <definedName name="FDP_234_1_aUrv" localSheetId="17" hidden="1">#REF!</definedName>
    <definedName name="FDP_234_1_aUrv" localSheetId="25" hidden="1">#REF!</definedName>
    <definedName name="FDP_234_1_aUrv" localSheetId="31" hidden="1">#REF!</definedName>
    <definedName name="FDP_234_1_aUrv" localSheetId="0" hidden="1">#REF!</definedName>
    <definedName name="FDP_234_1_aUrv" localSheetId="1" hidden="1">#REF!</definedName>
    <definedName name="FDP_234_1_aUrv" hidden="1">#REF!</definedName>
    <definedName name="FDP_235_1_aUrv" localSheetId="4" hidden="1">#REF!</definedName>
    <definedName name="FDP_235_1_aUrv" localSheetId="5" hidden="1">#REF!</definedName>
    <definedName name="FDP_235_1_aUrv" localSheetId="3" hidden="1">#REF!</definedName>
    <definedName name="FDP_235_1_aUrv" localSheetId="30" hidden="1">#REF!</definedName>
    <definedName name="FDP_235_1_aUrv" localSheetId="18" hidden="1">#REF!</definedName>
    <definedName name="FDP_235_1_aUrv" localSheetId="6" hidden="1">#REF!</definedName>
    <definedName name="FDP_235_1_aUrv" localSheetId="19" hidden="1">#REF!</definedName>
    <definedName name="FDP_235_1_aUrv" localSheetId="7" hidden="1">#REF!</definedName>
    <definedName name="FDP_235_1_aUrv" localSheetId="20" hidden="1">#REF!</definedName>
    <definedName name="FDP_235_1_aUrv" localSheetId="17" hidden="1">#REF!</definedName>
    <definedName name="FDP_235_1_aUrv" localSheetId="25" hidden="1">#REF!</definedName>
    <definedName name="FDP_235_1_aUrv" localSheetId="31" hidden="1">#REF!</definedName>
    <definedName name="FDP_235_1_aUrv" localSheetId="0" hidden="1">#REF!</definedName>
    <definedName name="FDP_235_1_aUrv" localSheetId="1" hidden="1">#REF!</definedName>
    <definedName name="FDP_235_1_aUrv" hidden="1">#REF!</definedName>
    <definedName name="FDP_236_1_aUrv" localSheetId="4" hidden="1">#REF!</definedName>
    <definedName name="FDP_236_1_aUrv" localSheetId="5" hidden="1">#REF!</definedName>
    <definedName name="FDP_236_1_aUrv" localSheetId="3" hidden="1">#REF!</definedName>
    <definedName name="FDP_236_1_aUrv" localSheetId="30" hidden="1">#REF!</definedName>
    <definedName name="FDP_236_1_aUrv" localSheetId="18" hidden="1">#REF!</definedName>
    <definedName name="FDP_236_1_aUrv" localSheetId="6" hidden="1">#REF!</definedName>
    <definedName name="FDP_236_1_aUrv" localSheetId="19" hidden="1">#REF!</definedName>
    <definedName name="FDP_236_1_aUrv" localSheetId="7" hidden="1">#REF!</definedName>
    <definedName name="FDP_236_1_aUrv" localSheetId="20" hidden="1">#REF!</definedName>
    <definedName name="FDP_236_1_aUrv" localSheetId="17" hidden="1">#REF!</definedName>
    <definedName name="FDP_236_1_aUrv" localSheetId="25" hidden="1">#REF!</definedName>
    <definedName name="FDP_236_1_aUrv" localSheetId="31" hidden="1">#REF!</definedName>
    <definedName name="FDP_236_1_aUrv" localSheetId="0" hidden="1">#REF!</definedName>
    <definedName name="FDP_236_1_aUrv" localSheetId="1" hidden="1">#REF!</definedName>
    <definedName name="FDP_236_1_aUrv" hidden="1">#REF!</definedName>
    <definedName name="FDP_237_1_aUrv" localSheetId="4" hidden="1">#REF!</definedName>
    <definedName name="FDP_237_1_aUrv" localSheetId="5" hidden="1">#REF!</definedName>
    <definedName name="FDP_237_1_aUrv" localSheetId="3" hidden="1">#REF!</definedName>
    <definedName name="FDP_237_1_aUrv" localSheetId="30" hidden="1">#REF!</definedName>
    <definedName name="FDP_237_1_aUrv" localSheetId="18" hidden="1">#REF!</definedName>
    <definedName name="FDP_237_1_aUrv" localSheetId="6" hidden="1">#REF!</definedName>
    <definedName name="FDP_237_1_aUrv" localSheetId="19" hidden="1">#REF!</definedName>
    <definedName name="FDP_237_1_aUrv" localSheetId="7" hidden="1">#REF!</definedName>
    <definedName name="FDP_237_1_aUrv" localSheetId="20" hidden="1">#REF!</definedName>
    <definedName name="FDP_237_1_aUrv" localSheetId="17" hidden="1">#REF!</definedName>
    <definedName name="FDP_237_1_aUrv" localSheetId="25" hidden="1">#REF!</definedName>
    <definedName name="FDP_237_1_aUrv" localSheetId="31" hidden="1">#REF!</definedName>
    <definedName name="FDP_237_1_aUrv" localSheetId="0" hidden="1">#REF!</definedName>
    <definedName name="FDP_237_1_aUrv" localSheetId="1" hidden="1">#REF!</definedName>
    <definedName name="FDP_237_1_aUrv" hidden="1">#REF!</definedName>
    <definedName name="FDP_238_1_aSrv" localSheetId="4" hidden="1">#REF!</definedName>
    <definedName name="FDP_238_1_aSrv" localSheetId="5" hidden="1">#REF!</definedName>
    <definedName name="FDP_238_1_aSrv" localSheetId="3" hidden="1">#REF!</definedName>
    <definedName name="FDP_238_1_aSrv" localSheetId="30" hidden="1">#REF!</definedName>
    <definedName name="FDP_238_1_aSrv" localSheetId="18" hidden="1">#REF!</definedName>
    <definedName name="FDP_238_1_aSrv" localSheetId="6" hidden="1">#REF!</definedName>
    <definedName name="FDP_238_1_aSrv" localSheetId="19" hidden="1">#REF!</definedName>
    <definedName name="FDP_238_1_aSrv" localSheetId="7" hidden="1">#REF!</definedName>
    <definedName name="FDP_238_1_aSrv" localSheetId="20" hidden="1">#REF!</definedName>
    <definedName name="FDP_238_1_aSrv" localSheetId="17" hidden="1">#REF!</definedName>
    <definedName name="FDP_238_1_aSrv" localSheetId="25" hidden="1">#REF!</definedName>
    <definedName name="FDP_238_1_aSrv" localSheetId="31" hidden="1">#REF!</definedName>
    <definedName name="FDP_238_1_aSrv" localSheetId="0" hidden="1">#REF!</definedName>
    <definedName name="FDP_238_1_aSrv" localSheetId="1" hidden="1">#REF!</definedName>
    <definedName name="FDP_238_1_aSrv" hidden="1">#REF!</definedName>
    <definedName name="FDP_243_1_aSrv" localSheetId="4" hidden="1">#REF!</definedName>
    <definedName name="FDP_243_1_aSrv" localSheetId="5" hidden="1">#REF!</definedName>
    <definedName name="FDP_243_1_aSrv" localSheetId="3" hidden="1">#REF!</definedName>
    <definedName name="FDP_243_1_aSrv" localSheetId="30" hidden="1">#REF!</definedName>
    <definedName name="FDP_243_1_aSrv" localSheetId="18" hidden="1">#REF!</definedName>
    <definedName name="FDP_243_1_aSrv" localSheetId="6" hidden="1">#REF!</definedName>
    <definedName name="FDP_243_1_aSrv" localSheetId="19" hidden="1">#REF!</definedName>
    <definedName name="FDP_243_1_aSrv" localSheetId="7" hidden="1">#REF!</definedName>
    <definedName name="FDP_243_1_aSrv" localSheetId="20" hidden="1">#REF!</definedName>
    <definedName name="FDP_243_1_aSrv" localSheetId="17" hidden="1">#REF!</definedName>
    <definedName name="FDP_243_1_aSrv" localSheetId="25" hidden="1">#REF!</definedName>
    <definedName name="FDP_243_1_aSrv" localSheetId="31" hidden="1">#REF!</definedName>
    <definedName name="FDP_243_1_aSrv" localSheetId="0" hidden="1">#REF!</definedName>
    <definedName name="FDP_243_1_aSrv" localSheetId="1" hidden="1">#REF!</definedName>
    <definedName name="FDP_243_1_aSrv" hidden="1">#REF!</definedName>
    <definedName name="FDP_244_1_aSrv" localSheetId="4" hidden="1">#REF!</definedName>
    <definedName name="FDP_244_1_aSrv" localSheetId="5" hidden="1">#REF!</definedName>
    <definedName name="FDP_244_1_aSrv" localSheetId="3" hidden="1">#REF!</definedName>
    <definedName name="FDP_244_1_aSrv" localSheetId="30" hidden="1">#REF!</definedName>
    <definedName name="FDP_244_1_aSrv" localSheetId="18" hidden="1">#REF!</definedName>
    <definedName name="FDP_244_1_aSrv" localSheetId="6" hidden="1">#REF!</definedName>
    <definedName name="FDP_244_1_aSrv" localSheetId="19" hidden="1">#REF!</definedName>
    <definedName name="FDP_244_1_aSrv" localSheetId="7" hidden="1">#REF!</definedName>
    <definedName name="FDP_244_1_aSrv" localSheetId="20" hidden="1">#REF!</definedName>
    <definedName name="FDP_244_1_aSrv" localSheetId="17" hidden="1">#REF!</definedName>
    <definedName name="FDP_244_1_aSrv" localSheetId="25" hidden="1">#REF!</definedName>
    <definedName name="FDP_244_1_aSrv" localSheetId="31" hidden="1">#REF!</definedName>
    <definedName name="FDP_244_1_aSrv" localSheetId="0" hidden="1">#REF!</definedName>
    <definedName name="FDP_244_1_aSrv" localSheetId="1" hidden="1">#REF!</definedName>
    <definedName name="FDP_244_1_aSrv" hidden="1">#REF!</definedName>
    <definedName name="FDP_245_1_aSrv" localSheetId="4" hidden="1">#REF!</definedName>
    <definedName name="FDP_245_1_aSrv" localSheetId="5" hidden="1">#REF!</definedName>
    <definedName name="FDP_245_1_aSrv" localSheetId="3" hidden="1">#REF!</definedName>
    <definedName name="FDP_245_1_aSrv" localSheetId="30" hidden="1">#REF!</definedName>
    <definedName name="FDP_245_1_aSrv" localSheetId="18" hidden="1">#REF!</definedName>
    <definedName name="FDP_245_1_aSrv" localSheetId="6" hidden="1">#REF!</definedName>
    <definedName name="FDP_245_1_aSrv" localSheetId="19" hidden="1">#REF!</definedName>
    <definedName name="FDP_245_1_aSrv" localSheetId="7" hidden="1">#REF!</definedName>
    <definedName name="FDP_245_1_aSrv" localSheetId="20" hidden="1">#REF!</definedName>
    <definedName name="FDP_245_1_aSrv" localSheetId="17" hidden="1">#REF!</definedName>
    <definedName name="FDP_245_1_aSrv" localSheetId="25" hidden="1">#REF!</definedName>
    <definedName name="FDP_245_1_aSrv" localSheetId="31" hidden="1">#REF!</definedName>
    <definedName name="FDP_245_1_aSrv" localSheetId="0" hidden="1">#REF!</definedName>
    <definedName name="FDP_245_1_aSrv" localSheetId="1" hidden="1">#REF!</definedName>
    <definedName name="FDP_245_1_aSrv" hidden="1">#REF!</definedName>
    <definedName name="FDP_246_1_aSrv" localSheetId="4" hidden="1">#REF!</definedName>
    <definedName name="FDP_246_1_aSrv" localSheetId="5" hidden="1">#REF!</definedName>
    <definedName name="FDP_246_1_aSrv" localSheetId="3" hidden="1">#REF!</definedName>
    <definedName name="FDP_246_1_aSrv" localSheetId="30" hidden="1">#REF!</definedName>
    <definedName name="FDP_246_1_aSrv" localSheetId="18" hidden="1">#REF!</definedName>
    <definedName name="FDP_246_1_aSrv" localSheetId="6" hidden="1">#REF!</definedName>
    <definedName name="FDP_246_1_aSrv" localSheetId="19" hidden="1">#REF!</definedName>
    <definedName name="FDP_246_1_aSrv" localSheetId="7" hidden="1">#REF!</definedName>
    <definedName name="FDP_246_1_aSrv" localSheetId="20" hidden="1">#REF!</definedName>
    <definedName name="FDP_246_1_aSrv" localSheetId="17" hidden="1">#REF!</definedName>
    <definedName name="FDP_246_1_aSrv" localSheetId="25" hidden="1">#REF!</definedName>
    <definedName name="FDP_246_1_aSrv" localSheetId="31" hidden="1">#REF!</definedName>
    <definedName name="FDP_246_1_aSrv" localSheetId="0" hidden="1">#REF!</definedName>
    <definedName name="FDP_246_1_aSrv" localSheetId="1" hidden="1">#REF!</definedName>
    <definedName name="FDP_246_1_aSrv" hidden="1">#REF!</definedName>
    <definedName name="FDP_247_1_aSrv" localSheetId="4" hidden="1">#REF!</definedName>
    <definedName name="FDP_247_1_aSrv" localSheetId="5" hidden="1">#REF!</definedName>
    <definedName name="FDP_247_1_aSrv" localSheetId="3" hidden="1">#REF!</definedName>
    <definedName name="FDP_247_1_aSrv" localSheetId="30" hidden="1">#REF!</definedName>
    <definedName name="FDP_247_1_aSrv" localSheetId="18" hidden="1">#REF!</definedName>
    <definedName name="FDP_247_1_aSrv" localSheetId="6" hidden="1">#REF!</definedName>
    <definedName name="FDP_247_1_aSrv" localSheetId="19" hidden="1">#REF!</definedName>
    <definedName name="FDP_247_1_aSrv" localSheetId="7" hidden="1">#REF!</definedName>
    <definedName name="FDP_247_1_aSrv" localSheetId="20" hidden="1">#REF!</definedName>
    <definedName name="FDP_247_1_aSrv" localSheetId="17" hidden="1">#REF!</definedName>
    <definedName name="FDP_247_1_aSrv" localSheetId="25" hidden="1">#REF!</definedName>
    <definedName name="FDP_247_1_aSrv" localSheetId="31" hidden="1">#REF!</definedName>
    <definedName name="FDP_247_1_aSrv" localSheetId="0" hidden="1">#REF!</definedName>
    <definedName name="FDP_247_1_aSrv" localSheetId="1" hidden="1">#REF!</definedName>
    <definedName name="FDP_247_1_aSrv" hidden="1">#REF!</definedName>
    <definedName name="FDP_248_1_aSrv" localSheetId="4" hidden="1">#REF!</definedName>
    <definedName name="FDP_248_1_aSrv" localSheetId="5" hidden="1">#REF!</definedName>
    <definedName name="FDP_248_1_aSrv" localSheetId="3" hidden="1">#REF!</definedName>
    <definedName name="FDP_248_1_aSrv" localSheetId="30" hidden="1">#REF!</definedName>
    <definedName name="FDP_248_1_aSrv" localSheetId="18" hidden="1">#REF!</definedName>
    <definedName name="FDP_248_1_aSrv" localSheetId="6" hidden="1">#REF!</definedName>
    <definedName name="FDP_248_1_aSrv" localSheetId="19" hidden="1">#REF!</definedName>
    <definedName name="FDP_248_1_aSrv" localSheetId="7" hidden="1">#REF!</definedName>
    <definedName name="FDP_248_1_aSrv" localSheetId="20" hidden="1">#REF!</definedName>
    <definedName name="FDP_248_1_aSrv" localSheetId="17" hidden="1">#REF!</definedName>
    <definedName name="FDP_248_1_aSrv" localSheetId="25" hidden="1">#REF!</definedName>
    <definedName name="FDP_248_1_aSrv" localSheetId="31" hidden="1">#REF!</definedName>
    <definedName name="FDP_248_1_aSrv" localSheetId="0" hidden="1">#REF!</definedName>
    <definedName name="FDP_248_1_aSrv" localSheetId="1" hidden="1">#REF!</definedName>
    <definedName name="FDP_248_1_aSrv" hidden="1">#REF!</definedName>
    <definedName name="FDP_249_1_aSrv" localSheetId="4" hidden="1">#REF!</definedName>
    <definedName name="FDP_249_1_aSrv" localSheetId="5" hidden="1">#REF!</definedName>
    <definedName name="FDP_249_1_aSrv" localSheetId="3" hidden="1">#REF!</definedName>
    <definedName name="FDP_249_1_aSrv" localSheetId="30" hidden="1">#REF!</definedName>
    <definedName name="FDP_249_1_aSrv" localSheetId="18" hidden="1">#REF!</definedName>
    <definedName name="FDP_249_1_aSrv" localSheetId="6" hidden="1">#REF!</definedName>
    <definedName name="FDP_249_1_aSrv" localSheetId="19" hidden="1">#REF!</definedName>
    <definedName name="FDP_249_1_aSrv" localSheetId="7" hidden="1">#REF!</definedName>
    <definedName name="FDP_249_1_aSrv" localSheetId="20" hidden="1">#REF!</definedName>
    <definedName name="FDP_249_1_aSrv" localSheetId="17" hidden="1">#REF!</definedName>
    <definedName name="FDP_249_1_aSrv" localSheetId="25" hidden="1">#REF!</definedName>
    <definedName name="FDP_249_1_aSrv" localSheetId="31" hidden="1">#REF!</definedName>
    <definedName name="FDP_249_1_aSrv" localSheetId="0" hidden="1">#REF!</definedName>
    <definedName name="FDP_249_1_aSrv" localSheetId="1" hidden="1">#REF!</definedName>
    <definedName name="FDP_249_1_aSrv" hidden="1">#REF!</definedName>
    <definedName name="FDP_250_1_aSrv" localSheetId="4" hidden="1">#REF!</definedName>
    <definedName name="FDP_250_1_aSrv" localSheetId="5" hidden="1">#REF!</definedName>
    <definedName name="FDP_250_1_aSrv" localSheetId="3" hidden="1">#REF!</definedName>
    <definedName name="FDP_250_1_aSrv" localSheetId="30" hidden="1">#REF!</definedName>
    <definedName name="FDP_250_1_aSrv" localSheetId="18" hidden="1">#REF!</definedName>
    <definedName name="FDP_250_1_aSrv" localSheetId="6" hidden="1">#REF!</definedName>
    <definedName name="FDP_250_1_aSrv" localSheetId="19" hidden="1">#REF!</definedName>
    <definedName name="FDP_250_1_aSrv" localSheetId="7" hidden="1">#REF!</definedName>
    <definedName name="FDP_250_1_aSrv" localSheetId="20" hidden="1">#REF!</definedName>
    <definedName name="FDP_250_1_aSrv" localSheetId="17" hidden="1">#REF!</definedName>
    <definedName name="FDP_250_1_aSrv" localSheetId="25" hidden="1">#REF!</definedName>
    <definedName name="FDP_250_1_aSrv" localSheetId="31" hidden="1">#REF!</definedName>
    <definedName name="FDP_250_1_aSrv" localSheetId="0" hidden="1">#REF!</definedName>
    <definedName name="FDP_250_1_aSrv" localSheetId="1" hidden="1">#REF!</definedName>
    <definedName name="FDP_250_1_aSrv" hidden="1">#REF!</definedName>
    <definedName name="FDP_251_1_aSrv" localSheetId="4" hidden="1">#REF!</definedName>
    <definedName name="FDP_251_1_aSrv" localSheetId="5" hidden="1">#REF!</definedName>
    <definedName name="FDP_251_1_aSrv" localSheetId="3" hidden="1">#REF!</definedName>
    <definedName name="FDP_251_1_aSrv" localSheetId="30" hidden="1">#REF!</definedName>
    <definedName name="FDP_251_1_aSrv" localSheetId="18" hidden="1">#REF!</definedName>
    <definedName name="FDP_251_1_aSrv" localSheetId="6" hidden="1">#REF!</definedName>
    <definedName name="FDP_251_1_aSrv" localSheetId="19" hidden="1">#REF!</definedName>
    <definedName name="FDP_251_1_aSrv" localSheetId="7" hidden="1">#REF!</definedName>
    <definedName name="FDP_251_1_aSrv" localSheetId="20" hidden="1">#REF!</definedName>
    <definedName name="FDP_251_1_aSrv" localSheetId="17" hidden="1">#REF!</definedName>
    <definedName name="FDP_251_1_aSrv" localSheetId="25" hidden="1">#REF!</definedName>
    <definedName name="FDP_251_1_aSrv" localSheetId="31" hidden="1">#REF!</definedName>
    <definedName name="FDP_251_1_aSrv" localSheetId="0" hidden="1">#REF!</definedName>
    <definedName name="FDP_251_1_aSrv" localSheetId="1" hidden="1">#REF!</definedName>
    <definedName name="FDP_251_1_aSrv" hidden="1">#REF!</definedName>
    <definedName name="FDP_252_1_aSrv" localSheetId="4" hidden="1">#REF!</definedName>
    <definedName name="FDP_252_1_aSrv" localSheetId="5" hidden="1">#REF!</definedName>
    <definedName name="FDP_252_1_aSrv" localSheetId="3" hidden="1">#REF!</definedName>
    <definedName name="FDP_252_1_aSrv" localSheetId="30" hidden="1">#REF!</definedName>
    <definedName name="FDP_252_1_aSrv" localSheetId="18" hidden="1">#REF!</definedName>
    <definedName name="FDP_252_1_aSrv" localSheetId="6" hidden="1">#REF!</definedName>
    <definedName name="FDP_252_1_aSrv" localSheetId="19" hidden="1">#REF!</definedName>
    <definedName name="FDP_252_1_aSrv" localSheetId="7" hidden="1">#REF!</definedName>
    <definedName name="FDP_252_1_aSrv" localSheetId="20" hidden="1">#REF!</definedName>
    <definedName name="FDP_252_1_aSrv" localSheetId="17" hidden="1">#REF!</definedName>
    <definedName name="FDP_252_1_aSrv" localSheetId="25" hidden="1">#REF!</definedName>
    <definedName name="FDP_252_1_aSrv" localSheetId="31" hidden="1">#REF!</definedName>
    <definedName name="FDP_252_1_aSrv" localSheetId="0" hidden="1">#REF!</definedName>
    <definedName name="FDP_252_1_aSrv" localSheetId="1" hidden="1">#REF!</definedName>
    <definedName name="FDP_252_1_aSrv" hidden="1">#REF!</definedName>
    <definedName name="FDP_253_1_aSrv" localSheetId="4" hidden="1">#REF!</definedName>
    <definedName name="FDP_253_1_aSrv" localSheetId="5" hidden="1">#REF!</definedName>
    <definedName name="FDP_253_1_aSrv" localSheetId="3" hidden="1">#REF!</definedName>
    <definedName name="FDP_253_1_aSrv" localSheetId="30" hidden="1">#REF!</definedName>
    <definedName name="FDP_253_1_aSrv" localSheetId="18" hidden="1">#REF!</definedName>
    <definedName name="FDP_253_1_aSrv" localSheetId="6" hidden="1">#REF!</definedName>
    <definedName name="FDP_253_1_aSrv" localSheetId="19" hidden="1">#REF!</definedName>
    <definedName name="FDP_253_1_aSrv" localSheetId="7" hidden="1">#REF!</definedName>
    <definedName name="FDP_253_1_aSrv" localSheetId="20" hidden="1">#REF!</definedName>
    <definedName name="FDP_253_1_aSrv" localSheetId="17" hidden="1">#REF!</definedName>
    <definedName name="FDP_253_1_aSrv" localSheetId="25" hidden="1">#REF!</definedName>
    <definedName name="FDP_253_1_aSrv" localSheetId="31" hidden="1">#REF!</definedName>
    <definedName name="FDP_253_1_aSrv" localSheetId="0" hidden="1">#REF!</definedName>
    <definedName name="FDP_253_1_aSrv" localSheetId="1" hidden="1">#REF!</definedName>
    <definedName name="FDP_253_1_aSrv" hidden="1">#REF!</definedName>
    <definedName name="FDP_254_1_aSrv" localSheetId="4" hidden="1">#REF!</definedName>
    <definedName name="FDP_254_1_aSrv" localSheetId="5" hidden="1">#REF!</definedName>
    <definedName name="FDP_254_1_aSrv" localSheetId="3" hidden="1">#REF!</definedName>
    <definedName name="FDP_254_1_aSrv" localSheetId="30" hidden="1">#REF!</definedName>
    <definedName name="FDP_254_1_aSrv" localSheetId="18" hidden="1">#REF!</definedName>
    <definedName name="FDP_254_1_aSrv" localSheetId="6" hidden="1">#REF!</definedName>
    <definedName name="FDP_254_1_aSrv" localSheetId="19" hidden="1">#REF!</definedName>
    <definedName name="FDP_254_1_aSrv" localSheetId="7" hidden="1">#REF!</definedName>
    <definedName name="FDP_254_1_aSrv" localSheetId="20" hidden="1">#REF!</definedName>
    <definedName name="FDP_254_1_aSrv" localSheetId="17" hidden="1">#REF!</definedName>
    <definedName name="FDP_254_1_aSrv" localSheetId="25" hidden="1">#REF!</definedName>
    <definedName name="FDP_254_1_aSrv" localSheetId="31" hidden="1">#REF!</definedName>
    <definedName name="FDP_254_1_aSrv" localSheetId="0" hidden="1">#REF!</definedName>
    <definedName name="FDP_254_1_aSrv" localSheetId="1" hidden="1">#REF!</definedName>
    <definedName name="FDP_254_1_aSrv" hidden="1">#REF!</definedName>
    <definedName name="FDP_255_1_aSrv" localSheetId="4" hidden="1">#REF!</definedName>
    <definedName name="FDP_255_1_aSrv" localSheetId="5" hidden="1">#REF!</definedName>
    <definedName name="FDP_255_1_aSrv" localSheetId="3" hidden="1">#REF!</definedName>
    <definedName name="FDP_255_1_aSrv" localSheetId="30" hidden="1">#REF!</definedName>
    <definedName name="FDP_255_1_aSrv" localSheetId="18" hidden="1">#REF!</definedName>
    <definedName name="FDP_255_1_aSrv" localSheetId="6" hidden="1">#REF!</definedName>
    <definedName name="FDP_255_1_aSrv" localSheetId="19" hidden="1">#REF!</definedName>
    <definedName name="FDP_255_1_aSrv" localSheetId="7" hidden="1">#REF!</definedName>
    <definedName name="FDP_255_1_aSrv" localSheetId="20" hidden="1">#REF!</definedName>
    <definedName name="FDP_255_1_aSrv" localSheetId="17" hidden="1">#REF!</definedName>
    <definedName name="FDP_255_1_aSrv" localSheetId="25" hidden="1">#REF!</definedName>
    <definedName name="FDP_255_1_aSrv" localSheetId="31" hidden="1">#REF!</definedName>
    <definedName name="FDP_255_1_aSrv" localSheetId="0" hidden="1">#REF!</definedName>
    <definedName name="FDP_255_1_aSrv" localSheetId="1" hidden="1">#REF!</definedName>
    <definedName name="FDP_255_1_aSrv" hidden="1">#REF!</definedName>
    <definedName name="FDP_256_1_aSrv" localSheetId="4" hidden="1">#REF!</definedName>
    <definedName name="FDP_256_1_aSrv" localSheetId="5" hidden="1">#REF!</definedName>
    <definedName name="FDP_256_1_aSrv" localSheetId="3" hidden="1">#REF!</definedName>
    <definedName name="FDP_256_1_aSrv" localSheetId="30" hidden="1">#REF!</definedName>
    <definedName name="FDP_256_1_aSrv" localSheetId="18" hidden="1">#REF!</definedName>
    <definedName name="FDP_256_1_aSrv" localSheetId="6" hidden="1">#REF!</definedName>
    <definedName name="FDP_256_1_aSrv" localSheetId="19" hidden="1">#REF!</definedName>
    <definedName name="FDP_256_1_aSrv" localSheetId="7" hidden="1">#REF!</definedName>
    <definedName name="FDP_256_1_aSrv" localSheetId="20" hidden="1">#REF!</definedName>
    <definedName name="FDP_256_1_aSrv" localSheetId="17" hidden="1">#REF!</definedName>
    <definedName name="FDP_256_1_aSrv" localSheetId="25" hidden="1">#REF!</definedName>
    <definedName name="FDP_256_1_aSrv" localSheetId="31" hidden="1">#REF!</definedName>
    <definedName name="FDP_256_1_aSrv" localSheetId="0" hidden="1">#REF!</definedName>
    <definedName name="FDP_256_1_aSrv" localSheetId="1" hidden="1">#REF!</definedName>
    <definedName name="FDP_256_1_aSrv" hidden="1">#REF!</definedName>
    <definedName name="FDP_257_1_aSrv" localSheetId="4" hidden="1">#REF!</definedName>
    <definedName name="FDP_257_1_aSrv" localSheetId="5" hidden="1">#REF!</definedName>
    <definedName name="FDP_257_1_aSrv" localSheetId="3" hidden="1">#REF!</definedName>
    <definedName name="FDP_257_1_aSrv" localSheetId="30" hidden="1">#REF!</definedName>
    <definedName name="FDP_257_1_aSrv" localSheetId="18" hidden="1">#REF!</definedName>
    <definedName name="FDP_257_1_aSrv" localSheetId="6" hidden="1">#REF!</definedName>
    <definedName name="FDP_257_1_aSrv" localSheetId="19" hidden="1">#REF!</definedName>
    <definedName name="FDP_257_1_aSrv" localSheetId="7" hidden="1">#REF!</definedName>
    <definedName name="FDP_257_1_aSrv" localSheetId="20" hidden="1">#REF!</definedName>
    <definedName name="FDP_257_1_aSrv" localSheetId="17" hidden="1">#REF!</definedName>
    <definedName name="FDP_257_1_aSrv" localSheetId="25" hidden="1">#REF!</definedName>
    <definedName name="FDP_257_1_aSrv" localSheetId="31" hidden="1">#REF!</definedName>
    <definedName name="FDP_257_1_aSrv" localSheetId="0" hidden="1">#REF!</definedName>
    <definedName name="FDP_257_1_aSrv" localSheetId="1" hidden="1">#REF!</definedName>
    <definedName name="FDP_257_1_aSrv" hidden="1">#REF!</definedName>
    <definedName name="FDP_258_1_aSrv" localSheetId="4" hidden="1">#REF!</definedName>
    <definedName name="FDP_258_1_aSrv" localSheetId="5" hidden="1">#REF!</definedName>
    <definedName name="FDP_258_1_aSrv" localSheetId="3" hidden="1">#REF!</definedName>
    <definedName name="FDP_258_1_aSrv" localSheetId="30" hidden="1">#REF!</definedName>
    <definedName name="FDP_258_1_aSrv" localSheetId="18" hidden="1">#REF!</definedName>
    <definedName name="FDP_258_1_aSrv" localSheetId="6" hidden="1">#REF!</definedName>
    <definedName name="FDP_258_1_aSrv" localSheetId="19" hidden="1">#REF!</definedName>
    <definedName name="FDP_258_1_aSrv" localSheetId="7" hidden="1">#REF!</definedName>
    <definedName name="FDP_258_1_aSrv" localSheetId="20" hidden="1">#REF!</definedName>
    <definedName name="FDP_258_1_aSrv" localSheetId="17" hidden="1">#REF!</definedName>
    <definedName name="FDP_258_1_aSrv" localSheetId="25" hidden="1">#REF!</definedName>
    <definedName name="FDP_258_1_aSrv" localSheetId="31" hidden="1">#REF!</definedName>
    <definedName name="FDP_258_1_aSrv" localSheetId="0" hidden="1">#REF!</definedName>
    <definedName name="FDP_258_1_aSrv" localSheetId="1" hidden="1">#REF!</definedName>
    <definedName name="FDP_258_1_aSrv" hidden="1">#REF!</definedName>
    <definedName name="FDP_259_1_aSrv" localSheetId="4" hidden="1">#REF!</definedName>
    <definedName name="FDP_259_1_aSrv" localSheetId="5" hidden="1">#REF!</definedName>
    <definedName name="FDP_259_1_aSrv" localSheetId="3" hidden="1">#REF!</definedName>
    <definedName name="FDP_259_1_aSrv" localSheetId="30" hidden="1">#REF!</definedName>
    <definedName name="FDP_259_1_aSrv" localSheetId="18" hidden="1">#REF!</definedName>
    <definedName name="FDP_259_1_aSrv" localSheetId="6" hidden="1">#REF!</definedName>
    <definedName name="FDP_259_1_aSrv" localSheetId="19" hidden="1">#REF!</definedName>
    <definedName name="FDP_259_1_aSrv" localSheetId="7" hidden="1">#REF!</definedName>
    <definedName name="FDP_259_1_aSrv" localSheetId="20" hidden="1">#REF!</definedName>
    <definedName name="FDP_259_1_aSrv" localSheetId="17" hidden="1">#REF!</definedName>
    <definedName name="FDP_259_1_aSrv" localSheetId="25" hidden="1">#REF!</definedName>
    <definedName name="FDP_259_1_aSrv" localSheetId="31" hidden="1">#REF!</definedName>
    <definedName name="FDP_259_1_aSrv" localSheetId="0" hidden="1">#REF!</definedName>
    <definedName name="FDP_259_1_aSrv" localSheetId="1" hidden="1">#REF!</definedName>
    <definedName name="FDP_259_1_aSrv" hidden="1">#REF!</definedName>
    <definedName name="FDP_260_1_aSrv" localSheetId="4" hidden="1">#REF!</definedName>
    <definedName name="FDP_260_1_aSrv" localSheetId="5" hidden="1">#REF!</definedName>
    <definedName name="FDP_260_1_aSrv" localSheetId="3" hidden="1">#REF!</definedName>
    <definedName name="FDP_260_1_aSrv" localSheetId="30" hidden="1">#REF!</definedName>
    <definedName name="FDP_260_1_aSrv" localSheetId="18" hidden="1">#REF!</definedName>
    <definedName name="FDP_260_1_aSrv" localSheetId="6" hidden="1">#REF!</definedName>
    <definedName name="FDP_260_1_aSrv" localSheetId="19" hidden="1">#REF!</definedName>
    <definedName name="FDP_260_1_aSrv" localSheetId="7" hidden="1">#REF!</definedName>
    <definedName name="FDP_260_1_aSrv" localSheetId="20" hidden="1">#REF!</definedName>
    <definedName name="FDP_260_1_aSrv" localSheetId="17" hidden="1">#REF!</definedName>
    <definedName name="FDP_260_1_aSrv" localSheetId="25" hidden="1">#REF!</definedName>
    <definedName name="FDP_260_1_aSrv" localSheetId="31" hidden="1">#REF!</definedName>
    <definedName name="FDP_260_1_aSrv" localSheetId="0" hidden="1">#REF!</definedName>
    <definedName name="FDP_260_1_aSrv" localSheetId="1" hidden="1">#REF!</definedName>
    <definedName name="FDP_260_1_aSrv" hidden="1">#REF!</definedName>
    <definedName name="FDP_261_1_aSrv" localSheetId="4" hidden="1">#REF!</definedName>
    <definedName name="FDP_261_1_aSrv" localSheetId="5" hidden="1">#REF!</definedName>
    <definedName name="FDP_261_1_aSrv" localSheetId="3" hidden="1">#REF!</definedName>
    <definedName name="FDP_261_1_aSrv" localSheetId="30" hidden="1">#REF!</definedName>
    <definedName name="FDP_261_1_aSrv" localSheetId="18" hidden="1">#REF!</definedName>
    <definedName name="FDP_261_1_aSrv" localSheetId="6" hidden="1">#REF!</definedName>
    <definedName name="FDP_261_1_aSrv" localSheetId="19" hidden="1">#REF!</definedName>
    <definedName name="FDP_261_1_aSrv" localSheetId="7" hidden="1">#REF!</definedName>
    <definedName name="FDP_261_1_aSrv" localSheetId="20" hidden="1">#REF!</definedName>
    <definedName name="FDP_261_1_aSrv" localSheetId="17" hidden="1">#REF!</definedName>
    <definedName name="FDP_261_1_aSrv" localSheetId="25" hidden="1">#REF!</definedName>
    <definedName name="FDP_261_1_aSrv" localSheetId="31" hidden="1">#REF!</definedName>
    <definedName name="FDP_261_1_aSrv" localSheetId="0" hidden="1">#REF!</definedName>
    <definedName name="FDP_261_1_aSrv" localSheetId="1" hidden="1">#REF!</definedName>
    <definedName name="FDP_261_1_aSrv" hidden="1">#REF!</definedName>
    <definedName name="FDP_264_1_aUrv" localSheetId="4" hidden="1">#REF!</definedName>
    <definedName name="FDP_264_1_aUrv" localSheetId="5" hidden="1">#REF!</definedName>
    <definedName name="FDP_264_1_aUrv" localSheetId="3" hidden="1">#REF!</definedName>
    <definedName name="FDP_264_1_aUrv" localSheetId="30" hidden="1">#REF!</definedName>
    <definedName name="FDP_264_1_aUrv" localSheetId="18" hidden="1">#REF!</definedName>
    <definedName name="FDP_264_1_aUrv" localSheetId="6" hidden="1">#REF!</definedName>
    <definedName name="FDP_264_1_aUrv" localSheetId="19" hidden="1">#REF!</definedName>
    <definedName name="FDP_264_1_aUrv" localSheetId="7" hidden="1">#REF!</definedName>
    <definedName name="FDP_264_1_aUrv" localSheetId="20" hidden="1">#REF!</definedName>
    <definedName name="FDP_264_1_aUrv" localSheetId="17" hidden="1">#REF!</definedName>
    <definedName name="FDP_264_1_aUrv" localSheetId="25" hidden="1">#REF!</definedName>
    <definedName name="FDP_264_1_aUrv" localSheetId="31" hidden="1">#REF!</definedName>
    <definedName name="FDP_264_1_aUrv" localSheetId="0" hidden="1">#REF!</definedName>
    <definedName name="FDP_264_1_aUrv" localSheetId="1" hidden="1">#REF!</definedName>
    <definedName name="FDP_264_1_aUrv" hidden="1">#REF!</definedName>
    <definedName name="FDP_265_1_aUrv" localSheetId="4" hidden="1">#REF!</definedName>
    <definedName name="FDP_265_1_aUrv" localSheetId="5" hidden="1">#REF!</definedName>
    <definedName name="FDP_265_1_aUrv" localSheetId="3" hidden="1">#REF!</definedName>
    <definedName name="FDP_265_1_aUrv" localSheetId="30" hidden="1">#REF!</definedName>
    <definedName name="FDP_265_1_aUrv" localSheetId="18" hidden="1">#REF!</definedName>
    <definedName name="FDP_265_1_aUrv" localSheetId="6" hidden="1">#REF!</definedName>
    <definedName name="FDP_265_1_aUrv" localSheetId="19" hidden="1">#REF!</definedName>
    <definedName name="FDP_265_1_aUrv" localSheetId="7" hidden="1">#REF!</definedName>
    <definedName name="FDP_265_1_aUrv" localSheetId="20" hidden="1">#REF!</definedName>
    <definedName name="FDP_265_1_aUrv" localSheetId="17" hidden="1">#REF!</definedName>
    <definedName name="FDP_265_1_aUrv" localSheetId="25" hidden="1">#REF!</definedName>
    <definedName name="FDP_265_1_aUrv" localSheetId="31" hidden="1">#REF!</definedName>
    <definedName name="FDP_265_1_aUrv" localSheetId="0" hidden="1">#REF!</definedName>
    <definedName name="FDP_265_1_aUrv" localSheetId="1" hidden="1">#REF!</definedName>
    <definedName name="FDP_265_1_aUrv" hidden="1">#REF!</definedName>
    <definedName name="FDP_266_1_aUrv" localSheetId="4" hidden="1">#REF!</definedName>
    <definedName name="FDP_266_1_aUrv" localSheetId="5" hidden="1">#REF!</definedName>
    <definedName name="FDP_266_1_aUrv" localSheetId="3" hidden="1">#REF!</definedName>
    <definedName name="FDP_266_1_aUrv" localSheetId="30" hidden="1">#REF!</definedName>
    <definedName name="FDP_266_1_aUrv" localSheetId="18" hidden="1">#REF!</definedName>
    <definedName name="FDP_266_1_aUrv" localSheetId="6" hidden="1">#REF!</definedName>
    <definedName name="FDP_266_1_aUrv" localSheetId="19" hidden="1">#REF!</definedName>
    <definedName name="FDP_266_1_aUrv" localSheetId="7" hidden="1">#REF!</definedName>
    <definedName name="FDP_266_1_aUrv" localSheetId="20" hidden="1">#REF!</definedName>
    <definedName name="FDP_266_1_aUrv" localSheetId="17" hidden="1">#REF!</definedName>
    <definedName name="FDP_266_1_aUrv" localSheetId="25" hidden="1">#REF!</definedName>
    <definedName name="FDP_266_1_aUrv" localSheetId="31" hidden="1">#REF!</definedName>
    <definedName name="FDP_266_1_aUrv" localSheetId="0" hidden="1">#REF!</definedName>
    <definedName name="FDP_266_1_aUrv" localSheetId="1" hidden="1">#REF!</definedName>
    <definedName name="FDP_266_1_aUrv" hidden="1">#REF!</definedName>
    <definedName name="FDP_267_1_aUrv" localSheetId="4" hidden="1">#REF!</definedName>
    <definedName name="FDP_267_1_aUrv" localSheetId="5" hidden="1">#REF!</definedName>
    <definedName name="FDP_267_1_aUrv" localSheetId="3" hidden="1">#REF!</definedName>
    <definedName name="FDP_267_1_aUrv" localSheetId="30" hidden="1">#REF!</definedName>
    <definedName name="FDP_267_1_aUrv" localSheetId="18" hidden="1">#REF!</definedName>
    <definedName name="FDP_267_1_aUrv" localSheetId="6" hidden="1">#REF!</definedName>
    <definedName name="FDP_267_1_aUrv" localSheetId="19" hidden="1">#REF!</definedName>
    <definedName name="FDP_267_1_aUrv" localSheetId="7" hidden="1">#REF!</definedName>
    <definedName name="FDP_267_1_aUrv" localSheetId="20" hidden="1">#REF!</definedName>
    <definedName name="FDP_267_1_aUrv" localSheetId="17" hidden="1">#REF!</definedName>
    <definedName name="FDP_267_1_aUrv" localSheetId="25" hidden="1">#REF!</definedName>
    <definedName name="FDP_267_1_aUrv" localSheetId="31" hidden="1">#REF!</definedName>
    <definedName name="FDP_267_1_aUrv" localSheetId="0" hidden="1">#REF!</definedName>
    <definedName name="FDP_267_1_aUrv" localSheetId="1" hidden="1">#REF!</definedName>
    <definedName name="FDP_267_1_aUrv" hidden="1">#REF!</definedName>
    <definedName name="FDP_268_1_aUrv" localSheetId="4" hidden="1">#REF!</definedName>
    <definedName name="FDP_268_1_aUrv" localSheetId="5" hidden="1">#REF!</definedName>
    <definedName name="FDP_268_1_aUrv" localSheetId="3" hidden="1">#REF!</definedName>
    <definedName name="FDP_268_1_aUrv" localSheetId="30" hidden="1">#REF!</definedName>
    <definedName name="FDP_268_1_aUrv" localSheetId="18" hidden="1">#REF!</definedName>
    <definedName name="FDP_268_1_aUrv" localSheetId="6" hidden="1">#REF!</definedName>
    <definedName name="FDP_268_1_aUrv" localSheetId="19" hidden="1">#REF!</definedName>
    <definedName name="FDP_268_1_aUrv" localSheetId="7" hidden="1">#REF!</definedName>
    <definedName name="FDP_268_1_aUrv" localSheetId="20" hidden="1">#REF!</definedName>
    <definedName name="FDP_268_1_aUrv" localSheetId="17" hidden="1">#REF!</definedName>
    <definedName name="FDP_268_1_aUrv" localSheetId="25" hidden="1">#REF!</definedName>
    <definedName name="FDP_268_1_aUrv" localSheetId="31" hidden="1">#REF!</definedName>
    <definedName name="FDP_268_1_aUrv" localSheetId="0" hidden="1">#REF!</definedName>
    <definedName name="FDP_268_1_aUrv" localSheetId="1" hidden="1">#REF!</definedName>
    <definedName name="FDP_268_1_aUrv" hidden="1">#REF!</definedName>
    <definedName name="FDP_269_1_aUrv" localSheetId="4" hidden="1">#REF!</definedName>
    <definedName name="FDP_269_1_aUrv" localSheetId="5" hidden="1">#REF!</definedName>
    <definedName name="FDP_269_1_aUrv" localSheetId="3" hidden="1">#REF!</definedName>
    <definedName name="FDP_269_1_aUrv" localSheetId="30" hidden="1">#REF!</definedName>
    <definedName name="FDP_269_1_aUrv" localSheetId="18" hidden="1">#REF!</definedName>
    <definedName name="FDP_269_1_aUrv" localSheetId="6" hidden="1">#REF!</definedName>
    <definedName name="FDP_269_1_aUrv" localSheetId="19" hidden="1">#REF!</definedName>
    <definedName name="FDP_269_1_aUrv" localSheetId="7" hidden="1">#REF!</definedName>
    <definedName name="FDP_269_1_aUrv" localSheetId="20" hidden="1">#REF!</definedName>
    <definedName name="FDP_269_1_aUrv" localSheetId="17" hidden="1">#REF!</definedName>
    <definedName name="FDP_269_1_aUrv" localSheetId="25" hidden="1">#REF!</definedName>
    <definedName name="FDP_269_1_aUrv" localSheetId="31" hidden="1">#REF!</definedName>
    <definedName name="FDP_269_1_aUrv" localSheetId="0" hidden="1">#REF!</definedName>
    <definedName name="FDP_269_1_aUrv" localSheetId="1" hidden="1">#REF!</definedName>
    <definedName name="FDP_269_1_aUrv" hidden="1">#REF!</definedName>
    <definedName name="FDP_270_1_aUrv" localSheetId="4" hidden="1">#REF!</definedName>
    <definedName name="FDP_270_1_aUrv" localSheetId="5" hidden="1">#REF!</definedName>
    <definedName name="FDP_270_1_aUrv" localSheetId="3" hidden="1">#REF!</definedName>
    <definedName name="FDP_270_1_aUrv" localSheetId="30" hidden="1">#REF!</definedName>
    <definedName name="FDP_270_1_aUrv" localSheetId="18" hidden="1">#REF!</definedName>
    <definedName name="FDP_270_1_aUrv" localSheetId="6" hidden="1">#REF!</definedName>
    <definedName name="FDP_270_1_aUrv" localSheetId="19" hidden="1">#REF!</definedName>
    <definedName name="FDP_270_1_aUrv" localSheetId="7" hidden="1">#REF!</definedName>
    <definedName name="FDP_270_1_aUrv" localSheetId="20" hidden="1">#REF!</definedName>
    <definedName name="FDP_270_1_aUrv" localSheetId="17" hidden="1">#REF!</definedName>
    <definedName name="FDP_270_1_aUrv" localSheetId="25" hidden="1">#REF!</definedName>
    <definedName name="FDP_270_1_aUrv" localSheetId="31" hidden="1">#REF!</definedName>
    <definedName name="FDP_270_1_aUrv" localSheetId="0" hidden="1">#REF!</definedName>
    <definedName name="FDP_270_1_aUrv" localSheetId="1" hidden="1">#REF!</definedName>
    <definedName name="FDP_270_1_aUrv" hidden="1">#REF!</definedName>
    <definedName name="FDP_271_1_aUrv" localSheetId="4" hidden="1">#REF!</definedName>
    <definedName name="FDP_271_1_aUrv" localSheetId="5" hidden="1">#REF!</definedName>
    <definedName name="FDP_271_1_aUrv" localSheetId="3" hidden="1">#REF!</definedName>
    <definedName name="FDP_271_1_aUrv" localSheetId="30" hidden="1">#REF!</definedName>
    <definedName name="FDP_271_1_aUrv" localSheetId="18" hidden="1">#REF!</definedName>
    <definedName name="FDP_271_1_aUrv" localSheetId="6" hidden="1">#REF!</definedName>
    <definedName name="FDP_271_1_aUrv" localSheetId="19" hidden="1">#REF!</definedName>
    <definedName name="FDP_271_1_aUrv" localSheetId="7" hidden="1">#REF!</definedName>
    <definedName name="FDP_271_1_aUrv" localSheetId="20" hidden="1">#REF!</definedName>
    <definedName name="FDP_271_1_aUrv" localSheetId="17" hidden="1">#REF!</definedName>
    <definedName name="FDP_271_1_aUrv" localSheetId="25" hidden="1">#REF!</definedName>
    <definedName name="FDP_271_1_aUrv" localSheetId="31" hidden="1">#REF!</definedName>
    <definedName name="FDP_271_1_aUrv" localSheetId="0" hidden="1">#REF!</definedName>
    <definedName name="FDP_271_1_aUrv" localSheetId="1" hidden="1">#REF!</definedName>
    <definedName name="FDP_271_1_aUrv" hidden="1">#REF!</definedName>
    <definedName name="FDP_272_1_aUrv" localSheetId="4" hidden="1">#REF!</definedName>
    <definedName name="FDP_272_1_aUrv" localSheetId="5" hidden="1">#REF!</definedName>
    <definedName name="FDP_272_1_aUrv" localSheetId="3" hidden="1">#REF!</definedName>
    <definedName name="FDP_272_1_aUrv" localSheetId="30" hidden="1">#REF!</definedName>
    <definedName name="FDP_272_1_aUrv" localSheetId="18" hidden="1">#REF!</definedName>
    <definedName name="FDP_272_1_aUrv" localSheetId="6" hidden="1">#REF!</definedName>
    <definedName name="FDP_272_1_aUrv" localSheetId="19" hidden="1">#REF!</definedName>
    <definedName name="FDP_272_1_aUrv" localSheetId="7" hidden="1">#REF!</definedName>
    <definedName name="FDP_272_1_aUrv" localSheetId="20" hidden="1">#REF!</definedName>
    <definedName name="FDP_272_1_aUrv" localSheetId="17" hidden="1">#REF!</definedName>
    <definedName name="FDP_272_1_aUrv" localSheetId="25" hidden="1">#REF!</definedName>
    <definedName name="FDP_272_1_aUrv" localSheetId="31" hidden="1">#REF!</definedName>
    <definedName name="FDP_272_1_aUrv" localSheetId="0" hidden="1">#REF!</definedName>
    <definedName name="FDP_272_1_aUrv" localSheetId="1" hidden="1">#REF!</definedName>
    <definedName name="FDP_272_1_aUrv" hidden="1">#REF!</definedName>
    <definedName name="FDP_273_1_aUrv" localSheetId="4" hidden="1">#REF!</definedName>
    <definedName name="FDP_273_1_aUrv" localSheetId="5" hidden="1">#REF!</definedName>
    <definedName name="FDP_273_1_aUrv" localSheetId="3" hidden="1">#REF!</definedName>
    <definedName name="FDP_273_1_aUrv" localSheetId="30" hidden="1">#REF!</definedName>
    <definedName name="FDP_273_1_aUrv" localSheetId="18" hidden="1">#REF!</definedName>
    <definedName name="FDP_273_1_aUrv" localSheetId="6" hidden="1">#REF!</definedName>
    <definedName name="FDP_273_1_aUrv" localSheetId="19" hidden="1">#REF!</definedName>
    <definedName name="FDP_273_1_aUrv" localSheetId="7" hidden="1">#REF!</definedName>
    <definedName name="FDP_273_1_aUrv" localSheetId="20" hidden="1">#REF!</definedName>
    <definedName name="FDP_273_1_aUrv" localSheetId="17" hidden="1">#REF!</definedName>
    <definedName name="FDP_273_1_aUrv" localSheetId="25" hidden="1">#REF!</definedName>
    <definedName name="FDP_273_1_aUrv" localSheetId="31" hidden="1">#REF!</definedName>
    <definedName name="FDP_273_1_aUrv" localSheetId="0" hidden="1">#REF!</definedName>
    <definedName name="FDP_273_1_aUrv" localSheetId="1" hidden="1">#REF!</definedName>
    <definedName name="FDP_273_1_aUrv" hidden="1">#REF!</definedName>
    <definedName name="FDP_274_1_aUrv" localSheetId="4" hidden="1">#REF!</definedName>
    <definedName name="FDP_274_1_aUrv" localSheetId="5" hidden="1">#REF!</definedName>
    <definedName name="FDP_274_1_aUrv" localSheetId="3" hidden="1">#REF!</definedName>
    <definedName name="FDP_274_1_aUrv" localSheetId="30" hidden="1">#REF!</definedName>
    <definedName name="FDP_274_1_aUrv" localSheetId="18" hidden="1">#REF!</definedName>
    <definedName name="FDP_274_1_aUrv" localSheetId="6" hidden="1">#REF!</definedName>
    <definedName name="FDP_274_1_aUrv" localSheetId="19" hidden="1">#REF!</definedName>
    <definedName name="FDP_274_1_aUrv" localSheetId="7" hidden="1">#REF!</definedName>
    <definedName name="FDP_274_1_aUrv" localSheetId="20" hidden="1">#REF!</definedName>
    <definedName name="FDP_274_1_aUrv" localSheetId="17" hidden="1">#REF!</definedName>
    <definedName name="FDP_274_1_aUrv" localSheetId="25" hidden="1">#REF!</definedName>
    <definedName name="FDP_274_1_aUrv" localSheetId="31" hidden="1">#REF!</definedName>
    <definedName name="FDP_274_1_aUrv" localSheetId="0" hidden="1">#REF!</definedName>
    <definedName name="FDP_274_1_aUrv" localSheetId="1" hidden="1">#REF!</definedName>
    <definedName name="FDP_274_1_aUrv" hidden="1">#REF!</definedName>
    <definedName name="FDP_275_1_aUrv" localSheetId="4" hidden="1">#REF!</definedName>
    <definedName name="FDP_275_1_aUrv" localSheetId="5" hidden="1">#REF!</definedName>
    <definedName name="FDP_275_1_aUrv" localSheetId="3" hidden="1">#REF!</definedName>
    <definedName name="FDP_275_1_aUrv" localSheetId="30" hidden="1">#REF!</definedName>
    <definedName name="FDP_275_1_aUrv" localSheetId="18" hidden="1">#REF!</definedName>
    <definedName name="FDP_275_1_aUrv" localSheetId="6" hidden="1">#REF!</definedName>
    <definedName name="FDP_275_1_aUrv" localSheetId="19" hidden="1">#REF!</definedName>
    <definedName name="FDP_275_1_aUrv" localSheetId="7" hidden="1">#REF!</definedName>
    <definedName name="FDP_275_1_aUrv" localSheetId="20" hidden="1">#REF!</definedName>
    <definedName name="FDP_275_1_aUrv" localSheetId="17" hidden="1">#REF!</definedName>
    <definedName name="FDP_275_1_aUrv" localSheetId="25" hidden="1">#REF!</definedName>
    <definedName name="FDP_275_1_aUrv" localSheetId="31" hidden="1">#REF!</definedName>
    <definedName name="FDP_275_1_aUrv" localSheetId="0" hidden="1">#REF!</definedName>
    <definedName name="FDP_275_1_aUrv" localSheetId="1" hidden="1">#REF!</definedName>
    <definedName name="FDP_275_1_aUrv" hidden="1">#REF!</definedName>
    <definedName name="FDP_276_1_aUrv" localSheetId="4" hidden="1">#REF!</definedName>
    <definedName name="FDP_276_1_aUrv" localSheetId="5" hidden="1">#REF!</definedName>
    <definedName name="FDP_276_1_aUrv" localSheetId="3" hidden="1">#REF!</definedName>
    <definedName name="FDP_276_1_aUrv" localSheetId="30" hidden="1">#REF!</definedName>
    <definedName name="FDP_276_1_aUrv" localSheetId="18" hidden="1">#REF!</definedName>
    <definedName name="FDP_276_1_aUrv" localSheetId="6" hidden="1">#REF!</definedName>
    <definedName name="FDP_276_1_aUrv" localSheetId="19" hidden="1">#REF!</definedName>
    <definedName name="FDP_276_1_aUrv" localSheetId="7" hidden="1">#REF!</definedName>
    <definedName name="FDP_276_1_aUrv" localSheetId="20" hidden="1">#REF!</definedName>
    <definedName name="FDP_276_1_aUrv" localSheetId="17" hidden="1">#REF!</definedName>
    <definedName name="FDP_276_1_aUrv" localSheetId="25" hidden="1">#REF!</definedName>
    <definedName name="FDP_276_1_aUrv" localSheetId="31" hidden="1">#REF!</definedName>
    <definedName name="FDP_276_1_aUrv" localSheetId="0" hidden="1">#REF!</definedName>
    <definedName name="FDP_276_1_aUrv" localSheetId="1" hidden="1">#REF!</definedName>
    <definedName name="FDP_276_1_aUrv" hidden="1">#REF!</definedName>
    <definedName name="FDP_277_1_aUrv" localSheetId="4" hidden="1">#REF!</definedName>
    <definedName name="FDP_277_1_aUrv" localSheetId="5" hidden="1">#REF!</definedName>
    <definedName name="FDP_277_1_aUrv" localSheetId="3" hidden="1">#REF!</definedName>
    <definedName name="FDP_277_1_aUrv" localSheetId="30" hidden="1">#REF!</definedName>
    <definedName name="FDP_277_1_aUrv" localSheetId="18" hidden="1">#REF!</definedName>
    <definedName name="FDP_277_1_aUrv" localSheetId="6" hidden="1">#REF!</definedName>
    <definedName name="FDP_277_1_aUrv" localSheetId="19" hidden="1">#REF!</definedName>
    <definedName name="FDP_277_1_aUrv" localSheetId="7" hidden="1">#REF!</definedName>
    <definedName name="FDP_277_1_aUrv" localSheetId="20" hidden="1">#REF!</definedName>
    <definedName name="FDP_277_1_aUrv" localSheetId="17" hidden="1">#REF!</definedName>
    <definedName name="FDP_277_1_aUrv" localSheetId="25" hidden="1">#REF!</definedName>
    <definedName name="FDP_277_1_aUrv" localSheetId="31" hidden="1">#REF!</definedName>
    <definedName name="FDP_277_1_aUrv" localSheetId="0" hidden="1">#REF!</definedName>
    <definedName name="FDP_277_1_aUrv" localSheetId="1" hidden="1">#REF!</definedName>
    <definedName name="FDP_277_1_aUrv" hidden="1">#REF!</definedName>
    <definedName name="FDP_278_1_aUrv" localSheetId="4" hidden="1">#REF!</definedName>
    <definedName name="FDP_278_1_aUrv" localSheetId="5" hidden="1">#REF!</definedName>
    <definedName name="FDP_278_1_aUrv" localSheetId="3" hidden="1">#REF!</definedName>
    <definedName name="FDP_278_1_aUrv" localSheetId="30" hidden="1">#REF!</definedName>
    <definedName name="FDP_278_1_aUrv" localSheetId="18" hidden="1">#REF!</definedName>
    <definedName name="FDP_278_1_aUrv" localSheetId="6" hidden="1">#REF!</definedName>
    <definedName name="FDP_278_1_aUrv" localSheetId="19" hidden="1">#REF!</definedName>
    <definedName name="FDP_278_1_aUrv" localSheetId="7" hidden="1">#REF!</definedName>
    <definedName name="FDP_278_1_aUrv" localSheetId="20" hidden="1">#REF!</definedName>
    <definedName name="FDP_278_1_aUrv" localSheetId="17" hidden="1">#REF!</definedName>
    <definedName name="FDP_278_1_aUrv" localSheetId="25" hidden="1">#REF!</definedName>
    <definedName name="FDP_278_1_aUrv" localSheetId="31" hidden="1">#REF!</definedName>
    <definedName name="FDP_278_1_aUrv" localSheetId="0" hidden="1">#REF!</definedName>
    <definedName name="FDP_278_1_aUrv" localSheetId="1" hidden="1">#REF!</definedName>
    <definedName name="FDP_278_1_aUrv" hidden="1">#REF!</definedName>
    <definedName name="FDP_279_1_aSrv" localSheetId="4" hidden="1">#REF!</definedName>
    <definedName name="FDP_279_1_aSrv" localSheetId="5" hidden="1">#REF!</definedName>
    <definedName name="FDP_279_1_aSrv" localSheetId="3" hidden="1">#REF!</definedName>
    <definedName name="FDP_279_1_aSrv" localSheetId="30" hidden="1">#REF!</definedName>
    <definedName name="FDP_279_1_aSrv" localSheetId="18" hidden="1">#REF!</definedName>
    <definedName name="FDP_279_1_aSrv" localSheetId="6" hidden="1">#REF!</definedName>
    <definedName name="FDP_279_1_aSrv" localSheetId="19" hidden="1">#REF!</definedName>
    <definedName name="FDP_279_1_aSrv" localSheetId="7" hidden="1">#REF!</definedName>
    <definedName name="FDP_279_1_aSrv" localSheetId="20" hidden="1">#REF!</definedName>
    <definedName name="FDP_279_1_aSrv" localSheetId="17" hidden="1">#REF!</definedName>
    <definedName name="FDP_279_1_aSrv" localSheetId="25" hidden="1">#REF!</definedName>
    <definedName name="FDP_279_1_aSrv" localSheetId="31" hidden="1">#REF!</definedName>
    <definedName name="FDP_279_1_aSrv" localSheetId="0" hidden="1">#REF!</definedName>
    <definedName name="FDP_279_1_aSrv" localSheetId="1" hidden="1">#REF!</definedName>
    <definedName name="FDP_279_1_aSrv" hidden="1">#REF!</definedName>
    <definedName name="FDP_280_1_aSrv" localSheetId="4" hidden="1">#REF!</definedName>
    <definedName name="FDP_280_1_aSrv" localSheetId="5" hidden="1">#REF!</definedName>
    <definedName name="FDP_280_1_aSrv" localSheetId="3" hidden="1">#REF!</definedName>
    <definedName name="FDP_280_1_aSrv" localSheetId="30" hidden="1">#REF!</definedName>
    <definedName name="FDP_280_1_aSrv" localSheetId="18" hidden="1">#REF!</definedName>
    <definedName name="FDP_280_1_aSrv" localSheetId="6" hidden="1">#REF!</definedName>
    <definedName name="FDP_280_1_aSrv" localSheetId="19" hidden="1">#REF!</definedName>
    <definedName name="FDP_280_1_aSrv" localSheetId="7" hidden="1">#REF!</definedName>
    <definedName name="FDP_280_1_aSrv" localSheetId="20" hidden="1">#REF!</definedName>
    <definedName name="FDP_280_1_aSrv" localSheetId="17" hidden="1">#REF!</definedName>
    <definedName name="FDP_280_1_aSrv" localSheetId="25" hidden="1">#REF!</definedName>
    <definedName name="FDP_280_1_aSrv" localSheetId="31" hidden="1">#REF!</definedName>
    <definedName name="FDP_280_1_aSrv" localSheetId="0" hidden="1">#REF!</definedName>
    <definedName name="FDP_280_1_aSrv" localSheetId="1" hidden="1">#REF!</definedName>
    <definedName name="FDP_280_1_aSrv" hidden="1">#REF!</definedName>
    <definedName name="FDP_281_1_aSrv" localSheetId="4" hidden="1">#REF!</definedName>
    <definedName name="FDP_281_1_aSrv" localSheetId="5" hidden="1">#REF!</definedName>
    <definedName name="FDP_281_1_aSrv" localSheetId="3" hidden="1">#REF!</definedName>
    <definedName name="FDP_281_1_aSrv" localSheetId="30" hidden="1">#REF!</definedName>
    <definedName name="FDP_281_1_aSrv" localSheetId="18" hidden="1">#REF!</definedName>
    <definedName name="FDP_281_1_aSrv" localSheetId="6" hidden="1">#REF!</definedName>
    <definedName name="FDP_281_1_aSrv" localSheetId="19" hidden="1">#REF!</definedName>
    <definedName name="FDP_281_1_aSrv" localSheetId="7" hidden="1">#REF!</definedName>
    <definedName name="FDP_281_1_aSrv" localSheetId="20" hidden="1">#REF!</definedName>
    <definedName name="FDP_281_1_aSrv" localSheetId="17" hidden="1">#REF!</definedName>
    <definedName name="FDP_281_1_aSrv" localSheetId="25" hidden="1">#REF!</definedName>
    <definedName name="FDP_281_1_aSrv" localSheetId="31" hidden="1">#REF!</definedName>
    <definedName name="FDP_281_1_aSrv" localSheetId="0" hidden="1">#REF!</definedName>
    <definedName name="FDP_281_1_aSrv" localSheetId="1" hidden="1">#REF!</definedName>
    <definedName name="FDP_281_1_aSrv" hidden="1">#REF!</definedName>
    <definedName name="FDP_282_1_aSrv" localSheetId="4" hidden="1">#REF!</definedName>
    <definedName name="FDP_282_1_aSrv" localSheetId="5" hidden="1">#REF!</definedName>
    <definedName name="FDP_282_1_aSrv" localSheetId="3" hidden="1">#REF!</definedName>
    <definedName name="FDP_282_1_aSrv" localSheetId="30" hidden="1">#REF!</definedName>
    <definedName name="FDP_282_1_aSrv" localSheetId="18" hidden="1">#REF!</definedName>
    <definedName name="FDP_282_1_aSrv" localSheetId="6" hidden="1">#REF!</definedName>
    <definedName name="FDP_282_1_aSrv" localSheetId="19" hidden="1">#REF!</definedName>
    <definedName name="FDP_282_1_aSrv" localSheetId="7" hidden="1">#REF!</definedName>
    <definedName name="FDP_282_1_aSrv" localSheetId="20" hidden="1">#REF!</definedName>
    <definedName name="FDP_282_1_aSrv" localSheetId="17" hidden="1">#REF!</definedName>
    <definedName name="FDP_282_1_aSrv" localSheetId="25" hidden="1">#REF!</definedName>
    <definedName name="FDP_282_1_aSrv" localSheetId="31" hidden="1">#REF!</definedName>
    <definedName name="FDP_282_1_aSrv" localSheetId="0" hidden="1">#REF!</definedName>
    <definedName name="FDP_282_1_aSrv" localSheetId="1" hidden="1">#REF!</definedName>
    <definedName name="FDP_282_1_aSrv" hidden="1">#REF!</definedName>
    <definedName name="FDP_283_1_aSrv" localSheetId="4" hidden="1">#REF!</definedName>
    <definedName name="FDP_283_1_aSrv" localSheetId="5" hidden="1">#REF!</definedName>
    <definedName name="FDP_283_1_aSrv" localSheetId="3" hidden="1">#REF!</definedName>
    <definedName name="FDP_283_1_aSrv" localSheetId="30" hidden="1">#REF!</definedName>
    <definedName name="FDP_283_1_aSrv" localSheetId="18" hidden="1">#REF!</definedName>
    <definedName name="FDP_283_1_aSrv" localSheetId="6" hidden="1">#REF!</definedName>
    <definedName name="FDP_283_1_aSrv" localSheetId="19" hidden="1">#REF!</definedName>
    <definedName name="FDP_283_1_aSrv" localSheetId="7" hidden="1">#REF!</definedName>
    <definedName name="FDP_283_1_aSrv" localSheetId="20" hidden="1">#REF!</definedName>
    <definedName name="FDP_283_1_aSrv" localSheetId="17" hidden="1">#REF!</definedName>
    <definedName name="FDP_283_1_aSrv" localSheetId="25" hidden="1">#REF!</definedName>
    <definedName name="FDP_283_1_aSrv" localSheetId="31" hidden="1">#REF!</definedName>
    <definedName name="FDP_283_1_aSrv" localSheetId="0" hidden="1">#REF!</definedName>
    <definedName name="FDP_283_1_aSrv" localSheetId="1" hidden="1">#REF!</definedName>
    <definedName name="FDP_283_1_aSrv" hidden="1">#REF!</definedName>
    <definedName name="ffff" localSheetId="4">'DESP Annual'!ffff</definedName>
    <definedName name="ffff" localSheetId="5">'DESP Charts'!ffff</definedName>
    <definedName name="ffff" localSheetId="3">'DESP Quarterly'!ffff</definedName>
    <definedName name="ffff" localSheetId="30">Forms!ffff</definedName>
    <definedName name="ffff" localSheetId="18">MMYT!ffff</definedName>
    <definedName name="ffff" localSheetId="6">'MMYT (2)'!ffff</definedName>
    <definedName name="ffff" localSheetId="19">'MMYT charts'!ffff</definedName>
    <definedName name="ffff" localSheetId="7">'MMYT charts (2)'!ffff</definedName>
    <definedName name="ffff" localSheetId="20">'OYO Estimation'!ffff</definedName>
    <definedName name="ffff" localSheetId="17">'Quarterly Charts '!ffff</definedName>
    <definedName name="ffff" localSheetId="25">'TOUR (RMB)'!ffff</definedName>
    <definedName name="ffff" localSheetId="31">'TOUR VS. CTRIP'!ffff</definedName>
    <definedName name="ffff" localSheetId="0">同程艺龙!ffff</definedName>
    <definedName name="ffff" localSheetId="1">'同程艺龙 Peers'!ffff</definedName>
    <definedName name="ffff">Forms!ffff</definedName>
    <definedName name="Fixed_asset_turns" localSheetId="4">'[8]Invested capital_VDF'!$C$99:$AU$99</definedName>
    <definedName name="Fixed_asset_turns" localSheetId="5">'[8]Invested capital_VDF'!$C$99:$AU$99</definedName>
    <definedName name="Fixed_asset_turns" localSheetId="3">'[8]Invested capital_VDF'!$C$99:$AU$99</definedName>
    <definedName name="Fixed_asset_turns" localSheetId="18">'[9]Invested capital_VDF'!$C$99:$AU$99</definedName>
    <definedName name="Fixed_asset_turns" localSheetId="6">'[9]Invested capital_VDF'!$C$99:$AU$99</definedName>
    <definedName name="Fixed_asset_turns" localSheetId="19">'[9]Invested capital_VDF'!$C$99:$AU$99</definedName>
    <definedName name="Fixed_asset_turns" localSheetId="7">'[9]Invested capital_VDF'!$C$99:$AU$99</definedName>
    <definedName name="Fixed_asset_turns" localSheetId="20">'[9]Invested capital_VDF'!$C$99:$AU$99</definedName>
    <definedName name="Fixed_asset_turns">'[10]Invested capital_VDF'!$C$99:$AU$99</definedName>
    <definedName name="Fore_taxrate_NonRecLoss" localSheetId="4">#REF!</definedName>
    <definedName name="Fore_taxrate_NonRecLoss" localSheetId="5">#REF!</definedName>
    <definedName name="Fore_taxrate_NonRecLoss" localSheetId="3">#REF!</definedName>
    <definedName name="Fore_taxrate_NonRecLoss" localSheetId="30">#REF!</definedName>
    <definedName name="Fore_taxrate_NonRecLoss" localSheetId="18">#REF!</definedName>
    <definedName name="Fore_taxrate_NonRecLoss" localSheetId="6">#REF!</definedName>
    <definedName name="Fore_taxrate_NonRecLoss" localSheetId="19">#REF!</definedName>
    <definedName name="Fore_taxrate_NonRecLoss" localSheetId="7">#REF!</definedName>
    <definedName name="Fore_taxrate_NonRecLoss" localSheetId="20">#REF!</definedName>
    <definedName name="Fore_taxrate_NonRecLoss" localSheetId="17">#REF!</definedName>
    <definedName name="Fore_taxrate_NonRecLoss" localSheetId="25">#REF!</definedName>
    <definedName name="Fore_taxrate_NonRecLoss" localSheetId="31">#REF!</definedName>
    <definedName name="Fore_taxrate_NonRecLoss" localSheetId="0">#REF!</definedName>
    <definedName name="Fore_taxrate_NonRecLoss" localSheetId="1">#REF!</definedName>
    <definedName name="Fore_taxrate_NonRecLoss">#REF!</definedName>
    <definedName name="FOUR" localSheetId="4">#REF!</definedName>
    <definedName name="FOUR" localSheetId="5">#REF!</definedName>
    <definedName name="FOUR" localSheetId="3">#REF!</definedName>
    <definedName name="FOUR" localSheetId="30">#REF!</definedName>
    <definedName name="FOUR" localSheetId="18">#REF!</definedName>
    <definedName name="FOUR" localSheetId="6">#REF!</definedName>
    <definedName name="FOUR" localSheetId="19">#REF!</definedName>
    <definedName name="FOUR" localSheetId="7">#REF!</definedName>
    <definedName name="FOUR" localSheetId="20">#REF!</definedName>
    <definedName name="FOUR" localSheetId="17">#REF!</definedName>
    <definedName name="FOUR" localSheetId="25">#REF!</definedName>
    <definedName name="FOUR" localSheetId="31">#REF!</definedName>
    <definedName name="FOUR" localSheetId="0">#REF!</definedName>
    <definedName name="FOUR" localSheetId="1">#REF!</definedName>
    <definedName name="FOUR">#REF!</definedName>
    <definedName name="FRFDEM" localSheetId="4">'[21]Fin DEM'!$B$1</definedName>
    <definedName name="FRFDEM" localSheetId="5">'[21]Fin DEM'!$B$1</definedName>
    <definedName name="FRFDEM" localSheetId="3">'[21]Fin DEM'!$B$1</definedName>
    <definedName name="FRFDEM" localSheetId="18">'[22]Fin DEM'!$B$1</definedName>
    <definedName name="FRFDEM" localSheetId="6">'[22]Fin DEM'!$B$1</definedName>
    <definedName name="FRFDEM" localSheetId="19">'[22]Fin DEM'!$B$1</definedName>
    <definedName name="FRFDEM" localSheetId="7">'[22]Fin DEM'!$B$1</definedName>
    <definedName name="FRFDEM" localSheetId="20">'[22]Fin DEM'!$B$1</definedName>
    <definedName name="FRFDEM">'[23]Fin DEM'!$B$1</definedName>
    <definedName name="FY_93">[17]JAN94RIG!$A$408:$IV$459</definedName>
    <definedName name="FY_94">[17]JAN94RIG!$A$460:$IV$511</definedName>
    <definedName name="gea.97" localSheetId="4">#REF!</definedName>
    <definedName name="gea.97" localSheetId="5">#REF!</definedName>
    <definedName name="gea.97" localSheetId="3">#REF!</definedName>
    <definedName name="gea.97" localSheetId="30">#REF!</definedName>
    <definedName name="gea.97" localSheetId="18">#REF!</definedName>
    <definedName name="gea.97" localSheetId="6">#REF!</definedName>
    <definedName name="gea.97" localSheetId="19">#REF!</definedName>
    <definedName name="gea.97" localSheetId="7">#REF!</definedName>
    <definedName name="gea.97" localSheetId="20">#REF!</definedName>
    <definedName name="gea.97" localSheetId="17">#REF!</definedName>
    <definedName name="gea.97" localSheetId="25">#REF!</definedName>
    <definedName name="gea.97" localSheetId="31">#REF!</definedName>
    <definedName name="gea.97" localSheetId="0">#REF!</definedName>
    <definedName name="gea.97" localSheetId="1">#REF!</definedName>
    <definedName name="gea.97">#REF!</definedName>
    <definedName name="gea.98" localSheetId="4">#REF!</definedName>
    <definedName name="gea.98" localSheetId="5">#REF!</definedName>
    <definedName name="gea.98" localSheetId="3">#REF!</definedName>
    <definedName name="gea.98" localSheetId="30">#REF!</definedName>
    <definedName name="gea.98" localSheetId="18">#REF!</definedName>
    <definedName name="gea.98" localSheetId="6">#REF!</definedName>
    <definedName name="gea.98" localSheetId="19">#REF!</definedName>
    <definedName name="gea.98" localSheetId="7">#REF!</definedName>
    <definedName name="gea.98" localSheetId="20">#REF!</definedName>
    <definedName name="gea.98" localSheetId="17">#REF!</definedName>
    <definedName name="gea.98" localSheetId="25">#REF!</definedName>
    <definedName name="gea.98" localSheetId="31">#REF!</definedName>
    <definedName name="gea.98" localSheetId="0">#REF!</definedName>
    <definedName name="gea.98" localSheetId="1">#REF!</definedName>
    <definedName name="gea.98">#REF!</definedName>
    <definedName name="gea.99" localSheetId="4">#REF!</definedName>
    <definedName name="gea.99" localSheetId="5">#REF!</definedName>
    <definedName name="gea.99" localSheetId="3">#REF!</definedName>
    <definedName name="gea.99" localSheetId="30">#REF!</definedName>
    <definedName name="gea.99" localSheetId="18">#REF!</definedName>
    <definedName name="gea.99" localSheetId="6">#REF!</definedName>
    <definedName name="gea.99" localSheetId="19">#REF!</definedName>
    <definedName name="gea.99" localSheetId="7">#REF!</definedName>
    <definedName name="gea.99" localSheetId="20">#REF!</definedName>
    <definedName name="gea.99" localSheetId="17">#REF!</definedName>
    <definedName name="gea.99" localSheetId="25">#REF!</definedName>
    <definedName name="gea.99" localSheetId="31">#REF!</definedName>
    <definedName name="gea.99" localSheetId="0">#REF!</definedName>
    <definedName name="gea.99" localSheetId="1">#REF!</definedName>
    <definedName name="gea.99">#REF!</definedName>
    <definedName name="grmcurrent" localSheetId="4">#REF!</definedName>
    <definedName name="grmcurrent" localSheetId="5">#REF!</definedName>
    <definedName name="grmcurrent" localSheetId="3">#REF!</definedName>
    <definedName name="grmcurrent" localSheetId="30">#REF!</definedName>
    <definedName name="grmcurrent" localSheetId="18">#REF!</definedName>
    <definedName name="grmcurrent" localSheetId="6">#REF!</definedName>
    <definedName name="grmcurrent" localSheetId="19">#REF!</definedName>
    <definedName name="grmcurrent" localSheetId="7">#REF!</definedName>
    <definedName name="grmcurrent" localSheetId="20">#REF!</definedName>
    <definedName name="grmcurrent" localSheetId="17">#REF!</definedName>
    <definedName name="grmcurrent" localSheetId="25">#REF!</definedName>
    <definedName name="grmcurrent" localSheetId="31">#REF!</definedName>
    <definedName name="grmcurrent" localSheetId="0">#REF!</definedName>
    <definedName name="grmcurrent" localSheetId="1">#REF!</definedName>
    <definedName name="grmcurrent">#REF!</definedName>
    <definedName name="Gross_inc_growth" localSheetId="4">[8]NOPAT_VDF!#REF!</definedName>
    <definedName name="Gross_inc_growth" localSheetId="5">[8]NOPAT_VDF!#REF!</definedName>
    <definedName name="Gross_inc_growth" localSheetId="3">[8]NOPAT_VDF!#REF!</definedName>
    <definedName name="Gross_inc_growth" localSheetId="30">[10]NOPAT_VDF!#REF!</definedName>
    <definedName name="Gross_inc_growth" localSheetId="18">[9]NOPAT_VDF!#REF!</definedName>
    <definedName name="Gross_inc_growth" localSheetId="6">[9]NOPAT_VDF!#REF!</definedName>
    <definedName name="Gross_inc_growth" localSheetId="19">[9]NOPAT_VDF!#REF!</definedName>
    <definedName name="Gross_inc_growth" localSheetId="7">[9]NOPAT_VDF!#REF!</definedName>
    <definedName name="Gross_inc_growth" localSheetId="20">[9]NOPAT_VDF!#REF!</definedName>
    <definedName name="Gross_inc_growth" localSheetId="17">[10]NOPAT_VDF!#REF!</definedName>
    <definedName name="Gross_inc_growth" localSheetId="25">[10]NOPAT_VDF!#REF!</definedName>
    <definedName name="Gross_inc_growth" localSheetId="31">[10]NOPAT_VDF!#REF!</definedName>
    <definedName name="Gross_inc_growth" localSheetId="0">[10]NOPAT_VDF!#REF!</definedName>
    <definedName name="Gross_inc_growth" localSheetId="1">[10]NOPAT_VDF!#REF!</definedName>
    <definedName name="Gross_inc_growth">[10]NOPAT_VDF!#REF!</definedName>
    <definedName name="Gross_income" localSheetId="4">[8]NOPAT_VDF!$C$10:$AE$10</definedName>
    <definedName name="Gross_income" localSheetId="5">[8]NOPAT_VDF!$C$10:$AE$10</definedName>
    <definedName name="Gross_income" localSheetId="3">[8]NOPAT_VDF!$C$10:$AE$10</definedName>
    <definedName name="Gross_income" localSheetId="18">[9]NOPAT_VDF!$C$10:$AE$10</definedName>
    <definedName name="Gross_income" localSheetId="6">[9]NOPAT_VDF!$C$10:$AE$10</definedName>
    <definedName name="Gross_income" localSheetId="19">[9]NOPAT_VDF!$C$10:$AE$10</definedName>
    <definedName name="Gross_income" localSheetId="7">[9]NOPAT_VDF!$C$10:$AE$10</definedName>
    <definedName name="Gross_income" localSheetId="20">[9]NOPAT_VDF!$C$10:$AE$10</definedName>
    <definedName name="Gross_income">[10]NOPAT_VDF!$C$10:$AE$10</definedName>
    <definedName name="Gross_margin_fore" localSheetId="4">[18]Forecasts_VDF!#REF!</definedName>
    <definedName name="Gross_margin_fore" localSheetId="5">[18]Forecasts_VDF!#REF!</definedName>
    <definedName name="Gross_margin_fore" localSheetId="3">[18]Forecasts_VDF!#REF!</definedName>
    <definedName name="Gross_margin_fore" localSheetId="30">[19]Forecasts_VDF!#REF!</definedName>
    <definedName name="Gross_margin_fore" localSheetId="18">[20]Forecasts_VDF!#REF!</definedName>
    <definedName name="Gross_margin_fore" localSheetId="6">[20]Forecasts_VDF!#REF!</definedName>
    <definedName name="Gross_margin_fore" localSheetId="19">[20]Forecasts_VDF!#REF!</definedName>
    <definedName name="Gross_margin_fore" localSheetId="7">[20]Forecasts_VDF!#REF!</definedName>
    <definedName name="Gross_margin_fore" localSheetId="20">[20]Forecasts_VDF!#REF!</definedName>
    <definedName name="Gross_margin_fore" localSheetId="17">[19]Forecasts_VDF!#REF!</definedName>
    <definedName name="Gross_margin_fore" localSheetId="25">[19]Forecasts_VDF!#REF!</definedName>
    <definedName name="Gross_margin_fore" localSheetId="31">[19]Forecasts_VDF!#REF!</definedName>
    <definedName name="Gross_margin_fore" localSheetId="0">[19]Forecasts_VDF!#REF!</definedName>
    <definedName name="Gross_margin_fore" localSheetId="1">[19]Forecasts_VDF!#REF!</definedName>
    <definedName name="Gross_margin_fore">[19]Forecasts_VDF!#REF!</definedName>
    <definedName name="Grp_coeff" localSheetId="4">#REF!</definedName>
    <definedName name="Grp_coeff" localSheetId="5">#REF!</definedName>
    <definedName name="Grp_coeff" localSheetId="3">#REF!</definedName>
    <definedName name="Grp_coeff" localSheetId="30">#REF!</definedName>
    <definedName name="Grp_coeff" localSheetId="18">#REF!</definedName>
    <definedName name="Grp_coeff" localSheetId="6">#REF!</definedName>
    <definedName name="Grp_coeff" localSheetId="19">#REF!</definedName>
    <definedName name="Grp_coeff" localSheetId="7">#REF!</definedName>
    <definedName name="Grp_coeff" localSheetId="20">#REF!</definedName>
    <definedName name="Grp_coeff" localSheetId="17">#REF!</definedName>
    <definedName name="Grp_coeff" localSheetId="25">#REF!</definedName>
    <definedName name="Grp_coeff" localSheetId="31">#REF!</definedName>
    <definedName name="Grp_coeff" localSheetId="0">#REF!</definedName>
    <definedName name="Grp_coeff" localSheetId="1">#REF!</definedName>
    <definedName name="Grp_coeff">#REF!</definedName>
    <definedName name="HTM_Control1" localSheetId="4" hidden="1">{"'Sheet1'!$A$1:$J$121"}</definedName>
    <definedName name="HTM_Control1" localSheetId="5" hidden="1">{"'Sheet1'!$A$1:$J$121"}</definedName>
    <definedName name="HTM_Control1" localSheetId="3" hidden="1">{"'Sheet1'!$A$1:$J$121"}</definedName>
    <definedName name="HTM_Control1" localSheetId="30" hidden="1">{"'Sheet1'!$A$1:$J$121"}</definedName>
    <definedName name="HTM_Control1" localSheetId="18" hidden="1">{"'Sheet1'!$A$1:$J$121"}</definedName>
    <definedName name="HTM_Control1" localSheetId="6" hidden="1">{"'Sheet1'!$A$1:$J$121"}</definedName>
    <definedName name="HTM_Control1" localSheetId="19" hidden="1">{"'Sheet1'!$A$1:$J$121"}</definedName>
    <definedName name="HTM_Control1" localSheetId="7" hidden="1">{"'Sheet1'!$A$1:$J$121"}</definedName>
    <definedName name="HTM_Control1" localSheetId="20" hidden="1">{"'Sheet1'!$A$1:$J$121"}</definedName>
    <definedName name="HTM_Control1" localSheetId="17" hidden="1">{"'Sheet1'!$A$1:$J$121"}</definedName>
    <definedName name="HTM_Control1" localSheetId="25" hidden="1">{"'Sheet1'!$A$1:$J$121"}</definedName>
    <definedName name="HTM_Control1" localSheetId="31" hidden="1">{"'Sheet1'!$A$1:$J$121"}</definedName>
    <definedName name="HTM_Control1" localSheetId="0" hidden="1">{"'Sheet1'!$A$1:$J$121"}</definedName>
    <definedName name="HTM_Control1" localSheetId="1" hidden="1">{"'Sheet1'!$A$1:$J$121"}</definedName>
    <definedName name="HTM_Control1" hidden="1">{"'Sheet1'!$A$1:$J$121"}</definedName>
    <definedName name="HTML_CodePage" hidden="1">1252</definedName>
    <definedName name="HTML_Control" localSheetId="4" hidden="1">{"'Sheet1'!$A$1:$J$121"}</definedName>
    <definedName name="HTML_Control" localSheetId="5" hidden="1">{"'Sheet1'!$A$1:$J$121"}</definedName>
    <definedName name="HTML_Control" localSheetId="3" hidden="1">{"'Sheet1'!$A$1:$J$121"}</definedName>
    <definedName name="HTML_Control" localSheetId="30" hidden="1">{"'Sheet1'!$A$1:$J$121"}</definedName>
    <definedName name="HTML_Control" localSheetId="18" hidden="1">{"'Sheet1'!$A$1:$J$121"}</definedName>
    <definedName name="HTML_Control" localSheetId="6" hidden="1">{"'Sheet1'!$A$1:$J$121"}</definedName>
    <definedName name="HTML_Control" localSheetId="19" hidden="1">{"'Sheet1'!$A$1:$J$121"}</definedName>
    <definedName name="HTML_Control" localSheetId="7" hidden="1">{"'Sheet1'!$A$1:$J$121"}</definedName>
    <definedName name="HTML_Control" localSheetId="20" hidden="1">{"'Sheet1'!$A$1:$J$121"}</definedName>
    <definedName name="HTML_Control" localSheetId="17" hidden="1">{"'Sheet1'!$A$1:$J$121"}</definedName>
    <definedName name="HTML_Control" localSheetId="25" hidden="1">{"'Sheet1'!$A$1:$J$121"}</definedName>
    <definedName name="HTML_Control" localSheetId="31" hidden="1">{"'Sheet1'!$A$1:$J$121"}</definedName>
    <definedName name="HTML_Control" localSheetId="0" hidden="1">{"'Sheet1'!$A$1:$J$121"}</definedName>
    <definedName name="HTML_Control" localSheetId="1" hidden="1">{"'Sheet1'!$A$1:$J$121"}</definedName>
    <definedName name="HTML_Control" hidden="1">{"'Sheet1'!$A$1:$J$121"}</definedName>
    <definedName name="HTML_Description" hidden="1">""</definedName>
    <definedName name="HTML_Email" hidden="1">""</definedName>
    <definedName name="HTML_Header" hidden="1">"Sheet1"</definedName>
    <definedName name="HTML_LastUpdate" hidden="1">"10/21/99"</definedName>
    <definedName name="HTML_LineAfter" hidden="1">FALSE</definedName>
    <definedName name="HTML_LineBefore" hidden="1">FALSE</definedName>
    <definedName name="HTML_Name" hidden="1">"Paulette Peoples"</definedName>
    <definedName name="HTML_OBDlg2" hidden="1">TRUE</definedName>
    <definedName name="HTML_OBDlg4" hidden="1">TRUE</definedName>
    <definedName name="HTML_OS" hidden="1">0</definedName>
    <definedName name="HTML_PathFile" hidden="1">"\\Bhincres01\groups\Mkt_Dev\EXECMKTR\RIGS\RigBible\Web NA.htm"</definedName>
    <definedName name="HTML_Title" hidden="1">"Total North America"</definedName>
    <definedName name="ic.98" localSheetId="4">#REF!</definedName>
    <definedName name="ic.98" localSheetId="5">#REF!</definedName>
    <definedName name="ic.98" localSheetId="3">#REF!</definedName>
    <definedName name="ic.98" localSheetId="30">#REF!</definedName>
    <definedName name="ic.98" localSheetId="18">#REF!</definedName>
    <definedName name="ic.98" localSheetId="6">#REF!</definedName>
    <definedName name="ic.98" localSheetId="19">#REF!</definedName>
    <definedName name="ic.98" localSheetId="7">#REF!</definedName>
    <definedName name="ic.98" localSheetId="20">#REF!</definedName>
    <definedName name="ic.98" localSheetId="17">#REF!</definedName>
    <definedName name="ic.98" localSheetId="25">#REF!</definedName>
    <definedName name="ic.98" localSheetId="31">#REF!</definedName>
    <definedName name="ic.98" localSheetId="0">#REF!</definedName>
    <definedName name="ic.98" localSheetId="1">#REF!</definedName>
    <definedName name="ic.98">#REF!</definedName>
    <definedName name="IC_1" localSheetId="4">'[8]Invested capital_VDF'!$P$1:$P$65536</definedName>
    <definedName name="IC_1" localSheetId="5">'[8]Invested capital_VDF'!$P$1:$P$65536</definedName>
    <definedName name="IC_1" localSheetId="3">'[8]Invested capital_VDF'!$P$1:$P$65536</definedName>
    <definedName name="IC_1" localSheetId="18">'[9]Invested capital_VDF'!$P$1:$P$65536</definedName>
    <definedName name="IC_1" localSheetId="6">'[9]Invested capital_VDF'!$P$1:$P$65536</definedName>
    <definedName name="IC_1" localSheetId="19">'[9]Invested capital_VDF'!$P$1:$P$65536</definedName>
    <definedName name="IC_1" localSheetId="7">'[9]Invested capital_VDF'!$P$1:$P$65536</definedName>
    <definedName name="IC_1" localSheetId="20">'[9]Invested capital_VDF'!$P$1:$P$65536</definedName>
    <definedName name="IC_1">'[10]Invested capital_VDF'!$P$1:$P$65536</definedName>
    <definedName name="IC_2" localSheetId="4">'[8]Invested capital_VDF'!$O$1:$O$65536</definedName>
    <definedName name="IC_2" localSheetId="5">'[8]Invested capital_VDF'!$O$1:$O$65536</definedName>
    <definedName name="IC_2" localSheetId="3">'[8]Invested capital_VDF'!$O$1:$O$65536</definedName>
    <definedName name="IC_2" localSheetId="18">'[9]Invested capital_VDF'!$O$1:$O$65536</definedName>
    <definedName name="IC_2" localSheetId="6">'[9]Invested capital_VDF'!$O$1:$O$65536</definedName>
    <definedName name="IC_2" localSheetId="19">'[9]Invested capital_VDF'!$O$1:$O$65536</definedName>
    <definedName name="IC_2" localSheetId="7">'[9]Invested capital_VDF'!$O$1:$O$65536</definedName>
    <definedName name="IC_2" localSheetId="20">'[9]Invested capital_VDF'!$O$1:$O$65536</definedName>
    <definedName name="IC_2">'[10]Invested capital_VDF'!$O$1:$O$65536</definedName>
    <definedName name="IC_P" localSheetId="4">'[8]Invested capital_VDF'!$Q$1:$Q$65536</definedName>
    <definedName name="IC_P" localSheetId="5">'[8]Invested capital_VDF'!$Q$1:$Q$65536</definedName>
    <definedName name="IC_P" localSheetId="3">'[8]Invested capital_VDF'!$Q$1:$Q$65536</definedName>
    <definedName name="IC_P" localSheetId="18">'[9]Invested capital_VDF'!$Q$1:$Q$65536</definedName>
    <definedName name="IC_P" localSheetId="6">'[9]Invested capital_VDF'!$Q$1:$Q$65536</definedName>
    <definedName name="IC_P" localSheetId="19">'[9]Invested capital_VDF'!$Q$1:$Q$65536</definedName>
    <definedName name="IC_P" localSheetId="7">'[9]Invested capital_VDF'!$Q$1:$Q$65536</definedName>
    <definedName name="IC_P" localSheetId="20">'[9]Invested capital_VDF'!$Q$1:$Q$65536</definedName>
    <definedName name="IC_P">'[10]Invested capital_VDF'!$Q$1:$Q$65536</definedName>
    <definedName name="IC_P1" localSheetId="4">'[8]Invested capital_VDF'!$R$1:$R$65536</definedName>
    <definedName name="IC_P1" localSheetId="5">'[8]Invested capital_VDF'!$R$1:$R$65536</definedName>
    <definedName name="IC_P1" localSheetId="3">'[8]Invested capital_VDF'!$R$1:$R$65536</definedName>
    <definedName name="IC_P1" localSheetId="18">'[9]Invested capital_VDF'!$R$1:$R$65536</definedName>
    <definedName name="IC_P1" localSheetId="6">'[9]Invested capital_VDF'!$R$1:$R$65536</definedName>
    <definedName name="IC_P1" localSheetId="19">'[9]Invested capital_VDF'!$R$1:$R$65536</definedName>
    <definedName name="IC_P1" localSheetId="7">'[9]Invested capital_VDF'!$R$1:$R$65536</definedName>
    <definedName name="IC_P1" localSheetId="20">'[9]Invested capital_VDF'!$R$1:$R$65536</definedName>
    <definedName name="IC_P1">'[10]Invested capital_VDF'!$R$1:$R$65536</definedName>
    <definedName name="IC_P2" localSheetId="4">'[8]Invested capital_VDF'!$S$1:$S$65536</definedName>
    <definedName name="IC_P2" localSheetId="5">'[8]Invested capital_VDF'!$S$1:$S$65536</definedName>
    <definedName name="IC_P2" localSheetId="3">'[8]Invested capital_VDF'!$S$1:$S$65536</definedName>
    <definedName name="IC_P2" localSheetId="18">'[9]Invested capital_VDF'!$S$1:$S$65536</definedName>
    <definedName name="IC_P2" localSheetId="6">'[9]Invested capital_VDF'!$S$1:$S$65536</definedName>
    <definedName name="IC_P2" localSheetId="19">'[9]Invested capital_VDF'!$S$1:$S$65536</definedName>
    <definedName name="IC_P2" localSheetId="7">'[9]Invested capital_VDF'!$S$1:$S$65536</definedName>
    <definedName name="IC_P2" localSheetId="20">'[9]Invested capital_VDF'!$S$1:$S$65536</definedName>
    <definedName name="IC_P2">'[10]Invested capital_VDF'!$S$1:$S$65536</definedName>
    <definedName name="IC_P3" localSheetId="4">'[8]Invested capital_VDF'!$T$1:$T$65536</definedName>
    <definedName name="IC_P3" localSheetId="5">'[8]Invested capital_VDF'!$T$1:$T$65536</definedName>
    <definedName name="IC_P3" localSheetId="3">'[8]Invested capital_VDF'!$T$1:$T$65536</definedName>
    <definedName name="IC_P3" localSheetId="18">'[9]Invested capital_VDF'!$T$1:$T$65536</definedName>
    <definedName name="IC_P3" localSheetId="6">'[9]Invested capital_VDF'!$T$1:$T$65536</definedName>
    <definedName name="IC_P3" localSheetId="19">'[9]Invested capital_VDF'!$T$1:$T$65536</definedName>
    <definedName name="IC_P3" localSheetId="7">'[9]Invested capital_VDF'!$T$1:$T$65536</definedName>
    <definedName name="IC_P3" localSheetId="20">'[9]Invested capital_VDF'!$T$1:$T$65536</definedName>
    <definedName name="IC_P3">'[10]Invested capital_VDF'!$T$1:$T$65536</definedName>
    <definedName name="Income_before_taxes" localSheetId="4">[8]NOPAT_VDF!#REF!</definedName>
    <definedName name="Income_before_taxes" localSheetId="5">[8]NOPAT_VDF!#REF!</definedName>
    <definedName name="Income_before_taxes" localSheetId="3">[8]NOPAT_VDF!#REF!</definedName>
    <definedName name="Income_before_taxes" localSheetId="30">[10]NOPAT_VDF!#REF!</definedName>
    <definedName name="Income_before_taxes" localSheetId="18">[9]NOPAT_VDF!#REF!</definedName>
    <definedName name="Income_before_taxes" localSheetId="6">[9]NOPAT_VDF!#REF!</definedName>
    <definedName name="Income_before_taxes" localSheetId="19">[9]NOPAT_VDF!#REF!</definedName>
    <definedName name="Income_before_taxes" localSheetId="7">[9]NOPAT_VDF!#REF!</definedName>
    <definedName name="Income_before_taxes" localSheetId="20">[9]NOPAT_VDF!#REF!</definedName>
    <definedName name="Income_before_taxes" localSheetId="17">[10]NOPAT_VDF!#REF!</definedName>
    <definedName name="Income_before_taxes" localSheetId="25">[10]NOPAT_VDF!#REF!</definedName>
    <definedName name="Income_before_taxes" localSheetId="31">[10]NOPAT_VDF!#REF!</definedName>
    <definedName name="Income_before_taxes" localSheetId="0">[10]NOPAT_VDF!#REF!</definedName>
    <definedName name="Income_before_taxes" localSheetId="1">[10]NOPAT_VDF!#REF!</definedName>
    <definedName name="Income_before_taxes">[10]NOPAT_VDF!#REF!</definedName>
    <definedName name="Income_equivalents" localSheetId="4">[8]NOPAT_VDF!$C$30:$AZ$30</definedName>
    <definedName name="Income_equivalents" localSheetId="5">[8]NOPAT_VDF!$C$30:$AZ$30</definedName>
    <definedName name="Income_equivalents" localSheetId="3">[8]NOPAT_VDF!$C$30:$AZ$30</definedName>
    <definedName name="Income_equivalents" localSheetId="18">[9]NOPAT_VDF!$C$30:$AZ$30</definedName>
    <definedName name="Income_equivalents" localSheetId="6">[9]NOPAT_VDF!$C$30:$AZ$30</definedName>
    <definedName name="Income_equivalents" localSheetId="19">[9]NOPAT_VDF!$C$30:$AZ$30</definedName>
    <definedName name="Income_equivalents" localSheetId="7">[9]NOPAT_VDF!$C$30:$AZ$30</definedName>
    <definedName name="Income_equivalents" localSheetId="20">[9]NOPAT_VDF!$C$30:$AZ$30</definedName>
    <definedName name="Income_equivalents">[10]NOPAT_VDF!$C$30:$AZ$30</definedName>
    <definedName name="Income_from_Unconsolidated_Subs" localSheetId="4">[8]NOPAT_VDF!$C$48:$AZ$48</definedName>
    <definedName name="Income_from_Unconsolidated_Subs" localSheetId="5">[8]NOPAT_VDF!$C$48:$AZ$48</definedName>
    <definedName name="Income_from_Unconsolidated_Subs" localSheetId="3">[8]NOPAT_VDF!$C$48:$AZ$48</definedName>
    <definedName name="Income_from_Unconsolidated_Subs" localSheetId="18">[9]NOPAT_VDF!$C$48:$AZ$48</definedName>
    <definedName name="Income_from_Unconsolidated_Subs" localSheetId="6">[9]NOPAT_VDF!$C$48:$AZ$48</definedName>
    <definedName name="Income_from_Unconsolidated_Subs" localSheetId="19">[9]NOPAT_VDF!$C$48:$AZ$48</definedName>
    <definedName name="Income_from_Unconsolidated_Subs" localSheetId="7">[9]NOPAT_VDF!$C$48:$AZ$48</definedName>
    <definedName name="Income_from_Unconsolidated_Subs" localSheetId="20">[9]NOPAT_VDF!$C$48:$AZ$48</definedName>
    <definedName name="Income_from_Unconsolidated_Subs">[10]NOPAT_VDF!$C$48:$AZ$48</definedName>
    <definedName name="Income_tax" localSheetId="4">[8]NOPAT_VDF!$C$34:$AE$34</definedName>
    <definedName name="Income_tax" localSheetId="5">[8]NOPAT_VDF!$C$34:$AE$34</definedName>
    <definedName name="Income_tax" localSheetId="3">[8]NOPAT_VDF!$C$34:$AE$34</definedName>
    <definedName name="Income_tax" localSheetId="18">[9]NOPAT_VDF!$C$34:$AE$34</definedName>
    <definedName name="Income_tax" localSheetId="6">[9]NOPAT_VDF!$C$34:$AE$34</definedName>
    <definedName name="Income_tax" localSheetId="19">[9]NOPAT_VDF!$C$34:$AE$34</definedName>
    <definedName name="Income_tax" localSheetId="7">[9]NOPAT_VDF!$C$34:$AE$34</definedName>
    <definedName name="Income_tax" localSheetId="20">[9]NOPAT_VDF!$C$34:$AE$34</definedName>
    <definedName name="Income_tax">[10]NOPAT_VDF!$C$34:$AE$34</definedName>
    <definedName name="Income_tax_fore" localSheetId="4">#REF!</definedName>
    <definedName name="Income_tax_fore" localSheetId="5">#REF!</definedName>
    <definedName name="Income_tax_fore" localSheetId="3">#REF!</definedName>
    <definedName name="Income_tax_fore" localSheetId="30">#REF!</definedName>
    <definedName name="Income_tax_fore" localSheetId="18">#REF!</definedName>
    <definedName name="Income_tax_fore" localSheetId="6">#REF!</definedName>
    <definedName name="Income_tax_fore" localSheetId="19">#REF!</definedName>
    <definedName name="Income_tax_fore" localSheetId="7">#REF!</definedName>
    <definedName name="Income_tax_fore" localSheetId="20">#REF!</definedName>
    <definedName name="Income_tax_fore" localSheetId="17">#REF!</definedName>
    <definedName name="Income_tax_fore" localSheetId="25">#REF!</definedName>
    <definedName name="Income_tax_fore" localSheetId="31">#REF!</definedName>
    <definedName name="Income_tax_fore" localSheetId="0">#REF!</definedName>
    <definedName name="Income_tax_fore" localSheetId="1">#REF!</definedName>
    <definedName name="Income_tax_fore">#REF!</definedName>
    <definedName name="Increase_Capitalized_R_D_net" localSheetId="4">[8]NOPAT_VDF!$C$22:$AZ$22</definedName>
    <definedName name="Increase_Capitalized_R_D_net" localSheetId="5">[8]NOPAT_VDF!$C$22:$AZ$22</definedName>
    <definedName name="Increase_Capitalized_R_D_net" localSheetId="3">[8]NOPAT_VDF!$C$22:$AZ$22</definedName>
    <definedName name="Increase_Capitalized_R_D_net" localSheetId="18">[9]NOPAT_VDF!$C$22:$AZ$22</definedName>
    <definedName name="Increase_Capitalized_R_D_net" localSheetId="6">[9]NOPAT_VDF!$C$22:$AZ$22</definedName>
    <definedName name="Increase_Capitalized_R_D_net" localSheetId="19">[9]NOPAT_VDF!$C$22:$AZ$22</definedName>
    <definedName name="Increase_Capitalized_R_D_net" localSheetId="7">[9]NOPAT_VDF!$C$22:$AZ$22</definedName>
    <definedName name="Increase_Capitalized_R_D_net" localSheetId="20">[9]NOPAT_VDF!$C$22:$AZ$22</definedName>
    <definedName name="Increase_Capitalized_R_D_net">[10]NOPAT_VDF!$C$22:$AZ$22</definedName>
    <definedName name="Increase_in_other_liabilities" localSheetId="4">[8]NOPAT_VDF!#REF!</definedName>
    <definedName name="Increase_in_other_liabilities" localSheetId="5">[8]NOPAT_VDF!#REF!</definedName>
    <definedName name="Increase_in_other_liabilities" localSheetId="3">[8]NOPAT_VDF!#REF!</definedName>
    <definedName name="Increase_in_other_liabilities" localSheetId="30">[10]NOPAT_VDF!#REF!</definedName>
    <definedName name="Increase_in_other_liabilities" localSheetId="18">[9]NOPAT_VDF!#REF!</definedName>
    <definedName name="Increase_in_other_liabilities" localSheetId="6">[9]NOPAT_VDF!#REF!</definedName>
    <definedName name="Increase_in_other_liabilities" localSheetId="19">[9]NOPAT_VDF!#REF!</definedName>
    <definedName name="Increase_in_other_liabilities" localSheetId="7">[9]NOPAT_VDF!#REF!</definedName>
    <definedName name="Increase_in_other_liabilities" localSheetId="20">[9]NOPAT_VDF!#REF!</definedName>
    <definedName name="Increase_in_other_liabilities" localSheetId="17">[10]NOPAT_VDF!#REF!</definedName>
    <definedName name="Increase_in_other_liabilities" localSheetId="25">[10]NOPAT_VDF!#REF!</definedName>
    <definedName name="Increase_in_other_liabilities" localSheetId="31">[10]NOPAT_VDF!#REF!</definedName>
    <definedName name="Increase_in_other_liabilities" localSheetId="0">[10]NOPAT_VDF!#REF!</definedName>
    <definedName name="Increase_in_other_liabilities" localSheetId="1">[10]NOPAT_VDF!#REF!</definedName>
    <definedName name="Increase_in_other_liabilities">[10]NOPAT_VDF!#REF!</definedName>
    <definedName name="Ind_coeff" localSheetId="4">#REF!</definedName>
    <definedName name="Ind_coeff" localSheetId="5">#REF!</definedName>
    <definedName name="Ind_coeff" localSheetId="3">#REF!</definedName>
    <definedName name="Ind_coeff" localSheetId="30">#REF!</definedName>
    <definedName name="Ind_coeff" localSheetId="18">#REF!</definedName>
    <definedName name="Ind_coeff" localSheetId="6">#REF!</definedName>
    <definedName name="Ind_coeff" localSheetId="19">#REF!</definedName>
    <definedName name="Ind_coeff" localSheetId="7">#REF!</definedName>
    <definedName name="Ind_coeff" localSheetId="20">#REF!</definedName>
    <definedName name="Ind_coeff" localSheetId="17">#REF!</definedName>
    <definedName name="Ind_coeff" localSheetId="25">#REF!</definedName>
    <definedName name="Ind_coeff" localSheetId="31">#REF!</definedName>
    <definedName name="Ind_coeff" localSheetId="0">#REF!</definedName>
    <definedName name="Ind_coeff" localSheetId="1">#REF!</definedName>
    <definedName name="Ind_coeff">#REF!</definedName>
    <definedName name="Interest_expense_income" localSheetId="4">[8]NOPAT_VDF!$C$63:$AE$63</definedName>
    <definedName name="Interest_expense_income" localSheetId="5">[8]NOPAT_VDF!$C$63:$AE$63</definedName>
    <definedName name="Interest_expense_income" localSheetId="3">[8]NOPAT_VDF!$C$63:$AE$63</definedName>
    <definedName name="Interest_expense_income" localSheetId="18">[9]NOPAT_VDF!$C$63:$AE$63</definedName>
    <definedName name="Interest_expense_income" localSheetId="6">[9]NOPAT_VDF!$C$63:$AE$63</definedName>
    <definedName name="Interest_expense_income" localSheetId="19">[9]NOPAT_VDF!$C$63:$AE$63</definedName>
    <definedName name="Interest_expense_income" localSheetId="7">[9]NOPAT_VDF!$C$63:$AE$63</definedName>
    <definedName name="Interest_expense_income" localSheetId="20">[9]NOPAT_VDF!$C$63:$AE$63</definedName>
    <definedName name="Interest_expense_income">[10]NOPAT_VDF!$C$63:$AE$63</definedName>
    <definedName name="Invested_capital" localSheetId="4">'[8]Invested capital_VDF'!$C$87:$AE$87</definedName>
    <definedName name="Invested_capital" localSheetId="5">'[8]Invested capital_VDF'!$C$87:$AE$87</definedName>
    <definedName name="Invested_capital" localSheetId="3">'[8]Invested capital_VDF'!$C$87:$AE$87</definedName>
    <definedName name="Invested_capital" localSheetId="18">'[9]Invested capital_VDF'!$C$87:$AE$87</definedName>
    <definedName name="Invested_capital" localSheetId="6">'[9]Invested capital_VDF'!$C$87:$AE$87</definedName>
    <definedName name="Invested_capital" localSheetId="19">'[9]Invested capital_VDF'!$C$87:$AE$87</definedName>
    <definedName name="Invested_capital" localSheetId="7">'[9]Invested capital_VDF'!$C$87:$AE$87</definedName>
    <definedName name="Invested_capital" localSheetId="20">'[9]Invested capital_VDF'!$C$87:$AE$87</definedName>
    <definedName name="Invested_capital">'[10]Invested capital_VDF'!$C$87:$AE$87</definedName>
    <definedName name="Invested_capital_DCF" localSheetId="4">[8]DCF_VDF!$C$77:$AZ$77</definedName>
    <definedName name="Invested_capital_DCF" localSheetId="5">[8]DCF_VDF!$C$77:$AZ$77</definedName>
    <definedName name="Invested_capital_DCF" localSheetId="3">[8]DCF_VDF!$C$77:$AZ$77</definedName>
    <definedName name="Invested_capital_DCF" localSheetId="18">[9]DCF_VDF!$C$77:$AZ$77</definedName>
    <definedName name="Invested_capital_DCF" localSheetId="6">[9]DCF_VDF!$C$77:$AZ$77</definedName>
    <definedName name="Invested_capital_DCF" localSheetId="19">[9]DCF_VDF!$C$77:$AZ$77</definedName>
    <definedName name="Invested_capital_DCF" localSheetId="7">[9]DCF_VDF!$C$77:$AZ$77</definedName>
    <definedName name="Invested_capital_DCF" localSheetId="20">[9]DCF_VDF!$C$77:$AZ$77</definedName>
    <definedName name="Invested_capital_DCF">[10]DCF_VDF!$C$77:$AZ$77</definedName>
    <definedName name="Invested_capital_turns" localSheetId="4">'[8]Invested capital_VDF'!$C$102:$AU$102</definedName>
    <definedName name="Invested_capital_turns" localSheetId="5">'[8]Invested capital_VDF'!$C$102:$AU$102</definedName>
    <definedName name="Invested_capital_turns" localSheetId="3">'[8]Invested capital_VDF'!$C$102:$AU$102</definedName>
    <definedName name="Invested_capital_turns" localSheetId="18">'[9]Invested capital_VDF'!$C$102:$AU$102</definedName>
    <definedName name="Invested_capital_turns" localSheetId="6">'[9]Invested capital_VDF'!$C$102:$AU$102</definedName>
    <definedName name="Invested_capital_turns" localSheetId="19">'[9]Invested capital_VDF'!$C$102:$AU$102</definedName>
    <definedName name="Invested_capital_turns" localSheetId="7">'[9]Invested capital_VDF'!$C$102:$AU$102</definedName>
    <definedName name="Invested_capital_turns" localSheetId="20">'[9]Invested capital_VDF'!$C$102:$AU$102</definedName>
    <definedName name="Invested_capital_turns">'[10]Invested capital_VDF'!$C$102:$AU$102</definedName>
    <definedName name="Invested_capital_turns_DCF" localSheetId="4">[8]DCF_VDF!$C$83:$AZ$83</definedName>
    <definedName name="Invested_capital_turns_DCF" localSheetId="5">[8]DCF_VDF!$C$83:$AZ$83</definedName>
    <definedName name="Invested_capital_turns_DCF" localSheetId="3">[8]DCF_VDF!$C$83:$AZ$83</definedName>
    <definedName name="Invested_capital_turns_DCF" localSheetId="18">[9]DCF_VDF!$C$83:$AZ$83</definedName>
    <definedName name="Invested_capital_turns_DCF" localSheetId="6">[9]DCF_VDF!$C$83:$AZ$83</definedName>
    <definedName name="Invested_capital_turns_DCF" localSheetId="19">[9]DCF_VDF!$C$83:$AZ$83</definedName>
    <definedName name="Invested_capital_turns_DCF" localSheetId="7">[9]DCF_VDF!$C$83:$AZ$83</definedName>
    <definedName name="Invested_capital_turns_DCF" localSheetId="20">[9]DCF_VDF!$C$83:$AZ$83</definedName>
    <definedName name="Invested_capital_turns_DCF">[10]DCF_VDF!$C$83:$AZ$83</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"07/04/2020 03:06:22"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QShowHideColumns" hidden="1">"iQShowAnnual"</definedName>
    <definedName name="Kd" localSheetId="4">[8]WACC_VDF!#REF!</definedName>
    <definedName name="Kd" localSheetId="5">[8]WACC_VDF!#REF!</definedName>
    <definedName name="Kd" localSheetId="3">[8]WACC_VDF!#REF!</definedName>
    <definedName name="Kd" localSheetId="30">[10]WACC_VDF!#REF!</definedName>
    <definedName name="Kd" localSheetId="18">[9]WACC_VDF!#REF!</definedName>
    <definedName name="Kd" localSheetId="6">[9]WACC_VDF!#REF!</definedName>
    <definedName name="Kd" localSheetId="19">[9]WACC_VDF!#REF!</definedName>
    <definedName name="Kd" localSheetId="7">[9]WACC_VDF!#REF!</definedName>
    <definedName name="Kd" localSheetId="20">[9]WACC_VDF!#REF!</definedName>
    <definedName name="Kd" localSheetId="17">[10]WACC_VDF!#REF!</definedName>
    <definedName name="Kd" localSheetId="25">[10]WACC_VDF!#REF!</definedName>
    <definedName name="Kd" localSheetId="31">[10]WACC_VDF!#REF!</definedName>
    <definedName name="Kd" localSheetId="0">[10]WACC_VDF!#REF!</definedName>
    <definedName name="Kd" localSheetId="1">[10]WACC_VDF!#REF!</definedName>
    <definedName name="Kd">[10]WACC_VDF!#REF!</definedName>
    <definedName name="Ke" localSheetId="4">[8]WACC_VDF!$D$11</definedName>
    <definedName name="Ke" localSheetId="5">[8]WACC_VDF!$D$11</definedName>
    <definedName name="Ke" localSheetId="3">[8]WACC_VDF!$D$11</definedName>
    <definedName name="Ke" localSheetId="18">[9]WACC_VDF!$D$11</definedName>
    <definedName name="Ke" localSheetId="6">[9]WACC_VDF!$D$11</definedName>
    <definedName name="Ke" localSheetId="19">[9]WACC_VDF!$D$11</definedName>
    <definedName name="Ke" localSheetId="7">[9]WACC_VDF!$D$11</definedName>
    <definedName name="Ke" localSheetId="20">[9]WACC_VDF!$D$11</definedName>
    <definedName name="Ke">[10]WACC_VDF!$D$11</definedName>
    <definedName name="LastListUpdate">0</definedName>
    <definedName name="Loan_Loss_Provision_fore" localSheetId="4">[18]Forecasts_VDF!#REF!</definedName>
    <definedName name="Loan_Loss_Provision_fore" localSheetId="5">[18]Forecasts_VDF!#REF!</definedName>
    <definedName name="Loan_Loss_Provision_fore" localSheetId="3">[18]Forecasts_VDF!#REF!</definedName>
    <definedName name="Loan_Loss_Provision_fore" localSheetId="30">[19]Forecasts_VDF!#REF!</definedName>
    <definedName name="Loan_Loss_Provision_fore" localSheetId="18">[20]Forecasts_VDF!#REF!</definedName>
    <definedName name="Loan_Loss_Provision_fore" localSheetId="6">[20]Forecasts_VDF!#REF!</definedName>
    <definedName name="Loan_Loss_Provision_fore" localSheetId="19">[20]Forecasts_VDF!#REF!</definedName>
    <definedName name="Loan_Loss_Provision_fore" localSheetId="7">[20]Forecasts_VDF!#REF!</definedName>
    <definedName name="Loan_Loss_Provision_fore" localSheetId="20">[20]Forecasts_VDF!#REF!</definedName>
    <definedName name="Loan_Loss_Provision_fore" localSheetId="17">[19]Forecasts_VDF!#REF!</definedName>
    <definedName name="Loan_Loss_Provision_fore" localSheetId="25">[19]Forecasts_VDF!#REF!</definedName>
    <definedName name="Loan_Loss_Provision_fore" localSheetId="31">[19]Forecasts_VDF!#REF!</definedName>
    <definedName name="Loan_Loss_Provision_fore" localSheetId="0">[19]Forecasts_VDF!#REF!</definedName>
    <definedName name="Loan_Loss_Provision_fore" localSheetId="1">[19]Forecasts_VDF!#REF!</definedName>
    <definedName name="Loan_Loss_Provision_fore">[19]Forecasts_VDF!#REF!</definedName>
    <definedName name="M_PlaceofPath" hidden="1">"F:\DBIANCO\COVERAGE\BAKING\EGR\MODELS\EGR_vdf.XLS"</definedName>
    <definedName name="Market_capitalization" localSheetId="4">'[8]Summary Page_VDF'!#REF!</definedName>
    <definedName name="Market_capitalization" localSheetId="5">'[8]Summary Page_VDF'!#REF!</definedName>
    <definedName name="Market_capitalization" localSheetId="3">'[8]Summary Page_VDF'!#REF!</definedName>
    <definedName name="Market_capitalization" localSheetId="30">'[10]Summary Page_VDF'!#REF!</definedName>
    <definedName name="Market_capitalization" localSheetId="18">'[9]Summary Page_VDF'!#REF!</definedName>
    <definedName name="Market_capitalization" localSheetId="6">'[9]Summary Page_VDF'!#REF!</definedName>
    <definedName name="Market_capitalization" localSheetId="19">'[9]Summary Page_VDF'!#REF!</definedName>
    <definedName name="Market_capitalization" localSheetId="7">'[9]Summary Page_VDF'!#REF!</definedName>
    <definedName name="Market_capitalization" localSheetId="20">'[9]Summary Page_VDF'!#REF!</definedName>
    <definedName name="Market_capitalization" localSheetId="17">'[10]Summary Page_VDF'!#REF!</definedName>
    <definedName name="Market_capitalization" localSheetId="25">'[10]Summary Page_VDF'!#REF!</definedName>
    <definedName name="Market_capitalization" localSheetId="31">'[10]Summary Page_VDF'!#REF!</definedName>
    <definedName name="Market_capitalization" localSheetId="0">'[10]Summary Page_VDF'!#REF!</definedName>
    <definedName name="Market_capitalization" localSheetId="1">'[10]Summary Page_VDF'!#REF!</definedName>
    <definedName name="Market_capitalization">'[10]Summary Page_VDF'!#REF!</definedName>
    <definedName name="MATRIX" localSheetId="4">#REF!</definedName>
    <definedName name="MATRIX" localSheetId="5">#REF!</definedName>
    <definedName name="MATRIX" localSheetId="3">#REF!</definedName>
    <definedName name="MATRIX" localSheetId="30">#REF!</definedName>
    <definedName name="MATRIX" localSheetId="18">#REF!</definedName>
    <definedName name="MATRIX" localSheetId="6">#REF!</definedName>
    <definedName name="MATRIX" localSheetId="19">#REF!</definedName>
    <definedName name="MATRIX" localSheetId="7">#REF!</definedName>
    <definedName name="MATRIX" localSheetId="20">#REF!</definedName>
    <definedName name="MATRIX" localSheetId="17">#REF!</definedName>
    <definedName name="MATRIX" localSheetId="25">#REF!</definedName>
    <definedName name="MATRIX" localSheetId="31">#REF!</definedName>
    <definedName name="MATRIX" localSheetId="0">#REF!</definedName>
    <definedName name="MATRIX" localSheetId="1">#REF!</definedName>
    <definedName name="MATRIX">#REF!</definedName>
    <definedName name="Mexico1" localSheetId="4">#REF!</definedName>
    <definedName name="Mexico1" localSheetId="5">#REF!</definedName>
    <definedName name="Mexico1" localSheetId="3">#REF!</definedName>
    <definedName name="Mexico1" localSheetId="30">#REF!</definedName>
    <definedName name="Mexico1" localSheetId="18">#REF!</definedName>
    <definedName name="Mexico1" localSheetId="6">#REF!</definedName>
    <definedName name="Mexico1" localSheetId="19">#REF!</definedName>
    <definedName name="Mexico1" localSheetId="7">#REF!</definedName>
    <definedName name="Mexico1" localSheetId="20">#REF!</definedName>
    <definedName name="Mexico1" localSheetId="17">#REF!</definedName>
    <definedName name="Mexico1" localSheetId="25">#REF!</definedName>
    <definedName name="Mexico1" localSheetId="31">#REF!</definedName>
    <definedName name="Mexico1" localSheetId="0">#REF!</definedName>
    <definedName name="Mexico1" localSheetId="1">#REF!</definedName>
    <definedName name="Mexico1">#REF!</definedName>
    <definedName name="Mexico2" localSheetId="4">#REF!</definedName>
    <definedName name="Mexico2" localSheetId="5">#REF!</definedName>
    <definedName name="Mexico2" localSheetId="3">#REF!</definedName>
    <definedName name="Mexico2" localSheetId="30">#REF!</definedName>
    <definedName name="Mexico2" localSheetId="18">#REF!</definedName>
    <definedName name="Mexico2" localSheetId="6">#REF!</definedName>
    <definedName name="Mexico2" localSheetId="19">#REF!</definedName>
    <definedName name="Mexico2" localSheetId="7">#REF!</definedName>
    <definedName name="Mexico2" localSheetId="20">#REF!</definedName>
    <definedName name="Mexico2" localSheetId="17">#REF!</definedName>
    <definedName name="Mexico2" localSheetId="25">#REF!</definedName>
    <definedName name="Mexico2" localSheetId="31">#REF!</definedName>
    <definedName name="Mexico2" localSheetId="0">#REF!</definedName>
    <definedName name="Mexico2" localSheetId="1">#REF!</definedName>
    <definedName name="Mexico2">#REF!</definedName>
    <definedName name="Module1.cagr" localSheetId="4">'DESP Annual'!Module1.cagr</definedName>
    <definedName name="Module1.cagr" localSheetId="5">'DESP Charts'!Module1.cagr</definedName>
    <definedName name="Module1.cagr" localSheetId="3">'DESP Quarterly'!Module1.cagr</definedName>
    <definedName name="Module1.cagr" localSheetId="30">Forms!Module1.cagr</definedName>
    <definedName name="Module1.cagr" localSheetId="18">MMYT!Module1.cagr</definedName>
    <definedName name="Module1.cagr" localSheetId="6">'MMYT (2)'!Module1.cagr</definedName>
    <definedName name="Module1.cagr" localSheetId="19">'MMYT charts'!Module1.cagr</definedName>
    <definedName name="Module1.cagr" localSheetId="7">'MMYT charts (2)'!Module1.cagr</definedName>
    <definedName name="Module1.cagr" localSheetId="20">'OYO Estimation'!Module1.cagr</definedName>
    <definedName name="Module1.cagr" localSheetId="17">'Quarterly Charts '!Module1.cagr</definedName>
    <definedName name="Module1.cagr" localSheetId="25">'TOUR (RMB)'!Module1.cagr</definedName>
    <definedName name="Module1.cagr" localSheetId="31">'TOUR VS. CTRIP'!Module1.cagr</definedName>
    <definedName name="Module1.cagr" localSheetId="0">同程艺龙!Module1.cagr</definedName>
    <definedName name="Module1.cagr" localSheetId="1">'同程艺龙 Peers'!Module1.cagr</definedName>
    <definedName name="Module1.cagr">Forms!Module1.cagr</definedName>
    <definedName name="Module2.cagr" localSheetId="4">'DESP Annual'!Module2.cagr</definedName>
    <definedName name="Module2.cagr" localSheetId="5">'DESP Charts'!Module2.cagr</definedName>
    <definedName name="Module2.cagr" localSheetId="3">'DESP Quarterly'!Module2.cagr</definedName>
    <definedName name="Module2.cagr" localSheetId="30">Forms!Module2.cagr</definedName>
    <definedName name="Module2.cagr" localSheetId="18">MMYT!Module2.cagr</definedName>
    <definedName name="Module2.cagr" localSheetId="6">'MMYT (2)'!Module2.cagr</definedName>
    <definedName name="Module2.cagr" localSheetId="19">'MMYT charts'!Module2.cagr</definedName>
    <definedName name="Module2.cagr" localSheetId="7">'MMYT charts (2)'!Module2.cagr</definedName>
    <definedName name="Module2.cagr" localSheetId="20">'OYO Estimation'!Module2.cagr</definedName>
    <definedName name="Module2.cagr" localSheetId="17">'Quarterly Charts '!Module2.cagr</definedName>
    <definedName name="Module2.cagr" localSheetId="25">'TOUR (RMB)'!Module2.cagr</definedName>
    <definedName name="Module2.cagr" localSheetId="31">'TOUR VS. CTRIP'!Module2.cagr</definedName>
    <definedName name="Module2.cagr" localSheetId="0">同程艺龙!Module2.cagr</definedName>
    <definedName name="Module2.cagr" localSheetId="1">'同程艺龙 Peers'!Module2.cagr</definedName>
    <definedName name="Module2.cagr">Forms!Module2.cagr</definedName>
    <definedName name="nck" localSheetId="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3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1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1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2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1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3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3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2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3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d.97" localSheetId="4">#REF!</definedName>
    <definedName name="nd.97" localSheetId="5">#REF!</definedName>
    <definedName name="nd.97" localSheetId="3">#REF!</definedName>
    <definedName name="nd.97" localSheetId="30">#REF!</definedName>
    <definedName name="nd.97" localSheetId="18">#REF!</definedName>
    <definedName name="nd.97" localSheetId="6">#REF!</definedName>
    <definedName name="nd.97" localSheetId="19">#REF!</definedName>
    <definedName name="nd.97" localSheetId="7">#REF!</definedName>
    <definedName name="nd.97" localSheetId="20">#REF!</definedName>
    <definedName name="nd.97" localSheetId="17">#REF!</definedName>
    <definedName name="nd.97" localSheetId="25">#REF!</definedName>
    <definedName name="nd.97" localSheetId="31">#REF!</definedName>
    <definedName name="nd.97" localSheetId="0">#REF!</definedName>
    <definedName name="nd.97" localSheetId="1">#REF!</definedName>
    <definedName name="nd.97">#REF!</definedName>
    <definedName name="nd.97p" localSheetId="4">#REF!</definedName>
    <definedName name="nd.97p" localSheetId="5">#REF!</definedName>
    <definedName name="nd.97p" localSheetId="3">#REF!</definedName>
    <definedName name="nd.97p" localSheetId="30">#REF!</definedName>
    <definedName name="nd.97p" localSheetId="18">#REF!</definedName>
    <definedName name="nd.97p" localSheetId="6">#REF!</definedName>
    <definedName name="nd.97p" localSheetId="19">#REF!</definedName>
    <definedName name="nd.97p" localSheetId="7">#REF!</definedName>
    <definedName name="nd.97p" localSheetId="20">#REF!</definedName>
    <definedName name="nd.97p" localSheetId="17">#REF!</definedName>
    <definedName name="nd.97p" localSheetId="25">#REF!</definedName>
    <definedName name="nd.97p" localSheetId="31">#REF!</definedName>
    <definedName name="nd.97p" localSheetId="0">#REF!</definedName>
    <definedName name="nd.97p" localSheetId="1">#REF!</definedName>
    <definedName name="nd.97p">#REF!</definedName>
    <definedName name="nd.98" localSheetId="4">#REF!</definedName>
    <definedName name="nd.98" localSheetId="5">#REF!</definedName>
    <definedName name="nd.98" localSheetId="3">#REF!</definedName>
    <definedName name="nd.98" localSheetId="30">#REF!</definedName>
    <definedName name="nd.98" localSheetId="18">#REF!</definedName>
    <definedName name="nd.98" localSheetId="6">#REF!</definedName>
    <definedName name="nd.98" localSheetId="19">#REF!</definedName>
    <definedName name="nd.98" localSheetId="7">#REF!</definedName>
    <definedName name="nd.98" localSheetId="20">#REF!</definedName>
    <definedName name="nd.98" localSheetId="17">#REF!</definedName>
    <definedName name="nd.98" localSheetId="25">#REF!</definedName>
    <definedName name="nd.98" localSheetId="31">#REF!</definedName>
    <definedName name="nd.98" localSheetId="0">#REF!</definedName>
    <definedName name="nd.98" localSheetId="1">#REF!</definedName>
    <definedName name="nd.98">#REF!</definedName>
    <definedName name="nd.99" localSheetId="4">#REF!</definedName>
    <definedName name="nd.99" localSheetId="5">#REF!</definedName>
    <definedName name="nd.99" localSheetId="3">#REF!</definedName>
    <definedName name="nd.99" localSheetId="30">#REF!</definedName>
    <definedName name="nd.99" localSheetId="18">#REF!</definedName>
    <definedName name="nd.99" localSheetId="6">#REF!</definedName>
    <definedName name="nd.99" localSheetId="19">#REF!</definedName>
    <definedName name="nd.99" localSheetId="7">#REF!</definedName>
    <definedName name="nd.99" localSheetId="20">#REF!</definedName>
    <definedName name="nd.99" localSheetId="17">#REF!</definedName>
    <definedName name="nd.99" localSheetId="25">#REF!</definedName>
    <definedName name="nd.99" localSheetId="31">#REF!</definedName>
    <definedName name="nd.99" localSheetId="0">#REF!</definedName>
    <definedName name="nd.99" localSheetId="1">#REF!</definedName>
    <definedName name="nd.99">#REF!</definedName>
    <definedName name="ndebt.00" localSheetId="4">#REF!</definedName>
    <definedName name="ndebt.00" localSheetId="5">#REF!</definedName>
    <definedName name="ndebt.00" localSheetId="3">#REF!</definedName>
    <definedName name="ndebt.00" localSheetId="30">#REF!</definedName>
    <definedName name="ndebt.00" localSheetId="18">#REF!</definedName>
    <definedName name="ndebt.00" localSheetId="6">#REF!</definedName>
    <definedName name="ndebt.00" localSheetId="19">#REF!</definedName>
    <definedName name="ndebt.00" localSheetId="7">#REF!</definedName>
    <definedName name="ndebt.00" localSheetId="20">#REF!</definedName>
    <definedName name="ndebt.00" localSheetId="17">#REF!</definedName>
    <definedName name="ndebt.00" localSheetId="25">#REF!</definedName>
    <definedName name="ndebt.00" localSheetId="31">#REF!</definedName>
    <definedName name="ndebt.00" localSheetId="0">#REF!</definedName>
    <definedName name="ndebt.00" localSheetId="1">#REF!</definedName>
    <definedName name="ndebt.00">#REF!</definedName>
    <definedName name="ndebt.98" localSheetId="4">#REF!</definedName>
    <definedName name="ndebt.98" localSheetId="5">#REF!</definedName>
    <definedName name="ndebt.98" localSheetId="3">#REF!</definedName>
    <definedName name="ndebt.98" localSheetId="30">#REF!</definedName>
    <definedName name="ndebt.98" localSheetId="18">#REF!</definedName>
    <definedName name="ndebt.98" localSheetId="6">#REF!</definedName>
    <definedName name="ndebt.98" localSheetId="19">#REF!</definedName>
    <definedName name="ndebt.98" localSheetId="7">#REF!</definedName>
    <definedName name="ndebt.98" localSheetId="20">#REF!</definedName>
    <definedName name="ndebt.98" localSheetId="17">#REF!</definedName>
    <definedName name="ndebt.98" localSheetId="25">#REF!</definedName>
    <definedName name="ndebt.98" localSheetId="31">#REF!</definedName>
    <definedName name="ndebt.98" localSheetId="0">#REF!</definedName>
    <definedName name="ndebt.98" localSheetId="1">#REF!</definedName>
    <definedName name="ndebt.98">#REF!</definedName>
    <definedName name="ndebt.99" localSheetId="4">#REF!</definedName>
    <definedName name="ndebt.99" localSheetId="5">#REF!</definedName>
    <definedName name="ndebt.99" localSheetId="3">#REF!</definedName>
    <definedName name="ndebt.99" localSheetId="30">#REF!</definedName>
    <definedName name="ndebt.99" localSheetId="18">#REF!</definedName>
    <definedName name="ndebt.99" localSheetId="6">#REF!</definedName>
    <definedName name="ndebt.99" localSheetId="19">#REF!</definedName>
    <definedName name="ndebt.99" localSheetId="7">#REF!</definedName>
    <definedName name="ndebt.99" localSheetId="20">#REF!</definedName>
    <definedName name="ndebt.99" localSheetId="17">#REF!</definedName>
    <definedName name="ndebt.99" localSheetId="25">#REF!</definedName>
    <definedName name="ndebt.99" localSheetId="31">#REF!</definedName>
    <definedName name="ndebt.99" localSheetId="0">#REF!</definedName>
    <definedName name="ndebt.99" localSheetId="1">#REF!</definedName>
    <definedName name="ndebt.99">#REF!</definedName>
    <definedName name="Net_Income" localSheetId="4">[8]NOPAT_VDF!$C$94:$AZ$94</definedName>
    <definedName name="Net_Income" localSheetId="5">[8]NOPAT_VDF!$C$94:$AZ$94</definedName>
    <definedName name="Net_Income" localSheetId="3">[8]NOPAT_VDF!$C$94:$AZ$94</definedName>
    <definedName name="Net_Income" localSheetId="18">[9]NOPAT_VDF!$C$94:$AZ$94</definedName>
    <definedName name="Net_Income" localSheetId="6">[9]NOPAT_VDF!$C$94:$AZ$94</definedName>
    <definedName name="Net_Income" localSheetId="19">[9]NOPAT_VDF!$C$94:$AZ$94</definedName>
    <definedName name="Net_Income" localSheetId="7">[9]NOPAT_VDF!$C$94:$AZ$94</definedName>
    <definedName name="Net_Income" localSheetId="20">[9]NOPAT_VDF!$C$94:$AZ$94</definedName>
    <definedName name="Net_Income">[10]NOPAT_VDF!$C$94:$AZ$94</definedName>
    <definedName name="Net_income_growth_avg" localSheetId="4">[8]NOPAT_VDF!#REF!</definedName>
    <definedName name="Net_income_growth_avg" localSheetId="5">[8]NOPAT_VDF!#REF!</definedName>
    <definedName name="Net_income_growth_avg" localSheetId="3">[8]NOPAT_VDF!#REF!</definedName>
    <definedName name="Net_income_growth_avg" localSheetId="30">[10]NOPAT_VDF!#REF!</definedName>
    <definedName name="Net_income_growth_avg" localSheetId="18">[9]NOPAT_VDF!#REF!</definedName>
    <definedName name="Net_income_growth_avg" localSheetId="6">[9]NOPAT_VDF!#REF!</definedName>
    <definedName name="Net_income_growth_avg" localSheetId="19">[9]NOPAT_VDF!#REF!</definedName>
    <definedName name="Net_income_growth_avg" localSheetId="7">[9]NOPAT_VDF!#REF!</definedName>
    <definedName name="Net_income_growth_avg" localSheetId="20">[9]NOPAT_VDF!#REF!</definedName>
    <definedName name="Net_income_growth_avg" localSheetId="17">[10]NOPAT_VDF!#REF!</definedName>
    <definedName name="Net_income_growth_avg" localSheetId="25">[10]NOPAT_VDF!#REF!</definedName>
    <definedName name="Net_income_growth_avg" localSheetId="31">[10]NOPAT_VDF!#REF!</definedName>
    <definedName name="Net_income_growth_avg" localSheetId="0">[10]NOPAT_VDF!#REF!</definedName>
    <definedName name="Net_income_growth_avg" localSheetId="1">[10]NOPAT_VDF!#REF!</definedName>
    <definedName name="Net_income_growth_avg">[10]NOPAT_VDF!#REF!</definedName>
    <definedName name="Net_margin" localSheetId="4">[8]NOPAT_VDF!$C$113:$AU$113</definedName>
    <definedName name="Net_margin" localSheetId="5">[8]NOPAT_VDF!$C$113:$AU$113</definedName>
    <definedName name="Net_margin" localSheetId="3">[8]NOPAT_VDF!$C$113:$AU$113</definedName>
    <definedName name="Net_margin" localSheetId="18">[9]NOPAT_VDF!$C$113:$AU$113</definedName>
    <definedName name="Net_margin" localSheetId="6">[9]NOPAT_VDF!$C$113:$AU$113</definedName>
    <definedName name="Net_margin" localSheetId="19">[9]NOPAT_VDF!$C$113:$AU$113</definedName>
    <definedName name="Net_margin" localSheetId="7">[9]NOPAT_VDF!$C$113:$AU$113</definedName>
    <definedName name="Net_margin" localSheetId="20">[9]NOPAT_VDF!$C$113:$AU$113</definedName>
    <definedName name="Net_margin">[10]NOPAT_VDF!$C$113:$AU$113</definedName>
    <definedName name="Net_margin_fore" localSheetId="4">[18]Forecasts_VDF!#REF!</definedName>
    <definedName name="Net_margin_fore" localSheetId="5">[18]Forecasts_VDF!#REF!</definedName>
    <definedName name="Net_margin_fore" localSheetId="3">[18]Forecasts_VDF!#REF!</definedName>
    <definedName name="Net_margin_fore" localSheetId="30">[19]Forecasts_VDF!#REF!</definedName>
    <definedName name="Net_margin_fore" localSheetId="18">[20]Forecasts_VDF!#REF!</definedName>
    <definedName name="Net_margin_fore" localSheetId="6">[20]Forecasts_VDF!#REF!</definedName>
    <definedName name="Net_margin_fore" localSheetId="19">[20]Forecasts_VDF!#REF!</definedName>
    <definedName name="Net_margin_fore" localSheetId="7">[20]Forecasts_VDF!#REF!</definedName>
    <definedName name="Net_margin_fore" localSheetId="20">[20]Forecasts_VDF!#REF!</definedName>
    <definedName name="Net_margin_fore" localSheetId="17">[19]Forecasts_VDF!#REF!</definedName>
    <definedName name="Net_margin_fore" localSheetId="25">[19]Forecasts_VDF!#REF!</definedName>
    <definedName name="Net_margin_fore" localSheetId="31">[19]Forecasts_VDF!#REF!</definedName>
    <definedName name="Net_margin_fore" localSheetId="0">[19]Forecasts_VDF!#REF!</definedName>
    <definedName name="Net_margin_fore" localSheetId="1">[19]Forecasts_VDF!#REF!</definedName>
    <definedName name="Net_margin_fore">[19]Forecasts_VDF!#REF!</definedName>
    <definedName name="Net_sales" localSheetId="4">[8]NOPAT_VDF!$C$8:$AE$8</definedName>
    <definedName name="Net_sales" localSheetId="5">[8]NOPAT_VDF!$C$8:$AE$8</definedName>
    <definedName name="Net_sales" localSheetId="3">[8]NOPAT_VDF!$C$8:$AE$8</definedName>
    <definedName name="Net_sales" localSheetId="18">[9]NOPAT_VDF!$C$8:$AE$8</definedName>
    <definedName name="Net_sales" localSheetId="6">[9]NOPAT_VDF!$C$8:$AE$8</definedName>
    <definedName name="Net_sales" localSheetId="19">[9]NOPAT_VDF!$C$8:$AE$8</definedName>
    <definedName name="Net_sales" localSheetId="7">[9]NOPAT_VDF!$C$8:$AE$8</definedName>
    <definedName name="Net_sales" localSheetId="20">[9]NOPAT_VDF!$C$8:$AE$8</definedName>
    <definedName name="Net_sales">[10]NOPAT_VDF!$C$8:$AE$8</definedName>
    <definedName name="Net_sales_DCF" localSheetId="4">[8]DCF_VDF!$C$9:$AZ$9</definedName>
    <definedName name="Net_sales_DCF" localSheetId="5">[8]DCF_VDF!$C$9:$AZ$9</definedName>
    <definedName name="Net_sales_DCF" localSheetId="3">[8]DCF_VDF!$C$9:$AZ$9</definedName>
    <definedName name="Net_sales_DCF" localSheetId="18">[9]DCF_VDF!$C$9:$AZ$9</definedName>
    <definedName name="Net_sales_DCF" localSheetId="6">[9]DCF_VDF!$C$9:$AZ$9</definedName>
    <definedName name="Net_sales_DCF" localSheetId="19">[9]DCF_VDF!$C$9:$AZ$9</definedName>
    <definedName name="Net_sales_DCF" localSheetId="7">[9]DCF_VDF!$C$9:$AZ$9</definedName>
    <definedName name="Net_sales_DCF" localSheetId="20">[9]DCF_VDF!$C$9:$AZ$9</definedName>
    <definedName name="Net_sales_DCF">[10]DCF_VDF!$C$9:$AZ$9</definedName>
    <definedName name="Net_working_capital_turns" localSheetId="4">'[8]Invested capital_VDF'!$C$97:$AU$97</definedName>
    <definedName name="Net_working_capital_turns" localSheetId="5">'[8]Invested capital_VDF'!$C$97:$AU$97</definedName>
    <definedName name="Net_working_capital_turns" localSheetId="3">'[8]Invested capital_VDF'!$C$97:$AU$97</definedName>
    <definedName name="Net_working_capital_turns" localSheetId="18">'[9]Invested capital_VDF'!$C$97:$AU$97</definedName>
    <definedName name="Net_working_capital_turns" localSheetId="6">'[9]Invested capital_VDF'!$C$97:$AU$97</definedName>
    <definedName name="Net_working_capital_turns" localSheetId="19">'[9]Invested capital_VDF'!$C$97:$AU$97</definedName>
    <definedName name="Net_working_capital_turns" localSheetId="7">'[9]Invested capital_VDF'!$C$97:$AU$97</definedName>
    <definedName name="Net_working_capital_turns" localSheetId="20">'[9]Invested capital_VDF'!$C$97:$AU$97</definedName>
    <definedName name="Net_working_capital_turns">'[10]Invested capital_VDF'!$C$97:$AU$97</definedName>
    <definedName name="netdebt" localSheetId="4">#REF!</definedName>
    <definedName name="netdebt" localSheetId="5">#REF!</definedName>
    <definedName name="netdebt" localSheetId="3">#REF!</definedName>
    <definedName name="netdebt" localSheetId="30">#REF!</definedName>
    <definedName name="netdebt" localSheetId="18">#REF!</definedName>
    <definedName name="netdebt" localSheetId="6">#REF!</definedName>
    <definedName name="netdebt" localSheetId="19">#REF!</definedName>
    <definedName name="netdebt" localSheetId="7">#REF!</definedName>
    <definedName name="netdebt" localSheetId="20">#REF!</definedName>
    <definedName name="netdebt" localSheetId="17">#REF!</definedName>
    <definedName name="netdebt" localSheetId="25">#REF!</definedName>
    <definedName name="netdebt" localSheetId="31">#REF!</definedName>
    <definedName name="netdebt" localSheetId="0">#REF!</definedName>
    <definedName name="netdebt" localSheetId="1">#REF!</definedName>
    <definedName name="netdebt">#REF!</definedName>
    <definedName name="NOL" localSheetId="4">#REF!</definedName>
    <definedName name="NOL" localSheetId="5">#REF!</definedName>
    <definedName name="NOL" localSheetId="3">#REF!</definedName>
    <definedName name="NOL" localSheetId="30">#REF!</definedName>
    <definedName name="NOL" localSheetId="18">#REF!</definedName>
    <definedName name="NOL" localSheetId="6">#REF!</definedName>
    <definedName name="NOL" localSheetId="19">#REF!</definedName>
    <definedName name="NOL" localSheetId="7">#REF!</definedName>
    <definedName name="NOL" localSheetId="20">#REF!</definedName>
    <definedName name="NOL" localSheetId="17">#REF!</definedName>
    <definedName name="NOL" localSheetId="25">#REF!</definedName>
    <definedName name="NOL" localSheetId="31">#REF!</definedName>
    <definedName name="NOL" localSheetId="0">#REF!</definedName>
    <definedName name="NOL" localSheetId="1">#REF!</definedName>
    <definedName name="NOL">#REF!</definedName>
    <definedName name="NOPAT" localSheetId="4">[8]NOPAT_VDF!$C$41:$AU$41</definedName>
    <definedName name="NOPAT" localSheetId="5">[8]NOPAT_VDF!$C$41:$AU$41</definedName>
    <definedName name="NOPAT" localSheetId="3">[8]NOPAT_VDF!$C$41:$AU$41</definedName>
    <definedName name="NOPAT" localSheetId="18">[9]NOPAT_VDF!$C$41:$AU$41</definedName>
    <definedName name="NOPAT" localSheetId="6">[9]NOPAT_VDF!$C$41:$AU$41</definedName>
    <definedName name="NOPAT" localSheetId="19">[9]NOPAT_VDF!$C$41:$AU$41</definedName>
    <definedName name="NOPAT" localSheetId="7">[9]NOPAT_VDF!$C$41:$AU$41</definedName>
    <definedName name="NOPAT" localSheetId="20">[9]NOPAT_VDF!$C$41:$AU$41</definedName>
    <definedName name="NOPAT">[10]NOPAT_VDF!$C$41:$AU$41</definedName>
    <definedName name="NOPAT_DCF" localSheetId="4">[8]DCF_VDF!$C$12:$AZ$12</definedName>
    <definedName name="NOPAT_DCF" localSheetId="5">[8]DCF_VDF!$C$12:$AZ$12</definedName>
    <definedName name="NOPAT_DCF" localSheetId="3">[8]DCF_VDF!$C$12:$AZ$12</definedName>
    <definedName name="NOPAT_DCF" localSheetId="18">[9]DCF_VDF!$C$12:$AZ$12</definedName>
    <definedName name="NOPAT_DCF" localSheetId="6">[9]DCF_VDF!$C$12:$AZ$12</definedName>
    <definedName name="NOPAT_DCF" localSheetId="19">[9]DCF_VDF!$C$12:$AZ$12</definedName>
    <definedName name="NOPAT_DCF" localSheetId="7">[9]DCF_VDF!$C$12:$AZ$12</definedName>
    <definedName name="NOPAT_DCF" localSheetId="20">[9]DCF_VDF!$C$12:$AZ$12</definedName>
    <definedName name="NOPAT_DCF">[10]DCF_VDF!$C$12:$AZ$12</definedName>
    <definedName name="NOPAT_growth_avg" localSheetId="4">[8]NOPAT_VDF!#REF!</definedName>
    <definedName name="NOPAT_growth_avg" localSheetId="5">[8]NOPAT_VDF!#REF!</definedName>
    <definedName name="NOPAT_growth_avg" localSheetId="3">[8]NOPAT_VDF!#REF!</definedName>
    <definedName name="NOPAT_growth_avg" localSheetId="30">[10]NOPAT_VDF!#REF!</definedName>
    <definedName name="NOPAT_growth_avg" localSheetId="18">[9]NOPAT_VDF!#REF!</definedName>
    <definedName name="NOPAT_growth_avg" localSheetId="6">[9]NOPAT_VDF!#REF!</definedName>
    <definedName name="NOPAT_growth_avg" localSheetId="19">[9]NOPAT_VDF!#REF!</definedName>
    <definedName name="NOPAT_growth_avg" localSheetId="7">[9]NOPAT_VDF!#REF!</definedName>
    <definedName name="NOPAT_growth_avg" localSheetId="20">[9]NOPAT_VDF!#REF!</definedName>
    <definedName name="NOPAT_growth_avg" localSheetId="17">[10]NOPAT_VDF!#REF!</definedName>
    <definedName name="NOPAT_growth_avg" localSheetId="25">[10]NOPAT_VDF!#REF!</definedName>
    <definedName name="NOPAT_growth_avg" localSheetId="31">[10]NOPAT_VDF!#REF!</definedName>
    <definedName name="NOPAT_growth_avg" localSheetId="0">[10]NOPAT_VDF!#REF!</definedName>
    <definedName name="NOPAT_growth_avg" localSheetId="1">[10]NOPAT_VDF!#REF!</definedName>
    <definedName name="NOPAT_growth_avg">[10]NOPAT_VDF!#REF!</definedName>
    <definedName name="NOPAT_margin" localSheetId="4">[8]NOPAT_VDF!$C$112:$AU$112</definedName>
    <definedName name="NOPAT_margin" localSheetId="5">[8]NOPAT_VDF!$C$112:$AU$112</definedName>
    <definedName name="NOPAT_margin" localSheetId="3">[8]NOPAT_VDF!$C$112:$AU$112</definedName>
    <definedName name="NOPAT_margin" localSheetId="18">[9]NOPAT_VDF!$C$112:$AU$112</definedName>
    <definedName name="NOPAT_margin" localSheetId="6">[9]NOPAT_VDF!$C$112:$AU$112</definedName>
    <definedName name="NOPAT_margin" localSheetId="19">[9]NOPAT_VDF!$C$112:$AU$112</definedName>
    <definedName name="NOPAT_margin" localSheetId="7">[9]NOPAT_VDF!$C$112:$AU$112</definedName>
    <definedName name="NOPAT_margin" localSheetId="20">[9]NOPAT_VDF!$C$112:$AU$112</definedName>
    <definedName name="NOPAT_margin">[10]NOPAT_VDF!$C$112:$AU$112</definedName>
    <definedName name="NOPAT_Share" localSheetId="4">[8]NOPAT_VDF!#REF!</definedName>
    <definedName name="NOPAT_Share" localSheetId="5">[8]NOPAT_VDF!#REF!</definedName>
    <definedName name="NOPAT_Share" localSheetId="3">[8]NOPAT_VDF!#REF!</definedName>
    <definedName name="NOPAT_Share" localSheetId="30">[10]NOPAT_VDF!#REF!</definedName>
    <definedName name="NOPAT_Share" localSheetId="18">[9]NOPAT_VDF!#REF!</definedName>
    <definedName name="NOPAT_Share" localSheetId="6">[9]NOPAT_VDF!#REF!</definedName>
    <definedName name="NOPAT_Share" localSheetId="19">[9]NOPAT_VDF!#REF!</definedName>
    <definedName name="NOPAT_Share" localSheetId="7">[9]NOPAT_VDF!#REF!</definedName>
    <definedName name="NOPAT_Share" localSheetId="20">[9]NOPAT_VDF!#REF!</definedName>
    <definedName name="NOPAT_Share" localSheetId="17">[10]NOPAT_VDF!#REF!</definedName>
    <definedName name="NOPAT_Share" localSheetId="25">[10]NOPAT_VDF!#REF!</definedName>
    <definedName name="NOPAT_Share" localSheetId="31">[10]NOPAT_VDF!#REF!</definedName>
    <definedName name="NOPAT_Share" localSheetId="0">[10]NOPAT_VDF!#REF!</definedName>
    <definedName name="NOPAT_Share" localSheetId="1">[10]NOPAT_VDF!#REF!</definedName>
    <definedName name="NOPAT_Share">[10]NOPAT_VDF!#REF!</definedName>
    <definedName name="NOPBT" localSheetId="4">[8]NOPAT_VDF!$C$32:$AU$32</definedName>
    <definedName name="NOPBT" localSheetId="5">[8]NOPAT_VDF!$C$32:$AU$32</definedName>
    <definedName name="NOPBT" localSheetId="3">[8]NOPAT_VDF!$C$32:$AU$32</definedName>
    <definedName name="NOPBT" localSheetId="18">[9]NOPAT_VDF!$C$32:$AU$32</definedName>
    <definedName name="NOPBT" localSheetId="6">[9]NOPAT_VDF!$C$32:$AU$32</definedName>
    <definedName name="NOPBT" localSheetId="19">[9]NOPAT_VDF!$C$32:$AU$32</definedName>
    <definedName name="NOPBT" localSheetId="7">[9]NOPAT_VDF!$C$32:$AU$32</definedName>
    <definedName name="NOPBT" localSheetId="20">[9]NOPAT_VDF!$C$32:$AU$32</definedName>
    <definedName name="NOPBT">[10]NOPAT_VDF!$C$32:$AU$32</definedName>
    <definedName name="nosh" localSheetId="4">#REF!</definedName>
    <definedName name="nosh" localSheetId="5">#REF!</definedName>
    <definedName name="nosh" localSheetId="3">#REF!</definedName>
    <definedName name="nosh" localSheetId="30">#REF!</definedName>
    <definedName name="nosh" localSheetId="18">#REF!</definedName>
    <definedName name="nosh" localSheetId="6">#REF!</definedName>
    <definedName name="nosh" localSheetId="19">#REF!</definedName>
    <definedName name="nosh" localSheetId="7">#REF!</definedName>
    <definedName name="nosh" localSheetId="20">#REF!</definedName>
    <definedName name="nosh" localSheetId="17">#REF!</definedName>
    <definedName name="nosh" localSheetId="25">#REF!</definedName>
    <definedName name="nosh" localSheetId="31">#REF!</definedName>
    <definedName name="nosh" localSheetId="0">#REF!</definedName>
    <definedName name="nosh" localSheetId="1">#REF!</definedName>
    <definedName name="nosh">#REF!</definedName>
    <definedName name="NPT_1" localSheetId="4">[8]NOPAT_VDF!$P$1:$P$65536</definedName>
    <definedName name="NPT_1" localSheetId="5">[8]NOPAT_VDF!$P$1:$P$65536</definedName>
    <definedName name="NPT_1" localSheetId="3">[8]NOPAT_VDF!$P$1:$P$65536</definedName>
    <definedName name="NPT_1" localSheetId="18">[9]NOPAT_VDF!$P$1:$P$65536</definedName>
    <definedName name="NPT_1" localSheetId="6">[9]NOPAT_VDF!$P$1:$P$65536</definedName>
    <definedName name="NPT_1" localSheetId="19">[9]NOPAT_VDF!$P$1:$P$65536</definedName>
    <definedName name="NPT_1" localSheetId="7">[9]NOPAT_VDF!$P$1:$P$65536</definedName>
    <definedName name="NPT_1" localSheetId="20">[9]NOPAT_VDF!$P$1:$P$65536</definedName>
    <definedName name="NPT_1">[10]NOPAT_VDF!$P$1:$P$65536</definedName>
    <definedName name="NPT_2" localSheetId="4">[8]NOPAT_VDF!$O$1:$O$65536</definedName>
    <definedName name="NPT_2" localSheetId="5">[8]NOPAT_VDF!$O$1:$O$65536</definedName>
    <definedName name="NPT_2" localSheetId="3">[8]NOPAT_VDF!$O$1:$O$65536</definedName>
    <definedName name="NPT_2" localSheetId="18">[9]NOPAT_VDF!$O$1:$O$65536</definedName>
    <definedName name="NPT_2" localSheetId="6">[9]NOPAT_VDF!$O$1:$O$65536</definedName>
    <definedName name="NPT_2" localSheetId="19">[9]NOPAT_VDF!$O$1:$O$65536</definedName>
    <definedName name="NPT_2" localSheetId="7">[9]NOPAT_VDF!$O$1:$O$65536</definedName>
    <definedName name="NPT_2" localSheetId="20">[9]NOPAT_VDF!$O$1:$O$65536</definedName>
    <definedName name="NPT_2">[10]NOPAT_VDF!$O$1:$O$65536</definedName>
    <definedName name="NPT_P" localSheetId="4">[8]NOPAT_VDF!$Q$1:$Q$65536</definedName>
    <definedName name="NPT_P" localSheetId="5">[8]NOPAT_VDF!$Q$1:$Q$65536</definedName>
    <definedName name="NPT_P" localSheetId="3">[8]NOPAT_VDF!$Q$1:$Q$65536</definedName>
    <definedName name="NPT_P" localSheetId="18">[9]NOPAT_VDF!$Q$1:$Q$65536</definedName>
    <definedName name="NPT_P" localSheetId="6">[9]NOPAT_VDF!$Q$1:$Q$65536</definedName>
    <definedName name="NPT_P" localSheetId="19">[9]NOPAT_VDF!$Q$1:$Q$65536</definedName>
    <definedName name="NPT_P" localSheetId="7">[9]NOPAT_VDF!$Q$1:$Q$65536</definedName>
    <definedName name="NPT_P" localSheetId="20">[9]NOPAT_VDF!$Q$1:$Q$65536</definedName>
    <definedName name="NPT_P">[10]NOPAT_VDF!$Q$1:$Q$65536</definedName>
    <definedName name="NxtQtr" localSheetId="4">#REF!</definedName>
    <definedName name="NxtQtr" localSheetId="5">#REF!</definedName>
    <definedName name="NxtQtr" localSheetId="3">#REF!</definedName>
    <definedName name="NxtQtr" localSheetId="30">#REF!</definedName>
    <definedName name="NxtQtr" localSheetId="18">#REF!</definedName>
    <definedName name="NxtQtr" localSheetId="6">#REF!</definedName>
    <definedName name="NxtQtr" localSheetId="19">#REF!</definedName>
    <definedName name="NxtQtr" localSheetId="7">#REF!</definedName>
    <definedName name="NxtQtr" localSheetId="20">#REF!</definedName>
    <definedName name="NxtQtr" localSheetId="17">#REF!</definedName>
    <definedName name="NxtQtr" localSheetId="25">#REF!</definedName>
    <definedName name="NxtQtr" localSheetId="31">#REF!</definedName>
    <definedName name="NxtQtr" localSheetId="0">#REF!</definedName>
    <definedName name="NxtQtr" localSheetId="1">#REF!</definedName>
    <definedName name="NxtQtr">#REF!</definedName>
    <definedName name="Off_B_S_Income" localSheetId="4">[8]NOPAT_VDF!$C$7:$AZ$7</definedName>
    <definedName name="Off_B_S_Income" localSheetId="5">[8]NOPAT_VDF!$C$7:$AZ$7</definedName>
    <definedName name="Off_B_S_Income" localSheetId="3">[8]NOPAT_VDF!$C$7:$AZ$7</definedName>
    <definedName name="Off_B_S_Income" localSheetId="18">[9]NOPAT_VDF!$C$7:$AZ$7</definedName>
    <definedName name="Off_B_S_Income" localSheetId="6">[9]NOPAT_VDF!$C$7:$AZ$7</definedName>
    <definedName name="Off_B_S_Income" localSheetId="19">[9]NOPAT_VDF!$C$7:$AZ$7</definedName>
    <definedName name="Off_B_S_Income" localSheetId="7">[9]NOPAT_VDF!$C$7:$AZ$7</definedName>
    <definedName name="Off_B_S_Income" localSheetId="20">[9]NOPAT_VDF!$C$7:$AZ$7</definedName>
    <definedName name="Off_B_S_Income">[10]NOPAT_VDF!$C$7:$AZ$7</definedName>
    <definedName name="Off_B_S_Income_DCF" localSheetId="4">[8]DCF_VDF!$C$8:$BZ$8</definedName>
    <definedName name="Off_B_S_Income_DCF" localSheetId="5">[8]DCF_VDF!$C$8:$BZ$8</definedName>
    <definedName name="Off_B_S_Income_DCF" localSheetId="3">[8]DCF_VDF!$C$8:$BZ$8</definedName>
    <definedName name="Off_B_S_Income_DCF" localSheetId="18">[9]DCF_VDF!$C$8:$BZ$8</definedName>
    <definedName name="Off_B_S_Income_DCF" localSheetId="6">[9]DCF_VDF!$C$8:$BZ$8</definedName>
    <definedName name="Off_B_S_Income_DCF" localSheetId="19">[9]DCF_VDF!$C$8:$BZ$8</definedName>
    <definedName name="Off_B_S_Income_DCF" localSheetId="7">[9]DCF_VDF!$C$8:$BZ$8</definedName>
    <definedName name="Off_B_S_Income_DCF" localSheetId="20">[9]DCF_VDF!$C$8:$BZ$8</definedName>
    <definedName name="Off_B_S_Income_DCF">[10]DCF_VDF!$C$8:$BZ$8</definedName>
    <definedName name="offpr">[4]Sens!$O$10</definedName>
    <definedName name="OL_1" localSheetId="4">'[8]PV of Op Leases_VDF'!$AD$1:$AD$65536</definedName>
    <definedName name="OL_1" localSheetId="5">'[8]PV of Op Leases_VDF'!$AD$1:$AD$65536</definedName>
    <definedName name="OL_1" localSheetId="3">'[8]PV of Op Leases_VDF'!$AD$1:$AD$65536</definedName>
    <definedName name="OL_1" localSheetId="18">'[9]PV of Op Leases_VDF'!$AD$1:$AD$65536</definedName>
    <definedName name="OL_1" localSheetId="6">'[9]PV of Op Leases_VDF'!$AD$1:$AD$65536</definedName>
    <definedName name="OL_1" localSheetId="19">'[9]PV of Op Leases_VDF'!$AD$1:$AD$65536</definedName>
    <definedName name="OL_1" localSheetId="7">'[9]PV of Op Leases_VDF'!$AD$1:$AD$65536</definedName>
    <definedName name="OL_1" localSheetId="20">'[9]PV of Op Leases_VDF'!$AD$1:$AD$65536</definedName>
    <definedName name="OL_1">'[10]PV of Op Leases_VDF'!$AD$1:$AD$65536</definedName>
    <definedName name="OL_P" localSheetId="4">'[8]PV of Op Leases_VDF'!$AF$1:$AF$65536</definedName>
    <definedName name="OL_P" localSheetId="5">'[8]PV of Op Leases_VDF'!$AF$1:$AF$65536</definedName>
    <definedName name="OL_P" localSheetId="3">'[8]PV of Op Leases_VDF'!$AF$1:$AF$65536</definedName>
    <definedName name="OL_P" localSheetId="18">'[9]PV of Op Leases_VDF'!$AF$1:$AF$65536</definedName>
    <definedName name="OL_P" localSheetId="6">'[9]PV of Op Leases_VDF'!$AF$1:$AF$65536</definedName>
    <definedName name="OL_P" localSheetId="19">'[9]PV of Op Leases_VDF'!$AF$1:$AF$65536</definedName>
    <definedName name="OL_P" localSheetId="7">'[9]PV of Op Leases_VDF'!$AF$1:$AF$65536</definedName>
    <definedName name="OL_P" localSheetId="20">'[9]PV of Op Leases_VDF'!$AF$1:$AF$65536</definedName>
    <definedName name="OL_P">'[10]PV of Op Leases_VDF'!$AF$1:$AF$65536</definedName>
    <definedName name="ONE" localSheetId="4">#REF!</definedName>
    <definedName name="ONE" localSheetId="5">#REF!</definedName>
    <definedName name="ONE" localSheetId="3">#REF!</definedName>
    <definedName name="ONE" localSheetId="30">#REF!</definedName>
    <definedName name="ONE" localSheetId="18">#REF!</definedName>
    <definedName name="ONE" localSheetId="6">#REF!</definedName>
    <definedName name="ONE" localSheetId="19">#REF!</definedName>
    <definedName name="ONE" localSheetId="7">#REF!</definedName>
    <definedName name="ONE" localSheetId="20">#REF!</definedName>
    <definedName name="ONE" localSheetId="17">#REF!</definedName>
    <definedName name="ONE" localSheetId="25">#REF!</definedName>
    <definedName name="ONE" localSheetId="31">#REF!</definedName>
    <definedName name="ONE" localSheetId="0">#REF!</definedName>
    <definedName name="ONE" localSheetId="1">#REF!</definedName>
    <definedName name="ONE">#REF!</definedName>
    <definedName name="ONEPAGER" localSheetId="4">#REF!</definedName>
    <definedName name="ONEPAGER" localSheetId="5">#REF!</definedName>
    <definedName name="ONEPAGER" localSheetId="3">#REF!</definedName>
    <definedName name="ONEPAGER" localSheetId="30">#REF!</definedName>
    <definedName name="ONEPAGER" localSheetId="18">#REF!</definedName>
    <definedName name="ONEPAGER" localSheetId="6">#REF!</definedName>
    <definedName name="ONEPAGER" localSheetId="19">#REF!</definedName>
    <definedName name="ONEPAGER" localSheetId="7">#REF!</definedName>
    <definedName name="ONEPAGER" localSheetId="20">#REF!</definedName>
    <definedName name="ONEPAGER" localSheetId="17">#REF!</definedName>
    <definedName name="ONEPAGER" localSheetId="25">#REF!</definedName>
    <definedName name="ONEPAGER" localSheetId="31">#REF!</definedName>
    <definedName name="ONEPAGER" localSheetId="0">#REF!</definedName>
    <definedName name="ONEPAGER" localSheetId="1">#REF!</definedName>
    <definedName name="ONEPAGER">#REF!</definedName>
    <definedName name="ooo" localSheetId="4">'DESP Annual'!ooo</definedName>
    <definedName name="ooo" localSheetId="5">'DESP Charts'!ooo</definedName>
    <definedName name="ooo" localSheetId="3">'DESP Quarterly'!ooo</definedName>
    <definedName name="ooo" localSheetId="30">Forms!ooo</definedName>
    <definedName name="ooo" localSheetId="18">MMYT!ooo</definedName>
    <definedName name="ooo" localSheetId="6">'MMYT (2)'!ooo</definedName>
    <definedName name="ooo" localSheetId="19">'MMYT charts'!ooo</definedName>
    <definedName name="ooo" localSheetId="7">'MMYT charts (2)'!ooo</definedName>
    <definedName name="ooo" localSheetId="20">'OYO Estimation'!ooo</definedName>
    <definedName name="ooo" localSheetId="17">'Quarterly Charts '!ooo</definedName>
    <definedName name="ooo" localSheetId="25">'TOUR (RMB)'!ooo</definedName>
    <definedName name="ooo" localSheetId="31">'TOUR VS. CTRIP'!ooo</definedName>
    <definedName name="ooo" localSheetId="0">同程艺龙!ooo</definedName>
    <definedName name="ooo" localSheetId="1">'同程艺龙 Peers'!ooo</definedName>
    <definedName name="ooo">Forms!ooo</definedName>
    <definedName name="Operating_Data" localSheetId="4">[11]EGR!#REF!</definedName>
    <definedName name="Operating_Data" localSheetId="5">[11]EGR!#REF!</definedName>
    <definedName name="Operating_Data" localSheetId="3">[11]EGR!#REF!</definedName>
    <definedName name="Operating_Data" localSheetId="30">[12]EGR!#REF!</definedName>
    <definedName name="Operating_Data" localSheetId="18">[13]EGR!#REF!</definedName>
    <definedName name="Operating_Data" localSheetId="6">[13]EGR!#REF!</definedName>
    <definedName name="Operating_Data" localSheetId="19">[13]EGR!#REF!</definedName>
    <definedName name="Operating_Data" localSheetId="7">[13]EGR!#REF!</definedName>
    <definedName name="Operating_Data" localSheetId="20">[13]EGR!#REF!</definedName>
    <definedName name="Operating_Data" localSheetId="17">[12]EGR!#REF!</definedName>
    <definedName name="Operating_Data" localSheetId="25">[12]EGR!#REF!</definedName>
    <definedName name="Operating_Data" localSheetId="31">[12]EGR!#REF!</definedName>
    <definedName name="Operating_Data" localSheetId="0">[12]EGR!#REF!</definedName>
    <definedName name="Operating_Data" localSheetId="1">[12]EGR!#REF!</definedName>
    <definedName name="Operating_Data">[12]EGR!#REF!</definedName>
    <definedName name="Operating_Lease_Expense" localSheetId="4">[8]NOPAT_VDF!$C$23:$AZ$23</definedName>
    <definedName name="Operating_Lease_Expense" localSheetId="5">[8]NOPAT_VDF!$C$23:$AZ$23</definedName>
    <definedName name="Operating_Lease_Expense" localSheetId="3">[8]NOPAT_VDF!$C$23:$AZ$23</definedName>
    <definedName name="Operating_Lease_Expense" localSheetId="18">[9]NOPAT_VDF!$C$23:$AZ$23</definedName>
    <definedName name="Operating_Lease_Expense" localSheetId="6">[9]NOPAT_VDF!$C$23:$AZ$23</definedName>
    <definedName name="Operating_Lease_Expense" localSheetId="19">[9]NOPAT_VDF!$C$23:$AZ$23</definedName>
    <definedName name="Operating_Lease_Expense" localSheetId="7">[9]NOPAT_VDF!$C$23:$AZ$23</definedName>
    <definedName name="Operating_Lease_Expense" localSheetId="20">[9]NOPAT_VDF!$C$23:$AZ$23</definedName>
    <definedName name="Operating_Lease_Expense">[10]NOPAT_VDF!$C$23:$AZ$23</definedName>
    <definedName name="Other_asset_turns" localSheetId="4">'[8]Invested capital_VDF'!$A$101:$Z$101</definedName>
    <definedName name="Other_asset_turns" localSheetId="5">'[8]Invested capital_VDF'!$A$101:$Z$101</definedName>
    <definedName name="Other_asset_turns" localSheetId="3">'[8]Invested capital_VDF'!$A$101:$Z$101</definedName>
    <definedName name="Other_asset_turns" localSheetId="18">'[9]Invested capital_VDF'!$A$101:$Z$101</definedName>
    <definedName name="Other_asset_turns" localSheetId="6">'[9]Invested capital_VDF'!$A$101:$Z$101</definedName>
    <definedName name="Other_asset_turns" localSheetId="19">'[9]Invested capital_VDF'!$A$101:$Z$101</definedName>
    <definedName name="Other_asset_turns" localSheetId="7">'[9]Invested capital_VDF'!$A$101:$Z$101</definedName>
    <definedName name="Other_asset_turns" localSheetId="20">'[9]Invested capital_VDF'!$A$101:$Z$101</definedName>
    <definedName name="Other_asset_turns">'[10]Invested capital_VDF'!$A$101:$Z$101</definedName>
    <definedName name="Other_dividends" localSheetId="4">'[8]Invested capital_VDF'!#REF!</definedName>
    <definedName name="Other_dividends" localSheetId="5">'[8]Invested capital_VDF'!#REF!</definedName>
    <definedName name="Other_dividends" localSheetId="3">'[8]Invested capital_VDF'!#REF!</definedName>
    <definedName name="Other_dividends" localSheetId="30">'[10]Invested capital_VDF'!#REF!</definedName>
    <definedName name="Other_dividends" localSheetId="18">'[9]Invested capital_VDF'!#REF!</definedName>
    <definedName name="Other_dividends" localSheetId="6">'[9]Invested capital_VDF'!#REF!</definedName>
    <definedName name="Other_dividends" localSheetId="19">'[9]Invested capital_VDF'!#REF!</definedName>
    <definedName name="Other_dividends" localSheetId="7">'[9]Invested capital_VDF'!#REF!</definedName>
    <definedName name="Other_dividends" localSheetId="20">'[9]Invested capital_VDF'!#REF!</definedName>
    <definedName name="Other_dividends" localSheetId="17">'[10]Invested capital_VDF'!#REF!</definedName>
    <definedName name="Other_dividends" localSheetId="25">'[10]Invested capital_VDF'!#REF!</definedName>
    <definedName name="Other_dividends" localSheetId="31">'[10]Invested capital_VDF'!#REF!</definedName>
    <definedName name="Other_dividends" localSheetId="0">'[10]Invested capital_VDF'!#REF!</definedName>
    <definedName name="Other_dividends" localSheetId="1">'[10]Invested capital_VDF'!#REF!</definedName>
    <definedName name="Other_dividends">'[10]Invested capital_VDF'!#REF!</definedName>
    <definedName name="Other_Expenses" localSheetId="4">[8]NOPAT_VDF!$C$59:$AZ$59</definedName>
    <definedName name="Other_Expenses" localSheetId="5">[8]NOPAT_VDF!$C$59:$AZ$59</definedName>
    <definedName name="Other_Expenses" localSheetId="3">[8]NOPAT_VDF!$C$59:$AZ$59</definedName>
    <definedName name="Other_Expenses" localSheetId="18">[9]NOPAT_VDF!$C$59:$AZ$59</definedName>
    <definedName name="Other_Expenses" localSheetId="6">[9]NOPAT_VDF!$C$59:$AZ$59</definedName>
    <definedName name="Other_Expenses" localSheetId="19">[9]NOPAT_VDF!$C$59:$AZ$59</definedName>
    <definedName name="Other_Expenses" localSheetId="7">[9]NOPAT_VDF!$C$59:$AZ$59</definedName>
    <definedName name="Other_Expenses" localSheetId="20">[9]NOPAT_VDF!$C$59:$AZ$59</definedName>
    <definedName name="Other_Expenses">[10]NOPAT_VDF!$C$59:$AZ$59</definedName>
    <definedName name="Other_expenses_gains" localSheetId="4">[8]NOPAT_VDF!$C$14:$AZ$14</definedName>
    <definedName name="Other_expenses_gains" localSheetId="5">[8]NOPAT_VDF!$C$14:$AZ$14</definedName>
    <definedName name="Other_expenses_gains" localSheetId="3">[8]NOPAT_VDF!$C$14:$AZ$14</definedName>
    <definedName name="Other_expenses_gains" localSheetId="18">[9]NOPAT_VDF!$C$14:$AZ$14</definedName>
    <definedName name="Other_expenses_gains" localSheetId="6">[9]NOPAT_VDF!$C$14:$AZ$14</definedName>
    <definedName name="Other_expenses_gains" localSheetId="19">[9]NOPAT_VDF!$C$14:$AZ$14</definedName>
    <definedName name="Other_expenses_gains" localSheetId="7">[9]NOPAT_VDF!$C$14:$AZ$14</definedName>
    <definedName name="Other_expenses_gains" localSheetId="20">[9]NOPAT_VDF!$C$14:$AZ$14</definedName>
    <definedName name="Other_expenses_gains">[10]NOPAT_VDF!$C$14:$AZ$14</definedName>
    <definedName name="Other_Income" localSheetId="4">[8]NOPAT_VDF!$C$58:$AZ$58</definedName>
    <definedName name="Other_Income" localSheetId="5">[8]NOPAT_VDF!$C$58:$AZ$58</definedName>
    <definedName name="Other_Income" localSheetId="3">[8]NOPAT_VDF!$C$58:$AZ$58</definedName>
    <definedName name="Other_Income" localSheetId="18">[9]NOPAT_VDF!$C$58:$AZ$58</definedName>
    <definedName name="Other_Income" localSheetId="6">[9]NOPAT_VDF!$C$58:$AZ$58</definedName>
    <definedName name="Other_Income" localSheetId="19">[9]NOPAT_VDF!$C$58:$AZ$58</definedName>
    <definedName name="Other_Income" localSheetId="7">[9]NOPAT_VDF!$C$58:$AZ$58</definedName>
    <definedName name="Other_Income" localSheetId="20">[9]NOPAT_VDF!$C$58:$AZ$58</definedName>
    <definedName name="Other_Income">[10]NOPAT_VDF!$C$58:$AZ$58</definedName>
    <definedName name="Other_Segment_Revenues" localSheetId="4">[8]NOPAT_VDF!#REF!</definedName>
    <definedName name="Other_Segment_Revenues" localSheetId="5">[8]NOPAT_VDF!#REF!</definedName>
    <definedName name="Other_Segment_Revenues" localSheetId="3">[8]NOPAT_VDF!#REF!</definedName>
    <definedName name="Other_Segment_Revenues" localSheetId="30">[10]NOPAT_VDF!#REF!</definedName>
    <definedName name="Other_Segment_Revenues" localSheetId="18">[9]NOPAT_VDF!#REF!</definedName>
    <definedName name="Other_Segment_Revenues" localSheetId="6">[9]NOPAT_VDF!#REF!</definedName>
    <definedName name="Other_Segment_Revenues" localSheetId="19">[9]NOPAT_VDF!#REF!</definedName>
    <definedName name="Other_Segment_Revenues" localSheetId="7">[9]NOPAT_VDF!#REF!</definedName>
    <definedName name="Other_Segment_Revenues" localSheetId="20">[9]NOPAT_VDF!#REF!</definedName>
    <definedName name="Other_Segment_Revenues" localSheetId="17">[10]NOPAT_VDF!#REF!</definedName>
    <definedName name="Other_Segment_Revenues" localSheetId="25">[10]NOPAT_VDF!#REF!</definedName>
    <definedName name="Other_Segment_Revenues" localSheetId="31">[10]NOPAT_VDF!#REF!</definedName>
    <definedName name="Other_Segment_Revenues" localSheetId="0">[10]NOPAT_VDF!#REF!</definedName>
    <definedName name="Other_Segment_Revenues" localSheetId="1">[10]NOPAT_VDF!#REF!</definedName>
    <definedName name="Other_Segment_Revenues">[10]NOPAT_VDF!#REF!</definedName>
    <definedName name="Other1" localSheetId="4">#REF!</definedName>
    <definedName name="Other1" localSheetId="5">#REF!</definedName>
    <definedName name="Other1" localSheetId="3">#REF!</definedName>
    <definedName name="Other1" localSheetId="30">#REF!</definedName>
    <definedName name="Other1" localSheetId="18">#REF!</definedName>
    <definedName name="Other1" localSheetId="6">#REF!</definedName>
    <definedName name="Other1" localSheetId="19">#REF!</definedName>
    <definedName name="Other1" localSheetId="7">#REF!</definedName>
    <definedName name="Other1" localSheetId="20">#REF!</definedName>
    <definedName name="Other1" localSheetId="17">#REF!</definedName>
    <definedName name="Other1" localSheetId="25">#REF!</definedName>
    <definedName name="Other1" localSheetId="31">#REF!</definedName>
    <definedName name="Other1" localSheetId="0">#REF!</definedName>
    <definedName name="Other1" localSheetId="1">#REF!</definedName>
    <definedName name="Other1">#REF!</definedName>
    <definedName name="Page1" localSheetId="4">#REF!</definedName>
    <definedName name="Page1" localSheetId="5">#REF!</definedName>
    <definedName name="Page1" localSheetId="3">#REF!</definedName>
    <definedName name="Page1" localSheetId="30">#REF!</definedName>
    <definedName name="Page1" localSheetId="18">#REF!</definedName>
    <definedName name="Page1" localSheetId="6">#REF!</definedName>
    <definedName name="Page1" localSheetId="19">#REF!</definedName>
    <definedName name="Page1" localSheetId="7">#REF!</definedName>
    <definedName name="Page1" localSheetId="20">#REF!</definedName>
    <definedName name="Page1" localSheetId="17">#REF!</definedName>
    <definedName name="Page1" localSheetId="25">#REF!</definedName>
    <definedName name="Page1" localSheetId="31">#REF!</definedName>
    <definedName name="Page1" localSheetId="0">#REF!</definedName>
    <definedName name="Page1" localSheetId="1">#REF!</definedName>
    <definedName name="Page1">#REF!</definedName>
    <definedName name="Page12" localSheetId="4">#REF!</definedName>
    <definedName name="Page12" localSheetId="5">#REF!</definedName>
    <definedName name="Page12" localSheetId="3">#REF!</definedName>
    <definedName name="Page12" localSheetId="30">#REF!</definedName>
    <definedName name="Page12" localSheetId="18">#REF!</definedName>
    <definedName name="Page12" localSheetId="6">#REF!</definedName>
    <definedName name="Page12" localSheetId="19">#REF!</definedName>
    <definedName name="Page12" localSheetId="7">#REF!</definedName>
    <definedName name="Page12" localSheetId="20">#REF!</definedName>
    <definedName name="Page12" localSheetId="17">#REF!</definedName>
    <definedName name="Page12" localSheetId="25">#REF!</definedName>
    <definedName name="Page12" localSheetId="31">#REF!</definedName>
    <definedName name="Page12" localSheetId="0">#REF!</definedName>
    <definedName name="Page12" localSheetId="1">#REF!</definedName>
    <definedName name="Page12">#REF!</definedName>
    <definedName name="Page2" localSheetId="4">#REF!</definedName>
    <definedName name="Page2" localSheetId="5">#REF!</definedName>
    <definedName name="Page2" localSheetId="3">#REF!</definedName>
    <definedName name="Page2" localSheetId="30">#REF!</definedName>
    <definedName name="Page2" localSheetId="18">#REF!</definedName>
    <definedName name="Page2" localSheetId="6">#REF!</definedName>
    <definedName name="Page2" localSheetId="19">#REF!</definedName>
    <definedName name="Page2" localSheetId="7">#REF!</definedName>
    <definedName name="Page2" localSheetId="20">#REF!</definedName>
    <definedName name="Page2" localSheetId="17">#REF!</definedName>
    <definedName name="Page2" localSheetId="25">#REF!</definedName>
    <definedName name="Page2" localSheetId="31">#REF!</definedName>
    <definedName name="Page2" localSheetId="0">#REF!</definedName>
    <definedName name="Page2" localSheetId="1">#REF!</definedName>
    <definedName name="Page2">#REF!</definedName>
    <definedName name="PFPRICE" localSheetId="4">#REF!</definedName>
    <definedName name="PFPRICE" localSheetId="5">#REF!</definedName>
    <definedName name="PFPRICE" localSheetId="3">#REF!</definedName>
    <definedName name="PFPRICE" localSheetId="30">#REF!</definedName>
    <definedName name="PFPRICE" localSheetId="18">#REF!</definedName>
    <definedName name="PFPRICE" localSheetId="6">#REF!</definedName>
    <definedName name="PFPRICE" localSheetId="19">#REF!</definedName>
    <definedName name="PFPRICE" localSheetId="7">#REF!</definedName>
    <definedName name="PFPRICE" localSheetId="20">#REF!</definedName>
    <definedName name="PFPRICE" localSheetId="17">#REF!</definedName>
    <definedName name="PFPRICE" localSheetId="25">#REF!</definedName>
    <definedName name="PFPRICE" localSheetId="31">#REF!</definedName>
    <definedName name="PFPRICE" localSheetId="0">#REF!</definedName>
    <definedName name="PFPRICE" localSheetId="1">#REF!</definedName>
    <definedName name="PFPRICE">#REF!</definedName>
    <definedName name="PFPRICE2" localSheetId="4">#REF!</definedName>
    <definedName name="PFPRICE2" localSheetId="5">#REF!</definedName>
    <definedName name="PFPRICE2" localSheetId="3">#REF!</definedName>
    <definedName name="PFPRICE2" localSheetId="30">#REF!</definedName>
    <definedName name="PFPRICE2" localSheetId="18">#REF!</definedName>
    <definedName name="PFPRICE2" localSheetId="6">#REF!</definedName>
    <definedName name="PFPRICE2" localSheetId="19">#REF!</definedName>
    <definedName name="PFPRICE2" localSheetId="7">#REF!</definedName>
    <definedName name="PFPRICE2" localSheetId="20">#REF!</definedName>
    <definedName name="PFPRICE2" localSheetId="17">#REF!</definedName>
    <definedName name="PFPRICE2" localSheetId="25">#REF!</definedName>
    <definedName name="PFPRICE2" localSheetId="31">#REF!</definedName>
    <definedName name="PFPRICE2" localSheetId="0">#REF!</definedName>
    <definedName name="PFPRICE2" localSheetId="1">#REF!</definedName>
    <definedName name="PFPRICE2">#REF!</definedName>
    <definedName name="Postmoney" localSheetId="4">[11]EGR!#REF!</definedName>
    <definedName name="Postmoney" localSheetId="5">[11]EGR!#REF!</definedName>
    <definedName name="Postmoney" localSheetId="3">[11]EGR!#REF!</definedName>
    <definedName name="Postmoney" localSheetId="30">[12]EGR!#REF!</definedName>
    <definedName name="Postmoney" localSheetId="18">[13]EGR!#REF!</definedName>
    <definedName name="Postmoney" localSheetId="6">[13]EGR!#REF!</definedName>
    <definedName name="Postmoney" localSheetId="19">[13]EGR!#REF!</definedName>
    <definedName name="Postmoney" localSheetId="7">[13]EGR!#REF!</definedName>
    <definedName name="Postmoney" localSheetId="20">[13]EGR!#REF!</definedName>
    <definedName name="Postmoney" localSheetId="17">[12]EGR!#REF!</definedName>
    <definedName name="Postmoney" localSheetId="25">[12]EGR!#REF!</definedName>
    <definedName name="Postmoney" localSheetId="31">[12]EGR!#REF!</definedName>
    <definedName name="Postmoney" localSheetId="0">[12]EGR!#REF!</definedName>
    <definedName name="Postmoney" localSheetId="1">[12]EGR!#REF!</definedName>
    <definedName name="Postmoney">[12]EGR!#REF!</definedName>
    <definedName name="PostmoneyBS" localSheetId="4">[11]EGR!#REF!</definedName>
    <definedName name="PostmoneyBS" localSheetId="5">[11]EGR!#REF!</definedName>
    <definedName name="PostmoneyBS" localSheetId="3">[11]EGR!#REF!</definedName>
    <definedName name="PostmoneyBS" localSheetId="30">[12]EGR!#REF!</definedName>
    <definedName name="PostmoneyBS" localSheetId="18">[13]EGR!#REF!</definedName>
    <definedName name="PostmoneyBS" localSheetId="6">[13]EGR!#REF!</definedName>
    <definedName name="PostmoneyBS" localSheetId="19">[13]EGR!#REF!</definedName>
    <definedName name="PostmoneyBS" localSheetId="7">[13]EGR!#REF!</definedName>
    <definedName name="PostmoneyBS" localSheetId="20">[13]EGR!#REF!</definedName>
    <definedName name="PostmoneyBS" localSheetId="17">[12]EGR!#REF!</definedName>
    <definedName name="PostmoneyBS" localSheetId="25">[12]EGR!#REF!</definedName>
    <definedName name="PostmoneyBS" localSheetId="31">[12]EGR!#REF!</definedName>
    <definedName name="PostmoneyBS" localSheetId="0">[12]EGR!#REF!</definedName>
    <definedName name="PostmoneyBS" localSheetId="1">[12]EGR!#REF!</definedName>
    <definedName name="PostmoneyBS">[12]EGR!#REF!</definedName>
    <definedName name="PostmoneyCF" localSheetId="4">[11]EGR!#REF!</definedName>
    <definedName name="PostmoneyCF" localSheetId="5">[11]EGR!#REF!</definedName>
    <definedName name="PostmoneyCF" localSheetId="3">[11]EGR!#REF!</definedName>
    <definedName name="PostmoneyCF" localSheetId="30">[12]EGR!#REF!</definedName>
    <definedName name="PostmoneyCF" localSheetId="18">[13]EGR!#REF!</definedName>
    <definedName name="PostmoneyCF" localSheetId="6">[13]EGR!#REF!</definedName>
    <definedName name="PostmoneyCF" localSheetId="19">[13]EGR!#REF!</definedName>
    <definedName name="PostmoneyCF" localSheetId="7">[13]EGR!#REF!</definedName>
    <definedName name="PostmoneyCF" localSheetId="20">[13]EGR!#REF!</definedName>
    <definedName name="PostmoneyCF" localSheetId="17">[12]EGR!#REF!</definedName>
    <definedName name="PostmoneyCF" localSheetId="25">[12]EGR!#REF!</definedName>
    <definedName name="PostmoneyCF" localSheetId="31">[12]EGR!#REF!</definedName>
    <definedName name="PostmoneyCF" localSheetId="0">[12]EGR!#REF!</definedName>
    <definedName name="PostmoneyCF" localSheetId="1">[12]EGR!#REF!</definedName>
    <definedName name="PostmoneyCF">[12]EGR!#REF!</definedName>
    <definedName name="Premoney" localSheetId="4">[11]EGR!#REF!</definedName>
    <definedName name="Premoney" localSheetId="5">[11]EGR!#REF!</definedName>
    <definedName name="Premoney" localSheetId="3">[11]EGR!#REF!</definedName>
    <definedName name="Premoney" localSheetId="30">[12]EGR!#REF!</definedName>
    <definedName name="Premoney" localSheetId="18">[13]EGR!#REF!</definedName>
    <definedName name="Premoney" localSheetId="6">[13]EGR!#REF!</definedName>
    <definedName name="Premoney" localSheetId="19">[13]EGR!#REF!</definedName>
    <definedName name="Premoney" localSheetId="7">[13]EGR!#REF!</definedName>
    <definedName name="Premoney" localSheetId="20">[13]EGR!#REF!</definedName>
    <definedName name="Premoney" localSheetId="17">[12]EGR!#REF!</definedName>
    <definedName name="Premoney" localSheetId="25">[12]EGR!#REF!</definedName>
    <definedName name="Premoney" localSheetId="31">[12]EGR!#REF!</definedName>
    <definedName name="Premoney" localSheetId="0">[12]EGR!#REF!</definedName>
    <definedName name="Premoney" localSheetId="1">[12]EGR!#REF!</definedName>
    <definedName name="Premoney">[12]EGR!#REF!</definedName>
    <definedName name="PremoneyBS" localSheetId="4">[11]EGR!#REF!</definedName>
    <definedName name="PremoneyBS" localSheetId="5">[11]EGR!#REF!</definedName>
    <definedName name="PremoneyBS" localSheetId="3">[11]EGR!#REF!</definedName>
    <definedName name="PremoneyBS" localSheetId="30">[12]EGR!#REF!</definedName>
    <definedName name="PremoneyBS" localSheetId="18">[13]EGR!#REF!</definedName>
    <definedName name="PremoneyBS" localSheetId="6">[13]EGR!#REF!</definedName>
    <definedName name="PremoneyBS" localSheetId="19">[13]EGR!#REF!</definedName>
    <definedName name="PremoneyBS" localSheetId="7">[13]EGR!#REF!</definedName>
    <definedName name="PremoneyBS" localSheetId="20">[13]EGR!#REF!</definedName>
    <definedName name="PremoneyBS" localSheetId="17">[12]EGR!#REF!</definedName>
    <definedName name="PremoneyBS" localSheetId="25">[12]EGR!#REF!</definedName>
    <definedName name="PremoneyBS" localSheetId="31">[12]EGR!#REF!</definedName>
    <definedName name="PremoneyBS" localSheetId="0">[12]EGR!#REF!</definedName>
    <definedName name="PremoneyBS" localSheetId="1">[12]EGR!#REF!</definedName>
    <definedName name="PremoneyBS">[12]EGR!#REF!</definedName>
    <definedName name="PremoneyCF" localSheetId="4">[11]EGR!#REF!</definedName>
    <definedName name="PremoneyCF" localSheetId="5">[11]EGR!#REF!</definedName>
    <definedName name="PremoneyCF" localSheetId="3">[11]EGR!#REF!</definedName>
    <definedName name="PremoneyCF" localSheetId="30">[12]EGR!#REF!</definedName>
    <definedName name="PremoneyCF" localSheetId="18">[13]EGR!#REF!</definedName>
    <definedName name="PremoneyCF" localSheetId="6">[13]EGR!#REF!</definedName>
    <definedName name="PremoneyCF" localSheetId="19">[13]EGR!#REF!</definedName>
    <definedName name="PremoneyCF" localSheetId="7">[13]EGR!#REF!</definedName>
    <definedName name="PremoneyCF" localSheetId="20">[13]EGR!#REF!</definedName>
    <definedName name="PremoneyCF" localSheetId="17">[12]EGR!#REF!</definedName>
    <definedName name="PremoneyCF" localSheetId="25">[12]EGR!#REF!</definedName>
    <definedName name="PremoneyCF" localSheetId="31">[12]EGR!#REF!</definedName>
    <definedName name="PremoneyCF" localSheetId="0">[12]EGR!#REF!</definedName>
    <definedName name="PremoneyCF" localSheetId="1">[12]EGR!#REF!</definedName>
    <definedName name="PremoneyCF">[12]EGR!#REF!</definedName>
    <definedName name="Present_Value_Oper_lease" localSheetId="4">'[8]PV of Op Leases_VDF'!$C$62:$AW$62</definedName>
    <definedName name="Present_Value_Oper_lease" localSheetId="5">'[8]PV of Op Leases_VDF'!$C$62:$AW$62</definedName>
    <definedName name="Present_Value_Oper_lease" localSheetId="3">'[8]PV of Op Leases_VDF'!$C$62:$AW$62</definedName>
    <definedName name="Present_Value_Oper_lease" localSheetId="18">'[9]PV of Op Leases_VDF'!$C$62:$AW$62</definedName>
    <definedName name="Present_Value_Oper_lease" localSheetId="6">'[9]PV of Op Leases_VDF'!$C$62:$AW$62</definedName>
    <definedName name="Present_Value_Oper_lease" localSheetId="19">'[9]PV of Op Leases_VDF'!$C$62:$AW$62</definedName>
    <definedName name="Present_Value_Oper_lease" localSheetId="7">'[9]PV of Op Leases_VDF'!$C$62:$AW$62</definedName>
    <definedName name="Present_Value_Oper_lease" localSheetId="20">'[9]PV of Op Leases_VDF'!$C$62:$AW$62</definedName>
    <definedName name="Present_Value_Oper_lease">'[10]PV of Op Leases_VDF'!$C$62:$AW$62</definedName>
    <definedName name="Pretax_income" localSheetId="4">[8]NOPAT_VDF!$C$90:$AE$90</definedName>
    <definedName name="Pretax_income" localSheetId="5">[8]NOPAT_VDF!$C$90:$AE$90</definedName>
    <definedName name="Pretax_income" localSheetId="3">[8]NOPAT_VDF!$C$90:$AE$90</definedName>
    <definedName name="Pretax_income" localSheetId="18">[9]NOPAT_VDF!$C$90:$AE$90</definedName>
    <definedName name="Pretax_income" localSheetId="6">[9]NOPAT_VDF!$C$90:$AE$90</definedName>
    <definedName name="Pretax_income" localSheetId="19">[9]NOPAT_VDF!$C$90:$AE$90</definedName>
    <definedName name="Pretax_income" localSheetId="7">[9]NOPAT_VDF!$C$90:$AE$90</definedName>
    <definedName name="Pretax_income" localSheetId="20">[9]NOPAT_VDF!$C$90:$AE$90</definedName>
    <definedName name="Pretax_income">[10]NOPAT_VDF!$C$90:$AE$90</definedName>
    <definedName name="Pretax_income_fore" localSheetId="4">#REF!</definedName>
    <definedName name="Pretax_income_fore" localSheetId="5">#REF!</definedName>
    <definedName name="Pretax_income_fore" localSheetId="3">#REF!</definedName>
    <definedName name="Pretax_income_fore" localSheetId="30">#REF!</definedName>
    <definedName name="Pretax_income_fore" localSheetId="18">#REF!</definedName>
    <definedName name="Pretax_income_fore" localSheetId="6">#REF!</definedName>
    <definedName name="Pretax_income_fore" localSheetId="19">#REF!</definedName>
    <definedName name="Pretax_income_fore" localSheetId="7">#REF!</definedName>
    <definedName name="Pretax_income_fore" localSheetId="20">#REF!</definedName>
    <definedName name="Pretax_income_fore" localSheetId="17">#REF!</definedName>
    <definedName name="Pretax_income_fore" localSheetId="25">#REF!</definedName>
    <definedName name="Pretax_income_fore" localSheetId="31">#REF!</definedName>
    <definedName name="Pretax_income_fore" localSheetId="0">#REF!</definedName>
    <definedName name="Pretax_income_fore" localSheetId="1">#REF!</definedName>
    <definedName name="Pretax_income_fore">#REF!</definedName>
    <definedName name="price">[4]Sens!$O$11</definedName>
    <definedName name="_xlnm.Print_Area" localSheetId="8">BKNG!$A$1:$P$292</definedName>
    <definedName name="_xlnm.Print_Area" localSheetId="4">'[24]1964 - 1999 Canada Rig Count'!$A$1:$H$99</definedName>
    <definedName name="_xlnm.Print_Area" localSheetId="5">'[24]1964 - 1999 Canada Rig Count'!$A$1:$H$99</definedName>
    <definedName name="_xlnm.Print_Area" localSheetId="3">'[24]1964 - 1999 Canada Rig Count'!$A$1:$H$99</definedName>
    <definedName name="_xlnm.Print_Area" localSheetId="11">EXPE!$A$1:$AG$364</definedName>
    <definedName name="_xlnm.Print_Area" localSheetId="18">'[25]1964 - 1999 Canada Rig Count'!$A$1:$H$99</definedName>
    <definedName name="_xlnm.Print_Area" localSheetId="6">'[25]1964 - 1999 Canada Rig Count'!$A$1:$H$99</definedName>
    <definedName name="_xlnm.Print_Area" localSheetId="19">'[25]1964 - 1999 Canada Rig Count'!$A$1:$H$99</definedName>
    <definedName name="_xlnm.Print_Area" localSheetId="7">'[25]1964 - 1999 Canada Rig Count'!$A$1:$H$99</definedName>
    <definedName name="_xlnm.Print_Area" localSheetId="21">OWW!$A$1:$F$194</definedName>
    <definedName name="_xlnm.Print_Area" localSheetId="20">'[25]1964 - 1999 Canada Rig Count'!$A$1:$H$99</definedName>
    <definedName name="_xlnm.Print_Area" localSheetId="32">TRIP!$A$1:$U$178</definedName>
    <definedName name="_xlnm.Print_Area">'[26]1964 - 1999 Canada Rig Count'!$A$1:$H$99</definedName>
    <definedName name="Print_Area_MI" localSheetId="4">'[24]Current Weekly Summary:Current Summary By State'!$A$1:$N$85</definedName>
    <definedName name="Print_Area_MI" localSheetId="5">'[24]Current Weekly Summary:Current Summary By State'!$A$1:$N$85</definedName>
    <definedName name="Print_Area_MI" localSheetId="3">'[24]Current Weekly Summary:Current Summary By State'!$A$1:$N$85</definedName>
    <definedName name="Print_Area_MI" localSheetId="18">'[25]Current Weekly Summary:Current Summary By State'!$A$1:$N$85</definedName>
    <definedName name="Print_Area_MI" localSheetId="6">'[25]Current Weekly Summary:Current Summary By State'!$A$1:$N$85</definedName>
    <definedName name="Print_Area_MI" localSheetId="19">'[25]Current Weekly Summary:Current Summary By State'!$A$1:$N$85</definedName>
    <definedName name="Print_Area_MI" localSheetId="7">'[25]Current Weekly Summary:Current Summary By State'!$A$1:$N$85</definedName>
    <definedName name="Print_Area_MI" localSheetId="20">'[25]Current Weekly Summary:Current Summary By State'!$A$1:$N$85</definedName>
    <definedName name="Print_Area_MI">'[26]Current Weekly Summary:Current Summary By State'!$A$1:$N$85</definedName>
    <definedName name="_xlnm.Print_Titles" localSheetId="8">BKNG!$A:$A</definedName>
    <definedName name="_xlnm.Print_Titles" localSheetId="4">'[24]1991 - 1999 Drilling Type'!$A$1:$IV$2</definedName>
    <definedName name="_xlnm.Print_Titles" localSheetId="5">'[24]1991 - 1999 Drilling Type'!$A$1:$IV$2</definedName>
    <definedName name="_xlnm.Print_Titles" localSheetId="3">'[24]1991 - 1999 Drilling Type'!$A$1:$IV$2</definedName>
    <definedName name="_xlnm.Print_Titles" localSheetId="11">EXPE!$A:$A</definedName>
    <definedName name="_xlnm.Print_Titles" localSheetId="18">'[25]1991 - 1999 Drilling Type'!$A$1:$IV$2</definedName>
    <definedName name="_xlnm.Print_Titles" localSheetId="6">'[25]1991 - 1999 Drilling Type'!$A$1:$IV$2</definedName>
    <definedName name="_xlnm.Print_Titles" localSheetId="19">'[25]1991 - 1999 Drilling Type'!$A$1:$IV$2</definedName>
    <definedName name="_xlnm.Print_Titles" localSheetId="7">'[25]1991 - 1999 Drilling Type'!$A$1:$IV$2</definedName>
    <definedName name="_xlnm.Print_Titles" localSheetId="21">OWW!$A:$A</definedName>
    <definedName name="_xlnm.Print_Titles" localSheetId="20">'[25]1991 - 1999 Drilling Type'!$A$1:$IV$2</definedName>
    <definedName name="_xlnm.Print_Titles" localSheetId="32">TRIP!$A:$A</definedName>
    <definedName name="_xlnm.Print_Titles">'[26]1991 - 1999 Drilling Type'!$A$1:$IV$2</definedName>
    <definedName name="Print_Titles_MI" localSheetId="4">#REF!</definedName>
    <definedName name="Print_Titles_MI" localSheetId="5">#REF!</definedName>
    <definedName name="Print_Titles_MI" localSheetId="3">#REF!</definedName>
    <definedName name="Print_Titles_MI" localSheetId="30">#REF!</definedName>
    <definedName name="Print_Titles_MI" localSheetId="18">#REF!</definedName>
    <definedName name="Print_Titles_MI" localSheetId="6">#REF!</definedName>
    <definedName name="Print_Titles_MI" localSheetId="19">#REF!</definedName>
    <definedName name="Print_Titles_MI" localSheetId="7">#REF!</definedName>
    <definedName name="Print_Titles_MI" localSheetId="20">#REF!</definedName>
    <definedName name="Print_Titles_MI" localSheetId="17">#REF!</definedName>
    <definedName name="Print_Titles_MI" localSheetId="25">#REF!</definedName>
    <definedName name="Print_Titles_MI" localSheetId="31">#REF!</definedName>
    <definedName name="Print_Titles_MI" localSheetId="0">#REF!</definedName>
    <definedName name="Print_Titles_MI" localSheetId="1">#REF!</definedName>
    <definedName name="Print_Titles_MI">#REF!</definedName>
    <definedName name="proforma_annual_data" localSheetId="4">#REF!</definedName>
    <definedName name="proforma_annual_data" localSheetId="5">#REF!</definedName>
    <definedName name="proforma_annual_data" localSheetId="3">#REF!</definedName>
    <definedName name="proforma_annual_data" localSheetId="30">#REF!</definedName>
    <definedName name="proforma_annual_data" localSheetId="18">#REF!</definedName>
    <definedName name="proforma_annual_data" localSheetId="6">#REF!</definedName>
    <definedName name="proforma_annual_data" localSheetId="19">#REF!</definedName>
    <definedName name="proforma_annual_data" localSheetId="7">#REF!</definedName>
    <definedName name="proforma_annual_data" localSheetId="20">#REF!</definedName>
    <definedName name="proforma_annual_data" localSheetId="17">#REF!</definedName>
    <definedName name="proforma_annual_data" localSheetId="25">#REF!</definedName>
    <definedName name="proforma_annual_data" localSheetId="31">#REF!</definedName>
    <definedName name="proforma_annual_data" localSheetId="0">#REF!</definedName>
    <definedName name="proforma_annual_data" localSheetId="1">#REF!</definedName>
    <definedName name="proforma_annual_data">#REF!</definedName>
    <definedName name="proforma_annual_dates" localSheetId="4">#REF!</definedName>
    <definedName name="proforma_annual_dates" localSheetId="5">#REF!</definedName>
    <definedName name="proforma_annual_dates" localSheetId="3">#REF!</definedName>
    <definedName name="proforma_annual_dates" localSheetId="30">#REF!</definedName>
    <definedName name="proforma_annual_dates" localSheetId="18">#REF!</definedName>
    <definedName name="proforma_annual_dates" localSheetId="6">#REF!</definedName>
    <definedName name="proforma_annual_dates" localSheetId="19">#REF!</definedName>
    <definedName name="proforma_annual_dates" localSheetId="7">#REF!</definedName>
    <definedName name="proforma_annual_dates" localSheetId="20">#REF!</definedName>
    <definedName name="proforma_annual_dates" localSheetId="17">#REF!</definedName>
    <definedName name="proforma_annual_dates" localSheetId="25">#REF!</definedName>
    <definedName name="proforma_annual_dates" localSheetId="31">#REF!</definedName>
    <definedName name="proforma_annual_dates" localSheetId="0">#REF!</definedName>
    <definedName name="proforma_annual_dates" localSheetId="1">#REF!</definedName>
    <definedName name="proforma_annual_dates">#REF!</definedName>
    <definedName name="proforma_calen_years_data">'[16]Income Statement'!$AW$6:$BA$80</definedName>
    <definedName name="proforma_calendar_years">'[16]Income Statement'!$AW$3:$BA$3</definedName>
    <definedName name="proforma_fiscal_years">'[16]Income Statement'!$AM$3:$AR$3</definedName>
    <definedName name="proforma_fiscalyear_data">'[16]Income Statement'!$AM$6:$AR$80</definedName>
    <definedName name="proforma_qtr_data">'[16]Income Statement'!$B$6:$AD$80</definedName>
    <definedName name="proforma_qtr_dates">'[16]Income Statement'!$B$3:$AD$3</definedName>
    <definedName name="proforma_vertical_items" localSheetId="4">'[16]Income Statement'!#REF!</definedName>
    <definedName name="proforma_vertical_items" localSheetId="5">'[16]Income Statement'!#REF!</definedName>
    <definedName name="proforma_vertical_items" localSheetId="3">'[16]Income Statement'!#REF!</definedName>
    <definedName name="proforma_vertical_items" localSheetId="30">'[16]Income Statement'!#REF!</definedName>
    <definedName name="proforma_vertical_items" localSheetId="18">'[16]Income Statement'!#REF!</definedName>
    <definedName name="proforma_vertical_items" localSheetId="6">'[16]Income Statement'!#REF!</definedName>
    <definedName name="proforma_vertical_items" localSheetId="19">'[16]Income Statement'!#REF!</definedName>
    <definedName name="proforma_vertical_items" localSheetId="7">'[16]Income Statement'!#REF!</definedName>
    <definedName name="proforma_vertical_items" localSheetId="20">'[16]Income Statement'!#REF!</definedName>
    <definedName name="proforma_vertical_items" localSheetId="17">'[16]Income Statement'!#REF!</definedName>
    <definedName name="proforma_vertical_items" localSheetId="25">'[16]Income Statement'!#REF!</definedName>
    <definedName name="proforma_vertical_items" localSheetId="31">'[16]Income Statement'!#REF!</definedName>
    <definedName name="proforma_vertical_items" localSheetId="0">'[16]Income Statement'!#REF!</definedName>
    <definedName name="proforma_vertical_items" localSheetId="1">'[16]Income Statement'!#REF!</definedName>
    <definedName name="proforma_vertical_items">'[16]Income Statement'!#REF!</definedName>
    <definedName name="psdata" localSheetId="4">#REF!</definedName>
    <definedName name="psdata" localSheetId="5">#REF!</definedName>
    <definedName name="psdata" localSheetId="3">#REF!</definedName>
    <definedName name="psdata" localSheetId="30">#REF!</definedName>
    <definedName name="psdata" localSheetId="18">#REF!</definedName>
    <definedName name="psdata" localSheetId="6">#REF!</definedName>
    <definedName name="psdata" localSheetId="19">#REF!</definedName>
    <definedName name="psdata" localSheetId="7">#REF!</definedName>
    <definedName name="psdata" localSheetId="20">#REF!</definedName>
    <definedName name="psdata" localSheetId="17">#REF!</definedName>
    <definedName name="psdata" localSheetId="25">#REF!</definedName>
    <definedName name="psdata" localSheetId="31">#REF!</definedName>
    <definedName name="psdata" localSheetId="0">#REF!</definedName>
    <definedName name="psdata" localSheetId="1">#REF!</definedName>
    <definedName name="psdata">#REF!</definedName>
    <definedName name="psdate" localSheetId="4">#REF!</definedName>
    <definedName name="psdate" localSheetId="5">#REF!</definedName>
    <definedName name="psdate" localSheetId="3">#REF!</definedName>
    <definedName name="psdate" localSheetId="30">#REF!</definedName>
    <definedName name="psdate" localSheetId="18">#REF!</definedName>
    <definedName name="psdate" localSheetId="6">#REF!</definedName>
    <definedName name="psdate" localSheetId="19">#REF!</definedName>
    <definedName name="psdate" localSheetId="7">#REF!</definedName>
    <definedName name="psdate" localSheetId="20">#REF!</definedName>
    <definedName name="psdate" localSheetId="17">#REF!</definedName>
    <definedName name="psdate" localSheetId="25">#REF!</definedName>
    <definedName name="psdate" localSheetId="31">#REF!</definedName>
    <definedName name="psdate" localSheetId="0">#REF!</definedName>
    <definedName name="psdate" localSheetId="1">#REF!</definedName>
    <definedName name="psdate">#REF!</definedName>
    <definedName name="psname" localSheetId="4">#REF!</definedName>
    <definedName name="psname" localSheetId="5">#REF!</definedName>
    <definedName name="psname" localSheetId="3">#REF!</definedName>
    <definedName name="psname" localSheetId="30">#REF!</definedName>
    <definedName name="psname" localSheetId="18">#REF!</definedName>
    <definedName name="psname" localSheetId="6">#REF!</definedName>
    <definedName name="psname" localSheetId="19">#REF!</definedName>
    <definedName name="psname" localSheetId="7">#REF!</definedName>
    <definedName name="psname" localSheetId="20">#REF!</definedName>
    <definedName name="psname" localSheetId="17">#REF!</definedName>
    <definedName name="psname" localSheetId="25">#REF!</definedName>
    <definedName name="psname" localSheetId="31">#REF!</definedName>
    <definedName name="psname" localSheetId="0">#REF!</definedName>
    <definedName name="psname" localSheetId="1">#REF!</definedName>
    <definedName name="psname">#REF!</definedName>
    <definedName name="pstick" localSheetId="4">#REF!</definedName>
    <definedName name="pstick" localSheetId="5">#REF!</definedName>
    <definedName name="pstick" localSheetId="3">#REF!</definedName>
    <definedName name="pstick" localSheetId="30">#REF!</definedName>
    <definedName name="pstick" localSheetId="18">#REF!</definedName>
    <definedName name="pstick" localSheetId="6">#REF!</definedName>
    <definedName name="pstick" localSheetId="19">#REF!</definedName>
    <definedName name="pstick" localSheetId="7">#REF!</definedName>
    <definedName name="pstick" localSheetId="20">#REF!</definedName>
    <definedName name="pstick" localSheetId="17">#REF!</definedName>
    <definedName name="pstick" localSheetId="25">#REF!</definedName>
    <definedName name="pstick" localSheetId="31">#REF!</definedName>
    <definedName name="pstick" localSheetId="0">#REF!</definedName>
    <definedName name="pstick" localSheetId="1">#REF!</definedName>
    <definedName name="pstick">#REF!</definedName>
    <definedName name="R_D_amort_years" localSheetId="4">'[8]Invested capital_VDF'!$A$34</definedName>
    <definedName name="R_D_amort_years" localSheetId="5">'[8]Invested capital_VDF'!$A$34</definedName>
    <definedName name="R_D_amort_years" localSheetId="3">'[8]Invested capital_VDF'!$A$34</definedName>
    <definedName name="R_D_amort_years" localSheetId="18">'[9]Invested capital_VDF'!$A$34</definedName>
    <definedName name="R_D_amort_years" localSheetId="6">'[9]Invested capital_VDF'!$A$34</definedName>
    <definedName name="R_D_amort_years" localSheetId="19">'[9]Invested capital_VDF'!$A$34</definedName>
    <definedName name="R_D_amort_years" localSheetId="7">'[9]Invested capital_VDF'!$A$34</definedName>
    <definedName name="R_D_amort_years" localSheetId="20">'[9]Invested capital_VDF'!$A$34</definedName>
    <definedName name="R_D_amort_years">'[10]Invested capital_VDF'!$A$34</definedName>
    <definedName name="R_D_Amortization" localSheetId="4">'[8]Invested capital_VDF'!$C$31:$AU$31</definedName>
    <definedName name="R_D_Amortization" localSheetId="5">'[8]Invested capital_VDF'!$C$31:$AU$31</definedName>
    <definedName name="R_D_Amortization" localSheetId="3">'[8]Invested capital_VDF'!$C$31:$AU$31</definedName>
    <definedName name="R_D_Amortization" localSheetId="18">'[9]Invested capital_VDF'!$C$31:$AU$31</definedName>
    <definedName name="R_D_Amortization" localSheetId="6">'[9]Invested capital_VDF'!$C$31:$AU$31</definedName>
    <definedName name="R_D_Amortization" localSheetId="19">'[9]Invested capital_VDF'!$C$31:$AU$31</definedName>
    <definedName name="R_D_Amortization" localSheetId="7">'[9]Invested capital_VDF'!$C$31:$AU$31</definedName>
    <definedName name="R_D_Amortization" localSheetId="20">'[9]Invested capital_VDF'!$C$31:$AU$31</definedName>
    <definedName name="R_D_Amortization">'[10]Invested capital_VDF'!$C$31:$AU$31</definedName>
    <definedName name="R_D_expense" localSheetId="4">'[8]Invested capital_VDF'!$C$28:$AZ$28</definedName>
    <definedName name="R_D_expense" localSheetId="5">'[8]Invested capital_VDF'!$C$28:$AZ$28</definedName>
    <definedName name="R_D_expense" localSheetId="3">'[8]Invested capital_VDF'!$C$28:$AZ$28</definedName>
    <definedName name="R_D_expense" localSheetId="18">'[9]Invested capital_VDF'!$C$28:$AZ$28</definedName>
    <definedName name="R_D_expense" localSheetId="6">'[9]Invested capital_VDF'!$C$28:$AZ$28</definedName>
    <definedName name="R_D_expense" localSheetId="19">'[9]Invested capital_VDF'!$C$28:$AZ$28</definedName>
    <definedName name="R_D_expense" localSheetId="7">'[9]Invested capital_VDF'!$C$28:$AZ$28</definedName>
    <definedName name="R_D_expense" localSheetId="20">'[9]Invested capital_VDF'!$C$28:$AZ$28</definedName>
    <definedName name="R_D_expense">'[10]Invested capital_VDF'!$C$28:$AZ$28</definedName>
    <definedName name="Range_Names" localSheetId="4">#REF!</definedName>
    <definedName name="Range_Names" localSheetId="5">#REF!</definedName>
    <definedName name="Range_Names" localSheetId="3">#REF!</definedName>
    <definedName name="Range_Names" localSheetId="30">#REF!</definedName>
    <definedName name="Range_Names" localSheetId="18">#REF!</definedName>
    <definedName name="Range_Names" localSheetId="6">#REF!</definedName>
    <definedName name="Range_Names" localSheetId="19">#REF!</definedName>
    <definedName name="Range_Names" localSheetId="7">#REF!</definedName>
    <definedName name="Range_Names" localSheetId="20">#REF!</definedName>
    <definedName name="Range_Names" localSheetId="17">#REF!</definedName>
    <definedName name="Range_Names" localSheetId="25">#REF!</definedName>
    <definedName name="Range_Names" localSheetId="31">#REF!</definedName>
    <definedName name="Range_Names" localSheetId="0">#REF!</definedName>
    <definedName name="Range_Names" localSheetId="1">#REF!</definedName>
    <definedName name="Range_Names">#REF!</definedName>
    <definedName name="rdcurrent" localSheetId="4">#REF!</definedName>
    <definedName name="rdcurrent" localSheetId="5">#REF!</definedName>
    <definedName name="rdcurrent" localSheetId="3">#REF!</definedName>
    <definedName name="rdcurrent" localSheetId="30">#REF!</definedName>
    <definedName name="rdcurrent" localSheetId="18">#REF!</definedName>
    <definedName name="rdcurrent" localSheetId="6">#REF!</definedName>
    <definedName name="rdcurrent" localSheetId="19">#REF!</definedName>
    <definedName name="rdcurrent" localSheetId="7">#REF!</definedName>
    <definedName name="rdcurrent" localSheetId="20">#REF!</definedName>
    <definedName name="rdcurrent" localSheetId="17">#REF!</definedName>
    <definedName name="rdcurrent" localSheetId="25">#REF!</definedName>
    <definedName name="rdcurrent" localSheetId="31">#REF!</definedName>
    <definedName name="rdcurrent" localSheetId="0">#REF!</definedName>
    <definedName name="rdcurrent" localSheetId="1">#REF!</definedName>
    <definedName name="rdcurrent">#REF!</definedName>
    <definedName name="RefreshRevCalc" localSheetId="4">'DESP Annual'!RefreshRevCalc</definedName>
    <definedName name="RefreshRevCalc" localSheetId="5">'DESP Charts'!RefreshRevCalc</definedName>
    <definedName name="RefreshRevCalc" localSheetId="3">'DESP Quarterly'!RefreshRevCalc</definedName>
    <definedName name="RefreshRevCalc" localSheetId="30">Forms!RefreshRevCalc</definedName>
    <definedName name="RefreshRevCalc" localSheetId="18">MMYT!RefreshRevCalc</definedName>
    <definedName name="RefreshRevCalc" localSheetId="6">'MMYT (2)'!RefreshRevCalc</definedName>
    <definedName name="RefreshRevCalc" localSheetId="19">'MMYT charts'!RefreshRevCalc</definedName>
    <definedName name="RefreshRevCalc" localSheetId="7">'MMYT charts (2)'!RefreshRevCalc</definedName>
    <definedName name="RefreshRevCalc" localSheetId="20">'OYO Estimation'!RefreshRevCalc</definedName>
    <definedName name="RefreshRevCalc" localSheetId="17">'Quarterly Charts '!RefreshRevCalc</definedName>
    <definedName name="RefreshRevCalc" localSheetId="25">'TOUR (RMB)'!RefreshRevCalc</definedName>
    <definedName name="RefreshRevCalc" localSheetId="31">'TOUR VS. CTRIP'!RefreshRevCalc</definedName>
    <definedName name="RefreshRevCalc" localSheetId="0">同程艺龙!RefreshRevCalc</definedName>
    <definedName name="RefreshRevCalc" localSheetId="1">'同程艺龙 Peers'!RefreshRevCalc</definedName>
    <definedName name="RefreshRevCalc">Forms!RefreshRevCalc</definedName>
    <definedName name="RefreshSue" localSheetId="4">'DESP Annual'!RefreshSue</definedName>
    <definedName name="RefreshSue" localSheetId="5">'DESP Charts'!RefreshSue</definedName>
    <definedName name="RefreshSue" localSheetId="3">'DESP Quarterly'!RefreshSue</definedName>
    <definedName name="RefreshSue" localSheetId="30">Forms!RefreshSue</definedName>
    <definedName name="RefreshSue" localSheetId="18">MMYT!RefreshSue</definedName>
    <definedName name="RefreshSue" localSheetId="6">'MMYT (2)'!RefreshSue</definedName>
    <definedName name="RefreshSue" localSheetId="19">'MMYT charts'!RefreshSue</definedName>
    <definedName name="RefreshSue" localSheetId="7">'MMYT charts (2)'!RefreshSue</definedName>
    <definedName name="RefreshSue" localSheetId="20">'OYO Estimation'!RefreshSue</definedName>
    <definedName name="RefreshSue" localSheetId="17">'Quarterly Charts '!RefreshSue</definedName>
    <definedName name="RefreshSue" localSheetId="25">'TOUR (RMB)'!RefreshSue</definedName>
    <definedName name="RefreshSue" localSheetId="31">'TOUR VS. CTRIP'!RefreshSue</definedName>
    <definedName name="RefreshSue" localSheetId="0">同程艺龙!RefreshSue</definedName>
    <definedName name="RefreshSue" localSheetId="1">'同程艺龙 Peers'!RefreshSue</definedName>
    <definedName name="RefreshSue">Forms!RefreshSue</definedName>
    <definedName name="RegSue" localSheetId="4">'DESP Annual'!RegSue</definedName>
    <definedName name="RegSue" localSheetId="5">'DESP Charts'!RegSue</definedName>
    <definedName name="RegSue" localSheetId="3">'DESP Quarterly'!RegSue</definedName>
    <definedName name="RegSue" localSheetId="30">Forms!RegSue</definedName>
    <definedName name="RegSue" localSheetId="18">MMYT!RegSue</definedName>
    <definedName name="RegSue" localSheetId="6">'MMYT (2)'!RegSue</definedName>
    <definedName name="RegSue" localSheetId="19">'MMYT charts'!RegSue</definedName>
    <definedName name="RegSue" localSheetId="7">'MMYT charts (2)'!RegSue</definedName>
    <definedName name="RegSue" localSheetId="20">'OYO Estimation'!RegSue</definedName>
    <definedName name="RegSue" localSheetId="17">'Quarterly Charts '!RegSue</definedName>
    <definedName name="RegSue" localSheetId="25">'TOUR (RMB)'!RegSue</definedName>
    <definedName name="RegSue" localSheetId="31">'TOUR VS. CTRIP'!RegSue</definedName>
    <definedName name="RegSue" localSheetId="0">同程艺龙!RegSue</definedName>
    <definedName name="RegSue" localSheetId="1">'同程艺龙 Peers'!RegSue</definedName>
    <definedName name="RegSue">Forms!RegSue</definedName>
    <definedName name="Report" localSheetId="4" hidden="1">{#N/A,#N/A,FALSE,"Report Print"}</definedName>
    <definedName name="Report" localSheetId="5" hidden="1">{#N/A,#N/A,FALSE,"Report Print"}</definedName>
    <definedName name="Report" localSheetId="3" hidden="1">{#N/A,#N/A,FALSE,"Report Print"}</definedName>
    <definedName name="Report" localSheetId="30" hidden="1">{#N/A,#N/A,FALSE,"Report Print"}</definedName>
    <definedName name="Report" localSheetId="18" hidden="1">{#N/A,#N/A,FALSE,"Report Print"}</definedName>
    <definedName name="Report" localSheetId="6" hidden="1">{#N/A,#N/A,FALSE,"Report Print"}</definedName>
    <definedName name="Report" localSheetId="19" hidden="1">{#N/A,#N/A,FALSE,"Report Print"}</definedName>
    <definedName name="Report" localSheetId="7" hidden="1">{#N/A,#N/A,FALSE,"Report Print"}</definedName>
    <definedName name="Report" localSheetId="20" hidden="1">{#N/A,#N/A,FALSE,"Report Print"}</definedName>
    <definedName name="Report" localSheetId="17" hidden="1">{#N/A,#N/A,FALSE,"Report Print"}</definedName>
    <definedName name="Report" localSheetId="25" hidden="1">{#N/A,#N/A,FALSE,"Report Print"}</definedName>
    <definedName name="Report" localSheetId="31" hidden="1">{#N/A,#N/A,FALSE,"Report Print"}</definedName>
    <definedName name="Report" localSheetId="0" hidden="1">{#N/A,#N/A,FALSE,"Report Print"}</definedName>
    <definedName name="Report" localSheetId="1" hidden="1">{#N/A,#N/A,FALSE,"Report Print"}</definedName>
    <definedName name="Report" hidden="1">{#N/A,#N/A,FALSE,"Report Print"}</definedName>
    <definedName name="ReportPage1" localSheetId="4" hidden="1">{"Annual_Income",#N/A,FALSE,"Report Page";"Balance_Cash_Flow",#N/A,FALSE,"Report Page";"Quarterly_Income",#N/A,FALSE,"Report Page"}</definedName>
    <definedName name="ReportPage1" localSheetId="5" hidden="1">{"Annual_Income",#N/A,FALSE,"Report Page";"Balance_Cash_Flow",#N/A,FALSE,"Report Page";"Quarterly_Income",#N/A,FALSE,"Report Page"}</definedName>
    <definedName name="ReportPage1" localSheetId="3" hidden="1">{"Annual_Income",#N/A,FALSE,"Report Page";"Balance_Cash_Flow",#N/A,FALSE,"Report Page";"Quarterly_Income",#N/A,FALSE,"Report Page"}</definedName>
    <definedName name="ReportPage1" localSheetId="30" hidden="1">{"Annual_Income",#N/A,FALSE,"Report Page";"Balance_Cash_Flow",#N/A,FALSE,"Report Page";"Quarterly_Income",#N/A,FALSE,"Report Page"}</definedName>
    <definedName name="ReportPage1" localSheetId="18" hidden="1">{"Annual_Income",#N/A,FALSE,"Report Page";"Balance_Cash_Flow",#N/A,FALSE,"Report Page";"Quarterly_Income",#N/A,FALSE,"Report Page"}</definedName>
    <definedName name="ReportPage1" localSheetId="6" hidden="1">{"Annual_Income",#N/A,FALSE,"Report Page";"Balance_Cash_Flow",#N/A,FALSE,"Report Page";"Quarterly_Income",#N/A,FALSE,"Report Page"}</definedName>
    <definedName name="ReportPage1" localSheetId="19" hidden="1">{"Annual_Income",#N/A,FALSE,"Report Page";"Balance_Cash_Flow",#N/A,FALSE,"Report Page";"Quarterly_Income",#N/A,FALSE,"Report Page"}</definedName>
    <definedName name="ReportPage1" localSheetId="7" hidden="1">{"Annual_Income",#N/A,FALSE,"Report Page";"Balance_Cash_Flow",#N/A,FALSE,"Report Page";"Quarterly_Income",#N/A,FALSE,"Report Page"}</definedName>
    <definedName name="ReportPage1" localSheetId="20" hidden="1">{"Annual_Income",#N/A,FALSE,"Report Page";"Balance_Cash_Flow",#N/A,FALSE,"Report Page";"Quarterly_Income",#N/A,FALSE,"Report Page"}</definedName>
    <definedName name="ReportPage1" localSheetId="17" hidden="1">{"Annual_Income",#N/A,FALSE,"Report Page";"Balance_Cash_Flow",#N/A,FALSE,"Report Page";"Quarterly_Income",#N/A,FALSE,"Report Page"}</definedName>
    <definedName name="ReportPage1" localSheetId="25" hidden="1">{"Annual_Income",#N/A,FALSE,"Report Page";"Balance_Cash_Flow",#N/A,FALSE,"Report Page";"Quarterly_Income",#N/A,FALSE,"Report Page"}</definedName>
    <definedName name="ReportPage1" localSheetId="31" hidden="1">{"Annual_Income",#N/A,FALSE,"Report Page";"Balance_Cash_Flow",#N/A,FALSE,"Report Page";"Quarterly_Income",#N/A,FALSE,"Report Page"}</definedName>
    <definedName name="ReportPage1" localSheetId="0" hidden="1">{"Annual_Income",#N/A,FALSE,"Report Page";"Balance_Cash_Flow",#N/A,FALSE,"Report Page";"Quarterly_Income",#N/A,FALSE,"Report Page"}</definedName>
    <definedName name="ReportPage1" localSheetId="1" hidden="1">{"Annual_Income",#N/A,FALSE,"Report Page";"Balance_Cash_Flow",#N/A,FALSE,"Report Page";"Quarterly_Income",#N/A,FALSE,"Report Page"}</definedName>
    <definedName name="ReportPage1" hidden="1">{"Annual_Income",#N/A,FALSE,"Report Page";"Balance_Cash_Flow",#N/A,FALSE,"Report Page";"Quarterly_Income",#N/A,FALSE,"Report Page"}</definedName>
    <definedName name="Required_cash_percent" localSheetId="4">'[8]Invested capital_VDF'!$A$9</definedName>
    <definedName name="Required_cash_percent" localSheetId="5">'[8]Invested capital_VDF'!$A$9</definedName>
    <definedName name="Required_cash_percent" localSheetId="3">'[8]Invested capital_VDF'!$A$9</definedName>
    <definedName name="Required_cash_percent" localSheetId="18">'[9]Invested capital_VDF'!$A$9</definedName>
    <definedName name="Required_cash_percent" localSheetId="6">'[9]Invested capital_VDF'!$A$9</definedName>
    <definedName name="Required_cash_percent" localSheetId="19">'[9]Invested capital_VDF'!$A$9</definedName>
    <definedName name="Required_cash_percent" localSheetId="7">'[9]Invested capital_VDF'!$A$9</definedName>
    <definedName name="Required_cash_percent" localSheetId="20">'[9]Invested capital_VDF'!$A$9</definedName>
    <definedName name="Required_cash_percent">'[10]Invested capital_VDF'!$A$9</definedName>
    <definedName name="Restructuring_charges" localSheetId="4">'[8]Invested capital_VDF'!#REF!</definedName>
    <definedName name="Restructuring_charges" localSheetId="5">'[8]Invested capital_VDF'!#REF!</definedName>
    <definedName name="Restructuring_charges" localSheetId="3">'[8]Invested capital_VDF'!#REF!</definedName>
    <definedName name="Restructuring_charges" localSheetId="30">'[10]Invested capital_VDF'!#REF!</definedName>
    <definedName name="Restructuring_charges" localSheetId="18">'[9]Invested capital_VDF'!#REF!</definedName>
    <definedName name="Restructuring_charges" localSheetId="6">'[9]Invested capital_VDF'!#REF!</definedName>
    <definedName name="Restructuring_charges" localSheetId="19">'[9]Invested capital_VDF'!#REF!</definedName>
    <definedName name="Restructuring_charges" localSheetId="7">'[9]Invested capital_VDF'!#REF!</definedName>
    <definedName name="Restructuring_charges" localSheetId="20">'[9]Invested capital_VDF'!#REF!</definedName>
    <definedName name="Restructuring_charges" localSheetId="17">'[10]Invested capital_VDF'!#REF!</definedName>
    <definedName name="Restructuring_charges" localSheetId="25">'[10]Invested capital_VDF'!#REF!</definedName>
    <definedName name="Restructuring_charges" localSheetId="31">'[10]Invested capital_VDF'!#REF!</definedName>
    <definedName name="Restructuring_charges" localSheetId="0">'[10]Invested capital_VDF'!#REF!</definedName>
    <definedName name="Restructuring_charges" localSheetId="1">'[10]Invested capital_VDF'!#REF!</definedName>
    <definedName name="Restructuring_charges">'[10]Invested capital_VDF'!#REF!</definedName>
    <definedName name="RETURN" localSheetId="4">#REF!</definedName>
    <definedName name="RETURN" localSheetId="5">#REF!</definedName>
    <definedName name="RETURN" localSheetId="3">#REF!</definedName>
    <definedName name="RETURN" localSheetId="30">#REF!</definedName>
    <definedName name="RETURN" localSheetId="18">#REF!</definedName>
    <definedName name="RETURN" localSheetId="6">#REF!</definedName>
    <definedName name="RETURN" localSheetId="19">#REF!</definedName>
    <definedName name="RETURN" localSheetId="7">#REF!</definedName>
    <definedName name="RETURN" localSheetId="20">#REF!</definedName>
    <definedName name="RETURN" localSheetId="17">#REF!</definedName>
    <definedName name="RETURN" localSheetId="25">#REF!</definedName>
    <definedName name="RETURN" localSheetId="31">#REF!</definedName>
    <definedName name="RETURN" localSheetId="0">#REF!</definedName>
    <definedName name="RETURN" localSheetId="1">#REF!</definedName>
    <definedName name="RETURN">#REF!</definedName>
    <definedName name="revcagr" localSheetId="4">#REF!</definedName>
    <definedName name="revcagr" localSheetId="5">#REF!</definedName>
    <definedName name="revcagr" localSheetId="3">#REF!</definedName>
    <definedName name="revcagr" localSheetId="30">#REF!</definedName>
    <definedName name="revcagr" localSheetId="18">#REF!</definedName>
    <definedName name="revcagr" localSheetId="6">#REF!</definedName>
    <definedName name="revcagr" localSheetId="19">#REF!</definedName>
    <definedName name="revcagr" localSheetId="7">#REF!</definedName>
    <definedName name="revcagr" localSheetId="20">#REF!</definedName>
    <definedName name="revcagr" localSheetId="17">#REF!</definedName>
    <definedName name="revcagr" localSheetId="25">#REF!</definedName>
    <definedName name="revcagr" localSheetId="31">#REF!</definedName>
    <definedName name="revcagr" localSheetId="0">#REF!</definedName>
    <definedName name="revcagr" localSheetId="1">#REF!</definedName>
    <definedName name="revcagr">#REF!</definedName>
    <definedName name="RnD_expense" localSheetId="4">'[8]Invested capital_VDF'!$C$28:$AZ$28</definedName>
    <definedName name="RnD_expense" localSheetId="5">'[8]Invested capital_VDF'!$C$28:$AZ$28</definedName>
    <definedName name="RnD_expense" localSheetId="3">'[8]Invested capital_VDF'!$C$28:$AZ$28</definedName>
    <definedName name="RnD_expense" localSheetId="18">'[9]Invested capital_VDF'!$C$28:$AZ$28</definedName>
    <definedName name="RnD_expense" localSheetId="6">'[9]Invested capital_VDF'!$C$28:$AZ$28</definedName>
    <definedName name="RnD_expense" localSheetId="19">'[9]Invested capital_VDF'!$C$28:$AZ$28</definedName>
    <definedName name="RnD_expense" localSheetId="7">'[9]Invested capital_VDF'!$C$28:$AZ$28</definedName>
    <definedName name="RnD_expense" localSheetId="20">'[9]Invested capital_VDF'!$C$28:$AZ$28</definedName>
    <definedName name="RnD_expense">'[10]Invested capital_VDF'!$C$28:$AZ$28</definedName>
    <definedName name="roe.98" localSheetId="4">#REF!</definedName>
    <definedName name="roe.98" localSheetId="5">#REF!</definedName>
    <definedName name="roe.98" localSheetId="3">#REF!</definedName>
    <definedName name="roe.98" localSheetId="30">#REF!</definedName>
    <definedName name="roe.98" localSheetId="18">#REF!</definedName>
    <definedName name="roe.98" localSheetId="6">#REF!</definedName>
    <definedName name="roe.98" localSheetId="19">#REF!</definedName>
    <definedName name="roe.98" localSheetId="7">#REF!</definedName>
    <definedName name="roe.98" localSheetId="20">#REF!</definedName>
    <definedName name="roe.98" localSheetId="17">#REF!</definedName>
    <definedName name="roe.98" localSheetId="25">#REF!</definedName>
    <definedName name="roe.98" localSheetId="31">#REF!</definedName>
    <definedName name="roe.98" localSheetId="0">#REF!</definedName>
    <definedName name="roe.98" localSheetId="1">#REF!</definedName>
    <definedName name="roe.98">#REF!</definedName>
    <definedName name="roic.00" localSheetId="4">#REF!</definedName>
    <definedName name="roic.00" localSheetId="5">#REF!</definedName>
    <definedName name="roic.00" localSheetId="3">#REF!</definedName>
    <definedName name="roic.00" localSheetId="30">#REF!</definedName>
    <definedName name="roic.00" localSheetId="18">#REF!</definedName>
    <definedName name="roic.00" localSheetId="6">#REF!</definedName>
    <definedName name="roic.00" localSheetId="19">#REF!</definedName>
    <definedName name="roic.00" localSheetId="7">#REF!</definedName>
    <definedName name="roic.00" localSheetId="20">#REF!</definedName>
    <definedName name="roic.00" localSheetId="17">#REF!</definedName>
    <definedName name="roic.00" localSheetId="25">#REF!</definedName>
    <definedName name="roic.00" localSheetId="31">#REF!</definedName>
    <definedName name="roic.00" localSheetId="0">#REF!</definedName>
    <definedName name="roic.00" localSheetId="1">#REF!</definedName>
    <definedName name="roic.00">#REF!</definedName>
    <definedName name="roic.97" localSheetId="4">#REF!</definedName>
    <definedName name="roic.97" localSheetId="5">#REF!</definedName>
    <definedName name="roic.97" localSheetId="3">#REF!</definedName>
    <definedName name="roic.97" localSheetId="30">#REF!</definedName>
    <definedName name="roic.97" localSheetId="18">#REF!</definedName>
    <definedName name="roic.97" localSheetId="6">#REF!</definedName>
    <definedName name="roic.97" localSheetId="19">#REF!</definedName>
    <definedName name="roic.97" localSheetId="7">#REF!</definedName>
    <definedName name="roic.97" localSheetId="20">#REF!</definedName>
    <definedName name="roic.97" localSheetId="17">#REF!</definedName>
    <definedName name="roic.97" localSheetId="25">#REF!</definedName>
    <definedName name="roic.97" localSheetId="31">#REF!</definedName>
    <definedName name="roic.97" localSheetId="0">#REF!</definedName>
    <definedName name="roic.97" localSheetId="1">#REF!</definedName>
    <definedName name="roic.97">#REF!</definedName>
    <definedName name="roic.98" localSheetId="4">#REF!</definedName>
    <definedName name="roic.98" localSheetId="5">#REF!</definedName>
    <definedName name="roic.98" localSheetId="3">#REF!</definedName>
    <definedName name="roic.98" localSheetId="30">#REF!</definedName>
    <definedName name="roic.98" localSheetId="18">#REF!</definedName>
    <definedName name="roic.98" localSheetId="6">#REF!</definedName>
    <definedName name="roic.98" localSheetId="19">#REF!</definedName>
    <definedName name="roic.98" localSheetId="7">#REF!</definedName>
    <definedName name="roic.98" localSheetId="20">#REF!</definedName>
    <definedName name="roic.98" localSheetId="17">#REF!</definedName>
    <definedName name="roic.98" localSheetId="25">#REF!</definedName>
    <definedName name="roic.98" localSheetId="31">#REF!</definedName>
    <definedName name="roic.98" localSheetId="0">#REF!</definedName>
    <definedName name="roic.98" localSheetId="1">#REF!</definedName>
    <definedName name="roic.98">#REF!</definedName>
    <definedName name="roic.99" localSheetId="4">#REF!</definedName>
    <definedName name="roic.99" localSheetId="5">#REF!</definedName>
    <definedName name="roic.99" localSheetId="3">#REF!</definedName>
    <definedName name="roic.99" localSheetId="30">#REF!</definedName>
    <definedName name="roic.99" localSheetId="18">#REF!</definedName>
    <definedName name="roic.99" localSheetId="6">#REF!</definedName>
    <definedName name="roic.99" localSheetId="19">#REF!</definedName>
    <definedName name="roic.99" localSheetId="7">#REF!</definedName>
    <definedName name="roic.99" localSheetId="20">#REF!</definedName>
    <definedName name="roic.99" localSheetId="17">#REF!</definedName>
    <definedName name="roic.99" localSheetId="25">#REF!</definedName>
    <definedName name="roic.99" localSheetId="31">#REF!</definedName>
    <definedName name="roic.99" localSheetId="0">#REF!</definedName>
    <definedName name="roic.99" localSheetId="1">#REF!</definedName>
    <definedName name="roic.99">#REF!</definedName>
    <definedName name="RptDate" localSheetId="4">#REF!</definedName>
    <definedName name="RptDate" localSheetId="5">#REF!</definedName>
    <definedName name="RptDate" localSheetId="3">#REF!</definedName>
    <definedName name="RptDate" localSheetId="30">#REF!</definedName>
    <definedName name="RptDate" localSheetId="18">#REF!</definedName>
    <definedName name="RptDate" localSheetId="6">#REF!</definedName>
    <definedName name="RptDate" localSheetId="19">#REF!</definedName>
    <definedName name="RptDate" localSheetId="7">#REF!</definedName>
    <definedName name="RptDate" localSheetId="20">#REF!</definedName>
    <definedName name="RptDate" localSheetId="17">#REF!</definedName>
    <definedName name="RptDate" localSheetId="25">#REF!</definedName>
    <definedName name="RptDate" localSheetId="31">#REF!</definedName>
    <definedName name="RptDate" localSheetId="0">#REF!</definedName>
    <definedName name="RptDate" localSheetId="1">#REF!</definedName>
    <definedName name="RptDate">#REF!</definedName>
    <definedName name="sadfasvvv" localSheetId="4">#REF!</definedName>
    <definedName name="sadfasvvv" localSheetId="5">#REF!</definedName>
    <definedName name="sadfasvvv" localSheetId="3">#REF!</definedName>
    <definedName name="sadfasvvv" localSheetId="30">#REF!</definedName>
    <definedName name="sadfasvvv" localSheetId="18">#REF!</definedName>
    <definedName name="sadfasvvv" localSheetId="6">#REF!</definedName>
    <definedName name="sadfasvvv" localSheetId="19">#REF!</definedName>
    <definedName name="sadfasvvv" localSheetId="7">#REF!</definedName>
    <definedName name="sadfasvvv" localSheetId="20">#REF!</definedName>
    <definedName name="sadfasvvv" localSheetId="17">#REF!</definedName>
    <definedName name="sadfasvvv" localSheetId="25">#REF!</definedName>
    <definedName name="sadfasvvv" localSheetId="31">#REF!</definedName>
    <definedName name="sadfasvvv" localSheetId="0">#REF!</definedName>
    <definedName name="sadfasvvv" localSheetId="1">#REF!</definedName>
    <definedName name="sadfasvvv">#REF!</definedName>
    <definedName name="sales.00" localSheetId="4">#REF!</definedName>
    <definedName name="sales.00" localSheetId="5">#REF!</definedName>
    <definedName name="sales.00" localSheetId="3">#REF!</definedName>
    <definedName name="sales.00" localSheetId="30">#REF!</definedName>
    <definedName name="sales.00" localSheetId="18">#REF!</definedName>
    <definedName name="sales.00" localSheetId="6">#REF!</definedName>
    <definedName name="sales.00" localSheetId="19">#REF!</definedName>
    <definedName name="sales.00" localSheetId="7">#REF!</definedName>
    <definedName name="sales.00" localSheetId="20">#REF!</definedName>
    <definedName name="sales.00" localSheetId="17">#REF!</definedName>
    <definedName name="sales.00" localSheetId="25">#REF!</definedName>
    <definedName name="sales.00" localSheetId="31">#REF!</definedName>
    <definedName name="sales.00" localSheetId="0">#REF!</definedName>
    <definedName name="sales.00" localSheetId="1">#REF!</definedName>
    <definedName name="sales.00">#REF!</definedName>
    <definedName name="sales.98" localSheetId="4">#REF!</definedName>
    <definedName name="sales.98" localSheetId="5">#REF!</definedName>
    <definedName name="sales.98" localSheetId="3">#REF!</definedName>
    <definedName name="sales.98" localSheetId="30">#REF!</definedName>
    <definedName name="sales.98" localSheetId="18">#REF!</definedName>
    <definedName name="sales.98" localSheetId="6">#REF!</definedName>
    <definedName name="sales.98" localSheetId="19">#REF!</definedName>
    <definedName name="sales.98" localSheetId="7">#REF!</definedName>
    <definedName name="sales.98" localSheetId="20">#REF!</definedName>
    <definedName name="sales.98" localSheetId="17">#REF!</definedName>
    <definedName name="sales.98" localSheetId="25">#REF!</definedName>
    <definedName name="sales.98" localSheetId="31">#REF!</definedName>
    <definedName name="sales.98" localSheetId="0">#REF!</definedName>
    <definedName name="sales.98" localSheetId="1">#REF!</definedName>
    <definedName name="sales.98">#REF!</definedName>
    <definedName name="sales.99" localSheetId="4">#REF!</definedName>
    <definedName name="sales.99" localSheetId="5">#REF!</definedName>
    <definedName name="sales.99" localSheetId="3">#REF!</definedName>
    <definedName name="sales.99" localSheetId="30">#REF!</definedName>
    <definedName name="sales.99" localSheetId="18">#REF!</definedName>
    <definedName name="sales.99" localSheetId="6">#REF!</definedName>
    <definedName name="sales.99" localSheetId="19">#REF!</definedName>
    <definedName name="sales.99" localSheetId="7">#REF!</definedName>
    <definedName name="sales.99" localSheetId="20">#REF!</definedName>
    <definedName name="sales.99" localSheetId="17">#REF!</definedName>
    <definedName name="sales.99" localSheetId="25">#REF!</definedName>
    <definedName name="sales.99" localSheetId="31">#REF!</definedName>
    <definedName name="sales.99" localSheetId="0">#REF!</definedName>
    <definedName name="sales.99" localSheetId="1">#REF!</definedName>
    <definedName name="sales.99">#REF!</definedName>
    <definedName name="SaveRev" localSheetId="4">'DESP Annual'!SaveRev</definedName>
    <definedName name="SaveRev" localSheetId="5">'DESP Charts'!SaveRev</definedName>
    <definedName name="SaveRev" localSheetId="3">'DESP Quarterly'!SaveRev</definedName>
    <definedName name="SaveRev" localSheetId="30">Forms!SaveRev</definedName>
    <definedName name="SaveRev" localSheetId="18">MMYT!SaveRev</definedName>
    <definedName name="SaveRev" localSheetId="6">'MMYT (2)'!SaveRev</definedName>
    <definedName name="SaveRev" localSheetId="19">'MMYT charts'!SaveRev</definedName>
    <definedName name="SaveRev" localSheetId="7">'MMYT charts (2)'!SaveRev</definedName>
    <definedName name="SaveRev" localSheetId="20">'OYO Estimation'!SaveRev</definedName>
    <definedName name="SaveRev" localSheetId="17">'Quarterly Charts '!SaveRev</definedName>
    <definedName name="SaveRev" localSheetId="25">'TOUR (RMB)'!SaveRev</definedName>
    <definedName name="SaveRev" localSheetId="31">'TOUR VS. CTRIP'!SaveRev</definedName>
    <definedName name="SaveRev" localSheetId="0">同程艺龙!SaveRev</definedName>
    <definedName name="SaveRev" localSheetId="1">'同程艺龙 Peers'!SaveRev</definedName>
    <definedName name="SaveRev">Forms!SaveRev</definedName>
    <definedName name="SaveSue" localSheetId="4">'DESP Annual'!SaveSue</definedName>
    <definedName name="SaveSue" localSheetId="5">'DESP Charts'!SaveSue</definedName>
    <definedName name="SaveSue" localSheetId="3">'DESP Quarterly'!SaveSue</definedName>
    <definedName name="SaveSue" localSheetId="30">Forms!SaveSue</definedName>
    <definedName name="SaveSue" localSheetId="18">MMYT!SaveSue</definedName>
    <definedName name="SaveSue" localSheetId="6">'MMYT (2)'!SaveSue</definedName>
    <definedName name="SaveSue" localSheetId="19">'MMYT charts'!SaveSue</definedName>
    <definedName name="SaveSue" localSheetId="7">'MMYT charts (2)'!SaveSue</definedName>
    <definedName name="SaveSue" localSheetId="20">'OYO Estimation'!SaveSue</definedName>
    <definedName name="SaveSue" localSheetId="17">'Quarterly Charts '!SaveSue</definedName>
    <definedName name="SaveSue" localSheetId="25">'TOUR (RMB)'!SaveSue</definedName>
    <definedName name="SaveSue" localSheetId="31">'TOUR VS. CTRIP'!SaveSue</definedName>
    <definedName name="SaveSue" localSheetId="0">同程艺龙!SaveSue</definedName>
    <definedName name="SaveSue" localSheetId="1">'同程艺龙 Peers'!SaveSue</definedName>
    <definedName name="SaveSue">Forms!SaveSue</definedName>
    <definedName name="se" localSheetId="4">#REF!</definedName>
    <definedName name="se" localSheetId="5">#REF!</definedName>
    <definedName name="se" localSheetId="3">#REF!</definedName>
    <definedName name="se" localSheetId="30">#REF!</definedName>
    <definedName name="se" localSheetId="18">#REF!</definedName>
    <definedName name="se" localSheetId="6">#REF!</definedName>
    <definedName name="se" localSheetId="19">#REF!</definedName>
    <definedName name="se" localSheetId="7">#REF!</definedName>
    <definedName name="se" localSheetId="20">#REF!</definedName>
    <definedName name="se" localSheetId="17">#REF!</definedName>
    <definedName name="se" localSheetId="25">#REF!</definedName>
    <definedName name="se" localSheetId="31">#REF!</definedName>
    <definedName name="se" localSheetId="0">#REF!</definedName>
    <definedName name="se" localSheetId="1">#REF!</definedName>
    <definedName name="se">#REF!</definedName>
    <definedName name="Segment1_income" localSheetId="4">[8]NOPAT_VDF!$C$5:$AZ$5</definedName>
    <definedName name="Segment1_income" localSheetId="5">[8]NOPAT_VDF!$C$5:$AZ$5</definedName>
    <definedName name="Segment1_income" localSheetId="3">[8]NOPAT_VDF!$C$5:$AZ$5</definedName>
    <definedName name="Segment1_income" localSheetId="18">[9]NOPAT_VDF!$C$5:$AZ$5</definedName>
    <definedName name="Segment1_income" localSheetId="6">[9]NOPAT_VDF!$C$5:$AZ$5</definedName>
    <definedName name="Segment1_income" localSheetId="19">[9]NOPAT_VDF!$C$5:$AZ$5</definedName>
    <definedName name="Segment1_income" localSheetId="7">[9]NOPAT_VDF!$C$5:$AZ$5</definedName>
    <definedName name="Segment1_income" localSheetId="20">[9]NOPAT_VDF!$C$5:$AZ$5</definedName>
    <definedName name="Segment1_income">[10]NOPAT_VDF!$C$5:$AZ$5</definedName>
    <definedName name="Segment1_income_DCF" localSheetId="4">[8]DCF_VDF!$C$6:$BZ$6</definedName>
    <definedName name="Segment1_income_DCF" localSheetId="5">[8]DCF_VDF!$C$6:$BZ$6</definedName>
    <definedName name="Segment1_income_DCF" localSheetId="3">[8]DCF_VDF!$C$6:$BZ$6</definedName>
    <definedName name="Segment1_income_DCF" localSheetId="18">[9]DCF_VDF!$C$6:$BZ$6</definedName>
    <definedName name="Segment1_income_DCF" localSheetId="6">[9]DCF_VDF!$C$6:$BZ$6</definedName>
    <definedName name="Segment1_income_DCF" localSheetId="19">[9]DCF_VDF!$C$6:$BZ$6</definedName>
    <definedName name="Segment1_income_DCF" localSheetId="7">[9]DCF_VDF!$C$6:$BZ$6</definedName>
    <definedName name="Segment1_income_DCF" localSheetId="20">[9]DCF_VDF!$C$6:$BZ$6</definedName>
    <definedName name="Segment1_income_DCF">[10]DCF_VDF!$C$6:$BZ$6</definedName>
    <definedName name="Segment2_income" localSheetId="4">[8]NOPAT_VDF!$C$6:$AZ$6</definedName>
    <definedName name="Segment2_income" localSheetId="5">[8]NOPAT_VDF!$C$6:$AZ$6</definedName>
    <definedName name="Segment2_income" localSheetId="3">[8]NOPAT_VDF!$C$6:$AZ$6</definedName>
    <definedName name="Segment2_income" localSheetId="18">[9]NOPAT_VDF!$C$6:$AZ$6</definedName>
    <definedName name="Segment2_income" localSheetId="6">[9]NOPAT_VDF!$C$6:$AZ$6</definedName>
    <definedName name="Segment2_income" localSheetId="19">[9]NOPAT_VDF!$C$6:$AZ$6</definedName>
    <definedName name="Segment2_income" localSheetId="7">[9]NOPAT_VDF!$C$6:$AZ$6</definedName>
    <definedName name="Segment2_income" localSheetId="20">[9]NOPAT_VDF!$C$6:$AZ$6</definedName>
    <definedName name="Segment2_income">[10]NOPAT_VDF!$C$6:$AZ$6</definedName>
    <definedName name="Segment2_income_DCF" localSheetId="4">[8]DCF_VDF!$C$7:$BZ$7</definedName>
    <definedName name="Segment2_income_DCF" localSheetId="5">[8]DCF_VDF!$C$7:$BZ$7</definedName>
    <definedName name="Segment2_income_DCF" localSheetId="3">[8]DCF_VDF!$C$7:$BZ$7</definedName>
    <definedName name="Segment2_income_DCF" localSheetId="18">[9]DCF_VDF!$C$7:$BZ$7</definedName>
    <definedName name="Segment2_income_DCF" localSheetId="6">[9]DCF_VDF!$C$7:$BZ$7</definedName>
    <definedName name="Segment2_income_DCF" localSheetId="19">[9]DCF_VDF!$C$7:$BZ$7</definedName>
    <definedName name="Segment2_income_DCF" localSheetId="7">[9]DCF_VDF!$C$7:$BZ$7</definedName>
    <definedName name="Segment2_income_DCF" localSheetId="20">[9]DCF_VDF!$C$7:$BZ$7</definedName>
    <definedName name="Segment2_income_DCF">[10]DCF_VDF!$C$7:$BZ$7</definedName>
    <definedName name="SENS">[4]Sens!$A$1:$M$48</definedName>
    <definedName name="SGA" localSheetId="4">[8]NOPAT_VDF!$C$12:$AE$12</definedName>
    <definedName name="SGA" localSheetId="5">[8]NOPAT_VDF!$C$12:$AE$12</definedName>
    <definedName name="SGA" localSheetId="3">[8]NOPAT_VDF!$C$12:$AE$12</definedName>
    <definedName name="SGA" localSheetId="18">[9]NOPAT_VDF!$C$12:$AE$12</definedName>
    <definedName name="SGA" localSheetId="6">[9]NOPAT_VDF!$C$12:$AE$12</definedName>
    <definedName name="SGA" localSheetId="19">[9]NOPAT_VDF!$C$12:$AE$12</definedName>
    <definedName name="SGA" localSheetId="7">[9]NOPAT_VDF!$C$12:$AE$12</definedName>
    <definedName name="SGA" localSheetId="20">[9]NOPAT_VDF!$C$12:$AE$12</definedName>
    <definedName name="SGA">[10]NOPAT_VDF!$C$12:$AE$12</definedName>
    <definedName name="SGA_growth" localSheetId="4">[8]NOPAT_VDF!#REF!</definedName>
    <definedName name="SGA_growth" localSheetId="5">[8]NOPAT_VDF!#REF!</definedName>
    <definedName name="SGA_growth" localSheetId="3">[8]NOPAT_VDF!#REF!</definedName>
    <definedName name="SGA_growth" localSheetId="30">[10]NOPAT_VDF!#REF!</definedName>
    <definedName name="SGA_growth" localSheetId="18">[9]NOPAT_VDF!#REF!</definedName>
    <definedName name="SGA_growth" localSheetId="6">[9]NOPAT_VDF!#REF!</definedName>
    <definedName name="SGA_growth" localSheetId="19">[9]NOPAT_VDF!#REF!</definedName>
    <definedName name="SGA_growth" localSheetId="7">[9]NOPAT_VDF!#REF!</definedName>
    <definedName name="SGA_growth" localSheetId="20">[9]NOPAT_VDF!#REF!</definedName>
    <definedName name="SGA_growth" localSheetId="17">[10]NOPAT_VDF!#REF!</definedName>
    <definedName name="SGA_growth" localSheetId="25">[10]NOPAT_VDF!#REF!</definedName>
    <definedName name="SGA_growth" localSheetId="31">[10]NOPAT_VDF!#REF!</definedName>
    <definedName name="SGA_growth" localSheetId="0">[10]NOPAT_VDF!#REF!</definedName>
    <definedName name="SGA_growth" localSheetId="1">[10]NOPAT_VDF!#REF!</definedName>
    <definedName name="SGA_growth">[10]NOPAT_VDF!#REF!</definedName>
    <definedName name="SGA_margin_fore" localSheetId="4">[18]Forecasts_VDF!#REF!</definedName>
    <definedName name="SGA_margin_fore" localSheetId="5">[18]Forecasts_VDF!#REF!</definedName>
    <definedName name="SGA_margin_fore" localSheetId="3">[18]Forecasts_VDF!#REF!</definedName>
    <definedName name="SGA_margin_fore" localSheetId="30">[19]Forecasts_VDF!#REF!</definedName>
    <definedName name="SGA_margin_fore" localSheetId="18">[20]Forecasts_VDF!#REF!</definedName>
    <definedName name="SGA_margin_fore" localSheetId="6">[20]Forecasts_VDF!#REF!</definedName>
    <definedName name="SGA_margin_fore" localSheetId="19">[20]Forecasts_VDF!#REF!</definedName>
    <definedName name="SGA_margin_fore" localSheetId="7">[20]Forecasts_VDF!#REF!</definedName>
    <definedName name="SGA_margin_fore" localSheetId="20">[20]Forecasts_VDF!#REF!</definedName>
    <definedName name="SGA_margin_fore" localSheetId="17">[19]Forecasts_VDF!#REF!</definedName>
    <definedName name="SGA_margin_fore" localSheetId="25">[19]Forecasts_VDF!#REF!</definedName>
    <definedName name="SGA_margin_fore" localSheetId="31">[19]Forecasts_VDF!#REF!</definedName>
    <definedName name="SGA_margin_fore" localSheetId="0">[19]Forecasts_VDF!#REF!</definedName>
    <definedName name="SGA_margin_fore" localSheetId="1">[19]Forecasts_VDF!#REF!</definedName>
    <definedName name="SGA_margin_fore">[19]Forecasts_VDF!#REF!</definedName>
    <definedName name="sgacurrent" localSheetId="4">#REF!</definedName>
    <definedName name="sgacurrent" localSheetId="5">#REF!</definedName>
    <definedName name="sgacurrent" localSheetId="3">#REF!</definedName>
    <definedName name="sgacurrent" localSheetId="30">#REF!</definedName>
    <definedName name="sgacurrent" localSheetId="18">#REF!</definedName>
    <definedName name="sgacurrent" localSheetId="6">#REF!</definedName>
    <definedName name="sgacurrent" localSheetId="19">#REF!</definedName>
    <definedName name="sgacurrent" localSheetId="7">#REF!</definedName>
    <definedName name="sgacurrent" localSheetId="20">#REF!</definedName>
    <definedName name="sgacurrent" localSheetId="17">#REF!</definedName>
    <definedName name="sgacurrent" localSheetId="25">#REF!</definedName>
    <definedName name="sgacurrent" localSheetId="31">#REF!</definedName>
    <definedName name="sgacurrent" localSheetId="0">#REF!</definedName>
    <definedName name="sgacurrent" localSheetId="1">#REF!</definedName>
    <definedName name="sgacurrent">#REF!</definedName>
    <definedName name="Shares_DCF" localSheetId="4">[8]DCF_VDF!$C$37:$AZ$37</definedName>
    <definedName name="Shares_DCF" localSheetId="5">[8]DCF_VDF!$C$37:$AZ$37</definedName>
    <definedName name="Shares_DCF" localSheetId="3">[8]DCF_VDF!$C$37:$AZ$37</definedName>
    <definedName name="Shares_DCF" localSheetId="18">[9]DCF_VDF!$C$37:$AZ$37</definedName>
    <definedName name="Shares_DCF" localSheetId="6">[9]DCF_VDF!$C$37:$AZ$37</definedName>
    <definedName name="Shares_DCF" localSheetId="19">[9]DCF_VDF!$C$37:$AZ$37</definedName>
    <definedName name="Shares_DCF" localSheetId="7">[9]DCF_VDF!$C$37:$AZ$37</definedName>
    <definedName name="Shares_DCF" localSheetId="20">[9]DCF_VDF!$C$37:$AZ$37</definedName>
    <definedName name="Shares_DCF">[10]DCF_VDF!$C$37:$AZ$37</definedName>
    <definedName name="Shares_growth" localSheetId="4">[8]NOPAT_VDF!$M$151:$Q$151</definedName>
    <definedName name="Shares_growth" localSheetId="5">[8]NOPAT_VDF!$M$151:$Q$151</definedName>
    <definedName name="Shares_growth" localSheetId="3">[8]NOPAT_VDF!$M$151:$Q$151</definedName>
    <definedName name="Shares_growth" localSheetId="18">[9]NOPAT_VDF!$M$151:$Q$151</definedName>
    <definedName name="Shares_growth" localSheetId="6">[9]NOPAT_VDF!$M$151:$Q$151</definedName>
    <definedName name="Shares_growth" localSheetId="19">[9]NOPAT_VDF!$M$151:$Q$151</definedName>
    <definedName name="Shares_growth" localSheetId="7">[9]NOPAT_VDF!$M$151:$Q$151</definedName>
    <definedName name="Shares_growth" localSheetId="20">[9]NOPAT_VDF!$M$151:$Q$151</definedName>
    <definedName name="Shares_growth">[10]NOPAT_VDF!$M$151:$Q$151</definedName>
    <definedName name="Shares_repurchase_liability" localSheetId="4">'[8]Invested capital_VDF'!#REF!</definedName>
    <definedName name="Shares_repurchase_liability" localSheetId="5">'[8]Invested capital_VDF'!#REF!</definedName>
    <definedName name="Shares_repurchase_liability" localSheetId="3">'[8]Invested capital_VDF'!#REF!</definedName>
    <definedName name="Shares_repurchase_liability" localSheetId="30">'[10]Invested capital_VDF'!#REF!</definedName>
    <definedName name="Shares_repurchase_liability" localSheetId="18">'[9]Invested capital_VDF'!#REF!</definedName>
    <definedName name="Shares_repurchase_liability" localSheetId="6">'[9]Invested capital_VDF'!#REF!</definedName>
    <definedName name="Shares_repurchase_liability" localSheetId="19">'[9]Invested capital_VDF'!#REF!</definedName>
    <definedName name="Shares_repurchase_liability" localSheetId="7">'[9]Invested capital_VDF'!#REF!</definedName>
    <definedName name="Shares_repurchase_liability" localSheetId="20">'[9]Invested capital_VDF'!#REF!</definedName>
    <definedName name="Shares_repurchase_liability" localSheetId="17">'[10]Invested capital_VDF'!#REF!</definedName>
    <definedName name="Shares_repurchase_liability" localSheetId="25">'[10]Invested capital_VDF'!#REF!</definedName>
    <definedName name="Shares_repurchase_liability" localSheetId="31">'[10]Invested capital_VDF'!#REF!</definedName>
    <definedName name="Shares_repurchase_liability" localSheetId="0">'[10]Invested capital_VDF'!#REF!</definedName>
    <definedName name="Shares_repurchase_liability" localSheetId="1">'[10]Invested capital_VDF'!#REF!</definedName>
    <definedName name="Shares_repurchase_liability">'[10]Invested capital_VDF'!#REF!</definedName>
    <definedName name="Short_Flow_Data" localSheetId="4">#REF!</definedName>
    <definedName name="Short_Flow_Data" localSheetId="5">#REF!</definedName>
    <definedName name="Short_Flow_Data" localSheetId="3">#REF!</definedName>
    <definedName name="Short_Flow_Data" localSheetId="30">#REF!</definedName>
    <definedName name="Short_Flow_Data" localSheetId="18">#REF!</definedName>
    <definedName name="Short_Flow_Data" localSheetId="6">#REF!</definedName>
    <definedName name="Short_Flow_Data" localSheetId="19">#REF!</definedName>
    <definedName name="Short_Flow_Data" localSheetId="7">#REF!</definedName>
    <definedName name="Short_Flow_Data" localSheetId="20">#REF!</definedName>
    <definedName name="Short_Flow_Data" localSheetId="17">#REF!</definedName>
    <definedName name="Short_Flow_Data" localSheetId="25">#REF!</definedName>
    <definedName name="Short_Flow_Data" localSheetId="31">#REF!</definedName>
    <definedName name="Short_Flow_Data" localSheetId="0">#REF!</definedName>
    <definedName name="Short_Flow_Data" localSheetId="1">#REF!</definedName>
    <definedName name="Short_Flow_Data">#REF!</definedName>
    <definedName name="ShowPEData" localSheetId="4">'DESP Annual'!ShowPEData</definedName>
    <definedName name="ShowPEData" localSheetId="5">'DESP Charts'!ShowPEData</definedName>
    <definedName name="ShowPEData" localSheetId="3">'DESP Quarterly'!ShowPEData</definedName>
    <definedName name="ShowPEData" localSheetId="30">Forms!ShowPEData</definedName>
    <definedName name="ShowPEData" localSheetId="18">MMYT!ShowPEData</definedName>
    <definedName name="ShowPEData" localSheetId="6">'MMYT (2)'!ShowPEData</definedName>
    <definedName name="ShowPEData" localSheetId="19">'MMYT charts'!ShowPEData</definedName>
    <definedName name="ShowPEData" localSheetId="7">'MMYT charts (2)'!ShowPEData</definedName>
    <definedName name="ShowPEData" localSheetId="20">'OYO Estimation'!ShowPEData</definedName>
    <definedName name="ShowPEData" localSheetId="17">'Quarterly Charts '!ShowPEData</definedName>
    <definedName name="ShowPEData" localSheetId="25">'TOUR (RMB)'!ShowPEData</definedName>
    <definedName name="ShowPEData" localSheetId="31">'TOUR VS. CTRIP'!ShowPEData</definedName>
    <definedName name="ShowPEData" localSheetId="0">同程艺龙!ShowPEData</definedName>
    <definedName name="ShowPEData" localSheetId="1">'同程艺龙 Peers'!ShowPEData</definedName>
    <definedName name="ShowPEData">Forms!ShowPEData</definedName>
    <definedName name="ShowRevData" localSheetId="4">'DESP Annual'!ShowRevData</definedName>
    <definedName name="ShowRevData" localSheetId="5">'DESP Charts'!ShowRevData</definedName>
    <definedName name="ShowRevData" localSheetId="3">'DESP Quarterly'!ShowRevData</definedName>
    <definedName name="ShowRevData" localSheetId="30">Forms!ShowRevData</definedName>
    <definedName name="ShowRevData" localSheetId="18">MMYT!ShowRevData</definedName>
    <definedName name="ShowRevData" localSheetId="6">'MMYT (2)'!ShowRevData</definedName>
    <definedName name="ShowRevData" localSheetId="19">'MMYT charts'!ShowRevData</definedName>
    <definedName name="ShowRevData" localSheetId="7">'MMYT charts (2)'!ShowRevData</definedName>
    <definedName name="ShowRevData" localSheetId="20">'OYO Estimation'!ShowRevData</definedName>
    <definedName name="ShowRevData" localSheetId="17">'Quarterly Charts '!ShowRevData</definedName>
    <definedName name="ShowRevData" localSheetId="25">'TOUR (RMB)'!ShowRevData</definedName>
    <definedName name="ShowRevData" localSheetId="31">'TOUR VS. CTRIP'!ShowRevData</definedName>
    <definedName name="ShowRevData" localSheetId="0">同程艺龙!ShowRevData</definedName>
    <definedName name="ShowRevData" localSheetId="1">'同程艺龙 Peers'!ShowRevData</definedName>
    <definedName name="ShowRevData">Forms!ShowRevData</definedName>
    <definedName name="sss" localSheetId="4">'DESP Annual'!sss</definedName>
    <definedName name="sss" localSheetId="5">'DESP Charts'!sss</definedName>
    <definedName name="sss" localSheetId="3">'DESP Quarterly'!sss</definedName>
    <definedName name="sss" localSheetId="30">Forms!sss</definedName>
    <definedName name="sss" localSheetId="18">MMYT!sss</definedName>
    <definedName name="sss" localSheetId="6">'MMYT (2)'!sss</definedName>
    <definedName name="sss" localSheetId="19">'MMYT charts'!sss</definedName>
    <definedName name="sss" localSheetId="7">'MMYT charts (2)'!sss</definedName>
    <definedName name="sss" localSheetId="20">'OYO Estimation'!sss</definedName>
    <definedName name="sss" localSheetId="17">'Quarterly Charts '!sss</definedName>
    <definedName name="sss" localSheetId="25">'TOUR (RMB)'!sss</definedName>
    <definedName name="sss" localSheetId="31">'TOUR VS. CTRIP'!sss</definedName>
    <definedName name="sss" localSheetId="0">同程艺龙!sss</definedName>
    <definedName name="sss" localSheetId="1">'同程艺龙 Peers'!sss</definedName>
    <definedName name="sss">Forms!sss</definedName>
    <definedName name="StockName" localSheetId="4">#REF!</definedName>
    <definedName name="StockName" localSheetId="5">#REF!</definedName>
    <definedName name="StockName" localSheetId="3">#REF!</definedName>
    <definedName name="StockName" localSheetId="30">#REF!</definedName>
    <definedName name="StockName" localSheetId="18">#REF!</definedName>
    <definedName name="StockName" localSheetId="6">#REF!</definedName>
    <definedName name="StockName" localSheetId="19">#REF!</definedName>
    <definedName name="StockName" localSheetId="7">#REF!</definedName>
    <definedName name="StockName" localSheetId="20">#REF!</definedName>
    <definedName name="StockName" localSheetId="17">#REF!</definedName>
    <definedName name="StockName" localSheetId="25">#REF!</definedName>
    <definedName name="StockName" localSheetId="31">#REF!</definedName>
    <definedName name="StockName" localSheetId="0">#REF!</definedName>
    <definedName name="StockName" localSheetId="1">#REF!</definedName>
    <definedName name="StockName">#REF!</definedName>
    <definedName name="SUMM" localSheetId="4">#REF!</definedName>
    <definedName name="SUMM" localSheetId="5">#REF!</definedName>
    <definedName name="SUMM" localSheetId="3">#REF!</definedName>
    <definedName name="SUMM" localSheetId="30">#REF!</definedName>
    <definedName name="SUMM" localSheetId="18">#REF!</definedName>
    <definedName name="SUMM" localSheetId="6">#REF!</definedName>
    <definedName name="SUMM" localSheetId="19">#REF!</definedName>
    <definedName name="SUMM" localSheetId="7">#REF!</definedName>
    <definedName name="SUMM" localSheetId="20">#REF!</definedName>
    <definedName name="SUMM" localSheetId="17">#REF!</definedName>
    <definedName name="SUMM" localSheetId="25">#REF!</definedName>
    <definedName name="SUMM" localSheetId="31">#REF!</definedName>
    <definedName name="SUMM" localSheetId="0">#REF!</definedName>
    <definedName name="SUMM" localSheetId="1">#REF!</definedName>
    <definedName name="SUMM">#REF!</definedName>
    <definedName name="Summary_Date" localSheetId="4">#REF!</definedName>
    <definedName name="Summary_Date" localSheetId="5">#REF!</definedName>
    <definedName name="Summary_Date" localSheetId="3">#REF!</definedName>
    <definedName name="Summary_Date" localSheetId="30">#REF!</definedName>
    <definedName name="Summary_Date" localSheetId="18">#REF!</definedName>
    <definedName name="Summary_Date" localSheetId="6">#REF!</definedName>
    <definedName name="Summary_Date" localSheetId="19">#REF!</definedName>
    <definedName name="Summary_Date" localSheetId="7">#REF!</definedName>
    <definedName name="Summary_Date" localSheetId="20">#REF!</definedName>
    <definedName name="Summary_Date" localSheetId="17">#REF!</definedName>
    <definedName name="Summary_Date" localSheetId="25">#REF!</definedName>
    <definedName name="Summary_Date" localSheetId="31">#REF!</definedName>
    <definedName name="Summary_Date" localSheetId="0">#REF!</definedName>
    <definedName name="Summary_Date" localSheetId="1">#REF!</definedName>
    <definedName name="Summary_Date">#REF!</definedName>
    <definedName name="TABLE" localSheetId="4">#REF!</definedName>
    <definedName name="TABLE" localSheetId="5">#REF!</definedName>
    <definedName name="TABLE" localSheetId="3">#REF!</definedName>
    <definedName name="TABLE" localSheetId="30">#REF!</definedName>
    <definedName name="TABLE" localSheetId="18">#REF!</definedName>
    <definedName name="TABLE" localSheetId="6">#REF!</definedName>
    <definedName name="TABLE" localSheetId="19">#REF!</definedName>
    <definedName name="TABLE" localSheetId="7">#REF!</definedName>
    <definedName name="TABLE" localSheetId="20">#REF!</definedName>
    <definedName name="TABLE" localSheetId="17">#REF!</definedName>
    <definedName name="TABLE" localSheetId="25">#REF!</definedName>
    <definedName name="TABLE" localSheetId="31">#REF!</definedName>
    <definedName name="TABLE" localSheetId="0">#REF!</definedName>
    <definedName name="TABLE" localSheetId="1">#REF!</definedName>
    <definedName name="TABLE">#REF!</definedName>
    <definedName name="TABLE_10" localSheetId="4">#REF!</definedName>
    <definedName name="TABLE_10" localSheetId="5">#REF!</definedName>
    <definedName name="TABLE_10" localSheetId="3">#REF!</definedName>
    <definedName name="TABLE_10" localSheetId="30">#REF!</definedName>
    <definedName name="TABLE_10" localSheetId="18">#REF!</definedName>
    <definedName name="TABLE_10" localSheetId="6">#REF!</definedName>
    <definedName name="TABLE_10" localSheetId="19">#REF!</definedName>
    <definedName name="TABLE_10" localSheetId="7">#REF!</definedName>
    <definedName name="TABLE_10" localSheetId="20">#REF!</definedName>
    <definedName name="TABLE_10" localSheetId="17">#REF!</definedName>
    <definedName name="TABLE_10" localSheetId="25">#REF!</definedName>
    <definedName name="TABLE_10" localSheetId="31">#REF!</definedName>
    <definedName name="TABLE_10" localSheetId="0">#REF!</definedName>
    <definedName name="TABLE_10" localSheetId="1">#REF!</definedName>
    <definedName name="TABLE_10">#REF!</definedName>
    <definedName name="TABLE_11" localSheetId="4">#REF!</definedName>
    <definedName name="TABLE_11" localSheetId="5">#REF!</definedName>
    <definedName name="TABLE_11" localSheetId="3">#REF!</definedName>
    <definedName name="TABLE_11" localSheetId="30">#REF!</definedName>
    <definedName name="TABLE_11" localSheetId="18">#REF!</definedName>
    <definedName name="TABLE_11" localSheetId="6">#REF!</definedName>
    <definedName name="TABLE_11" localSheetId="19">#REF!</definedName>
    <definedName name="TABLE_11" localSheetId="7">#REF!</definedName>
    <definedName name="TABLE_11" localSheetId="20">#REF!</definedName>
    <definedName name="TABLE_11" localSheetId="17">#REF!</definedName>
    <definedName name="TABLE_11" localSheetId="25">#REF!</definedName>
    <definedName name="TABLE_11" localSheetId="31">#REF!</definedName>
    <definedName name="TABLE_11" localSheetId="0">#REF!</definedName>
    <definedName name="TABLE_11" localSheetId="1">#REF!</definedName>
    <definedName name="TABLE_11">#REF!</definedName>
    <definedName name="TABLE_12" localSheetId="4">#REF!</definedName>
    <definedName name="TABLE_12" localSheetId="5">#REF!</definedName>
    <definedName name="TABLE_12" localSheetId="3">#REF!</definedName>
    <definedName name="TABLE_12" localSheetId="30">#REF!</definedName>
    <definedName name="TABLE_12" localSheetId="18">#REF!</definedName>
    <definedName name="TABLE_12" localSheetId="6">#REF!</definedName>
    <definedName name="TABLE_12" localSheetId="19">#REF!</definedName>
    <definedName name="TABLE_12" localSheetId="7">#REF!</definedName>
    <definedName name="TABLE_12" localSheetId="20">#REF!</definedName>
    <definedName name="TABLE_12" localSheetId="17">#REF!</definedName>
    <definedName name="TABLE_12" localSheetId="25">#REF!</definedName>
    <definedName name="TABLE_12" localSheetId="31">#REF!</definedName>
    <definedName name="TABLE_12" localSheetId="0">#REF!</definedName>
    <definedName name="TABLE_12" localSheetId="1">#REF!</definedName>
    <definedName name="TABLE_12">#REF!</definedName>
    <definedName name="TABLE_13" localSheetId="4">#REF!</definedName>
    <definedName name="TABLE_13" localSheetId="5">#REF!</definedName>
    <definedName name="TABLE_13" localSheetId="3">#REF!</definedName>
    <definedName name="TABLE_13" localSheetId="30">#REF!</definedName>
    <definedName name="TABLE_13" localSheetId="18">#REF!</definedName>
    <definedName name="TABLE_13" localSheetId="6">#REF!</definedName>
    <definedName name="TABLE_13" localSheetId="19">#REF!</definedName>
    <definedName name="TABLE_13" localSheetId="7">#REF!</definedName>
    <definedName name="TABLE_13" localSheetId="20">#REF!</definedName>
    <definedName name="TABLE_13" localSheetId="17">#REF!</definedName>
    <definedName name="TABLE_13" localSheetId="25">#REF!</definedName>
    <definedName name="TABLE_13" localSheetId="31">#REF!</definedName>
    <definedName name="TABLE_13" localSheetId="0">#REF!</definedName>
    <definedName name="TABLE_13" localSheetId="1">#REF!</definedName>
    <definedName name="TABLE_13">#REF!</definedName>
    <definedName name="TABLE_14" localSheetId="4">#REF!</definedName>
    <definedName name="TABLE_14" localSheetId="5">#REF!</definedName>
    <definedName name="TABLE_14" localSheetId="3">#REF!</definedName>
    <definedName name="TABLE_14" localSheetId="30">#REF!</definedName>
    <definedName name="TABLE_14" localSheetId="18">#REF!</definedName>
    <definedName name="TABLE_14" localSheetId="6">#REF!</definedName>
    <definedName name="TABLE_14" localSheetId="19">#REF!</definedName>
    <definedName name="TABLE_14" localSheetId="7">#REF!</definedName>
    <definedName name="TABLE_14" localSheetId="20">#REF!</definedName>
    <definedName name="TABLE_14" localSheetId="17">#REF!</definedName>
    <definedName name="TABLE_14" localSheetId="25">#REF!</definedName>
    <definedName name="TABLE_14" localSheetId="31">#REF!</definedName>
    <definedName name="TABLE_14" localSheetId="0">#REF!</definedName>
    <definedName name="TABLE_14" localSheetId="1">#REF!</definedName>
    <definedName name="TABLE_14">#REF!</definedName>
    <definedName name="TABLE_15" localSheetId="4">#REF!</definedName>
    <definedName name="TABLE_15" localSheetId="5">#REF!</definedName>
    <definedName name="TABLE_15" localSheetId="3">#REF!</definedName>
    <definedName name="TABLE_15" localSheetId="30">#REF!</definedName>
    <definedName name="TABLE_15" localSheetId="18">#REF!</definedName>
    <definedName name="TABLE_15" localSheetId="6">#REF!</definedName>
    <definedName name="TABLE_15" localSheetId="19">#REF!</definedName>
    <definedName name="TABLE_15" localSheetId="7">#REF!</definedName>
    <definedName name="TABLE_15" localSheetId="20">#REF!</definedName>
    <definedName name="TABLE_15" localSheetId="17">#REF!</definedName>
    <definedName name="TABLE_15" localSheetId="25">#REF!</definedName>
    <definedName name="TABLE_15" localSheetId="31">#REF!</definedName>
    <definedName name="TABLE_15" localSheetId="0">#REF!</definedName>
    <definedName name="TABLE_15" localSheetId="1">#REF!</definedName>
    <definedName name="TABLE_15">#REF!</definedName>
    <definedName name="TABLE_16" localSheetId="4">#REF!</definedName>
    <definedName name="TABLE_16" localSheetId="5">#REF!</definedName>
    <definedName name="TABLE_16" localSheetId="3">#REF!</definedName>
    <definedName name="TABLE_16" localSheetId="30">#REF!</definedName>
    <definedName name="TABLE_16" localSheetId="18">#REF!</definedName>
    <definedName name="TABLE_16" localSheetId="6">#REF!</definedName>
    <definedName name="TABLE_16" localSheetId="19">#REF!</definedName>
    <definedName name="TABLE_16" localSheetId="7">#REF!</definedName>
    <definedName name="TABLE_16" localSheetId="20">#REF!</definedName>
    <definedName name="TABLE_16" localSheetId="17">#REF!</definedName>
    <definedName name="TABLE_16" localSheetId="25">#REF!</definedName>
    <definedName name="TABLE_16" localSheetId="31">#REF!</definedName>
    <definedName name="TABLE_16" localSheetId="0">#REF!</definedName>
    <definedName name="TABLE_16" localSheetId="1">#REF!</definedName>
    <definedName name="TABLE_16">#REF!</definedName>
    <definedName name="TABLE_17" localSheetId="4">#REF!</definedName>
    <definedName name="TABLE_17" localSheetId="5">#REF!</definedName>
    <definedName name="TABLE_17" localSheetId="3">#REF!</definedName>
    <definedName name="TABLE_17" localSheetId="30">#REF!</definedName>
    <definedName name="TABLE_17" localSheetId="18">#REF!</definedName>
    <definedName name="TABLE_17" localSheetId="6">#REF!</definedName>
    <definedName name="TABLE_17" localSheetId="19">#REF!</definedName>
    <definedName name="TABLE_17" localSheetId="7">#REF!</definedName>
    <definedName name="TABLE_17" localSheetId="20">#REF!</definedName>
    <definedName name="TABLE_17" localSheetId="17">#REF!</definedName>
    <definedName name="TABLE_17" localSheetId="25">#REF!</definedName>
    <definedName name="TABLE_17" localSheetId="31">#REF!</definedName>
    <definedName name="TABLE_17" localSheetId="0">#REF!</definedName>
    <definedName name="TABLE_17" localSheetId="1">#REF!</definedName>
    <definedName name="TABLE_17">#REF!</definedName>
    <definedName name="TABLE_18" localSheetId="4">#REF!</definedName>
    <definedName name="TABLE_18" localSheetId="5">#REF!</definedName>
    <definedName name="TABLE_18" localSheetId="3">#REF!</definedName>
    <definedName name="TABLE_18" localSheetId="30">#REF!</definedName>
    <definedName name="TABLE_18" localSheetId="18">#REF!</definedName>
    <definedName name="TABLE_18" localSheetId="6">#REF!</definedName>
    <definedName name="TABLE_18" localSheetId="19">#REF!</definedName>
    <definedName name="TABLE_18" localSheetId="7">#REF!</definedName>
    <definedName name="TABLE_18" localSheetId="20">#REF!</definedName>
    <definedName name="TABLE_18" localSheetId="17">#REF!</definedName>
    <definedName name="TABLE_18" localSheetId="25">#REF!</definedName>
    <definedName name="TABLE_18" localSheetId="31">#REF!</definedName>
    <definedName name="TABLE_18" localSheetId="0">#REF!</definedName>
    <definedName name="TABLE_18" localSheetId="1">#REF!</definedName>
    <definedName name="TABLE_18">#REF!</definedName>
    <definedName name="TABLE_19" localSheetId="4">#REF!</definedName>
    <definedName name="TABLE_19" localSheetId="5">#REF!</definedName>
    <definedName name="TABLE_19" localSheetId="3">#REF!</definedName>
    <definedName name="TABLE_19" localSheetId="30">#REF!</definedName>
    <definedName name="TABLE_19" localSheetId="18">#REF!</definedName>
    <definedName name="TABLE_19" localSheetId="6">#REF!</definedName>
    <definedName name="TABLE_19" localSheetId="19">#REF!</definedName>
    <definedName name="TABLE_19" localSheetId="7">#REF!</definedName>
    <definedName name="TABLE_19" localSheetId="20">#REF!</definedName>
    <definedName name="TABLE_19" localSheetId="17">#REF!</definedName>
    <definedName name="TABLE_19" localSheetId="25">#REF!</definedName>
    <definedName name="TABLE_19" localSheetId="31">#REF!</definedName>
    <definedName name="TABLE_19" localSheetId="0">#REF!</definedName>
    <definedName name="TABLE_19" localSheetId="1">#REF!</definedName>
    <definedName name="TABLE_19">#REF!</definedName>
    <definedName name="TABLE_2" localSheetId="4">#REF!</definedName>
    <definedName name="TABLE_2" localSheetId="5">#REF!</definedName>
    <definedName name="TABLE_2" localSheetId="3">#REF!</definedName>
    <definedName name="TABLE_2" localSheetId="30">#REF!</definedName>
    <definedName name="TABLE_2" localSheetId="18">#REF!</definedName>
    <definedName name="TABLE_2" localSheetId="6">#REF!</definedName>
    <definedName name="TABLE_2" localSheetId="19">#REF!</definedName>
    <definedName name="TABLE_2" localSheetId="7">#REF!</definedName>
    <definedName name="TABLE_2" localSheetId="20">#REF!</definedName>
    <definedName name="TABLE_2" localSheetId="17">#REF!</definedName>
    <definedName name="TABLE_2" localSheetId="25">#REF!</definedName>
    <definedName name="TABLE_2" localSheetId="31">#REF!</definedName>
    <definedName name="TABLE_2" localSheetId="0">#REF!</definedName>
    <definedName name="TABLE_2" localSheetId="1">#REF!</definedName>
    <definedName name="TABLE_2">#REF!</definedName>
    <definedName name="TABLE_20" localSheetId="4">#REF!</definedName>
    <definedName name="TABLE_20" localSheetId="5">#REF!</definedName>
    <definedName name="TABLE_20" localSheetId="3">#REF!</definedName>
    <definedName name="TABLE_20" localSheetId="30">#REF!</definedName>
    <definedName name="TABLE_20" localSheetId="18">#REF!</definedName>
    <definedName name="TABLE_20" localSheetId="6">#REF!</definedName>
    <definedName name="TABLE_20" localSheetId="19">#REF!</definedName>
    <definedName name="TABLE_20" localSheetId="7">#REF!</definedName>
    <definedName name="TABLE_20" localSheetId="20">#REF!</definedName>
    <definedName name="TABLE_20" localSheetId="17">#REF!</definedName>
    <definedName name="TABLE_20" localSheetId="25">#REF!</definedName>
    <definedName name="TABLE_20" localSheetId="31">#REF!</definedName>
    <definedName name="TABLE_20" localSheetId="0">#REF!</definedName>
    <definedName name="TABLE_20" localSheetId="1">#REF!</definedName>
    <definedName name="TABLE_20">#REF!</definedName>
    <definedName name="TABLE_21" localSheetId="4">#REF!</definedName>
    <definedName name="TABLE_21" localSheetId="5">#REF!</definedName>
    <definedName name="TABLE_21" localSheetId="3">#REF!</definedName>
    <definedName name="TABLE_21" localSheetId="30">#REF!</definedName>
    <definedName name="TABLE_21" localSheetId="18">#REF!</definedName>
    <definedName name="TABLE_21" localSheetId="6">#REF!</definedName>
    <definedName name="TABLE_21" localSheetId="19">#REF!</definedName>
    <definedName name="TABLE_21" localSheetId="7">#REF!</definedName>
    <definedName name="TABLE_21" localSheetId="20">#REF!</definedName>
    <definedName name="TABLE_21" localSheetId="17">#REF!</definedName>
    <definedName name="TABLE_21" localSheetId="25">#REF!</definedName>
    <definedName name="TABLE_21" localSheetId="31">#REF!</definedName>
    <definedName name="TABLE_21" localSheetId="0">#REF!</definedName>
    <definedName name="TABLE_21" localSheetId="1">#REF!</definedName>
    <definedName name="TABLE_21">#REF!</definedName>
    <definedName name="TABLE_22" localSheetId="4">#REF!</definedName>
    <definedName name="TABLE_22" localSheetId="5">#REF!</definedName>
    <definedName name="TABLE_22" localSheetId="3">#REF!</definedName>
    <definedName name="TABLE_22" localSheetId="30">#REF!</definedName>
    <definedName name="TABLE_22" localSheetId="18">#REF!</definedName>
    <definedName name="TABLE_22" localSheetId="6">#REF!</definedName>
    <definedName name="TABLE_22" localSheetId="19">#REF!</definedName>
    <definedName name="TABLE_22" localSheetId="7">#REF!</definedName>
    <definedName name="TABLE_22" localSheetId="20">#REF!</definedName>
    <definedName name="TABLE_22" localSheetId="17">#REF!</definedName>
    <definedName name="TABLE_22" localSheetId="25">#REF!</definedName>
    <definedName name="TABLE_22" localSheetId="31">#REF!</definedName>
    <definedName name="TABLE_22" localSheetId="0">#REF!</definedName>
    <definedName name="TABLE_22" localSheetId="1">#REF!</definedName>
    <definedName name="TABLE_22">#REF!</definedName>
    <definedName name="TABLE_23" localSheetId="4">#REF!</definedName>
    <definedName name="TABLE_23" localSheetId="5">#REF!</definedName>
    <definedName name="TABLE_23" localSheetId="3">#REF!</definedName>
    <definedName name="TABLE_23" localSheetId="30">#REF!</definedName>
    <definedName name="TABLE_23" localSheetId="18">#REF!</definedName>
    <definedName name="TABLE_23" localSheetId="6">#REF!</definedName>
    <definedName name="TABLE_23" localSheetId="19">#REF!</definedName>
    <definedName name="TABLE_23" localSheetId="7">#REF!</definedName>
    <definedName name="TABLE_23" localSheetId="20">#REF!</definedName>
    <definedName name="TABLE_23" localSheetId="17">#REF!</definedName>
    <definedName name="TABLE_23" localSheetId="25">#REF!</definedName>
    <definedName name="TABLE_23" localSheetId="31">#REF!</definedName>
    <definedName name="TABLE_23" localSheetId="0">#REF!</definedName>
    <definedName name="TABLE_23" localSheetId="1">#REF!</definedName>
    <definedName name="TABLE_23">#REF!</definedName>
    <definedName name="TABLE_24" localSheetId="4">#REF!</definedName>
    <definedName name="TABLE_24" localSheetId="5">#REF!</definedName>
    <definedName name="TABLE_24" localSheetId="3">#REF!</definedName>
    <definedName name="TABLE_24" localSheetId="30">#REF!</definedName>
    <definedName name="TABLE_24" localSheetId="18">#REF!</definedName>
    <definedName name="TABLE_24" localSheetId="6">#REF!</definedName>
    <definedName name="TABLE_24" localSheetId="19">#REF!</definedName>
    <definedName name="TABLE_24" localSheetId="7">#REF!</definedName>
    <definedName name="TABLE_24" localSheetId="20">#REF!</definedName>
    <definedName name="TABLE_24" localSheetId="17">#REF!</definedName>
    <definedName name="TABLE_24" localSheetId="25">#REF!</definedName>
    <definedName name="TABLE_24" localSheetId="31">#REF!</definedName>
    <definedName name="TABLE_24" localSheetId="0">#REF!</definedName>
    <definedName name="TABLE_24" localSheetId="1">#REF!</definedName>
    <definedName name="TABLE_24">#REF!</definedName>
    <definedName name="TABLE_25" localSheetId="4">#REF!</definedName>
    <definedName name="TABLE_25" localSheetId="5">#REF!</definedName>
    <definedName name="TABLE_25" localSheetId="3">#REF!</definedName>
    <definedName name="TABLE_25" localSheetId="30">#REF!</definedName>
    <definedName name="TABLE_25" localSheetId="18">#REF!</definedName>
    <definedName name="TABLE_25" localSheetId="6">#REF!</definedName>
    <definedName name="TABLE_25" localSheetId="19">#REF!</definedName>
    <definedName name="TABLE_25" localSheetId="7">#REF!</definedName>
    <definedName name="TABLE_25" localSheetId="20">#REF!</definedName>
    <definedName name="TABLE_25" localSheetId="17">#REF!</definedName>
    <definedName name="TABLE_25" localSheetId="25">#REF!</definedName>
    <definedName name="TABLE_25" localSheetId="31">#REF!</definedName>
    <definedName name="TABLE_25" localSheetId="0">#REF!</definedName>
    <definedName name="TABLE_25" localSheetId="1">#REF!</definedName>
    <definedName name="TABLE_25">#REF!</definedName>
    <definedName name="TABLE_26" localSheetId="4">#REF!</definedName>
    <definedName name="TABLE_26" localSheetId="5">#REF!</definedName>
    <definedName name="TABLE_26" localSheetId="3">#REF!</definedName>
    <definedName name="TABLE_26" localSheetId="30">#REF!</definedName>
    <definedName name="TABLE_26" localSheetId="18">#REF!</definedName>
    <definedName name="TABLE_26" localSheetId="6">#REF!</definedName>
    <definedName name="TABLE_26" localSheetId="19">#REF!</definedName>
    <definedName name="TABLE_26" localSheetId="7">#REF!</definedName>
    <definedName name="TABLE_26" localSheetId="20">#REF!</definedName>
    <definedName name="TABLE_26" localSheetId="17">#REF!</definedName>
    <definedName name="TABLE_26" localSheetId="25">#REF!</definedName>
    <definedName name="TABLE_26" localSheetId="31">#REF!</definedName>
    <definedName name="TABLE_26" localSheetId="0">#REF!</definedName>
    <definedName name="TABLE_26" localSheetId="1">#REF!</definedName>
    <definedName name="TABLE_26">#REF!</definedName>
    <definedName name="TABLE_27" localSheetId="4">#REF!</definedName>
    <definedName name="TABLE_27" localSheetId="5">#REF!</definedName>
    <definedName name="TABLE_27" localSheetId="3">#REF!</definedName>
    <definedName name="TABLE_27" localSheetId="30">#REF!</definedName>
    <definedName name="TABLE_27" localSheetId="18">#REF!</definedName>
    <definedName name="TABLE_27" localSheetId="6">#REF!</definedName>
    <definedName name="TABLE_27" localSheetId="19">#REF!</definedName>
    <definedName name="TABLE_27" localSheetId="7">#REF!</definedName>
    <definedName name="TABLE_27" localSheetId="20">#REF!</definedName>
    <definedName name="TABLE_27" localSheetId="17">#REF!</definedName>
    <definedName name="TABLE_27" localSheetId="25">#REF!</definedName>
    <definedName name="TABLE_27" localSheetId="31">#REF!</definedName>
    <definedName name="TABLE_27" localSheetId="0">#REF!</definedName>
    <definedName name="TABLE_27" localSheetId="1">#REF!</definedName>
    <definedName name="TABLE_27">#REF!</definedName>
    <definedName name="TABLE_28" localSheetId="4">#REF!</definedName>
    <definedName name="TABLE_28" localSheetId="5">#REF!</definedName>
    <definedName name="TABLE_28" localSheetId="3">#REF!</definedName>
    <definedName name="TABLE_28" localSheetId="30">#REF!</definedName>
    <definedName name="TABLE_28" localSheetId="18">#REF!</definedName>
    <definedName name="TABLE_28" localSheetId="6">#REF!</definedName>
    <definedName name="TABLE_28" localSheetId="19">#REF!</definedName>
    <definedName name="TABLE_28" localSheetId="7">#REF!</definedName>
    <definedName name="TABLE_28" localSheetId="20">#REF!</definedName>
    <definedName name="TABLE_28" localSheetId="17">#REF!</definedName>
    <definedName name="TABLE_28" localSheetId="25">#REF!</definedName>
    <definedName name="TABLE_28" localSheetId="31">#REF!</definedName>
    <definedName name="TABLE_28" localSheetId="0">#REF!</definedName>
    <definedName name="TABLE_28" localSheetId="1">#REF!</definedName>
    <definedName name="TABLE_28">#REF!</definedName>
    <definedName name="TABLE_29" localSheetId="4">#REF!</definedName>
    <definedName name="TABLE_29" localSheetId="5">#REF!</definedName>
    <definedName name="TABLE_29" localSheetId="3">#REF!</definedName>
    <definedName name="TABLE_29" localSheetId="30">#REF!</definedName>
    <definedName name="TABLE_29" localSheetId="18">#REF!</definedName>
    <definedName name="TABLE_29" localSheetId="6">#REF!</definedName>
    <definedName name="TABLE_29" localSheetId="19">#REF!</definedName>
    <definedName name="TABLE_29" localSheetId="7">#REF!</definedName>
    <definedName name="TABLE_29" localSheetId="20">#REF!</definedName>
    <definedName name="TABLE_29" localSheetId="17">#REF!</definedName>
    <definedName name="TABLE_29" localSheetId="25">#REF!</definedName>
    <definedName name="TABLE_29" localSheetId="31">#REF!</definedName>
    <definedName name="TABLE_29" localSheetId="0">#REF!</definedName>
    <definedName name="TABLE_29" localSheetId="1">#REF!</definedName>
    <definedName name="TABLE_29">#REF!</definedName>
    <definedName name="TABLE_3" localSheetId="4">#REF!</definedName>
    <definedName name="TABLE_3" localSheetId="5">#REF!</definedName>
    <definedName name="TABLE_3" localSheetId="3">#REF!</definedName>
    <definedName name="TABLE_3" localSheetId="30">#REF!</definedName>
    <definedName name="TABLE_3" localSheetId="18">#REF!</definedName>
    <definedName name="TABLE_3" localSheetId="6">#REF!</definedName>
    <definedName name="TABLE_3" localSheetId="19">#REF!</definedName>
    <definedName name="TABLE_3" localSheetId="7">#REF!</definedName>
    <definedName name="TABLE_3" localSheetId="20">#REF!</definedName>
    <definedName name="TABLE_3" localSheetId="17">#REF!</definedName>
    <definedName name="TABLE_3" localSheetId="25">#REF!</definedName>
    <definedName name="TABLE_3" localSheetId="31">#REF!</definedName>
    <definedName name="TABLE_3" localSheetId="0">#REF!</definedName>
    <definedName name="TABLE_3" localSheetId="1">#REF!</definedName>
    <definedName name="TABLE_3">#REF!</definedName>
    <definedName name="TABLE_30" localSheetId="4">#REF!</definedName>
    <definedName name="TABLE_30" localSheetId="5">#REF!</definedName>
    <definedName name="TABLE_30" localSheetId="3">#REF!</definedName>
    <definedName name="TABLE_30" localSheetId="30">#REF!</definedName>
    <definedName name="TABLE_30" localSheetId="18">#REF!</definedName>
    <definedName name="TABLE_30" localSheetId="6">#REF!</definedName>
    <definedName name="TABLE_30" localSheetId="19">#REF!</definedName>
    <definedName name="TABLE_30" localSheetId="7">#REF!</definedName>
    <definedName name="TABLE_30" localSheetId="20">#REF!</definedName>
    <definedName name="TABLE_30" localSheetId="17">#REF!</definedName>
    <definedName name="TABLE_30" localSheetId="25">#REF!</definedName>
    <definedName name="TABLE_30" localSheetId="31">#REF!</definedName>
    <definedName name="TABLE_30" localSheetId="0">#REF!</definedName>
    <definedName name="TABLE_30" localSheetId="1">#REF!</definedName>
    <definedName name="TABLE_30">#REF!</definedName>
    <definedName name="TABLE_31" localSheetId="4">#REF!</definedName>
    <definedName name="TABLE_31" localSheetId="5">#REF!</definedName>
    <definedName name="TABLE_31" localSheetId="3">#REF!</definedName>
    <definedName name="TABLE_31" localSheetId="30">#REF!</definedName>
    <definedName name="TABLE_31" localSheetId="18">#REF!</definedName>
    <definedName name="TABLE_31" localSheetId="6">#REF!</definedName>
    <definedName name="TABLE_31" localSheetId="19">#REF!</definedName>
    <definedName name="TABLE_31" localSheetId="7">#REF!</definedName>
    <definedName name="TABLE_31" localSheetId="20">#REF!</definedName>
    <definedName name="TABLE_31" localSheetId="17">#REF!</definedName>
    <definedName name="TABLE_31" localSheetId="25">#REF!</definedName>
    <definedName name="TABLE_31" localSheetId="31">#REF!</definedName>
    <definedName name="TABLE_31" localSheetId="0">#REF!</definedName>
    <definedName name="TABLE_31" localSheetId="1">#REF!</definedName>
    <definedName name="TABLE_31">#REF!</definedName>
    <definedName name="TABLE_32" localSheetId="4">#REF!</definedName>
    <definedName name="TABLE_32" localSheetId="5">#REF!</definedName>
    <definedName name="TABLE_32" localSheetId="3">#REF!</definedName>
    <definedName name="TABLE_32" localSheetId="30">#REF!</definedName>
    <definedName name="TABLE_32" localSheetId="18">#REF!</definedName>
    <definedName name="TABLE_32" localSheetId="6">#REF!</definedName>
    <definedName name="TABLE_32" localSheetId="19">#REF!</definedName>
    <definedName name="TABLE_32" localSheetId="7">#REF!</definedName>
    <definedName name="TABLE_32" localSheetId="20">#REF!</definedName>
    <definedName name="TABLE_32" localSheetId="17">#REF!</definedName>
    <definedName name="TABLE_32" localSheetId="25">#REF!</definedName>
    <definedName name="TABLE_32" localSheetId="31">#REF!</definedName>
    <definedName name="TABLE_32" localSheetId="0">#REF!</definedName>
    <definedName name="TABLE_32" localSheetId="1">#REF!</definedName>
    <definedName name="TABLE_32">#REF!</definedName>
    <definedName name="TABLE_33" localSheetId="4">#REF!</definedName>
    <definedName name="TABLE_33" localSheetId="5">#REF!</definedName>
    <definedName name="TABLE_33" localSheetId="3">#REF!</definedName>
    <definedName name="TABLE_33" localSheetId="30">#REF!</definedName>
    <definedName name="TABLE_33" localSheetId="18">#REF!</definedName>
    <definedName name="TABLE_33" localSheetId="6">#REF!</definedName>
    <definedName name="TABLE_33" localSheetId="19">#REF!</definedName>
    <definedName name="TABLE_33" localSheetId="7">#REF!</definedName>
    <definedName name="TABLE_33" localSheetId="20">#REF!</definedName>
    <definedName name="TABLE_33" localSheetId="17">#REF!</definedName>
    <definedName name="TABLE_33" localSheetId="25">#REF!</definedName>
    <definedName name="TABLE_33" localSheetId="31">#REF!</definedName>
    <definedName name="TABLE_33" localSheetId="0">#REF!</definedName>
    <definedName name="TABLE_33" localSheetId="1">#REF!</definedName>
    <definedName name="TABLE_33">#REF!</definedName>
    <definedName name="TABLE_34" localSheetId="4">#REF!</definedName>
    <definedName name="TABLE_34" localSheetId="5">#REF!</definedName>
    <definedName name="TABLE_34" localSheetId="3">#REF!</definedName>
    <definedName name="TABLE_34" localSheetId="30">#REF!</definedName>
    <definedName name="TABLE_34" localSheetId="18">#REF!</definedName>
    <definedName name="TABLE_34" localSheetId="6">#REF!</definedName>
    <definedName name="TABLE_34" localSheetId="19">#REF!</definedName>
    <definedName name="TABLE_34" localSheetId="7">#REF!</definedName>
    <definedName name="TABLE_34" localSheetId="20">#REF!</definedName>
    <definedName name="TABLE_34" localSheetId="17">#REF!</definedName>
    <definedName name="TABLE_34" localSheetId="25">#REF!</definedName>
    <definedName name="TABLE_34" localSheetId="31">#REF!</definedName>
    <definedName name="TABLE_34" localSheetId="0">#REF!</definedName>
    <definedName name="TABLE_34" localSheetId="1">#REF!</definedName>
    <definedName name="TABLE_34">#REF!</definedName>
    <definedName name="TABLE_35" localSheetId="4">#REF!</definedName>
    <definedName name="TABLE_35" localSheetId="5">#REF!</definedName>
    <definedName name="TABLE_35" localSheetId="3">#REF!</definedName>
    <definedName name="TABLE_35" localSheetId="30">#REF!</definedName>
    <definedName name="TABLE_35" localSheetId="18">#REF!</definedName>
    <definedName name="TABLE_35" localSheetId="6">#REF!</definedName>
    <definedName name="TABLE_35" localSheetId="19">#REF!</definedName>
    <definedName name="TABLE_35" localSheetId="7">#REF!</definedName>
    <definedName name="TABLE_35" localSheetId="20">#REF!</definedName>
    <definedName name="TABLE_35" localSheetId="17">#REF!</definedName>
    <definedName name="TABLE_35" localSheetId="25">#REF!</definedName>
    <definedName name="TABLE_35" localSheetId="31">#REF!</definedName>
    <definedName name="TABLE_35" localSheetId="0">#REF!</definedName>
    <definedName name="TABLE_35" localSheetId="1">#REF!</definedName>
    <definedName name="TABLE_35">#REF!</definedName>
    <definedName name="TABLE_36" localSheetId="4">#REF!</definedName>
    <definedName name="TABLE_36" localSheetId="5">#REF!</definedName>
    <definedName name="TABLE_36" localSheetId="3">#REF!</definedName>
    <definedName name="TABLE_36" localSheetId="30">#REF!</definedName>
    <definedName name="TABLE_36" localSheetId="18">#REF!</definedName>
    <definedName name="TABLE_36" localSheetId="6">#REF!</definedName>
    <definedName name="TABLE_36" localSheetId="19">#REF!</definedName>
    <definedName name="TABLE_36" localSheetId="7">#REF!</definedName>
    <definedName name="TABLE_36" localSheetId="20">#REF!</definedName>
    <definedName name="TABLE_36" localSheetId="17">#REF!</definedName>
    <definedName name="TABLE_36" localSheetId="25">#REF!</definedName>
    <definedName name="TABLE_36" localSheetId="31">#REF!</definedName>
    <definedName name="TABLE_36" localSheetId="0">#REF!</definedName>
    <definedName name="TABLE_36" localSheetId="1">#REF!</definedName>
    <definedName name="TABLE_36">#REF!</definedName>
    <definedName name="TABLE_37" localSheetId="4">#REF!</definedName>
    <definedName name="TABLE_37" localSheetId="5">#REF!</definedName>
    <definedName name="TABLE_37" localSheetId="3">#REF!</definedName>
    <definedName name="TABLE_37" localSheetId="30">#REF!</definedName>
    <definedName name="TABLE_37" localSheetId="18">#REF!</definedName>
    <definedName name="TABLE_37" localSheetId="6">#REF!</definedName>
    <definedName name="TABLE_37" localSheetId="19">#REF!</definedName>
    <definedName name="TABLE_37" localSheetId="7">#REF!</definedName>
    <definedName name="TABLE_37" localSheetId="20">#REF!</definedName>
    <definedName name="TABLE_37" localSheetId="17">#REF!</definedName>
    <definedName name="TABLE_37" localSheetId="25">#REF!</definedName>
    <definedName name="TABLE_37" localSheetId="31">#REF!</definedName>
    <definedName name="TABLE_37" localSheetId="0">#REF!</definedName>
    <definedName name="TABLE_37" localSheetId="1">#REF!</definedName>
    <definedName name="TABLE_37">#REF!</definedName>
    <definedName name="TABLE_38" localSheetId="4">#REF!</definedName>
    <definedName name="TABLE_38" localSheetId="5">#REF!</definedName>
    <definedName name="TABLE_38" localSheetId="3">#REF!</definedName>
    <definedName name="TABLE_38" localSheetId="30">#REF!</definedName>
    <definedName name="TABLE_38" localSheetId="18">#REF!</definedName>
    <definedName name="TABLE_38" localSheetId="6">#REF!</definedName>
    <definedName name="TABLE_38" localSheetId="19">#REF!</definedName>
    <definedName name="TABLE_38" localSheetId="7">#REF!</definedName>
    <definedName name="TABLE_38" localSheetId="20">#REF!</definedName>
    <definedName name="TABLE_38" localSheetId="17">#REF!</definedName>
    <definedName name="TABLE_38" localSheetId="25">#REF!</definedName>
    <definedName name="TABLE_38" localSheetId="31">#REF!</definedName>
    <definedName name="TABLE_38" localSheetId="0">#REF!</definedName>
    <definedName name="TABLE_38" localSheetId="1">#REF!</definedName>
    <definedName name="TABLE_38">#REF!</definedName>
    <definedName name="TABLE_39" localSheetId="4">#REF!</definedName>
    <definedName name="TABLE_39" localSheetId="5">#REF!</definedName>
    <definedName name="TABLE_39" localSheetId="3">#REF!</definedName>
    <definedName name="TABLE_39" localSheetId="30">#REF!</definedName>
    <definedName name="TABLE_39" localSheetId="18">#REF!</definedName>
    <definedName name="TABLE_39" localSheetId="6">#REF!</definedName>
    <definedName name="TABLE_39" localSheetId="19">#REF!</definedName>
    <definedName name="TABLE_39" localSheetId="7">#REF!</definedName>
    <definedName name="TABLE_39" localSheetId="20">#REF!</definedName>
    <definedName name="TABLE_39" localSheetId="17">#REF!</definedName>
    <definedName name="TABLE_39" localSheetId="25">#REF!</definedName>
    <definedName name="TABLE_39" localSheetId="31">#REF!</definedName>
    <definedName name="TABLE_39" localSheetId="0">#REF!</definedName>
    <definedName name="TABLE_39" localSheetId="1">#REF!</definedName>
    <definedName name="TABLE_39">#REF!</definedName>
    <definedName name="TABLE_4" localSheetId="4">#REF!</definedName>
    <definedName name="TABLE_4" localSheetId="5">#REF!</definedName>
    <definedName name="TABLE_4" localSheetId="3">#REF!</definedName>
    <definedName name="TABLE_4" localSheetId="30">#REF!</definedName>
    <definedName name="TABLE_4" localSheetId="18">#REF!</definedName>
    <definedName name="TABLE_4" localSheetId="6">#REF!</definedName>
    <definedName name="TABLE_4" localSheetId="19">#REF!</definedName>
    <definedName name="TABLE_4" localSheetId="7">#REF!</definedName>
    <definedName name="TABLE_4" localSheetId="20">#REF!</definedName>
    <definedName name="TABLE_4" localSheetId="17">#REF!</definedName>
    <definedName name="TABLE_4" localSheetId="25">#REF!</definedName>
    <definedName name="TABLE_4" localSheetId="31">#REF!</definedName>
    <definedName name="TABLE_4" localSheetId="0">#REF!</definedName>
    <definedName name="TABLE_4" localSheetId="1">#REF!</definedName>
    <definedName name="TABLE_4">#REF!</definedName>
    <definedName name="TABLE_40" localSheetId="4">#REF!</definedName>
    <definedName name="TABLE_40" localSheetId="5">#REF!</definedName>
    <definedName name="TABLE_40" localSheetId="3">#REF!</definedName>
    <definedName name="TABLE_40" localSheetId="30">#REF!</definedName>
    <definedName name="TABLE_40" localSheetId="18">#REF!</definedName>
    <definedName name="TABLE_40" localSheetId="6">#REF!</definedName>
    <definedName name="TABLE_40" localSheetId="19">#REF!</definedName>
    <definedName name="TABLE_40" localSheetId="7">#REF!</definedName>
    <definedName name="TABLE_40" localSheetId="20">#REF!</definedName>
    <definedName name="TABLE_40" localSheetId="17">#REF!</definedName>
    <definedName name="TABLE_40" localSheetId="25">#REF!</definedName>
    <definedName name="TABLE_40" localSheetId="31">#REF!</definedName>
    <definedName name="TABLE_40" localSheetId="0">#REF!</definedName>
    <definedName name="TABLE_40" localSheetId="1">#REF!</definedName>
    <definedName name="TABLE_40">#REF!</definedName>
    <definedName name="TABLE_41" localSheetId="4">#REF!</definedName>
    <definedName name="TABLE_41" localSheetId="5">#REF!</definedName>
    <definedName name="TABLE_41" localSheetId="3">#REF!</definedName>
    <definedName name="TABLE_41" localSheetId="30">#REF!</definedName>
    <definedName name="TABLE_41" localSheetId="18">#REF!</definedName>
    <definedName name="TABLE_41" localSheetId="6">#REF!</definedName>
    <definedName name="TABLE_41" localSheetId="19">#REF!</definedName>
    <definedName name="TABLE_41" localSheetId="7">#REF!</definedName>
    <definedName name="TABLE_41" localSheetId="20">#REF!</definedName>
    <definedName name="TABLE_41" localSheetId="17">#REF!</definedName>
    <definedName name="TABLE_41" localSheetId="25">#REF!</definedName>
    <definedName name="TABLE_41" localSheetId="31">#REF!</definedName>
    <definedName name="TABLE_41" localSheetId="0">#REF!</definedName>
    <definedName name="TABLE_41" localSheetId="1">#REF!</definedName>
    <definedName name="TABLE_41">#REF!</definedName>
    <definedName name="TABLE_42" localSheetId="4">#REF!</definedName>
    <definedName name="TABLE_42" localSheetId="5">#REF!</definedName>
    <definedName name="TABLE_42" localSheetId="3">#REF!</definedName>
    <definedName name="TABLE_42" localSheetId="30">#REF!</definedName>
    <definedName name="TABLE_42" localSheetId="18">#REF!</definedName>
    <definedName name="TABLE_42" localSheetId="6">#REF!</definedName>
    <definedName name="TABLE_42" localSheetId="19">#REF!</definedName>
    <definedName name="TABLE_42" localSheetId="7">#REF!</definedName>
    <definedName name="TABLE_42" localSheetId="20">#REF!</definedName>
    <definedName name="TABLE_42" localSheetId="17">#REF!</definedName>
    <definedName name="TABLE_42" localSheetId="25">#REF!</definedName>
    <definedName name="TABLE_42" localSheetId="31">#REF!</definedName>
    <definedName name="TABLE_42" localSheetId="0">#REF!</definedName>
    <definedName name="TABLE_42" localSheetId="1">#REF!</definedName>
    <definedName name="TABLE_42">#REF!</definedName>
    <definedName name="TABLE_43" localSheetId="4">#REF!</definedName>
    <definedName name="TABLE_43" localSheetId="5">#REF!</definedName>
    <definedName name="TABLE_43" localSheetId="3">#REF!</definedName>
    <definedName name="TABLE_43" localSheetId="30">#REF!</definedName>
    <definedName name="TABLE_43" localSheetId="18">#REF!</definedName>
    <definedName name="TABLE_43" localSheetId="6">#REF!</definedName>
    <definedName name="TABLE_43" localSheetId="19">#REF!</definedName>
    <definedName name="TABLE_43" localSheetId="7">#REF!</definedName>
    <definedName name="TABLE_43" localSheetId="20">#REF!</definedName>
    <definedName name="TABLE_43" localSheetId="17">#REF!</definedName>
    <definedName name="TABLE_43" localSheetId="25">#REF!</definedName>
    <definedName name="TABLE_43" localSheetId="31">#REF!</definedName>
    <definedName name="TABLE_43" localSheetId="0">#REF!</definedName>
    <definedName name="TABLE_43" localSheetId="1">#REF!</definedName>
    <definedName name="TABLE_43">#REF!</definedName>
    <definedName name="TABLE_44" localSheetId="4">#REF!</definedName>
    <definedName name="TABLE_44" localSheetId="5">#REF!</definedName>
    <definedName name="TABLE_44" localSheetId="3">#REF!</definedName>
    <definedName name="TABLE_44" localSheetId="30">#REF!</definedName>
    <definedName name="TABLE_44" localSheetId="18">#REF!</definedName>
    <definedName name="TABLE_44" localSheetId="6">#REF!</definedName>
    <definedName name="TABLE_44" localSheetId="19">#REF!</definedName>
    <definedName name="TABLE_44" localSheetId="7">#REF!</definedName>
    <definedName name="TABLE_44" localSheetId="20">#REF!</definedName>
    <definedName name="TABLE_44" localSheetId="17">#REF!</definedName>
    <definedName name="TABLE_44" localSheetId="25">#REF!</definedName>
    <definedName name="TABLE_44" localSheetId="31">#REF!</definedName>
    <definedName name="TABLE_44" localSheetId="0">#REF!</definedName>
    <definedName name="TABLE_44" localSheetId="1">#REF!</definedName>
    <definedName name="TABLE_44">#REF!</definedName>
    <definedName name="TABLE_45" localSheetId="4">#REF!</definedName>
    <definedName name="TABLE_45" localSheetId="5">#REF!</definedName>
    <definedName name="TABLE_45" localSheetId="3">#REF!</definedName>
    <definedName name="TABLE_45" localSheetId="30">#REF!</definedName>
    <definedName name="TABLE_45" localSheetId="18">#REF!</definedName>
    <definedName name="TABLE_45" localSheetId="6">#REF!</definedName>
    <definedName name="TABLE_45" localSheetId="19">#REF!</definedName>
    <definedName name="TABLE_45" localSheetId="7">#REF!</definedName>
    <definedName name="TABLE_45" localSheetId="20">#REF!</definedName>
    <definedName name="TABLE_45" localSheetId="17">#REF!</definedName>
    <definedName name="TABLE_45" localSheetId="25">#REF!</definedName>
    <definedName name="TABLE_45" localSheetId="31">#REF!</definedName>
    <definedName name="TABLE_45" localSheetId="0">#REF!</definedName>
    <definedName name="TABLE_45" localSheetId="1">#REF!</definedName>
    <definedName name="TABLE_45">#REF!</definedName>
    <definedName name="TABLE_46" localSheetId="4">#REF!</definedName>
    <definedName name="TABLE_46" localSheetId="5">#REF!</definedName>
    <definedName name="TABLE_46" localSheetId="3">#REF!</definedName>
    <definedName name="TABLE_46" localSheetId="30">#REF!</definedName>
    <definedName name="TABLE_46" localSheetId="18">#REF!</definedName>
    <definedName name="TABLE_46" localSheetId="6">#REF!</definedName>
    <definedName name="TABLE_46" localSheetId="19">#REF!</definedName>
    <definedName name="TABLE_46" localSheetId="7">#REF!</definedName>
    <definedName name="TABLE_46" localSheetId="20">#REF!</definedName>
    <definedName name="TABLE_46" localSheetId="17">#REF!</definedName>
    <definedName name="TABLE_46" localSheetId="25">#REF!</definedName>
    <definedName name="TABLE_46" localSheetId="31">#REF!</definedName>
    <definedName name="TABLE_46" localSheetId="0">#REF!</definedName>
    <definedName name="TABLE_46" localSheetId="1">#REF!</definedName>
    <definedName name="TABLE_46">#REF!</definedName>
    <definedName name="TABLE_47" localSheetId="4">#REF!</definedName>
    <definedName name="TABLE_47" localSheetId="5">#REF!</definedName>
    <definedName name="TABLE_47" localSheetId="3">#REF!</definedName>
    <definedName name="TABLE_47" localSheetId="30">#REF!</definedName>
    <definedName name="TABLE_47" localSheetId="18">#REF!</definedName>
    <definedName name="TABLE_47" localSheetId="6">#REF!</definedName>
    <definedName name="TABLE_47" localSheetId="19">#REF!</definedName>
    <definedName name="TABLE_47" localSheetId="7">#REF!</definedName>
    <definedName name="TABLE_47" localSheetId="20">#REF!</definedName>
    <definedName name="TABLE_47" localSheetId="17">#REF!</definedName>
    <definedName name="TABLE_47" localSheetId="25">#REF!</definedName>
    <definedName name="TABLE_47" localSheetId="31">#REF!</definedName>
    <definedName name="TABLE_47" localSheetId="0">#REF!</definedName>
    <definedName name="TABLE_47" localSheetId="1">#REF!</definedName>
    <definedName name="TABLE_47">#REF!</definedName>
    <definedName name="TABLE_48" localSheetId="4">#REF!</definedName>
    <definedName name="TABLE_48" localSheetId="5">#REF!</definedName>
    <definedName name="TABLE_48" localSheetId="3">#REF!</definedName>
    <definedName name="TABLE_48" localSheetId="30">#REF!</definedName>
    <definedName name="TABLE_48" localSheetId="18">#REF!</definedName>
    <definedName name="TABLE_48" localSheetId="6">#REF!</definedName>
    <definedName name="TABLE_48" localSheetId="19">#REF!</definedName>
    <definedName name="TABLE_48" localSheetId="7">#REF!</definedName>
    <definedName name="TABLE_48" localSheetId="20">#REF!</definedName>
    <definedName name="TABLE_48" localSheetId="17">#REF!</definedName>
    <definedName name="TABLE_48" localSheetId="25">#REF!</definedName>
    <definedName name="TABLE_48" localSheetId="31">#REF!</definedName>
    <definedName name="TABLE_48" localSheetId="0">#REF!</definedName>
    <definedName name="TABLE_48" localSheetId="1">#REF!</definedName>
    <definedName name="TABLE_48">#REF!</definedName>
    <definedName name="TABLE_49" localSheetId="4">#REF!</definedName>
    <definedName name="TABLE_49" localSheetId="5">#REF!</definedName>
    <definedName name="TABLE_49" localSheetId="3">#REF!</definedName>
    <definedName name="TABLE_49" localSheetId="30">#REF!</definedName>
    <definedName name="TABLE_49" localSheetId="18">#REF!</definedName>
    <definedName name="TABLE_49" localSheetId="6">#REF!</definedName>
    <definedName name="TABLE_49" localSheetId="19">#REF!</definedName>
    <definedName name="TABLE_49" localSheetId="7">#REF!</definedName>
    <definedName name="TABLE_49" localSheetId="20">#REF!</definedName>
    <definedName name="TABLE_49" localSheetId="17">#REF!</definedName>
    <definedName name="TABLE_49" localSheetId="25">#REF!</definedName>
    <definedName name="TABLE_49" localSheetId="31">#REF!</definedName>
    <definedName name="TABLE_49" localSheetId="0">#REF!</definedName>
    <definedName name="TABLE_49" localSheetId="1">#REF!</definedName>
    <definedName name="TABLE_49">#REF!</definedName>
    <definedName name="TABLE_5" localSheetId="4">#REF!</definedName>
    <definedName name="TABLE_5" localSheetId="5">#REF!</definedName>
    <definedName name="TABLE_5" localSheetId="3">#REF!</definedName>
    <definedName name="TABLE_5" localSheetId="30">#REF!</definedName>
    <definedName name="TABLE_5" localSheetId="18">#REF!</definedName>
    <definedName name="TABLE_5" localSheetId="6">#REF!</definedName>
    <definedName name="TABLE_5" localSheetId="19">#REF!</definedName>
    <definedName name="TABLE_5" localSheetId="7">#REF!</definedName>
    <definedName name="TABLE_5" localSheetId="20">#REF!</definedName>
    <definedName name="TABLE_5" localSheetId="17">#REF!</definedName>
    <definedName name="TABLE_5" localSheetId="25">#REF!</definedName>
    <definedName name="TABLE_5" localSheetId="31">#REF!</definedName>
    <definedName name="TABLE_5" localSheetId="0">#REF!</definedName>
    <definedName name="TABLE_5" localSheetId="1">#REF!</definedName>
    <definedName name="TABLE_5">#REF!</definedName>
    <definedName name="TABLE_50" localSheetId="4">#REF!</definedName>
    <definedName name="TABLE_50" localSheetId="5">#REF!</definedName>
    <definedName name="TABLE_50" localSheetId="3">#REF!</definedName>
    <definedName name="TABLE_50" localSheetId="30">#REF!</definedName>
    <definedName name="TABLE_50" localSheetId="18">#REF!</definedName>
    <definedName name="TABLE_50" localSheetId="6">#REF!</definedName>
    <definedName name="TABLE_50" localSheetId="19">#REF!</definedName>
    <definedName name="TABLE_50" localSheetId="7">#REF!</definedName>
    <definedName name="TABLE_50" localSheetId="20">#REF!</definedName>
    <definedName name="TABLE_50" localSheetId="17">#REF!</definedName>
    <definedName name="TABLE_50" localSheetId="25">#REF!</definedName>
    <definedName name="TABLE_50" localSheetId="31">#REF!</definedName>
    <definedName name="TABLE_50" localSheetId="0">#REF!</definedName>
    <definedName name="TABLE_50" localSheetId="1">#REF!</definedName>
    <definedName name="TABLE_50">#REF!</definedName>
    <definedName name="TABLE_51" localSheetId="4">#REF!</definedName>
    <definedName name="TABLE_51" localSheetId="5">#REF!</definedName>
    <definedName name="TABLE_51" localSheetId="3">#REF!</definedName>
    <definedName name="TABLE_51" localSheetId="30">#REF!</definedName>
    <definedName name="TABLE_51" localSheetId="18">#REF!</definedName>
    <definedName name="TABLE_51" localSheetId="6">#REF!</definedName>
    <definedName name="TABLE_51" localSheetId="19">#REF!</definedName>
    <definedName name="TABLE_51" localSheetId="7">#REF!</definedName>
    <definedName name="TABLE_51" localSheetId="20">#REF!</definedName>
    <definedName name="TABLE_51" localSheetId="17">#REF!</definedName>
    <definedName name="TABLE_51" localSheetId="25">#REF!</definedName>
    <definedName name="TABLE_51" localSheetId="31">#REF!</definedName>
    <definedName name="TABLE_51" localSheetId="0">#REF!</definedName>
    <definedName name="TABLE_51" localSheetId="1">#REF!</definedName>
    <definedName name="TABLE_51">#REF!</definedName>
    <definedName name="TABLE_52" localSheetId="4">#REF!</definedName>
    <definedName name="TABLE_52" localSheetId="5">#REF!</definedName>
    <definedName name="TABLE_52" localSheetId="3">#REF!</definedName>
    <definedName name="TABLE_52" localSheetId="30">#REF!</definedName>
    <definedName name="TABLE_52" localSheetId="18">#REF!</definedName>
    <definedName name="TABLE_52" localSheetId="6">#REF!</definedName>
    <definedName name="TABLE_52" localSheetId="19">#REF!</definedName>
    <definedName name="TABLE_52" localSheetId="7">#REF!</definedName>
    <definedName name="TABLE_52" localSheetId="20">#REF!</definedName>
    <definedName name="TABLE_52" localSheetId="17">#REF!</definedName>
    <definedName name="TABLE_52" localSheetId="25">#REF!</definedName>
    <definedName name="TABLE_52" localSheetId="31">#REF!</definedName>
    <definedName name="TABLE_52" localSheetId="0">#REF!</definedName>
    <definedName name="TABLE_52" localSheetId="1">#REF!</definedName>
    <definedName name="TABLE_52">#REF!</definedName>
    <definedName name="TABLE_53" localSheetId="4">#REF!</definedName>
    <definedName name="TABLE_53" localSheetId="5">#REF!</definedName>
    <definedName name="TABLE_53" localSheetId="3">#REF!</definedName>
    <definedName name="TABLE_53" localSheetId="30">#REF!</definedName>
    <definedName name="TABLE_53" localSheetId="18">#REF!</definedName>
    <definedName name="TABLE_53" localSheetId="6">#REF!</definedName>
    <definedName name="TABLE_53" localSheetId="19">#REF!</definedName>
    <definedName name="TABLE_53" localSheetId="7">#REF!</definedName>
    <definedName name="TABLE_53" localSheetId="20">#REF!</definedName>
    <definedName name="TABLE_53" localSheetId="17">#REF!</definedName>
    <definedName name="TABLE_53" localSheetId="25">#REF!</definedName>
    <definedName name="TABLE_53" localSheetId="31">#REF!</definedName>
    <definedName name="TABLE_53" localSheetId="0">#REF!</definedName>
    <definedName name="TABLE_53" localSheetId="1">#REF!</definedName>
    <definedName name="TABLE_53">#REF!</definedName>
    <definedName name="TABLE_54" localSheetId="4">#REF!</definedName>
    <definedName name="TABLE_54" localSheetId="5">#REF!</definedName>
    <definedName name="TABLE_54" localSheetId="3">#REF!</definedName>
    <definedName name="TABLE_54" localSheetId="30">#REF!</definedName>
    <definedName name="TABLE_54" localSheetId="18">#REF!</definedName>
    <definedName name="TABLE_54" localSheetId="6">#REF!</definedName>
    <definedName name="TABLE_54" localSheetId="19">#REF!</definedName>
    <definedName name="TABLE_54" localSheetId="7">#REF!</definedName>
    <definedName name="TABLE_54" localSheetId="20">#REF!</definedName>
    <definedName name="TABLE_54" localSheetId="17">#REF!</definedName>
    <definedName name="TABLE_54" localSheetId="25">#REF!</definedName>
    <definedName name="TABLE_54" localSheetId="31">#REF!</definedName>
    <definedName name="TABLE_54" localSheetId="0">#REF!</definedName>
    <definedName name="TABLE_54" localSheetId="1">#REF!</definedName>
    <definedName name="TABLE_54">#REF!</definedName>
    <definedName name="TABLE_55" localSheetId="4">#REF!</definedName>
    <definedName name="TABLE_55" localSheetId="5">#REF!</definedName>
    <definedName name="TABLE_55" localSheetId="3">#REF!</definedName>
    <definedName name="TABLE_55" localSheetId="30">#REF!</definedName>
    <definedName name="TABLE_55" localSheetId="18">#REF!</definedName>
    <definedName name="TABLE_55" localSheetId="6">#REF!</definedName>
    <definedName name="TABLE_55" localSheetId="19">#REF!</definedName>
    <definedName name="TABLE_55" localSheetId="7">#REF!</definedName>
    <definedName name="TABLE_55" localSheetId="20">#REF!</definedName>
    <definedName name="TABLE_55" localSheetId="17">#REF!</definedName>
    <definedName name="TABLE_55" localSheetId="25">#REF!</definedName>
    <definedName name="TABLE_55" localSheetId="31">#REF!</definedName>
    <definedName name="TABLE_55" localSheetId="0">#REF!</definedName>
    <definedName name="TABLE_55" localSheetId="1">#REF!</definedName>
    <definedName name="TABLE_55">#REF!</definedName>
    <definedName name="TABLE_56" localSheetId="4">#REF!</definedName>
    <definedName name="TABLE_56" localSheetId="5">#REF!</definedName>
    <definedName name="TABLE_56" localSheetId="3">#REF!</definedName>
    <definedName name="TABLE_56" localSheetId="30">#REF!</definedName>
    <definedName name="TABLE_56" localSheetId="18">#REF!</definedName>
    <definedName name="TABLE_56" localSheetId="6">#REF!</definedName>
    <definedName name="TABLE_56" localSheetId="19">#REF!</definedName>
    <definedName name="TABLE_56" localSheetId="7">#REF!</definedName>
    <definedName name="TABLE_56" localSheetId="20">#REF!</definedName>
    <definedName name="TABLE_56" localSheetId="17">#REF!</definedName>
    <definedName name="TABLE_56" localSheetId="25">#REF!</definedName>
    <definedName name="TABLE_56" localSheetId="31">#REF!</definedName>
    <definedName name="TABLE_56" localSheetId="0">#REF!</definedName>
    <definedName name="TABLE_56" localSheetId="1">#REF!</definedName>
    <definedName name="TABLE_56">#REF!</definedName>
    <definedName name="TABLE_57" localSheetId="4">#REF!</definedName>
    <definedName name="TABLE_57" localSheetId="5">#REF!</definedName>
    <definedName name="TABLE_57" localSheetId="3">#REF!</definedName>
    <definedName name="TABLE_57" localSheetId="30">#REF!</definedName>
    <definedName name="TABLE_57" localSheetId="18">#REF!</definedName>
    <definedName name="TABLE_57" localSheetId="6">#REF!</definedName>
    <definedName name="TABLE_57" localSheetId="19">#REF!</definedName>
    <definedName name="TABLE_57" localSheetId="7">#REF!</definedName>
    <definedName name="TABLE_57" localSheetId="20">#REF!</definedName>
    <definedName name="TABLE_57" localSheetId="17">#REF!</definedName>
    <definedName name="TABLE_57" localSheetId="25">#REF!</definedName>
    <definedName name="TABLE_57" localSheetId="31">#REF!</definedName>
    <definedName name="TABLE_57" localSheetId="0">#REF!</definedName>
    <definedName name="TABLE_57" localSheetId="1">#REF!</definedName>
    <definedName name="TABLE_57">#REF!</definedName>
    <definedName name="TABLE_58" localSheetId="4">#REF!</definedName>
    <definedName name="TABLE_58" localSheetId="5">#REF!</definedName>
    <definedName name="TABLE_58" localSheetId="3">#REF!</definedName>
    <definedName name="TABLE_58" localSheetId="30">#REF!</definedName>
    <definedName name="TABLE_58" localSheetId="18">#REF!</definedName>
    <definedName name="TABLE_58" localSheetId="6">#REF!</definedName>
    <definedName name="TABLE_58" localSheetId="19">#REF!</definedName>
    <definedName name="TABLE_58" localSheetId="7">#REF!</definedName>
    <definedName name="TABLE_58" localSheetId="20">#REF!</definedName>
    <definedName name="TABLE_58" localSheetId="17">#REF!</definedName>
    <definedName name="TABLE_58" localSheetId="25">#REF!</definedName>
    <definedName name="TABLE_58" localSheetId="31">#REF!</definedName>
    <definedName name="TABLE_58" localSheetId="0">#REF!</definedName>
    <definedName name="TABLE_58" localSheetId="1">#REF!</definedName>
    <definedName name="TABLE_58">#REF!</definedName>
    <definedName name="TABLE_59" localSheetId="4">#REF!</definedName>
    <definedName name="TABLE_59" localSheetId="5">#REF!</definedName>
    <definedName name="TABLE_59" localSheetId="3">#REF!</definedName>
    <definedName name="TABLE_59" localSheetId="30">#REF!</definedName>
    <definedName name="TABLE_59" localSheetId="18">#REF!</definedName>
    <definedName name="TABLE_59" localSheetId="6">#REF!</definedName>
    <definedName name="TABLE_59" localSheetId="19">#REF!</definedName>
    <definedName name="TABLE_59" localSheetId="7">#REF!</definedName>
    <definedName name="TABLE_59" localSheetId="20">#REF!</definedName>
    <definedName name="TABLE_59" localSheetId="17">#REF!</definedName>
    <definedName name="TABLE_59" localSheetId="25">#REF!</definedName>
    <definedName name="TABLE_59" localSheetId="31">#REF!</definedName>
    <definedName name="TABLE_59" localSheetId="0">#REF!</definedName>
    <definedName name="TABLE_59" localSheetId="1">#REF!</definedName>
    <definedName name="TABLE_59">#REF!</definedName>
    <definedName name="TABLE_6" localSheetId="4">#REF!</definedName>
    <definedName name="TABLE_6" localSheetId="5">#REF!</definedName>
    <definedName name="TABLE_6" localSheetId="3">#REF!</definedName>
    <definedName name="TABLE_6" localSheetId="30">#REF!</definedName>
    <definedName name="TABLE_6" localSheetId="18">#REF!</definedName>
    <definedName name="TABLE_6" localSheetId="6">#REF!</definedName>
    <definedName name="TABLE_6" localSheetId="19">#REF!</definedName>
    <definedName name="TABLE_6" localSheetId="7">#REF!</definedName>
    <definedName name="TABLE_6" localSheetId="20">#REF!</definedName>
    <definedName name="TABLE_6" localSheetId="17">#REF!</definedName>
    <definedName name="TABLE_6" localSheetId="25">#REF!</definedName>
    <definedName name="TABLE_6" localSheetId="31">#REF!</definedName>
    <definedName name="TABLE_6" localSheetId="0">#REF!</definedName>
    <definedName name="TABLE_6" localSheetId="1">#REF!</definedName>
    <definedName name="TABLE_6">#REF!</definedName>
    <definedName name="TABLE_60" localSheetId="4">#REF!</definedName>
    <definedName name="TABLE_60" localSheetId="5">#REF!</definedName>
    <definedName name="TABLE_60" localSheetId="3">#REF!</definedName>
    <definedName name="TABLE_60" localSheetId="30">#REF!</definedName>
    <definedName name="TABLE_60" localSheetId="18">#REF!</definedName>
    <definedName name="TABLE_60" localSheetId="6">#REF!</definedName>
    <definedName name="TABLE_60" localSheetId="19">#REF!</definedName>
    <definedName name="TABLE_60" localSheetId="7">#REF!</definedName>
    <definedName name="TABLE_60" localSheetId="20">#REF!</definedName>
    <definedName name="TABLE_60" localSheetId="17">#REF!</definedName>
    <definedName name="TABLE_60" localSheetId="25">#REF!</definedName>
    <definedName name="TABLE_60" localSheetId="31">#REF!</definedName>
    <definedName name="TABLE_60" localSheetId="0">#REF!</definedName>
    <definedName name="TABLE_60" localSheetId="1">#REF!</definedName>
    <definedName name="TABLE_60">#REF!</definedName>
    <definedName name="TABLE_61" localSheetId="4">#REF!</definedName>
    <definedName name="TABLE_61" localSheetId="5">#REF!</definedName>
    <definedName name="TABLE_61" localSheetId="3">#REF!</definedName>
    <definedName name="TABLE_61" localSheetId="30">#REF!</definedName>
    <definedName name="TABLE_61" localSheetId="18">#REF!</definedName>
    <definedName name="TABLE_61" localSheetId="6">#REF!</definedName>
    <definedName name="TABLE_61" localSheetId="19">#REF!</definedName>
    <definedName name="TABLE_61" localSheetId="7">#REF!</definedName>
    <definedName name="TABLE_61" localSheetId="20">#REF!</definedName>
    <definedName name="TABLE_61" localSheetId="17">#REF!</definedName>
    <definedName name="TABLE_61" localSheetId="25">#REF!</definedName>
    <definedName name="TABLE_61" localSheetId="31">#REF!</definedName>
    <definedName name="TABLE_61" localSheetId="0">#REF!</definedName>
    <definedName name="TABLE_61" localSheetId="1">#REF!</definedName>
    <definedName name="TABLE_61">#REF!</definedName>
    <definedName name="TABLE_62" localSheetId="4">#REF!</definedName>
    <definedName name="TABLE_62" localSheetId="5">#REF!</definedName>
    <definedName name="TABLE_62" localSheetId="3">#REF!</definedName>
    <definedName name="TABLE_62" localSheetId="30">#REF!</definedName>
    <definedName name="TABLE_62" localSheetId="18">#REF!</definedName>
    <definedName name="TABLE_62" localSheetId="6">#REF!</definedName>
    <definedName name="TABLE_62" localSheetId="19">#REF!</definedName>
    <definedName name="TABLE_62" localSheetId="7">#REF!</definedName>
    <definedName name="TABLE_62" localSheetId="20">#REF!</definedName>
    <definedName name="TABLE_62" localSheetId="17">#REF!</definedName>
    <definedName name="TABLE_62" localSheetId="25">#REF!</definedName>
    <definedName name="TABLE_62" localSheetId="31">#REF!</definedName>
    <definedName name="TABLE_62" localSheetId="0">#REF!</definedName>
    <definedName name="TABLE_62" localSheetId="1">#REF!</definedName>
    <definedName name="TABLE_62">#REF!</definedName>
    <definedName name="TABLE_7" localSheetId="4">#REF!</definedName>
    <definedName name="TABLE_7" localSheetId="5">#REF!</definedName>
    <definedName name="TABLE_7" localSheetId="3">#REF!</definedName>
    <definedName name="TABLE_7" localSheetId="30">#REF!</definedName>
    <definedName name="TABLE_7" localSheetId="18">#REF!</definedName>
    <definedName name="TABLE_7" localSheetId="6">#REF!</definedName>
    <definedName name="TABLE_7" localSheetId="19">#REF!</definedName>
    <definedName name="TABLE_7" localSheetId="7">#REF!</definedName>
    <definedName name="TABLE_7" localSheetId="20">#REF!</definedName>
    <definedName name="TABLE_7" localSheetId="17">#REF!</definedName>
    <definedName name="TABLE_7" localSheetId="25">#REF!</definedName>
    <definedName name="TABLE_7" localSheetId="31">#REF!</definedName>
    <definedName name="TABLE_7" localSheetId="0">#REF!</definedName>
    <definedName name="TABLE_7" localSheetId="1">#REF!</definedName>
    <definedName name="TABLE_7">#REF!</definedName>
    <definedName name="TABLE_8" localSheetId="4">#REF!</definedName>
    <definedName name="TABLE_8" localSheetId="5">#REF!</definedName>
    <definedName name="TABLE_8" localSheetId="3">#REF!</definedName>
    <definedName name="TABLE_8" localSheetId="30">#REF!</definedName>
    <definedName name="TABLE_8" localSheetId="18">#REF!</definedName>
    <definedName name="TABLE_8" localSheetId="6">#REF!</definedName>
    <definedName name="TABLE_8" localSheetId="19">#REF!</definedName>
    <definedName name="TABLE_8" localSheetId="7">#REF!</definedName>
    <definedName name="TABLE_8" localSheetId="20">#REF!</definedName>
    <definedName name="TABLE_8" localSheetId="17">#REF!</definedName>
    <definedName name="TABLE_8" localSheetId="25">#REF!</definedName>
    <definedName name="TABLE_8" localSheetId="31">#REF!</definedName>
    <definedName name="TABLE_8" localSheetId="0">#REF!</definedName>
    <definedName name="TABLE_8" localSheetId="1">#REF!</definedName>
    <definedName name="TABLE_8">#REF!</definedName>
    <definedName name="TABLE_9" localSheetId="4">#REF!</definedName>
    <definedName name="TABLE_9" localSheetId="5">#REF!</definedName>
    <definedName name="TABLE_9" localSheetId="3">#REF!</definedName>
    <definedName name="TABLE_9" localSheetId="30">#REF!</definedName>
    <definedName name="TABLE_9" localSheetId="18">#REF!</definedName>
    <definedName name="TABLE_9" localSheetId="6">#REF!</definedName>
    <definedName name="TABLE_9" localSheetId="19">#REF!</definedName>
    <definedName name="TABLE_9" localSheetId="7">#REF!</definedName>
    <definedName name="TABLE_9" localSheetId="20">#REF!</definedName>
    <definedName name="TABLE_9" localSheetId="17">#REF!</definedName>
    <definedName name="TABLE_9" localSheetId="25">#REF!</definedName>
    <definedName name="TABLE_9" localSheetId="31">#REF!</definedName>
    <definedName name="TABLE_9" localSheetId="0">#REF!</definedName>
    <definedName name="TABLE_9" localSheetId="1">#REF!</definedName>
    <definedName name="TABLE_9">#REF!</definedName>
    <definedName name="Tax_rate_for_WACC" localSheetId="4">[8]WACC_VDF!#REF!</definedName>
    <definedName name="Tax_rate_for_WACC" localSheetId="5">[8]WACC_VDF!#REF!</definedName>
    <definedName name="Tax_rate_for_WACC" localSheetId="3">[8]WACC_VDF!#REF!</definedName>
    <definedName name="Tax_rate_for_WACC" localSheetId="30">[10]WACC_VDF!#REF!</definedName>
    <definedName name="Tax_rate_for_WACC" localSheetId="18">[9]WACC_VDF!#REF!</definedName>
    <definedName name="Tax_rate_for_WACC" localSheetId="6">[9]WACC_VDF!#REF!</definedName>
    <definedName name="Tax_rate_for_WACC" localSheetId="19">[9]WACC_VDF!#REF!</definedName>
    <definedName name="Tax_rate_for_WACC" localSheetId="7">[9]WACC_VDF!#REF!</definedName>
    <definedName name="Tax_rate_for_WACC" localSheetId="20">[9]WACC_VDF!#REF!</definedName>
    <definedName name="Tax_rate_for_WACC" localSheetId="17">[10]WACC_VDF!#REF!</definedName>
    <definedName name="Tax_rate_for_WACC" localSheetId="25">[10]WACC_VDF!#REF!</definedName>
    <definedName name="Tax_rate_for_WACC" localSheetId="31">[10]WACC_VDF!#REF!</definedName>
    <definedName name="Tax_rate_for_WACC" localSheetId="0">[10]WACC_VDF!#REF!</definedName>
    <definedName name="Tax_rate_for_WACC" localSheetId="1">[10]WACC_VDF!#REF!</definedName>
    <definedName name="Tax_rate_for_WACC">[10]WACC_VDF!#REF!</definedName>
    <definedName name="tbv" localSheetId="4">#REF!</definedName>
    <definedName name="tbv" localSheetId="5">#REF!</definedName>
    <definedName name="tbv" localSheetId="3">#REF!</definedName>
    <definedName name="tbv" localSheetId="30">#REF!</definedName>
    <definedName name="tbv" localSheetId="18">#REF!</definedName>
    <definedName name="tbv" localSheetId="6">#REF!</definedName>
    <definedName name="tbv" localSheetId="19">#REF!</definedName>
    <definedName name="tbv" localSheetId="7">#REF!</definedName>
    <definedName name="tbv" localSheetId="20">#REF!</definedName>
    <definedName name="tbv" localSheetId="17">#REF!</definedName>
    <definedName name="tbv" localSheetId="25">#REF!</definedName>
    <definedName name="tbv" localSheetId="31">#REF!</definedName>
    <definedName name="tbv" localSheetId="0">#REF!</definedName>
    <definedName name="tbv" localSheetId="1">#REF!</definedName>
    <definedName name="tbv">#REF!</definedName>
    <definedName name="THREE" localSheetId="4">#REF!</definedName>
    <definedName name="THREE" localSheetId="5">#REF!</definedName>
    <definedName name="THREE" localSheetId="3">#REF!</definedName>
    <definedName name="THREE" localSheetId="30">#REF!</definedName>
    <definedName name="THREE" localSheetId="18">#REF!</definedName>
    <definedName name="THREE" localSheetId="6">#REF!</definedName>
    <definedName name="THREE" localSheetId="19">#REF!</definedName>
    <definedName name="THREE" localSheetId="7">#REF!</definedName>
    <definedName name="THREE" localSheetId="20">#REF!</definedName>
    <definedName name="THREE" localSheetId="17">#REF!</definedName>
    <definedName name="THREE" localSheetId="25">#REF!</definedName>
    <definedName name="THREE" localSheetId="31">#REF!</definedName>
    <definedName name="THREE" localSheetId="0">#REF!</definedName>
    <definedName name="THREE" localSheetId="1">#REF!</definedName>
    <definedName name="THREE">#REF!</definedName>
    <definedName name="Total_Amortization" localSheetId="4">[8]NOPAT_VDF!$C$18:$AZ$18</definedName>
    <definedName name="Total_Amortization" localSheetId="5">[8]NOPAT_VDF!$C$18:$AZ$18</definedName>
    <definedName name="Total_Amortization" localSheetId="3">[8]NOPAT_VDF!$C$18:$AZ$18</definedName>
    <definedName name="Total_Amortization" localSheetId="18">[9]NOPAT_VDF!$C$18:$AZ$18</definedName>
    <definedName name="Total_Amortization" localSheetId="6">[9]NOPAT_VDF!$C$18:$AZ$18</definedName>
    <definedName name="Total_Amortization" localSheetId="19">[9]NOPAT_VDF!$C$18:$AZ$18</definedName>
    <definedName name="Total_Amortization" localSheetId="7">[9]NOPAT_VDF!$C$18:$AZ$18</definedName>
    <definedName name="Total_Amortization" localSheetId="20">[9]NOPAT_VDF!$C$18:$AZ$18</definedName>
    <definedName name="Total_Amortization">[10]NOPAT_VDF!$C$18:$AZ$18</definedName>
    <definedName name="Total_COS" localSheetId="4">[8]NOPAT_VDF!$C$9:$AZ$9</definedName>
    <definedName name="Total_COS" localSheetId="5">[8]NOPAT_VDF!$C$9:$AZ$9</definedName>
    <definedName name="Total_COS" localSheetId="3">[8]NOPAT_VDF!$C$9:$AZ$9</definedName>
    <definedName name="Total_COS" localSheetId="18">[9]NOPAT_VDF!$C$9:$AZ$9</definedName>
    <definedName name="Total_COS" localSheetId="6">[9]NOPAT_VDF!$C$9:$AZ$9</definedName>
    <definedName name="Total_COS" localSheetId="19">[9]NOPAT_VDF!$C$9:$AZ$9</definedName>
    <definedName name="Total_COS" localSheetId="7">[9]NOPAT_VDF!$C$9:$AZ$9</definedName>
    <definedName name="Total_COS" localSheetId="20">[9]NOPAT_VDF!$C$9:$AZ$9</definedName>
    <definedName name="Total_COS">[10]NOPAT_VDF!$C$9:$AZ$9</definedName>
    <definedName name="Total_COS_net_DnA_fore" localSheetId="4">[18]Forecasts_VDF!#REF!</definedName>
    <definedName name="Total_COS_net_DnA_fore" localSheetId="5">[18]Forecasts_VDF!#REF!</definedName>
    <definedName name="Total_COS_net_DnA_fore" localSheetId="3">[18]Forecasts_VDF!#REF!</definedName>
    <definedName name="Total_COS_net_DnA_fore" localSheetId="30">[19]Forecasts_VDF!#REF!</definedName>
    <definedName name="Total_COS_net_DnA_fore" localSheetId="18">[20]Forecasts_VDF!#REF!</definedName>
    <definedName name="Total_COS_net_DnA_fore" localSheetId="6">[20]Forecasts_VDF!#REF!</definedName>
    <definedName name="Total_COS_net_DnA_fore" localSheetId="19">[20]Forecasts_VDF!#REF!</definedName>
    <definedName name="Total_COS_net_DnA_fore" localSheetId="7">[20]Forecasts_VDF!#REF!</definedName>
    <definedName name="Total_COS_net_DnA_fore" localSheetId="20">[20]Forecasts_VDF!#REF!</definedName>
    <definedName name="Total_COS_net_DnA_fore" localSheetId="17">[19]Forecasts_VDF!#REF!</definedName>
    <definedName name="Total_COS_net_DnA_fore" localSheetId="25">[19]Forecasts_VDF!#REF!</definedName>
    <definedName name="Total_COS_net_DnA_fore" localSheetId="31">[19]Forecasts_VDF!#REF!</definedName>
    <definedName name="Total_COS_net_DnA_fore" localSheetId="0">[19]Forecasts_VDF!#REF!</definedName>
    <definedName name="Total_COS_net_DnA_fore" localSheetId="1">[19]Forecasts_VDF!#REF!</definedName>
    <definedName name="Total_COS_net_DnA_fore">[19]Forecasts_VDF!#REF!</definedName>
    <definedName name="Total_debt" localSheetId="4">'[8]Invested capital_VDF'!$C$61:$AU$61</definedName>
    <definedName name="Total_debt" localSheetId="5">'[8]Invested capital_VDF'!$C$61:$AU$61</definedName>
    <definedName name="Total_debt" localSheetId="3">'[8]Invested capital_VDF'!$C$61:$AU$61</definedName>
    <definedName name="Total_debt" localSheetId="18">'[9]Invested capital_VDF'!$C$61:$AU$61</definedName>
    <definedName name="Total_debt" localSheetId="6">'[9]Invested capital_VDF'!$C$61:$AU$61</definedName>
    <definedName name="Total_debt" localSheetId="19">'[9]Invested capital_VDF'!$C$61:$AU$61</definedName>
    <definedName name="Total_debt" localSheetId="7">'[9]Invested capital_VDF'!$C$61:$AU$61</definedName>
    <definedName name="Total_debt" localSheetId="20">'[9]Invested capital_VDF'!$C$61:$AU$61</definedName>
    <definedName name="Total_debt">'[10]Invested capital_VDF'!$C$61:$AU$61</definedName>
    <definedName name="Total_debt_DCF" localSheetId="4">[8]DCF_VDF!$C$35:$AZ$35</definedName>
    <definedName name="Total_debt_DCF" localSheetId="5">[8]DCF_VDF!$C$35:$AZ$35</definedName>
    <definedName name="Total_debt_DCF" localSheetId="3">[8]DCF_VDF!$C$35:$AZ$35</definedName>
    <definedName name="Total_debt_DCF" localSheetId="18">[9]DCF_VDF!$C$35:$AZ$35</definedName>
    <definedName name="Total_debt_DCF" localSheetId="6">[9]DCF_VDF!$C$35:$AZ$35</definedName>
    <definedName name="Total_debt_DCF" localSheetId="19">[9]DCF_VDF!$C$35:$AZ$35</definedName>
    <definedName name="Total_debt_DCF" localSheetId="7">[9]DCF_VDF!$C$35:$AZ$35</definedName>
    <definedName name="Total_debt_DCF" localSheetId="20">[9]DCF_VDF!$C$35:$AZ$35</definedName>
    <definedName name="Total_debt_DCF">[10]DCF_VDF!$C$35:$AZ$35</definedName>
    <definedName name="tt" localSheetId="4">#REF!</definedName>
    <definedName name="tt" localSheetId="5">#REF!</definedName>
    <definedName name="tt" localSheetId="3">#REF!</definedName>
    <definedName name="tt" localSheetId="30">#REF!</definedName>
    <definedName name="tt" localSheetId="18">#REF!</definedName>
    <definedName name="tt" localSheetId="6">#REF!</definedName>
    <definedName name="tt" localSheetId="19">#REF!</definedName>
    <definedName name="tt" localSheetId="7">#REF!</definedName>
    <definedName name="tt" localSheetId="20">#REF!</definedName>
    <definedName name="tt" localSheetId="17">#REF!</definedName>
    <definedName name="tt" localSheetId="25">#REF!</definedName>
    <definedName name="tt" localSheetId="31">#REF!</definedName>
    <definedName name="tt" localSheetId="0">#REF!</definedName>
    <definedName name="tt" localSheetId="1">#REF!</definedName>
    <definedName name="tt">#REF!</definedName>
    <definedName name="TWO" localSheetId="4">#REF!</definedName>
    <definedName name="TWO" localSheetId="5">#REF!</definedName>
    <definedName name="TWO" localSheetId="3">#REF!</definedName>
    <definedName name="TWO" localSheetId="30">#REF!</definedName>
    <definedName name="TWO" localSheetId="18">#REF!</definedName>
    <definedName name="TWO" localSheetId="6">#REF!</definedName>
    <definedName name="TWO" localSheetId="19">#REF!</definedName>
    <definedName name="TWO" localSheetId="7">#REF!</definedName>
    <definedName name="TWO" localSheetId="20">#REF!</definedName>
    <definedName name="TWO" localSheetId="17">#REF!</definedName>
    <definedName name="TWO" localSheetId="25">#REF!</definedName>
    <definedName name="TWO" localSheetId="31">#REF!</definedName>
    <definedName name="TWO" localSheetId="0">#REF!</definedName>
    <definedName name="TWO" localSheetId="1">#REF!</definedName>
    <definedName name="TWO">#REF!</definedName>
    <definedName name="wacc" localSheetId="4">#REF!</definedName>
    <definedName name="wacc" localSheetId="5">#REF!</definedName>
    <definedName name="wacc" localSheetId="3">#REF!</definedName>
    <definedName name="wacc" localSheetId="30">#REF!</definedName>
    <definedName name="wacc" localSheetId="18">#REF!</definedName>
    <definedName name="wacc" localSheetId="6">#REF!</definedName>
    <definedName name="wacc" localSheetId="19">#REF!</definedName>
    <definedName name="wacc" localSheetId="7">#REF!</definedName>
    <definedName name="wacc" localSheetId="20">#REF!</definedName>
    <definedName name="wacc" localSheetId="17">#REF!</definedName>
    <definedName name="wacc" localSheetId="25">#REF!</definedName>
    <definedName name="wacc" localSheetId="31">#REF!</definedName>
    <definedName name="wacc" localSheetId="0">#REF!</definedName>
    <definedName name="wacc" localSheetId="1">#REF!</definedName>
    <definedName name="wacc">#REF!</definedName>
    <definedName name="WACC_fore" localSheetId="4">[8]WACC_VDF!$J$21</definedName>
    <definedName name="WACC_fore" localSheetId="5">[8]WACC_VDF!$J$21</definedName>
    <definedName name="WACC_fore" localSheetId="3">[8]WACC_VDF!$J$21</definedName>
    <definedName name="WACC_fore" localSheetId="18">[9]WACC_VDF!$J$21</definedName>
    <definedName name="WACC_fore" localSheetId="6">[9]WACC_VDF!$J$21</definedName>
    <definedName name="WACC_fore" localSheetId="19">[9]WACC_VDF!$J$21</definedName>
    <definedName name="WACC_fore" localSheetId="7">[9]WACC_VDF!$J$21</definedName>
    <definedName name="WACC_fore" localSheetId="20">[9]WACC_VDF!$J$21</definedName>
    <definedName name="WACC_fore">[10]WACC_VDF!$J$21</definedName>
    <definedName name="WACC_P" localSheetId="4">'[8]Income Statement_VDF'!$R$44</definedName>
    <definedName name="WACC_P" localSheetId="5">'[8]Income Statement_VDF'!$R$44</definedName>
    <definedName name="WACC_P" localSheetId="3">'[8]Income Statement_VDF'!$R$44</definedName>
    <definedName name="WACC_P" localSheetId="18">'[9]Income Statement_VDF'!$R$44</definedName>
    <definedName name="WACC_P" localSheetId="6">'[9]Income Statement_VDF'!$R$44</definedName>
    <definedName name="WACC_P" localSheetId="19">'[9]Income Statement_VDF'!$R$44</definedName>
    <definedName name="WACC_P" localSheetId="7">'[9]Income Statement_VDF'!$R$44</definedName>
    <definedName name="WACC_P" localSheetId="20">'[9]Income Statement_VDF'!$R$44</definedName>
    <definedName name="WACC_P">'[10]Income Statement_VDF'!$R$44</definedName>
    <definedName name="WACC_P_1" localSheetId="4">[8]WACC_VDF!$U$23</definedName>
    <definedName name="WACC_P_1" localSheetId="5">[8]WACC_VDF!$U$23</definedName>
    <definedName name="WACC_P_1" localSheetId="3">[8]WACC_VDF!$U$23</definedName>
    <definedName name="WACC_P_1" localSheetId="18">[9]WACC_VDF!$U$23</definedName>
    <definedName name="WACC_P_1" localSheetId="6">[9]WACC_VDF!$U$23</definedName>
    <definedName name="WACC_P_1" localSheetId="19">[9]WACC_VDF!$U$23</definedName>
    <definedName name="WACC_P_1" localSheetId="7">[9]WACC_VDF!$U$23</definedName>
    <definedName name="WACC_P_1" localSheetId="20">[9]WACC_VDF!$U$23</definedName>
    <definedName name="WACC_P_1">[10]WACC_VDF!$U$23</definedName>
    <definedName name="WACC_P_8" localSheetId="4">[8]WACC_VDF!#REF!</definedName>
    <definedName name="WACC_P_8" localSheetId="5">[8]WACC_VDF!#REF!</definedName>
    <definedName name="WACC_P_8" localSheetId="3">[8]WACC_VDF!#REF!</definedName>
    <definedName name="WACC_P_8" localSheetId="30">[10]WACC_VDF!#REF!</definedName>
    <definedName name="WACC_P_8" localSheetId="18">[9]WACC_VDF!#REF!</definedName>
    <definedName name="WACC_P_8" localSheetId="6">[9]WACC_VDF!#REF!</definedName>
    <definedName name="WACC_P_8" localSheetId="19">[9]WACC_VDF!#REF!</definedName>
    <definedName name="WACC_P_8" localSheetId="7">[9]WACC_VDF!#REF!</definedName>
    <definedName name="WACC_P_8" localSheetId="20">[9]WACC_VDF!#REF!</definedName>
    <definedName name="WACC_P_8" localSheetId="17">[10]WACC_VDF!#REF!</definedName>
    <definedName name="WACC_P_8" localSheetId="25">[10]WACC_VDF!#REF!</definedName>
    <definedName name="WACC_P_8" localSheetId="31">[10]WACC_VDF!#REF!</definedName>
    <definedName name="WACC_P_8" localSheetId="0">[10]WACC_VDF!#REF!</definedName>
    <definedName name="WACC_P_8" localSheetId="1">[10]WACC_VDF!#REF!</definedName>
    <definedName name="WACC_P_8">[10]WACC_VDF!#REF!</definedName>
    <definedName name="wrn.Earnings._.Model." localSheetId="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3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8"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3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xternal." localSheetId="4" hidden="1">{"External_Annual_Income",#N/A,FALSE,"External";"External_Quarterly_Income",#N/A,FALSE,"External"}</definedName>
    <definedName name="wrn.External." localSheetId="5" hidden="1">{"External_Annual_Income",#N/A,FALSE,"External";"External_Quarterly_Income",#N/A,FALSE,"External"}</definedName>
    <definedName name="wrn.External." localSheetId="3" hidden="1">{"External_Annual_Income",#N/A,FALSE,"External";"External_Quarterly_Income",#N/A,FALSE,"External"}</definedName>
    <definedName name="wrn.External." localSheetId="30" hidden="1">{"External_Annual_Income",#N/A,FALSE,"External";"External_Quarterly_Income",#N/A,FALSE,"External"}</definedName>
    <definedName name="wrn.External." localSheetId="18" hidden="1">{"External_Annual_Income",#N/A,FALSE,"External";"External_Quarterly_Income",#N/A,FALSE,"External"}</definedName>
    <definedName name="wrn.External." localSheetId="6" hidden="1">{"External_Annual_Income",#N/A,FALSE,"External";"External_Quarterly_Income",#N/A,FALSE,"External"}</definedName>
    <definedName name="wrn.External." localSheetId="19" hidden="1">{"External_Annual_Income",#N/A,FALSE,"External";"External_Quarterly_Income",#N/A,FALSE,"External"}</definedName>
    <definedName name="wrn.External." localSheetId="7" hidden="1">{"External_Annual_Income",#N/A,FALSE,"External";"External_Quarterly_Income",#N/A,FALSE,"External"}</definedName>
    <definedName name="wrn.External." localSheetId="20" hidden="1">{"External_Annual_Income",#N/A,FALSE,"External";"External_Quarterly_Income",#N/A,FALSE,"External"}</definedName>
    <definedName name="wrn.External." localSheetId="17" hidden="1">{"External_Annual_Income",#N/A,FALSE,"External";"External_Quarterly_Income",#N/A,FALSE,"External"}</definedName>
    <definedName name="wrn.External." localSheetId="25" hidden="1">{"External_Annual_Income",#N/A,FALSE,"External";"External_Quarterly_Income",#N/A,FALSE,"External"}</definedName>
    <definedName name="wrn.External." localSheetId="31" hidden="1">{"External_Annual_Income",#N/A,FALSE,"External";"External_Quarterly_Income",#N/A,FALSE,"External"}</definedName>
    <definedName name="wrn.External." localSheetId="0" hidden="1">{"External_Annual_Income",#N/A,FALSE,"External";"External_Quarterly_Income",#N/A,FALSE,"External"}</definedName>
    <definedName name="wrn.External." localSheetId="1" hidden="1">{"External_Annual_Income",#N/A,FALSE,"External";"External_Quarterly_Income",#N/A,FALSE,"External"}</definedName>
    <definedName name="wrn.External." hidden="1">{"External_Annual_Income",#N/A,FALSE,"External";"External_Quarterly_Income",#N/A,FALSE,"External"}</definedName>
    <definedName name="wrn.external.2" localSheetId="4" hidden="1">{"External_Annual_Income",#N/A,FALSE,"External";"External_Quarterly_Income",#N/A,FALSE,"External"}</definedName>
    <definedName name="wrn.external.2" localSheetId="5" hidden="1">{"External_Annual_Income",#N/A,FALSE,"External";"External_Quarterly_Income",#N/A,FALSE,"External"}</definedName>
    <definedName name="wrn.external.2" localSheetId="3" hidden="1">{"External_Annual_Income",#N/A,FALSE,"External";"External_Quarterly_Income",#N/A,FALSE,"External"}</definedName>
    <definedName name="wrn.external.2" localSheetId="30" hidden="1">{"External_Annual_Income",#N/A,FALSE,"External";"External_Quarterly_Income",#N/A,FALSE,"External"}</definedName>
    <definedName name="wrn.external.2" localSheetId="18" hidden="1">{"External_Annual_Income",#N/A,FALSE,"External";"External_Quarterly_Income",#N/A,FALSE,"External"}</definedName>
    <definedName name="wrn.external.2" localSheetId="6" hidden="1">{"External_Annual_Income",#N/A,FALSE,"External";"External_Quarterly_Income",#N/A,FALSE,"External"}</definedName>
    <definedName name="wrn.external.2" localSheetId="19" hidden="1">{"External_Annual_Income",#N/A,FALSE,"External";"External_Quarterly_Income",#N/A,FALSE,"External"}</definedName>
    <definedName name="wrn.external.2" localSheetId="7" hidden="1">{"External_Annual_Income",#N/A,FALSE,"External";"External_Quarterly_Income",#N/A,FALSE,"External"}</definedName>
    <definedName name="wrn.external.2" localSheetId="20" hidden="1">{"External_Annual_Income",#N/A,FALSE,"External";"External_Quarterly_Income",#N/A,FALSE,"External"}</definedName>
    <definedName name="wrn.external.2" localSheetId="17" hidden="1">{"External_Annual_Income",#N/A,FALSE,"External";"External_Quarterly_Income",#N/A,FALSE,"External"}</definedName>
    <definedName name="wrn.external.2" localSheetId="25" hidden="1">{"External_Annual_Income",#N/A,FALSE,"External";"External_Quarterly_Income",#N/A,FALSE,"External"}</definedName>
    <definedName name="wrn.external.2" localSheetId="31" hidden="1">{"External_Annual_Income",#N/A,FALSE,"External";"External_Quarterly_Income",#N/A,FALSE,"External"}</definedName>
    <definedName name="wrn.external.2" localSheetId="0" hidden="1">{"External_Annual_Income",#N/A,FALSE,"External";"External_Quarterly_Income",#N/A,FALSE,"External"}</definedName>
    <definedName name="wrn.external.2" localSheetId="1" hidden="1">{"External_Annual_Income",#N/A,FALSE,"External";"External_Quarterly_Income",#N/A,FALSE,"External"}</definedName>
    <definedName name="wrn.external.2" hidden="1">{"External_Annual_Income",#N/A,FALSE,"External";"External_Quarterly_Income",#N/A,FALSE,"External"}</definedName>
    <definedName name="wrn.Income._.Statement." localSheetId="4" hidden="1">{#N/A,#N/A,FALSE,"Report Print"}</definedName>
    <definedName name="wrn.Income._.Statement." localSheetId="5" hidden="1">{#N/A,#N/A,FALSE,"Report Print"}</definedName>
    <definedName name="wrn.Income._.Statement." localSheetId="3" hidden="1">{#N/A,#N/A,FALSE,"Report Print"}</definedName>
    <definedName name="wrn.Income._.Statement." localSheetId="30" hidden="1">{#N/A,#N/A,FALSE,"Report Print"}</definedName>
    <definedName name="wrn.Income._.Statement." localSheetId="18" hidden="1">{#N/A,#N/A,FALSE,"Report Print"}</definedName>
    <definedName name="wrn.Income._.Statement." localSheetId="6" hidden="1">{#N/A,#N/A,FALSE,"Report Print"}</definedName>
    <definedName name="wrn.Income._.Statement." localSheetId="19" hidden="1">{#N/A,#N/A,FALSE,"Report Print"}</definedName>
    <definedName name="wrn.Income._.Statement." localSheetId="7" hidden="1">{#N/A,#N/A,FALSE,"Report Print"}</definedName>
    <definedName name="wrn.Income._.Statement." localSheetId="20" hidden="1">{#N/A,#N/A,FALSE,"Report Print"}</definedName>
    <definedName name="wrn.Income._.Statement." localSheetId="17" hidden="1">{#N/A,#N/A,FALSE,"Report Print"}</definedName>
    <definedName name="wrn.Income._.Statement." localSheetId="25" hidden="1">{#N/A,#N/A,FALSE,"Report Print"}</definedName>
    <definedName name="wrn.Income._.Statement." localSheetId="31" hidden="1">{#N/A,#N/A,FALSE,"Report Print"}</definedName>
    <definedName name="wrn.Income._.Statement." localSheetId="0" hidden="1">{#N/A,#N/A,FALSE,"Report Print"}</definedName>
    <definedName name="wrn.Income._.Statement." localSheetId="1" hidden="1">{#N/A,#N/A,FALSE,"Report Print"}</definedName>
    <definedName name="wrn.Income._.Statement." hidden="1">{#N/A,#N/A,FALSE,"Report Print"}</definedName>
    <definedName name="wrn.IPIX." localSheetId="4" hidden="1">{#N/A,#N/A,FALSE,"Report Print"}</definedName>
    <definedName name="wrn.IPIX." localSheetId="5" hidden="1">{#N/A,#N/A,FALSE,"Report Print"}</definedName>
    <definedName name="wrn.IPIX." localSheetId="3" hidden="1">{#N/A,#N/A,FALSE,"Report Print"}</definedName>
    <definedName name="wrn.IPIX." localSheetId="30" hidden="1">{#N/A,#N/A,FALSE,"Report Print"}</definedName>
    <definedName name="wrn.IPIX." localSheetId="18" hidden="1">{#N/A,#N/A,FALSE,"Report Print"}</definedName>
    <definedName name="wrn.IPIX." localSheetId="6" hidden="1">{#N/A,#N/A,FALSE,"Report Print"}</definedName>
    <definedName name="wrn.IPIX." localSheetId="19" hidden="1">{#N/A,#N/A,FALSE,"Report Print"}</definedName>
    <definedName name="wrn.IPIX." localSheetId="7" hidden="1">{#N/A,#N/A,FALSE,"Report Print"}</definedName>
    <definedName name="wrn.IPIX." localSheetId="20" hidden="1">{#N/A,#N/A,FALSE,"Report Print"}</definedName>
    <definedName name="wrn.IPIX." localSheetId="17" hidden="1">{#N/A,#N/A,FALSE,"Report Print"}</definedName>
    <definedName name="wrn.IPIX." localSheetId="25" hidden="1">{#N/A,#N/A,FALSE,"Report Print"}</definedName>
    <definedName name="wrn.IPIX." localSheetId="31" hidden="1">{#N/A,#N/A,FALSE,"Report Print"}</definedName>
    <definedName name="wrn.IPIX." localSheetId="0" hidden="1">{#N/A,#N/A,FALSE,"Report Print"}</definedName>
    <definedName name="wrn.IPIX." localSheetId="1" hidden="1">{#N/A,#N/A,FALSE,"Report Print"}</definedName>
    <definedName name="wrn.IPIX." hidden="1">{#N/A,#N/A,FALSE,"Report Print"}</definedName>
    <definedName name="wrn.Master_Income." localSheetId="4" hidden="1">{"Annual_Income",#N/A,FALSE,"Master Model";"Quarterly_Income",#N/A,FALSE,"Master Model"}</definedName>
    <definedName name="wrn.Master_Income." localSheetId="5" hidden="1">{"Annual_Income",#N/A,FALSE,"Master Model";"Quarterly_Income",#N/A,FALSE,"Master Model"}</definedName>
    <definedName name="wrn.Master_Income." localSheetId="3" hidden="1">{"Annual_Income",#N/A,FALSE,"Master Model";"Quarterly_Income",#N/A,FALSE,"Master Model"}</definedName>
    <definedName name="wrn.Master_Income." localSheetId="30" hidden="1">{"Annual_Income",#N/A,FALSE,"Master Model";"Quarterly_Income",#N/A,FALSE,"Master Model"}</definedName>
    <definedName name="wrn.Master_Income." localSheetId="18" hidden="1">{"Annual_Income",#N/A,FALSE,"Master Model";"Quarterly_Income",#N/A,FALSE,"Master Model"}</definedName>
    <definedName name="wrn.Master_Income." localSheetId="6" hidden="1">{"Annual_Income",#N/A,FALSE,"Master Model";"Quarterly_Income",#N/A,FALSE,"Master Model"}</definedName>
    <definedName name="wrn.Master_Income." localSheetId="19" hidden="1">{"Annual_Income",#N/A,FALSE,"Master Model";"Quarterly_Income",#N/A,FALSE,"Master Model"}</definedName>
    <definedName name="wrn.Master_Income." localSheetId="7" hidden="1">{"Annual_Income",#N/A,FALSE,"Master Model";"Quarterly_Income",#N/A,FALSE,"Master Model"}</definedName>
    <definedName name="wrn.Master_Income." localSheetId="20" hidden="1">{"Annual_Income",#N/A,FALSE,"Master Model";"Quarterly_Income",#N/A,FALSE,"Master Model"}</definedName>
    <definedName name="wrn.Master_Income." localSheetId="17" hidden="1">{"Annual_Income",#N/A,FALSE,"Master Model";"Quarterly_Income",#N/A,FALSE,"Master Model"}</definedName>
    <definedName name="wrn.Master_Income." localSheetId="25" hidden="1">{"Annual_Income",#N/A,FALSE,"Master Model";"Quarterly_Income",#N/A,FALSE,"Master Model"}</definedName>
    <definedName name="wrn.Master_Income." localSheetId="31" hidden="1">{"Annual_Income",#N/A,FALSE,"Master Model";"Quarterly_Income",#N/A,FALSE,"Master Model"}</definedName>
    <definedName name="wrn.Master_Income." localSheetId="0" hidden="1">{"Annual_Income",#N/A,FALSE,"Master Model";"Quarterly_Income",#N/A,FALSE,"Master Model"}</definedName>
    <definedName name="wrn.Master_Income." localSheetId="1" hidden="1">{"Annual_Income",#N/A,FALSE,"Master Model";"Quarterly_Income",#N/A,FALSE,"Master Model"}</definedName>
    <definedName name="wrn.Master_Income." hidden="1">{"Annual_Income",#N/A,FALSE,"Master Model";"Quarterly_Income",#N/A,FALSE,"Master Model"}</definedName>
    <definedName name="wrn.rep_page." localSheetId="4" hidden="1">{"Annual_Income",#N/A,FALSE,"Report Page";"Balance_Cash_Flow",#N/A,FALSE,"Report Page";"Quarterly_Income",#N/A,FALSE,"Report Page"}</definedName>
    <definedName name="wrn.rep_page." localSheetId="5" hidden="1">{"Annual_Income",#N/A,FALSE,"Report Page";"Balance_Cash_Flow",#N/A,FALSE,"Report Page";"Quarterly_Income",#N/A,FALSE,"Report Page"}</definedName>
    <definedName name="wrn.rep_page." localSheetId="3" hidden="1">{"Annual_Income",#N/A,FALSE,"Report Page";"Balance_Cash_Flow",#N/A,FALSE,"Report Page";"Quarterly_Income",#N/A,FALSE,"Report Page"}</definedName>
    <definedName name="wrn.rep_page." localSheetId="30" hidden="1">{"Annual_Income",#N/A,FALSE,"Report Page";"Balance_Cash_Flow",#N/A,FALSE,"Report Page";"Quarterly_Income",#N/A,FALSE,"Report Page"}</definedName>
    <definedName name="wrn.rep_page." localSheetId="18" hidden="1">{"Annual_Income",#N/A,FALSE,"Report Page";"Balance_Cash_Flow",#N/A,FALSE,"Report Page";"Quarterly_Income",#N/A,FALSE,"Report Page"}</definedName>
    <definedName name="wrn.rep_page." localSheetId="6" hidden="1">{"Annual_Income",#N/A,FALSE,"Report Page";"Balance_Cash_Flow",#N/A,FALSE,"Report Page";"Quarterly_Income",#N/A,FALSE,"Report Page"}</definedName>
    <definedName name="wrn.rep_page." localSheetId="19" hidden="1">{"Annual_Income",#N/A,FALSE,"Report Page";"Balance_Cash_Flow",#N/A,FALSE,"Report Page";"Quarterly_Income",#N/A,FALSE,"Report Page"}</definedName>
    <definedName name="wrn.rep_page." localSheetId="7" hidden="1">{"Annual_Income",#N/A,FALSE,"Report Page";"Balance_Cash_Flow",#N/A,FALSE,"Report Page";"Quarterly_Income",#N/A,FALSE,"Report Page"}</definedName>
    <definedName name="wrn.rep_page." localSheetId="20" hidden="1">{"Annual_Income",#N/A,FALSE,"Report Page";"Balance_Cash_Flow",#N/A,FALSE,"Report Page";"Quarterly_Income",#N/A,FALSE,"Report Page"}</definedName>
    <definedName name="wrn.rep_page." localSheetId="17" hidden="1">{"Annual_Income",#N/A,FALSE,"Report Page";"Balance_Cash_Flow",#N/A,FALSE,"Report Page";"Quarterly_Income",#N/A,FALSE,"Report Page"}</definedName>
    <definedName name="wrn.rep_page." localSheetId="25" hidden="1">{"Annual_Income",#N/A,FALSE,"Report Page";"Balance_Cash_Flow",#N/A,FALSE,"Report Page";"Quarterly_Income",#N/A,FALSE,"Report Page"}</definedName>
    <definedName name="wrn.rep_page." localSheetId="31" hidden="1">{"Annual_Income",#N/A,FALSE,"Report Page";"Balance_Cash_Flow",#N/A,FALSE,"Report Page";"Quarterly_Income",#N/A,FALSE,"Report Page"}</definedName>
    <definedName name="wrn.rep_page." localSheetId="0" hidden="1">{"Annual_Income",#N/A,FALSE,"Report Page";"Balance_Cash_Flow",#N/A,FALSE,"Report Page";"Quarterly_Income",#N/A,FALSE,"Report Page"}</definedName>
    <definedName name="wrn.rep_page." localSheetId="1" hidden="1">{"Annual_Income",#N/A,FALSE,"Report Page";"Balance_Cash_Flow",#N/A,FALSE,"Report Page";"Quarterly_Income",#N/A,FALSE,"Report Page"}</definedName>
    <definedName name="wrn.rep_page." hidden="1">{"Annual_Income",#N/A,FALSE,"Report Page";"Balance_Cash_Flow",#N/A,FALSE,"Report Page";"Quarterly_Income",#N/A,FALSE,"Report Page"}</definedName>
    <definedName name="wrn.Report_Page." localSheetId="4" hidden="1">{"Annual_Income",#N/A,FALSE,"Report Page";"Balance_Cash_Flow",#N/A,FALSE,"Report Page";"Quarterly_Income",#N/A,FALSE,"Report Page"}</definedName>
    <definedName name="wrn.Report_Page." localSheetId="5" hidden="1">{"Annual_Income",#N/A,FALSE,"Report Page";"Balance_Cash_Flow",#N/A,FALSE,"Report Page";"Quarterly_Income",#N/A,FALSE,"Report Page"}</definedName>
    <definedName name="wrn.Report_Page." localSheetId="3" hidden="1">{"Annual_Income",#N/A,FALSE,"Report Page";"Balance_Cash_Flow",#N/A,FALSE,"Report Page";"Quarterly_Income",#N/A,FALSE,"Report Page"}</definedName>
    <definedName name="wrn.Report_Page." localSheetId="30" hidden="1">{"Annual_Income",#N/A,FALSE,"Report Page";"Balance_Cash_Flow",#N/A,FALSE,"Report Page";"Quarterly_Income",#N/A,FALSE,"Report Page"}</definedName>
    <definedName name="wrn.Report_Page." localSheetId="18" hidden="1">{"Annual_Income",#N/A,FALSE,"Report Page";"Balance_Cash_Flow",#N/A,FALSE,"Report Page";"Quarterly_Income",#N/A,FALSE,"Report Page"}</definedName>
    <definedName name="wrn.Report_Page." localSheetId="6" hidden="1">{"Annual_Income",#N/A,FALSE,"Report Page";"Balance_Cash_Flow",#N/A,FALSE,"Report Page";"Quarterly_Income",#N/A,FALSE,"Report Page"}</definedName>
    <definedName name="wrn.Report_Page." localSheetId="19" hidden="1">{"Annual_Income",#N/A,FALSE,"Report Page";"Balance_Cash_Flow",#N/A,FALSE,"Report Page";"Quarterly_Income",#N/A,FALSE,"Report Page"}</definedName>
    <definedName name="wrn.Report_Page." localSheetId="7" hidden="1">{"Annual_Income",#N/A,FALSE,"Report Page";"Balance_Cash_Flow",#N/A,FALSE,"Report Page";"Quarterly_Income",#N/A,FALSE,"Report Page"}</definedName>
    <definedName name="wrn.Report_Page." localSheetId="20" hidden="1">{"Annual_Income",#N/A,FALSE,"Report Page";"Balance_Cash_Flow",#N/A,FALSE,"Report Page";"Quarterly_Income",#N/A,FALSE,"Report Page"}</definedName>
    <definedName name="wrn.Report_Page." localSheetId="17" hidden="1">{"Annual_Income",#N/A,FALSE,"Report Page";"Balance_Cash_Flow",#N/A,FALSE,"Report Page";"Quarterly_Income",#N/A,FALSE,"Report Page"}</definedName>
    <definedName name="wrn.Report_Page." localSheetId="25" hidden="1">{"Annual_Income",#N/A,FALSE,"Report Page";"Balance_Cash_Flow",#N/A,FALSE,"Report Page";"Quarterly_Income",#N/A,FALSE,"Report Page"}</definedName>
    <definedName name="wrn.Report_Page." localSheetId="31" hidden="1">{"Annual_Income",#N/A,FALSE,"Report Page";"Balance_Cash_Flow",#N/A,FALSE,"Report Page";"Quarterly_Income",#N/A,FALSE,"Report Page"}</definedName>
    <definedName name="wrn.Report_Page." localSheetId="0" hidden="1">{"Annual_Income",#N/A,FALSE,"Report Page";"Balance_Cash_Flow",#N/A,FALSE,"Report Page";"Quarterly_Income",#N/A,FALSE,"Report Page"}</definedName>
    <definedName name="wrn.Report_Page." localSheetId="1"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shares" localSheetId="4">#REF!</definedName>
    <definedName name="wshares" localSheetId="5">#REF!</definedName>
    <definedName name="wshares" localSheetId="3">#REF!</definedName>
    <definedName name="wshares" localSheetId="30">#REF!</definedName>
    <definedName name="wshares" localSheetId="18">#REF!</definedName>
    <definedName name="wshares" localSheetId="6">#REF!</definedName>
    <definedName name="wshares" localSheetId="19">#REF!</definedName>
    <definedName name="wshares" localSheetId="7">#REF!</definedName>
    <definedName name="wshares" localSheetId="20">#REF!</definedName>
    <definedName name="wshares" localSheetId="17">#REF!</definedName>
    <definedName name="wshares" localSheetId="25">#REF!</definedName>
    <definedName name="wshares" localSheetId="31">#REF!</definedName>
    <definedName name="wshares" localSheetId="0">#REF!</definedName>
    <definedName name="wshares" localSheetId="1">#REF!</definedName>
    <definedName name="wshares">#REF!</definedName>
    <definedName name="ww" localSheetId="4">'DESP Annual'!ww</definedName>
    <definedName name="ww" localSheetId="5">'DESP Charts'!ww</definedName>
    <definedName name="ww" localSheetId="3">'DESP Quarterly'!ww</definedName>
    <definedName name="ww" localSheetId="30">Forms!ww</definedName>
    <definedName name="ww" localSheetId="18">MMYT!ww</definedName>
    <definedName name="ww" localSheetId="6">'MMYT (2)'!ww</definedName>
    <definedName name="ww" localSheetId="19">'MMYT charts'!ww</definedName>
    <definedName name="ww" localSheetId="7">'MMYT charts (2)'!ww</definedName>
    <definedName name="ww" localSheetId="20">'OYO Estimation'!ww</definedName>
    <definedName name="ww" localSheetId="17">'Quarterly Charts '!ww</definedName>
    <definedName name="ww" localSheetId="25">'TOUR (RMB)'!ww</definedName>
    <definedName name="ww" localSheetId="31">'TOUR VS. CTRIP'!ww</definedName>
    <definedName name="ww" localSheetId="0">同程艺龙!ww</definedName>
    <definedName name="ww" localSheetId="1">'同程艺龙 Peers'!ww</definedName>
    <definedName name="ww">Forms!ww</definedName>
    <definedName name="xx" localSheetId="4">'DESP Annual'!xx</definedName>
    <definedName name="xx" localSheetId="5">'DESP Charts'!xx</definedName>
    <definedName name="xx" localSheetId="3">'DESP Quarterly'!xx</definedName>
    <definedName name="xx" localSheetId="30">Forms!xx</definedName>
    <definedName name="xx" localSheetId="18">MMYT!xx</definedName>
    <definedName name="xx" localSheetId="6">'MMYT (2)'!xx</definedName>
    <definedName name="xx" localSheetId="19">'MMYT charts'!xx</definedName>
    <definedName name="xx" localSheetId="7">'MMYT charts (2)'!xx</definedName>
    <definedName name="xx" localSheetId="20">'OYO Estimation'!xx</definedName>
    <definedName name="xx" localSheetId="17">'Quarterly Charts '!xx</definedName>
    <definedName name="xx" localSheetId="25">'TOUR (RMB)'!xx</definedName>
    <definedName name="xx" localSheetId="31">'TOUR VS. CTRIP'!xx</definedName>
    <definedName name="xx" localSheetId="0">同程艺龙!xx</definedName>
    <definedName name="xx" localSheetId="1">'同程艺龙 Peers'!xx</definedName>
    <definedName name="xx">Forms!xx</definedName>
    <definedName name="xxx" localSheetId="4">'DESP Annual'!xxx</definedName>
    <definedName name="xxx" localSheetId="5">'DESP Charts'!xxx</definedName>
    <definedName name="xxx" localSheetId="3">'DESP Quarterly'!xxx</definedName>
    <definedName name="xxx" localSheetId="30">Forms!xxx</definedName>
    <definedName name="xxx" localSheetId="18">MMYT!xxx</definedName>
    <definedName name="xxx" localSheetId="6">'MMYT (2)'!xxx</definedName>
    <definedName name="xxx" localSheetId="19">'MMYT charts'!xxx</definedName>
    <definedName name="xxx" localSheetId="7">'MMYT charts (2)'!xxx</definedName>
    <definedName name="xxx" localSheetId="20">'OYO Estimation'!xxx</definedName>
    <definedName name="xxx" localSheetId="17">'Quarterly Charts '!xxx</definedName>
    <definedName name="xxx" localSheetId="25">'TOUR (RMB)'!xxx</definedName>
    <definedName name="xxx" localSheetId="31">'TOUR VS. CTRIP'!xxx</definedName>
    <definedName name="xxx" localSheetId="0">同程艺龙!xxx</definedName>
    <definedName name="xxx" localSheetId="1">'同程艺龙 Peers'!xxx</definedName>
    <definedName name="xxx">Forms!xxx</definedName>
    <definedName name="Zero" localSheetId="4">#REF!</definedName>
    <definedName name="Zero" localSheetId="5">#REF!</definedName>
    <definedName name="Zero" localSheetId="3">#REF!</definedName>
    <definedName name="Zero" localSheetId="30">#REF!</definedName>
    <definedName name="Zero" localSheetId="18">#REF!</definedName>
    <definedName name="Zero" localSheetId="6">#REF!</definedName>
    <definedName name="Zero" localSheetId="19">#REF!</definedName>
    <definedName name="Zero" localSheetId="7">#REF!</definedName>
    <definedName name="Zero" localSheetId="20">#REF!</definedName>
    <definedName name="Zero" localSheetId="17">#REF!</definedName>
    <definedName name="Zero" localSheetId="25">#REF!</definedName>
    <definedName name="Zero" localSheetId="31">#REF!</definedName>
    <definedName name="Zero" localSheetId="0">#REF!</definedName>
    <definedName name="Zero" localSheetId="1">#REF!</definedName>
    <definedName name="Zero">#REF!</definedName>
    <definedName name="zzzzz" localSheetId="4">'DESP Annual'!zzzzz</definedName>
    <definedName name="zzzzz" localSheetId="5">'DESP Charts'!zzzzz</definedName>
    <definedName name="zzzzz" localSheetId="3">'DESP Quarterly'!zzzzz</definedName>
    <definedName name="zzzzz" localSheetId="30">Forms!zzzzz</definedName>
    <definedName name="zzzzz" localSheetId="18">MMYT!zzzzz</definedName>
    <definedName name="zzzzz" localSheetId="6">'MMYT (2)'!zzzzz</definedName>
    <definedName name="zzzzz" localSheetId="19">'MMYT charts'!zzzzz</definedName>
    <definedName name="zzzzz" localSheetId="7">'MMYT charts (2)'!zzzzz</definedName>
    <definedName name="zzzzz" localSheetId="20">'OYO Estimation'!zzzzz</definedName>
    <definedName name="zzzzz" localSheetId="17">'Quarterly Charts '!zzzzz</definedName>
    <definedName name="zzzzz" localSheetId="25">'TOUR (RMB)'!zzzzz</definedName>
    <definedName name="zzzzz" localSheetId="31">'TOUR VS. CTRIP'!zzzzz</definedName>
    <definedName name="zzzzz" localSheetId="0">同程艺龙!zzzzz</definedName>
    <definedName name="zzzzz" localSheetId="1">'同程艺龙 Peers'!zzzzz</definedName>
    <definedName name="zzzzz">Forms!zzzzz</definedName>
    <definedName name="阿a1" localSheetId="8">[15]GZ商旅业务!#REF!</definedName>
    <definedName name="阿a1" localSheetId="4">[15]GZ商旅业务!#REF!</definedName>
    <definedName name="阿a1" localSheetId="5">[15]GZ商旅业务!#REF!</definedName>
    <definedName name="阿a1" localSheetId="3">[15]GZ商旅业务!#REF!</definedName>
    <definedName name="阿a1" localSheetId="13">[27]GZ商旅业务!#REF!</definedName>
    <definedName name="阿a1" localSheetId="30">[15]GZ商旅业务!#REF!</definedName>
    <definedName name="阿a1" localSheetId="18">[15]GZ商旅业务!#REF!</definedName>
    <definedName name="阿a1" localSheetId="6">[15]GZ商旅业务!#REF!</definedName>
    <definedName name="阿a1" localSheetId="19">[15]GZ商旅业务!#REF!</definedName>
    <definedName name="阿a1" localSheetId="7">[15]GZ商旅业务!#REF!</definedName>
    <definedName name="阿a1" localSheetId="21">[15]GZ商旅业务!#REF!</definedName>
    <definedName name="阿a1" localSheetId="20">[15]GZ商旅业务!#REF!</definedName>
    <definedName name="阿a1" localSheetId="17">[15]GZ商旅业务!#REF!</definedName>
    <definedName name="阿a1" localSheetId="25">[15]GZ商旅业务!#REF!</definedName>
    <definedName name="阿a1" localSheetId="31">[15]GZ商旅业务!#REF!</definedName>
    <definedName name="阿a1" localSheetId="32">[15]GZ商旅业务!#REF!</definedName>
    <definedName name="阿a1" localSheetId="38">[15]GZ商旅业务!#REF!</definedName>
    <definedName name="阿a1" localSheetId="0">[15]GZ商旅业务!#REF!</definedName>
    <definedName name="阿a1" localSheetId="1">[15]GZ商旅业务!#REF!</definedName>
    <definedName name="阿a1">[15]GZ商旅业务!#REF!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99" i="78" l="1"/>
  <c r="AI91" i="78"/>
  <c r="AI90" i="78"/>
  <c r="AI89" i="78"/>
  <c r="AI88" i="78"/>
  <c r="AI85" i="78"/>
  <c r="AI76" i="78"/>
  <c r="AI75" i="78"/>
  <c r="AI74" i="78"/>
  <c r="AI73" i="78"/>
  <c r="AI62" i="78"/>
  <c r="AI61" i="78"/>
  <c r="AI60" i="78"/>
  <c r="AI59" i="78"/>
  <c r="AI56" i="78"/>
  <c r="AI45" i="78"/>
  <c r="AI37" i="78"/>
  <c r="AI27" i="78"/>
  <c r="AI18" i="78"/>
  <c r="AI16" i="78"/>
  <c r="AI12" i="78"/>
  <c r="AI10" i="78"/>
  <c r="AI9" i="78"/>
  <c r="AI7" i="78"/>
  <c r="AI4" i="78"/>
  <c r="BW168" i="37"/>
  <c r="BW234" i="37" s="1"/>
  <c r="BW162" i="37"/>
  <c r="BW232" i="37" s="1"/>
  <c r="BW157" i="37"/>
  <c r="BW148" i="37"/>
  <c r="BW165" i="37" s="1"/>
  <c r="BW121" i="37"/>
  <c r="BW124" i="37" s="1"/>
  <c r="BW324" i="37"/>
  <c r="BW309" i="37"/>
  <c r="BW308" i="37"/>
  <c r="BW253" i="37"/>
  <c r="BW251" i="37"/>
  <c r="BW245" i="37"/>
  <c r="BW229" i="37"/>
  <c r="BW227" i="37"/>
  <c r="BW225" i="37"/>
  <c r="BW183" i="37"/>
  <c r="BW185" i="37" s="1"/>
  <c r="BW186" i="37" s="1"/>
  <c r="BW182" i="37"/>
  <c r="BW181" i="37"/>
  <c r="BW159" i="37"/>
  <c r="BW231" i="37" s="1"/>
  <c r="BW139" i="37"/>
  <c r="BW136" i="37"/>
  <c r="BW135" i="37"/>
  <c r="BW132" i="37"/>
  <c r="BW131" i="37"/>
  <c r="BW127" i="37"/>
  <c r="BW126" i="37"/>
  <c r="BW120" i="37"/>
  <c r="BW119" i="37"/>
  <c r="BW118" i="37"/>
  <c r="BW116" i="37"/>
  <c r="BW115" i="37"/>
  <c r="BW114" i="37"/>
  <c r="BW75" i="37"/>
  <c r="BW73" i="37"/>
  <c r="BW72" i="37"/>
  <c r="BW70" i="37"/>
  <c r="BW68" i="37"/>
  <c r="BW67" i="37"/>
  <c r="BW64" i="37"/>
  <c r="BW62" i="37"/>
  <c r="BW143" i="37" s="1"/>
  <c r="BW60" i="37"/>
  <c r="BW40" i="37"/>
  <c r="BW39" i="37"/>
  <c r="BW38" i="37"/>
  <c r="BW36" i="37"/>
  <c r="BW35" i="37"/>
  <c r="BW34" i="37"/>
  <c r="BW10" i="37"/>
  <c r="BW8" i="37"/>
  <c r="BW6" i="37"/>
  <c r="BW7" i="37" s="1"/>
  <c r="BL169" i="41"/>
  <c r="BL166" i="41"/>
  <c r="BL182" i="41"/>
  <c r="BL180" i="41"/>
  <c r="BL175" i="41"/>
  <c r="BL121" i="41"/>
  <c r="BL112" i="41"/>
  <c r="BL108" i="41"/>
  <c r="BL91" i="41"/>
  <c r="BL72" i="41"/>
  <c r="BL71" i="41"/>
  <c r="BL70" i="41"/>
  <c r="BL69" i="41"/>
  <c r="BL52" i="41"/>
  <c r="BL51" i="41"/>
  <c r="BL46" i="41"/>
  <c r="BL43" i="41"/>
  <c r="BL40" i="41"/>
  <c r="BL33" i="41"/>
  <c r="BL35" i="41" s="1"/>
  <c r="BL31" i="41"/>
  <c r="BL19" i="41"/>
  <c r="BL18" i="41"/>
  <c r="BL16" i="41"/>
  <c r="BL15" i="41"/>
  <c r="BL10" i="41"/>
  <c r="BL9" i="41"/>
  <c r="BL7" i="41"/>
  <c r="BV324" i="37"/>
  <c r="BV309" i="37"/>
  <c r="BV308" i="37"/>
  <c r="BV253" i="37"/>
  <c r="BV251" i="37"/>
  <c r="BV245" i="37"/>
  <c r="BV229" i="37"/>
  <c r="BV227" i="37"/>
  <c r="BV225" i="37"/>
  <c r="BV183" i="37"/>
  <c r="BV185" i="37" s="1"/>
  <c r="BV186" i="37" s="1"/>
  <c r="BV182" i="37"/>
  <c r="BV181" i="37"/>
  <c r="BV168" i="37"/>
  <c r="BV162" i="37"/>
  <c r="BV159" i="37"/>
  <c r="BV231" i="37" s="1"/>
  <c r="BV157" i="37"/>
  <c r="BV148" i="37"/>
  <c r="BV156" i="37" s="1"/>
  <c r="BV139" i="37"/>
  <c r="BV136" i="37"/>
  <c r="BV135" i="37"/>
  <c r="BV132" i="37"/>
  <c r="BV131" i="37"/>
  <c r="BV127" i="37"/>
  <c r="BV126" i="37"/>
  <c r="BV121" i="37"/>
  <c r="BV124" i="37" s="1"/>
  <c r="BV120" i="37"/>
  <c r="BV119" i="37"/>
  <c r="BV118" i="37"/>
  <c r="BV116" i="37"/>
  <c r="BV115" i="37"/>
  <c r="BV114" i="37"/>
  <c r="BV75" i="37"/>
  <c r="BV73" i="37"/>
  <c r="BV72" i="37"/>
  <c r="BV70" i="37"/>
  <c r="BV68" i="37"/>
  <c r="BV67" i="37"/>
  <c r="BV64" i="37"/>
  <c r="BV62" i="37"/>
  <c r="BV143" i="37" s="1"/>
  <c r="BV144" i="37" s="1"/>
  <c r="BV60" i="37"/>
  <c r="BV40" i="37"/>
  <c r="BV36" i="37"/>
  <c r="BV39" i="37"/>
  <c r="BV35" i="37"/>
  <c r="BV38" i="37"/>
  <c r="BV34" i="37"/>
  <c r="BV10" i="37"/>
  <c r="BV8" i="37"/>
  <c r="BV6" i="37"/>
  <c r="BV7" i="37" s="1"/>
  <c r="AI29" i="78" l="1"/>
  <c r="AI30" i="78" s="1"/>
  <c r="AI70" i="78"/>
  <c r="AI82" i="78"/>
  <c r="AI80" i="78"/>
  <c r="AI79" i="78"/>
  <c r="AI64" i="78"/>
  <c r="AI66" i="78" s="1"/>
  <c r="AI67" i="78" s="1"/>
  <c r="AI19" i="78"/>
  <c r="AI81" i="78"/>
  <c r="BW156" i="37"/>
  <c r="BW173" i="37" s="1"/>
  <c r="BV165" i="37"/>
  <c r="BV233" i="37" s="1"/>
  <c r="BW228" i="37"/>
  <c r="BW233" i="37"/>
  <c r="BW11" i="37"/>
  <c r="BW144" i="37"/>
  <c r="BW123" i="37"/>
  <c r="BW226" i="37"/>
  <c r="BV123" i="37"/>
  <c r="BV226" i="37"/>
  <c r="BV11" i="37"/>
  <c r="BL113" i="41"/>
  <c r="BV228" i="37"/>
  <c r="BL76" i="41"/>
  <c r="BL77" i="41" s="1"/>
  <c r="BV232" i="37"/>
  <c r="BV234" i="37"/>
  <c r="BV173" i="37"/>
  <c r="BL92" i="41"/>
  <c r="BL144" i="41"/>
  <c r="BL44" i="41"/>
  <c r="BL146" i="41"/>
  <c r="BL41" i="41"/>
  <c r="BL47" i="41"/>
  <c r="BL145" i="41"/>
  <c r="BL143" i="41"/>
  <c r="BL135" i="41"/>
  <c r="BL109" i="41"/>
  <c r="BL137" i="41"/>
  <c r="BL140" i="41"/>
  <c r="BL139" i="41"/>
  <c r="BL138" i="41"/>
  <c r="BL136" i="41"/>
  <c r="BL49" i="41"/>
  <c r="BL11" i="41"/>
  <c r="BL142" i="41"/>
  <c r="BL114" i="41"/>
  <c r="BL79" i="41" l="1"/>
  <c r="BW191" i="37"/>
  <c r="BW176" i="37"/>
  <c r="BW175" i="37"/>
  <c r="BW174" i="37"/>
  <c r="BV174" i="37"/>
  <c r="BV191" i="37"/>
  <c r="BV176" i="37"/>
  <c r="BV175" i="37"/>
  <c r="BL81" i="41"/>
  <c r="BL80" i="41"/>
  <c r="BL98" i="41"/>
  <c r="BL82" i="41"/>
  <c r="AH99" i="78"/>
  <c r="AH91" i="78"/>
  <c r="AH90" i="78"/>
  <c r="AH89" i="78"/>
  <c r="AH88" i="78"/>
  <c r="AH85" i="78"/>
  <c r="AH76" i="78"/>
  <c r="AH75" i="78"/>
  <c r="AH74" i="78"/>
  <c r="AH73" i="78"/>
  <c r="AH62" i="78"/>
  <c r="AH82" i="78" s="1"/>
  <c r="AH61" i="78"/>
  <c r="AH81" i="78" s="1"/>
  <c r="AH60" i="78"/>
  <c r="AH80" i="78" s="1"/>
  <c r="AH59" i="78"/>
  <c r="AH79" i="78" s="1"/>
  <c r="AH56" i="78"/>
  <c r="AH45" i="78"/>
  <c r="AH37" i="78"/>
  <c r="AH27" i="78"/>
  <c r="AH18" i="78"/>
  <c r="AH19" i="78" s="1"/>
  <c r="AH16" i="78"/>
  <c r="AH12" i="78"/>
  <c r="AH10" i="78"/>
  <c r="AH9" i="78"/>
  <c r="AH7" i="78"/>
  <c r="AH4" i="78"/>
  <c r="BK225" i="41"/>
  <c r="BK223" i="41"/>
  <c r="BK221" i="41"/>
  <c r="BK182" i="41"/>
  <c r="BK181" i="41"/>
  <c r="BK180" i="41"/>
  <c r="BK175" i="41"/>
  <c r="BK174" i="41"/>
  <c r="BK173" i="41"/>
  <c r="BK169" i="41"/>
  <c r="BK166" i="41"/>
  <c r="BK121" i="41"/>
  <c r="BK112" i="41"/>
  <c r="BK108" i="41"/>
  <c r="BK91" i="41"/>
  <c r="BK72" i="41"/>
  <c r="BK71" i="41"/>
  <c r="BK70" i="41"/>
  <c r="BK69" i="41"/>
  <c r="BW67" i="41"/>
  <c r="BK52" i="41"/>
  <c r="BK51" i="41"/>
  <c r="BK43" i="41"/>
  <c r="BK40" i="41"/>
  <c r="BK33" i="41"/>
  <c r="BK35" i="41" s="1"/>
  <c r="BK145" i="41" s="1"/>
  <c r="BK31" i="41"/>
  <c r="BK19" i="41"/>
  <c r="BK16" i="41"/>
  <c r="BK18" i="41"/>
  <c r="BK15" i="41"/>
  <c r="BK9" i="41"/>
  <c r="BG9" i="41"/>
  <c r="BK7" i="41"/>
  <c r="BJ182" i="41"/>
  <c r="BJ181" i="41"/>
  <c r="BJ180" i="41"/>
  <c r="BJ179" i="41"/>
  <c r="BJ178" i="41"/>
  <c r="BJ177" i="41"/>
  <c r="BJ176" i="41"/>
  <c r="BJ175" i="41"/>
  <c r="BJ174" i="41"/>
  <c r="BJ173" i="41"/>
  <c r="BW178" i="37" l="1"/>
  <c r="BW177" i="37"/>
  <c r="BW203" i="37"/>
  <c r="BW194" i="37"/>
  <c r="BW197" i="37" s="1"/>
  <c r="BK113" i="41"/>
  <c r="AH29" i="78"/>
  <c r="AH30" i="78" s="1"/>
  <c r="AH70" i="78"/>
  <c r="BK142" i="41"/>
  <c r="BK144" i="41"/>
  <c r="BV178" i="37"/>
  <c r="BV177" i="37"/>
  <c r="AH64" i="78"/>
  <c r="AH66" i="78" s="1"/>
  <c r="AH67" i="78" s="1"/>
  <c r="BV194" i="37"/>
  <c r="BV197" i="37" s="1"/>
  <c r="BV203" i="37"/>
  <c r="BL84" i="41"/>
  <c r="BL83" i="41"/>
  <c r="BL110" i="41"/>
  <c r="BL105" i="41"/>
  <c r="BK114" i="41"/>
  <c r="BK44" i="41"/>
  <c r="BK47" i="41"/>
  <c r="BK136" i="41"/>
  <c r="BK49" i="41"/>
  <c r="BK137" i="41"/>
  <c r="BK138" i="41"/>
  <c r="BK135" i="41"/>
  <c r="BK92" i="41"/>
  <c r="BK139" i="41"/>
  <c r="BK76" i="41"/>
  <c r="BK140" i="41"/>
  <c r="BK146" i="41"/>
  <c r="BK41" i="41"/>
  <c r="BK109" i="41"/>
  <c r="BK143" i="41"/>
  <c r="BW224" i="41"/>
  <c r="BJ225" i="41"/>
  <c r="BW225" i="41" s="1"/>
  <c r="BJ223" i="41"/>
  <c r="BW223" i="41" s="1"/>
  <c r="BW222" i="41"/>
  <c r="BJ221" i="41"/>
  <c r="BW221" i="41" s="1"/>
  <c r="BW220" i="41"/>
  <c r="BW169" i="41"/>
  <c r="BJ169" i="41"/>
  <c r="BJ166" i="41"/>
  <c r="BJ158" i="41"/>
  <c r="BW121" i="41"/>
  <c r="BV121" i="41"/>
  <c r="BJ121" i="41"/>
  <c r="BV112" i="41"/>
  <c r="BJ112" i="41"/>
  <c r="BV108" i="41"/>
  <c r="BJ108" i="41"/>
  <c r="BW99" i="41"/>
  <c r="BV99" i="41"/>
  <c r="BJ91" i="41"/>
  <c r="BV87" i="41"/>
  <c r="BW86" i="41"/>
  <c r="BW75" i="41"/>
  <c r="BW73" i="41"/>
  <c r="BJ72" i="41"/>
  <c r="BJ71" i="41"/>
  <c r="BJ70" i="41"/>
  <c r="BJ69" i="41"/>
  <c r="BW66" i="41"/>
  <c r="BW65" i="41"/>
  <c r="BW64" i="41"/>
  <c r="BW63" i="41"/>
  <c r="BW62" i="41"/>
  <c r="BW61" i="41"/>
  <c r="BW60" i="41"/>
  <c r="BN51" i="41"/>
  <c r="BN52" i="41"/>
  <c r="BJ46" i="41"/>
  <c r="BJ43" i="41"/>
  <c r="BJ40" i="41"/>
  <c r="BW45" i="41"/>
  <c r="BW42" i="41"/>
  <c r="BW39" i="41"/>
  <c r="BW51" i="41" s="1"/>
  <c r="BJ33" i="41"/>
  <c r="BJ35" i="41" s="1"/>
  <c r="BJ31" i="41"/>
  <c r="BW30" i="41"/>
  <c r="BW108" i="41" s="1"/>
  <c r="BJ17" i="41"/>
  <c r="BJ52" i="41" s="1"/>
  <c r="BJ14" i="41"/>
  <c r="BJ51" i="41" s="1"/>
  <c r="BW19" i="41"/>
  <c r="BW18" i="41"/>
  <c r="BW16" i="41"/>
  <c r="BW15" i="41"/>
  <c r="BW7" i="41"/>
  <c r="BJ6" i="41"/>
  <c r="BL53" i="41" s="1"/>
  <c r="BU168" i="37"/>
  <c r="BU162" i="37"/>
  <c r="BU232" i="37" s="1"/>
  <c r="BU159" i="37"/>
  <c r="AG12" i="78"/>
  <c r="AU124" i="78"/>
  <c r="AU91" i="78"/>
  <c r="AU90" i="78"/>
  <c r="AU89" i="78"/>
  <c r="AU88" i="78"/>
  <c r="AU86" i="78"/>
  <c r="AU85" i="78"/>
  <c r="AU76" i="78"/>
  <c r="AU75" i="78"/>
  <c r="AU74" i="78"/>
  <c r="AU73" i="78"/>
  <c r="AU63" i="78"/>
  <c r="AU62" i="78"/>
  <c r="AU82" i="78" s="1"/>
  <c r="AU60" i="78"/>
  <c r="AU80" i="78" s="1"/>
  <c r="AU59" i="78"/>
  <c r="AU79" i="78" s="1"/>
  <c r="AU56" i="78"/>
  <c r="AU45" i="78"/>
  <c r="AU37" i="78"/>
  <c r="AU27" i="78"/>
  <c r="AU18" i="78"/>
  <c r="AU19" i="78" s="1"/>
  <c r="AU16" i="78"/>
  <c r="AU11" i="78"/>
  <c r="AU9" i="78"/>
  <c r="AU8" i="78"/>
  <c r="AU7" i="78"/>
  <c r="AU5" i="78"/>
  <c r="AU4" i="78"/>
  <c r="AG99" i="78"/>
  <c r="AG91" i="78"/>
  <c r="AG90" i="78"/>
  <c r="AG89" i="78"/>
  <c r="AG88" i="78"/>
  <c r="AG85" i="78"/>
  <c r="AG76" i="78"/>
  <c r="AG75" i="78"/>
  <c r="AG74" i="78"/>
  <c r="AG73" i="78"/>
  <c r="AG62" i="78"/>
  <c r="AG82" i="78" s="1"/>
  <c r="AG61" i="78"/>
  <c r="AG60" i="78"/>
  <c r="AG80" i="78" s="1"/>
  <c r="AG59" i="78"/>
  <c r="AG79" i="78" s="1"/>
  <c r="AG56" i="78"/>
  <c r="AG45" i="78"/>
  <c r="AG27" i="78"/>
  <c r="AG18" i="78"/>
  <c r="AG16" i="78"/>
  <c r="AG10" i="78"/>
  <c r="AG9" i="78"/>
  <c r="AG7" i="78"/>
  <c r="AG4" i="78"/>
  <c r="CH168" i="37"/>
  <c r="CH234" i="37" s="1"/>
  <c r="CH159" i="37"/>
  <c r="CH231" i="37" s="1"/>
  <c r="CH162" i="37"/>
  <c r="CH232" i="37" s="1"/>
  <c r="CH157" i="37"/>
  <c r="CH176" i="37" s="1"/>
  <c r="CJ150" i="37"/>
  <c r="CH148" i="37"/>
  <c r="CH165" i="37" s="1"/>
  <c r="CH233" i="37" s="1"/>
  <c r="CH121" i="37"/>
  <c r="CG121" i="37"/>
  <c r="CG122" i="37" s="1"/>
  <c r="CH8" i="37"/>
  <c r="CH307" i="37"/>
  <c r="BU157" i="37"/>
  <c r="BU148" i="37"/>
  <c r="BU165" i="37" s="1"/>
  <c r="BU233" i="37" s="1"/>
  <c r="BY134" i="37"/>
  <c r="CH276" i="37"/>
  <c r="CH275" i="37"/>
  <c r="CH272" i="37"/>
  <c r="CH271" i="37"/>
  <c r="CH270" i="37"/>
  <c r="CH269" i="37"/>
  <c r="CH268" i="37"/>
  <c r="CH267" i="37"/>
  <c r="CH265" i="37"/>
  <c r="CH264" i="37"/>
  <c r="CH263" i="37"/>
  <c r="CH256" i="37"/>
  <c r="CH253" i="37"/>
  <c r="CH251" i="37"/>
  <c r="CH247" i="37"/>
  <c r="CH245" i="37"/>
  <c r="CH229" i="37"/>
  <c r="CH227" i="37"/>
  <c r="CH225" i="37"/>
  <c r="CH203" i="37"/>
  <c r="CH183" i="37"/>
  <c r="CH185" i="37" s="1"/>
  <c r="CH186" i="37" s="1"/>
  <c r="CH182" i="37"/>
  <c r="CH127" i="37"/>
  <c r="CH126" i="37"/>
  <c r="CH120" i="37"/>
  <c r="CH118" i="37"/>
  <c r="CH116" i="37"/>
  <c r="CH114" i="37"/>
  <c r="CH73" i="37"/>
  <c r="CH72" i="37"/>
  <c r="CH68" i="37"/>
  <c r="CH67" i="37"/>
  <c r="CH143" i="37"/>
  <c r="CH39" i="37"/>
  <c r="CH38" i="37"/>
  <c r="CH35" i="37"/>
  <c r="CH34" i="37"/>
  <c r="CH10" i="37"/>
  <c r="CH6" i="37"/>
  <c r="BU309" i="37"/>
  <c r="BU308" i="37"/>
  <c r="BU253" i="37"/>
  <c r="BU251" i="37"/>
  <c r="BU245" i="37"/>
  <c r="BU229" i="37"/>
  <c r="BU227" i="37"/>
  <c r="BU225" i="37"/>
  <c r="BU183" i="37"/>
  <c r="BU185" i="37" s="1"/>
  <c r="BU186" i="37" s="1"/>
  <c r="BU181" i="37"/>
  <c r="BU139" i="37"/>
  <c r="BU136" i="37"/>
  <c r="BU135" i="37"/>
  <c r="BU132" i="37"/>
  <c r="BU131" i="37"/>
  <c r="BU127" i="37"/>
  <c r="BU126" i="37"/>
  <c r="BU124" i="37"/>
  <c r="BU120" i="37"/>
  <c r="BU116" i="37"/>
  <c r="BU114" i="37"/>
  <c r="BU75" i="37"/>
  <c r="BU73" i="37"/>
  <c r="BU72" i="37"/>
  <c r="BU70" i="37"/>
  <c r="BU68" i="37"/>
  <c r="BU67" i="37"/>
  <c r="BU64" i="37"/>
  <c r="BU62" i="37"/>
  <c r="BU60" i="37"/>
  <c r="BU40" i="37"/>
  <c r="BU39" i="37"/>
  <c r="BU38" i="37"/>
  <c r="BU36" i="37"/>
  <c r="BU35" i="37"/>
  <c r="BU34" i="37"/>
  <c r="BU10" i="37"/>
  <c r="BU8" i="37"/>
  <c r="BU6" i="37"/>
  <c r="BU7" i="37" s="1"/>
  <c r="E6" i="24"/>
  <c r="E4" i="21"/>
  <c r="D4" i="21"/>
  <c r="C4" i="21"/>
  <c r="B4" i="21"/>
  <c r="F3" i="21"/>
  <c r="F2" i="21"/>
  <c r="H3" i="17"/>
  <c r="H4" i="17" s="1"/>
  <c r="G3" i="17"/>
  <c r="G4" i="17" s="1"/>
  <c r="F3" i="17"/>
  <c r="F4" i="17" s="1"/>
  <c r="E3" i="17"/>
  <c r="E4" i="17" s="1"/>
  <c r="EK36" i="12"/>
  <c r="EJ36" i="12"/>
  <c r="EI36" i="12"/>
  <c r="DS36" i="12"/>
  <c r="DK36" i="12"/>
  <c r="DE36" i="12"/>
  <c r="DD36" i="12"/>
  <c r="DC36" i="12"/>
  <c r="CO36" i="12"/>
  <c r="CN36" i="12"/>
  <c r="CM36" i="12"/>
  <c r="CG36" i="12"/>
  <c r="CF36" i="12"/>
  <c r="CE36" i="12"/>
  <c r="BQ36" i="12"/>
  <c r="BP36" i="12"/>
  <c r="BO36" i="12"/>
  <c r="BA36" i="12"/>
  <c r="AZ36" i="12"/>
  <c r="AY36" i="12"/>
  <c r="M36" i="12"/>
  <c r="L36" i="12"/>
  <c r="K36" i="12"/>
  <c r="E36" i="12"/>
  <c r="D36" i="12"/>
  <c r="C36" i="12"/>
  <c r="FY33" i="12"/>
  <c r="FX33" i="12"/>
  <c r="FI33" i="12"/>
  <c r="FH33" i="12"/>
  <c r="FG33" i="12"/>
  <c r="EK33" i="12"/>
  <c r="EJ33" i="12"/>
  <c r="EI33" i="12"/>
  <c r="DU33" i="12"/>
  <c r="DT33" i="12"/>
  <c r="DS33" i="12"/>
  <c r="DM33" i="12"/>
  <c r="DL33" i="12"/>
  <c r="DK33" i="12"/>
  <c r="DE33" i="12"/>
  <c r="DD33" i="12"/>
  <c r="DC33" i="12"/>
  <c r="CO33" i="12"/>
  <c r="CN33" i="12"/>
  <c r="CM33" i="12"/>
  <c r="CG33" i="12"/>
  <c r="CF33" i="12"/>
  <c r="CE33" i="12"/>
  <c r="BQ33" i="12"/>
  <c r="BP33" i="12"/>
  <c r="BO33" i="12"/>
  <c r="BA33" i="12"/>
  <c r="AY33" i="12"/>
  <c r="M33" i="12"/>
  <c r="L33" i="12"/>
  <c r="K33" i="12"/>
  <c r="E33" i="12"/>
  <c r="D33" i="12"/>
  <c r="C33" i="12"/>
  <c r="FZ28" i="12"/>
  <c r="FY28" i="12"/>
  <c r="FX28" i="12"/>
  <c r="FW28" i="12"/>
  <c r="FR28" i="12"/>
  <c r="FQ28" i="12"/>
  <c r="FP28" i="12"/>
  <c r="FO28" i="12"/>
  <c r="FJ28" i="12"/>
  <c r="FI28" i="12"/>
  <c r="FH28" i="12"/>
  <c r="FG28" i="12"/>
  <c r="FB28" i="12"/>
  <c r="FA28" i="12"/>
  <c r="EZ28" i="12"/>
  <c r="EY28" i="12"/>
  <c r="ET28" i="12"/>
  <c r="ES28" i="12"/>
  <c r="ER28" i="12"/>
  <c r="EQ28" i="12"/>
  <c r="EL28" i="12"/>
  <c r="EK28" i="12"/>
  <c r="EJ28" i="12"/>
  <c r="EI28" i="12"/>
  <c r="ED28" i="12"/>
  <c r="EC28" i="12"/>
  <c r="EB28" i="12"/>
  <c r="EA28" i="12"/>
  <c r="DV28" i="12"/>
  <c r="DU28" i="12"/>
  <c r="DT28" i="12"/>
  <c r="DS28" i="12"/>
  <c r="DN28" i="12"/>
  <c r="DM28" i="12"/>
  <c r="DL28" i="12"/>
  <c r="DK28" i="12"/>
  <c r="DF28" i="12"/>
  <c r="DE28" i="12"/>
  <c r="DD28" i="12"/>
  <c r="DC28" i="12"/>
  <c r="CX28" i="12"/>
  <c r="CW28" i="12"/>
  <c r="CV28" i="12"/>
  <c r="CU28" i="12"/>
  <c r="CP28" i="12"/>
  <c r="CO28" i="12"/>
  <c r="CN28" i="12"/>
  <c r="CM28" i="12"/>
  <c r="CH28" i="12"/>
  <c r="CG28" i="12"/>
  <c r="CF28" i="12"/>
  <c r="CE28" i="12"/>
  <c r="BZ28" i="12"/>
  <c r="BY28" i="12"/>
  <c r="BX28" i="12"/>
  <c r="BW28" i="12"/>
  <c r="BR28" i="12"/>
  <c r="BQ28" i="12"/>
  <c r="BP28" i="12"/>
  <c r="BO28" i="12"/>
  <c r="BI28" i="12"/>
  <c r="BH28" i="12"/>
  <c r="BG28" i="12"/>
  <c r="BA28" i="12"/>
  <c r="AZ28" i="12"/>
  <c r="AY28" i="12"/>
  <c r="AT28" i="12"/>
  <c r="AS28" i="12"/>
  <c r="AR28" i="12"/>
  <c r="AQ28" i="12"/>
  <c r="AL28" i="12"/>
  <c r="AK28" i="12"/>
  <c r="AJ28" i="12"/>
  <c r="AI28" i="12"/>
  <c r="AD28" i="12"/>
  <c r="AC28" i="12"/>
  <c r="AB28" i="12"/>
  <c r="AA28" i="12"/>
  <c r="U28" i="12"/>
  <c r="T28" i="12"/>
  <c r="S28" i="12"/>
  <c r="N28" i="12"/>
  <c r="M28" i="12"/>
  <c r="L28" i="12"/>
  <c r="K28" i="12"/>
  <c r="E28" i="12"/>
  <c r="D28" i="12"/>
  <c r="C28" i="12"/>
  <c r="FZ25" i="12"/>
  <c r="FY25" i="12"/>
  <c r="FX25" i="12"/>
  <c r="FW25" i="12"/>
  <c r="FR25" i="12"/>
  <c r="FQ25" i="12"/>
  <c r="FP25" i="12"/>
  <c r="FO25" i="12"/>
  <c r="FJ25" i="12"/>
  <c r="FI25" i="12"/>
  <c r="FH25" i="12"/>
  <c r="FG25" i="12"/>
  <c r="FB25" i="12"/>
  <c r="FA25" i="12"/>
  <c r="EZ25" i="12"/>
  <c r="EY25" i="12"/>
  <c r="ET25" i="12"/>
  <c r="ES25" i="12"/>
  <c r="ER25" i="12"/>
  <c r="EQ25" i="12"/>
  <c r="EL25" i="12"/>
  <c r="EK25" i="12"/>
  <c r="EJ25" i="12"/>
  <c r="EI25" i="12"/>
  <c r="ED25" i="12"/>
  <c r="EC25" i="12"/>
  <c r="EB25" i="12"/>
  <c r="EA25" i="12"/>
  <c r="DV25" i="12"/>
  <c r="DU25" i="12"/>
  <c r="DT25" i="12"/>
  <c r="DS25" i="12"/>
  <c r="DN25" i="12"/>
  <c r="DM25" i="12"/>
  <c r="DL25" i="12"/>
  <c r="DK25" i="12"/>
  <c r="DF25" i="12"/>
  <c r="DE25" i="12"/>
  <c r="DD25" i="12"/>
  <c r="DC25" i="12"/>
  <c r="CX25" i="12"/>
  <c r="CW25" i="12"/>
  <c r="CV25" i="12"/>
  <c r="CU25" i="12"/>
  <c r="CP25" i="12"/>
  <c r="CO25" i="12"/>
  <c r="CN25" i="12"/>
  <c r="CM25" i="12"/>
  <c r="CH25" i="12"/>
  <c r="CG25" i="12"/>
  <c r="CF25" i="12"/>
  <c r="CE25" i="12"/>
  <c r="BZ25" i="12"/>
  <c r="BY25" i="12"/>
  <c r="BX25" i="12"/>
  <c r="BW25" i="12"/>
  <c r="BR25" i="12"/>
  <c r="BQ25" i="12"/>
  <c r="BP25" i="12"/>
  <c r="BO25" i="12"/>
  <c r="BI25" i="12"/>
  <c r="BH25" i="12"/>
  <c r="BG25" i="12"/>
  <c r="BA25" i="12"/>
  <c r="AZ25" i="12"/>
  <c r="AY25" i="12"/>
  <c r="AT25" i="12"/>
  <c r="AS25" i="12"/>
  <c r="AR25" i="12"/>
  <c r="AQ25" i="12"/>
  <c r="AL25" i="12"/>
  <c r="AK25" i="12"/>
  <c r="AJ25" i="12"/>
  <c r="AI25" i="12"/>
  <c r="AD25" i="12"/>
  <c r="AC25" i="12"/>
  <c r="AB25" i="12"/>
  <c r="AA25" i="12"/>
  <c r="U25" i="12"/>
  <c r="T25" i="12"/>
  <c r="S25" i="12"/>
  <c r="N25" i="12"/>
  <c r="M25" i="12"/>
  <c r="L25" i="12"/>
  <c r="K25" i="12"/>
  <c r="E25" i="12"/>
  <c r="D25" i="12"/>
  <c r="C25" i="12"/>
  <c r="GA22" i="12"/>
  <c r="FZ22" i="12"/>
  <c r="FY22" i="12"/>
  <c r="FX22" i="12"/>
  <c r="FS22" i="12"/>
  <c r="FR22" i="12"/>
  <c r="FQ22" i="12"/>
  <c r="FP22" i="12"/>
  <c r="FK22" i="12"/>
  <c r="FJ22" i="12"/>
  <c r="FI22" i="12"/>
  <c r="FH22" i="12"/>
  <c r="FC22" i="12"/>
  <c r="FB22" i="12"/>
  <c r="FA22" i="12"/>
  <c r="EZ22" i="12"/>
  <c r="EU22" i="12"/>
  <c r="ET22" i="12"/>
  <c r="ES22" i="12"/>
  <c r="ER22" i="12"/>
  <c r="EM22" i="12"/>
  <c r="EL22" i="12"/>
  <c r="EK22" i="12"/>
  <c r="EJ22" i="12"/>
  <c r="EE22" i="12"/>
  <c r="ED22" i="12"/>
  <c r="EC22" i="12"/>
  <c r="EB22" i="12"/>
  <c r="DW22" i="12"/>
  <c r="DV22" i="12"/>
  <c r="DU22" i="12"/>
  <c r="DT22" i="12"/>
  <c r="DO22" i="12"/>
  <c r="DN22" i="12"/>
  <c r="DM22" i="12"/>
  <c r="DL22" i="12"/>
  <c r="DG22" i="12"/>
  <c r="DF22" i="12"/>
  <c r="DE22" i="12"/>
  <c r="DD22" i="12"/>
  <c r="CY22" i="12"/>
  <c r="CX22" i="12"/>
  <c r="CW22" i="12"/>
  <c r="CV22" i="12"/>
  <c r="CQ22" i="12"/>
  <c r="CP22" i="12"/>
  <c r="CO22" i="12"/>
  <c r="CN22" i="12"/>
  <c r="CI22" i="12"/>
  <c r="CH22" i="12"/>
  <c r="CG22" i="12"/>
  <c r="CF22" i="12"/>
  <c r="BZ22" i="12"/>
  <c r="BY22" i="12"/>
  <c r="BX22" i="12"/>
  <c r="BS22" i="12"/>
  <c r="BR22" i="12"/>
  <c r="BQ22" i="12"/>
  <c r="BP22" i="12"/>
  <c r="BJ22" i="12"/>
  <c r="BI22" i="12"/>
  <c r="BH22" i="12"/>
  <c r="BB22" i="12"/>
  <c r="BA22" i="12"/>
  <c r="AZ22" i="12"/>
  <c r="AT22" i="12"/>
  <c r="AS22" i="12"/>
  <c r="AR22" i="12"/>
  <c r="AM22" i="12"/>
  <c r="AL22" i="12"/>
  <c r="AK22" i="12"/>
  <c r="AJ22" i="12"/>
  <c r="AE22" i="12"/>
  <c r="AD22" i="12"/>
  <c r="AC22" i="12"/>
  <c r="AB22" i="12"/>
  <c r="V22" i="12"/>
  <c r="U22" i="12"/>
  <c r="T22" i="12"/>
  <c r="O22" i="12"/>
  <c r="N22" i="12"/>
  <c r="M22" i="12"/>
  <c r="L22" i="12"/>
  <c r="F22" i="12"/>
  <c r="E22" i="12"/>
  <c r="D22" i="12"/>
  <c r="EK16" i="12"/>
  <c r="EJ16" i="12"/>
  <c r="EI16" i="12"/>
  <c r="DE16" i="12"/>
  <c r="DD16" i="12"/>
  <c r="DC16" i="12"/>
  <c r="CO16" i="12"/>
  <c r="CN16" i="12"/>
  <c r="CM16" i="12"/>
  <c r="CG16" i="12"/>
  <c r="CF16" i="12"/>
  <c r="CE16" i="12"/>
  <c r="BQ16" i="12"/>
  <c r="BP16" i="12"/>
  <c r="BO16" i="12"/>
  <c r="M16" i="12"/>
  <c r="L16" i="12"/>
  <c r="K16" i="12"/>
  <c r="E16" i="12"/>
  <c r="D16" i="12"/>
  <c r="C16" i="12"/>
  <c r="EK13" i="12"/>
  <c r="EJ13" i="12"/>
  <c r="EI13" i="12"/>
  <c r="DT13" i="12"/>
  <c r="DE13" i="12"/>
  <c r="DD13" i="12"/>
  <c r="DC13" i="12"/>
  <c r="CO13" i="12"/>
  <c r="CN13" i="12"/>
  <c r="CM13" i="12"/>
  <c r="CG13" i="12"/>
  <c r="CF13" i="12"/>
  <c r="CE13" i="12"/>
  <c r="BQ13" i="12"/>
  <c r="BP13" i="12"/>
  <c r="BO13" i="12"/>
  <c r="E13" i="12"/>
  <c r="D13" i="12"/>
  <c r="C13" i="12"/>
  <c r="GB12" i="12"/>
  <c r="GA12" i="12"/>
  <c r="FZ12" i="12"/>
  <c r="FT12" i="12"/>
  <c r="FS12" i="12"/>
  <c r="FR12" i="12"/>
  <c r="FL12" i="12"/>
  <c r="FK12" i="12"/>
  <c r="FJ12" i="12"/>
  <c r="FD12" i="12"/>
  <c r="FC12" i="12"/>
  <c r="FB12" i="12"/>
  <c r="EV12" i="12"/>
  <c r="EU12" i="12"/>
  <c r="ET12" i="12"/>
  <c r="EN12" i="12"/>
  <c r="EM12" i="12"/>
  <c r="EL12" i="12"/>
  <c r="EF12" i="12"/>
  <c r="EE12" i="12"/>
  <c r="ED12" i="12"/>
  <c r="DX12" i="12"/>
  <c r="DW12" i="12"/>
  <c r="DV12" i="12"/>
  <c r="DP12" i="12"/>
  <c r="DO12" i="12"/>
  <c r="DN12" i="12"/>
  <c r="DH12" i="12"/>
  <c r="DG12" i="12"/>
  <c r="DF12" i="12"/>
  <c r="CZ12" i="12"/>
  <c r="CY12" i="12"/>
  <c r="CX12" i="12"/>
  <c r="CR12" i="12"/>
  <c r="CQ12" i="12"/>
  <c r="CP12" i="12"/>
  <c r="CJ12" i="12"/>
  <c r="CI12" i="12"/>
  <c r="CH12" i="12"/>
  <c r="CB12" i="12"/>
  <c r="CA12" i="12"/>
  <c r="BZ12" i="12"/>
  <c r="BT12" i="12"/>
  <c r="BS12" i="12"/>
  <c r="BR12" i="12"/>
  <c r="BL12" i="12"/>
  <c r="BK12" i="12"/>
  <c r="BJ12" i="12"/>
  <c r="BD12" i="12"/>
  <c r="BC12" i="12"/>
  <c r="BB12" i="12"/>
  <c r="AV12" i="12"/>
  <c r="AU12" i="12"/>
  <c r="AT12" i="12"/>
  <c r="AN12" i="12"/>
  <c r="AM12" i="12"/>
  <c r="AL12" i="12"/>
  <c r="X12" i="12"/>
  <c r="W12" i="12"/>
  <c r="V12" i="12"/>
  <c r="H12" i="12"/>
  <c r="G12" i="12"/>
  <c r="F12" i="12"/>
  <c r="GB11" i="12"/>
  <c r="GA11" i="12"/>
  <c r="FZ11" i="12"/>
  <c r="FT11" i="12"/>
  <c r="FS11" i="12"/>
  <c r="FR11" i="12"/>
  <c r="FL11" i="12"/>
  <c r="FK11" i="12"/>
  <c r="FJ11" i="12"/>
  <c r="FD11" i="12"/>
  <c r="FC11" i="12"/>
  <c r="FB11" i="12"/>
  <c r="EV11" i="12"/>
  <c r="EU11" i="12"/>
  <c r="ET11" i="12"/>
  <c r="EN11" i="12"/>
  <c r="EM11" i="12"/>
  <c r="EL11" i="12"/>
  <c r="EF11" i="12"/>
  <c r="EE11" i="12"/>
  <c r="ED11" i="12"/>
  <c r="DX11" i="12"/>
  <c r="DW11" i="12"/>
  <c r="DV11" i="12"/>
  <c r="DP11" i="12"/>
  <c r="DO11" i="12"/>
  <c r="DN11" i="12"/>
  <c r="DH11" i="12"/>
  <c r="DG11" i="12"/>
  <c r="DF11" i="12"/>
  <c r="CZ11" i="12"/>
  <c r="CY11" i="12"/>
  <c r="CX11" i="12"/>
  <c r="CR11" i="12"/>
  <c r="CQ11" i="12"/>
  <c r="CP11" i="12"/>
  <c r="CJ11" i="12"/>
  <c r="CI11" i="12"/>
  <c r="CH11" i="12"/>
  <c r="CB11" i="12"/>
  <c r="CA11" i="12"/>
  <c r="BZ11" i="12"/>
  <c r="BT11" i="12"/>
  <c r="BS11" i="12"/>
  <c r="BR11" i="12"/>
  <c r="X11" i="12"/>
  <c r="W11" i="12"/>
  <c r="V11" i="12"/>
  <c r="H11" i="12"/>
  <c r="G11" i="12"/>
  <c r="F11" i="12"/>
  <c r="EK10" i="12"/>
  <c r="EK11" i="12" s="1"/>
  <c r="EJ10" i="12"/>
  <c r="EI10" i="12"/>
  <c r="EH10" i="12"/>
  <c r="EH11" i="12" s="1"/>
  <c r="DE10" i="12"/>
  <c r="DE11" i="12" s="1"/>
  <c r="DD10" i="12"/>
  <c r="DD12" i="12" s="1"/>
  <c r="DC10" i="12"/>
  <c r="DB10" i="12"/>
  <c r="DB11" i="12" s="1"/>
  <c r="CO10" i="12"/>
  <c r="CN10" i="12"/>
  <c r="CM10" i="12"/>
  <c r="CM12" i="12" s="1"/>
  <c r="CL10" i="12"/>
  <c r="CG10" i="12"/>
  <c r="CF10" i="12"/>
  <c r="CE10" i="12"/>
  <c r="CD10" i="12"/>
  <c r="CD11" i="12" s="1"/>
  <c r="BQ10" i="12"/>
  <c r="BQ12" i="12" s="1"/>
  <c r="BP10" i="12"/>
  <c r="BO10" i="12"/>
  <c r="BO11" i="12" s="1"/>
  <c r="BN10" i="12"/>
  <c r="BN12" i="12" s="1"/>
  <c r="E10" i="12"/>
  <c r="E12" i="12" s="1"/>
  <c r="D10" i="12"/>
  <c r="C10" i="12"/>
  <c r="C11" i="12" s="1"/>
  <c r="B10" i="12"/>
  <c r="B11" i="12" s="1"/>
  <c r="N93" i="11"/>
  <c r="T93" i="11" s="1"/>
  <c r="G93" i="11"/>
  <c r="Q91" i="11"/>
  <c r="M91" i="11"/>
  <c r="L91" i="11"/>
  <c r="K91" i="11"/>
  <c r="J91" i="11"/>
  <c r="F91" i="11"/>
  <c r="E91" i="11"/>
  <c r="D91" i="11"/>
  <c r="C91" i="11"/>
  <c r="R90" i="11"/>
  <c r="N90" i="11"/>
  <c r="G90" i="11"/>
  <c r="R88" i="11"/>
  <c r="N88" i="11"/>
  <c r="G88" i="11"/>
  <c r="R86" i="11"/>
  <c r="N86" i="11"/>
  <c r="G86" i="11"/>
  <c r="R85" i="11"/>
  <c r="N85" i="11"/>
  <c r="G85" i="11"/>
  <c r="R84" i="11"/>
  <c r="N84" i="11"/>
  <c r="G84" i="11"/>
  <c r="Q81" i="11"/>
  <c r="M81" i="11"/>
  <c r="L81" i="11"/>
  <c r="K81" i="11"/>
  <c r="J81" i="11"/>
  <c r="F81" i="11"/>
  <c r="E81" i="11"/>
  <c r="D81" i="11"/>
  <c r="C81" i="11"/>
  <c r="R80" i="11"/>
  <c r="N80" i="11"/>
  <c r="G80" i="11"/>
  <c r="R79" i="11"/>
  <c r="N79" i="11"/>
  <c r="G79" i="11"/>
  <c r="R78" i="11"/>
  <c r="R76" i="11"/>
  <c r="R75" i="11"/>
  <c r="N75" i="11"/>
  <c r="G75" i="11"/>
  <c r="R73" i="11"/>
  <c r="N73" i="11"/>
  <c r="G73" i="11"/>
  <c r="R72" i="11"/>
  <c r="N72" i="11"/>
  <c r="T72" i="11" s="1"/>
  <c r="W72" i="11" s="1"/>
  <c r="Z72" i="11" s="1"/>
  <c r="G72" i="11"/>
  <c r="R71" i="11"/>
  <c r="N71" i="11"/>
  <c r="T71" i="11" s="1"/>
  <c r="W71" i="11" s="1"/>
  <c r="G71" i="11"/>
  <c r="M67" i="11"/>
  <c r="L67" i="11"/>
  <c r="K67" i="11"/>
  <c r="J67" i="11"/>
  <c r="R66" i="11"/>
  <c r="N66" i="11"/>
  <c r="G66" i="11"/>
  <c r="R64" i="11"/>
  <c r="N64" i="11"/>
  <c r="G64" i="11"/>
  <c r="R62" i="11"/>
  <c r="N62" i="11"/>
  <c r="G62" i="11"/>
  <c r="R61" i="11"/>
  <c r="N61" i="11"/>
  <c r="G61" i="11"/>
  <c r="R60" i="11"/>
  <c r="N60" i="11"/>
  <c r="G60" i="11"/>
  <c r="M57" i="11"/>
  <c r="L57" i="11"/>
  <c r="K57" i="11"/>
  <c r="J57" i="11"/>
  <c r="R56" i="11"/>
  <c r="N56" i="11"/>
  <c r="G56" i="11"/>
  <c r="R55" i="11"/>
  <c r="N55" i="11"/>
  <c r="G55" i="11"/>
  <c r="R54" i="11"/>
  <c r="F54" i="11"/>
  <c r="F67" i="11" s="1"/>
  <c r="E54" i="11"/>
  <c r="E67" i="11" s="1"/>
  <c r="D54" i="11"/>
  <c r="C54" i="11"/>
  <c r="C67" i="11" s="1"/>
  <c r="R52" i="11"/>
  <c r="R51" i="11"/>
  <c r="N51" i="11"/>
  <c r="T51" i="11" s="1"/>
  <c r="W51" i="11" s="1"/>
  <c r="G51" i="11"/>
  <c r="R49" i="11"/>
  <c r="N49" i="11"/>
  <c r="T49" i="11" s="1"/>
  <c r="G49" i="11"/>
  <c r="R48" i="11"/>
  <c r="N48" i="11"/>
  <c r="T48" i="11" s="1"/>
  <c r="W48" i="11" s="1"/>
  <c r="Z48" i="11" s="1"/>
  <c r="G48" i="11"/>
  <c r="R47" i="11"/>
  <c r="N47" i="11"/>
  <c r="T47" i="11" s="1"/>
  <c r="G47" i="11"/>
  <c r="N41" i="11"/>
  <c r="T41" i="11" s="1"/>
  <c r="W41" i="11" s="1"/>
  <c r="G41" i="11"/>
  <c r="N40" i="11"/>
  <c r="T40" i="11" s="1"/>
  <c r="G40" i="11"/>
  <c r="K39" i="11"/>
  <c r="J39" i="11"/>
  <c r="G39" i="11"/>
  <c r="N33" i="11"/>
  <c r="T33" i="11" s="1"/>
  <c r="W33" i="11" s="1"/>
  <c r="G33" i="11"/>
  <c r="N31" i="11"/>
  <c r="G31" i="11"/>
  <c r="N30" i="11"/>
  <c r="T30" i="11" s="1"/>
  <c r="G30" i="11"/>
  <c r="N24" i="11"/>
  <c r="T24" i="11" s="1"/>
  <c r="W24" i="11" s="1"/>
  <c r="G24" i="11"/>
  <c r="N23" i="11"/>
  <c r="T23" i="11" s="1"/>
  <c r="N22" i="11"/>
  <c r="T22" i="11" s="1"/>
  <c r="G22" i="11"/>
  <c r="N21" i="11"/>
  <c r="T21" i="11" s="1"/>
  <c r="N20" i="11"/>
  <c r="T20" i="11" s="1"/>
  <c r="W20" i="11" s="1"/>
  <c r="Z20" i="11" s="1"/>
  <c r="N19" i="11"/>
  <c r="E19" i="11"/>
  <c r="G19" i="11" s="1"/>
  <c r="N13" i="11"/>
  <c r="T13" i="11" s="1"/>
  <c r="G13" i="11"/>
  <c r="N12" i="11"/>
  <c r="T12" i="11" s="1"/>
  <c r="W12" i="11" s="1"/>
  <c r="Z12" i="11" s="1"/>
  <c r="G12" i="11"/>
  <c r="N11" i="11"/>
  <c r="G11" i="11"/>
  <c r="N7" i="11"/>
  <c r="T7" i="11" s="1"/>
  <c r="Q6" i="11"/>
  <c r="Q8" i="11" s="1"/>
  <c r="M6" i="11"/>
  <c r="M8" i="11" s="1"/>
  <c r="M95" i="11" s="1"/>
  <c r="L6" i="11"/>
  <c r="L8" i="11" s="1"/>
  <c r="L95" i="11" s="1"/>
  <c r="K6" i="11"/>
  <c r="K8" i="11" s="1"/>
  <c r="J6" i="11"/>
  <c r="J8" i="11" s="1"/>
  <c r="F6" i="11"/>
  <c r="F8" i="11" s="1"/>
  <c r="E6" i="11"/>
  <c r="E8" i="11" s="1"/>
  <c r="D6" i="11"/>
  <c r="D8" i="11" s="1"/>
  <c r="D15" i="11" s="1"/>
  <c r="D26" i="11" s="1"/>
  <c r="C6" i="11"/>
  <c r="C8" i="11" s="1"/>
  <c r="N5" i="11"/>
  <c r="T5" i="11" s="1"/>
  <c r="G5" i="11"/>
  <c r="N4" i="11"/>
  <c r="G4" i="11"/>
  <c r="L5" i="12" s="1"/>
  <c r="D167" i="9"/>
  <c r="FW33" i="12" s="1"/>
  <c r="C167" i="9"/>
  <c r="P166" i="9"/>
  <c r="C166" i="9"/>
  <c r="D163" i="9"/>
  <c r="EQ33" i="12" s="1"/>
  <c r="C163" i="9"/>
  <c r="C164" i="9" s="1"/>
  <c r="R161" i="9"/>
  <c r="O161" i="9"/>
  <c r="N161" i="9"/>
  <c r="M161" i="9"/>
  <c r="J161" i="9"/>
  <c r="G161" i="9"/>
  <c r="F161" i="9"/>
  <c r="F163" i="9" s="1"/>
  <c r="ES33" i="12" s="1"/>
  <c r="E161" i="9"/>
  <c r="E163" i="9" s="1"/>
  <c r="R160" i="9"/>
  <c r="O160" i="9"/>
  <c r="N160" i="9"/>
  <c r="M160" i="9"/>
  <c r="J160" i="9"/>
  <c r="G160" i="9"/>
  <c r="F160" i="9"/>
  <c r="E160" i="9"/>
  <c r="R159" i="9"/>
  <c r="J159" i="9"/>
  <c r="G159" i="9"/>
  <c r="G158" i="9" s="1"/>
  <c r="O158" i="9"/>
  <c r="N158" i="9"/>
  <c r="M158" i="9"/>
  <c r="M151" i="9" s="1"/>
  <c r="L158" i="9"/>
  <c r="L167" i="9" s="1"/>
  <c r="FW36" i="12" s="1"/>
  <c r="F158" i="9"/>
  <c r="EC33" i="12" s="1"/>
  <c r="E158" i="9"/>
  <c r="EB33" i="12" s="1"/>
  <c r="D158" i="9"/>
  <c r="EA33" i="12" s="1"/>
  <c r="V150" i="9"/>
  <c r="U150" i="9"/>
  <c r="U147" i="9"/>
  <c r="T147" i="9"/>
  <c r="O147" i="9"/>
  <c r="N147" i="9"/>
  <c r="M147" i="9"/>
  <c r="L147" i="9"/>
  <c r="K147" i="9"/>
  <c r="G147" i="9"/>
  <c r="F147" i="9"/>
  <c r="E147" i="9"/>
  <c r="D147" i="9"/>
  <c r="C147" i="9"/>
  <c r="U146" i="9"/>
  <c r="T146" i="9"/>
  <c r="O146" i="9"/>
  <c r="N146" i="9"/>
  <c r="M146" i="9"/>
  <c r="L146" i="9"/>
  <c r="K146" i="9"/>
  <c r="G146" i="9"/>
  <c r="F146" i="9"/>
  <c r="E146" i="9"/>
  <c r="D146" i="9"/>
  <c r="C146" i="9"/>
  <c r="U144" i="9"/>
  <c r="T144" i="9"/>
  <c r="Y121" i="9"/>
  <c r="X121" i="9"/>
  <c r="R121" i="9"/>
  <c r="Q121" i="9"/>
  <c r="P121" i="9"/>
  <c r="J121" i="9"/>
  <c r="I121" i="9"/>
  <c r="H121" i="9"/>
  <c r="Y120" i="9"/>
  <c r="X120" i="9"/>
  <c r="R120" i="9"/>
  <c r="Q120" i="9"/>
  <c r="P120" i="9"/>
  <c r="J120" i="9"/>
  <c r="I120" i="9"/>
  <c r="H120" i="9"/>
  <c r="Y119" i="9"/>
  <c r="X119" i="9"/>
  <c r="R119" i="9"/>
  <c r="Q119" i="9"/>
  <c r="P119" i="9"/>
  <c r="J119" i="9"/>
  <c r="I119" i="9"/>
  <c r="H119" i="9"/>
  <c r="Y118" i="9"/>
  <c r="X118" i="9"/>
  <c r="R118" i="9"/>
  <c r="Q118" i="9"/>
  <c r="P118" i="9"/>
  <c r="P163" i="9" s="1"/>
  <c r="J118" i="9"/>
  <c r="I118" i="9"/>
  <c r="H118" i="9"/>
  <c r="N111" i="9"/>
  <c r="CW36" i="12" s="1"/>
  <c r="M111" i="9"/>
  <c r="CV36" i="12" s="1"/>
  <c r="L111" i="9"/>
  <c r="F111" i="9"/>
  <c r="CW33" i="12" s="1"/>
  <c r="E111" i="9"/>
  <c r="CV33" i="12" s="1"/>
  <c r="D111" i="9"/>
  <c r="CU33" i="12" s="1"/>
  <c r="U110" i="9"/>
  <c r="Y110" i="9" s="1"/>
  <c r="T110" i="9"/>
  <c r="X110" i="9" s="1"/>
  <c r="N110" i="9"/>
  <c r="M110" i="9"/>
  <c r="R110" i="9" s="1"/>
  <c r="L110" i="9"/>
  <c r="Q110" i="9" s="1"/>
  <c r="K110" i="9"/>
  <c r="P110" i="9" s="1"/>
  <c r="F110" i="9"/>
  <c r="E110" i="9"/>
  <c r="J110" i="9" s="1"/>
  <c r="D110" i="9"/>
  <c r="I110" i="9" s="1"/>
  <c r="C110" i="9"/>
  <c r="H110" i="9" s="1"/>
  <c r="Y109" i="9"/>
  <c r="X109" i="9"/>
  <c r="R109" i="9"/>
  <c r="Q109" i="9"/>
  <c r="P109" i="9"/>
  <c r="J109" i="9"/>
  <c r="I109" i="9"/>
  <c r="H109" i="9"/>
  <c r="Y108" i="9"/>
  <c r="X108" i="9"/>
  <c r="R108" i="9"/>
  <c r="Q108" i="9"/>
  <c r="P108" i="9"/>
  <c r="J108" i="9"/>
  <c r="I108" i="9"/>
  <c r="H108" i="9"/>
  <c r="U107" i="9"/>
  <c r="U114" i="9" s="1"/>
  <c r="T107" i="9"/>
  <c r="X107" i="9" s="1"/>
  <c r="N107" i="9"/>
  <c r="M107" i="9"/>
  <c r="M114" i="9" s="1"/>
  <c r="L107" i="9"/>
  <c r="K107" i="9"/>
  <c r="F107" i="9"/>
  <c r="F114" i="9" s="1"/>
  <c r="E107" i="9"/>
  <c r="J107" i="9" s="1"/>
  <c r="D107" i="9"/>
  <c r="I107" i="9" s="1"/>
  <c r="C107" i="9"/>
  <c r="C114" i="9" s="1"/>
  <c r="Y106" i="9"/>
  <c r="X106" i="9"/>
  <c r="R106" i="9"/>
  <c r="Q106" i="9"/>
  <c r="P106" i="9"/>
  <c r="J106" i="9"/>
  <c r="I106" i="9"/>
  <c r="H106" i="9"/>
  <c r="Y105" i="9"/>
  <c r="X105" i="9"/>
  <c r="R105" i="9"/>
  <c r="Q105" i="9"/>
  <c r="P105" i="9"/>
  <c r="J105" i="9"/>
  <c r="I105" i="9"/>
  <c r="H105" i="9"/>
  <c r="Y104" i="9"/>
  <c r="X104" i="9"/>
  <c r="Y102" i="9"/>
  <c r="X102" i="9"/>
  <c r="R102" i="9"/>
  <c r="Q102" i="9"/>
  <c r="P102" i="9"/>
  <c r="J102" i="9"/>
  <c r="I102" i="9"/>
  <c r="H102" i="9"/>
  <c r="Y101" i="9"/>
  <c r="X101" i="9"/>
  <c r="U100" i="9"/>
  <c r="Y100" i="9" s="1"/>
  <c r="T100" i="9"/>
  <c r="X100" i="9" s="1"/>
  <c r="R100" i="9"/>
  <c r="Q100" i="9"/>
  <c r="K100" i="9"/>
  <c r="P100" i="9" s="1"/>
  <c r="E100" i="9"/>
  <c r="J100" i="9" s="1"/>
  <c r="D100" i="9"/>
  <c r="I100" i="9" s="1"/>
  <c r="C100" i="9"/>
  <c r="H100" i="9" s="1"/>
  <c r="Y99" i="9"/>
  <c r="X99" i="9"/>
  <c r="R99" i="9"/>
  <c r="Q99" i="9"/>
  <c r="P99" i="9"/>
  <c r="J99" i="9"/>
  <c r="I99" i="9"/>
  <c r="H99" i="9"/>
  <c r="Y97" i="9"/>
  <c r="X97" i="9"/>
  <c r="R97" i="9"/>
  <c r="Q97" i="9"/>
  <c r="P97" i="9"/>
  <c r="J97" i="9"/>
  <c r="I97" i="9"/>
  <c r="H97" i="9"/>
  <c r="D92" i="9"/>
  <c r="L89" i="9"/>
  <c r="D89" i="9"/>
  <c r="N88" i="9"/>
  <c r="M88" i="9"/>
  <c r="D88" i="9"/>
  <c r="N86" i="9"/>
  <c r="M86" i="9"/>
  <c r="L86" i="9"/>
  <c r="F86" i="9"/>
  <c r="E86" i="9"/>
  <c r="D86" i="9"/>
  <c r="N85" i="9"/>
  <c r="M85" i="9"/>
  <c r="L85" i="9"/>
  <c r="F85" i="9"/>
  <c r="E85" i="9"/>
  <c r="D85" i="9"/>
  <c r="N79" i="9"/>
  <c r="M79" i="9"/>
  <c r="L79" i="9"/>
  <c r="F79" i="9"/>
  <c r="E79" i="9"/>
  <c r="D79" i="9"/>
  <c r="U71" i="9"/>
  <c r="U69" i="9"/>
  <c r="U68" i="9"/>
  <c r="Z56" i="9"/>
  <c r="Y56" i="9"/>
  <c r="X56" i="9"/>
  <c r="R56" i="9"/>
  <c r="Q56" i="9"/>
  <c r="P56" i="9"/>
  <c r="J56" i="9"/>
  <c r="I56" i="9"/>
  <c r="H56" i="9"/>
  <c r="Z55" i="9"/>
  <c r="Y55" i="9"/>
  <c r="X55" i="9"/>
  <c r="R55" i="9"/>
  <c r="Q55" i="9"/>
  <c r="P55" i="9"/>
  <c r="J55" i="9"/>
  <c r="I55" i="9"/>
  <c r="H55" i="9"/>
  <c r="N54" i="9"/>
  <c r="M54" i="9"/>
  <c r="L54" i="9"/>
  <c r="L92" i="9" s="1"/>
  <c r="F54" i="9"/>
  <c r="E54" i="9"/>
  <c r="E92" i="9" s="1"/>
  <c r="Z49" i="9"/>
  <c r="Y49" i="9"/>
  <c r="X49" i="9"/>
  <c r="R49" i="9"/>
  <c r="Q49" i="9"/>
  <c r="P49" i="9"/>
  <c r="J49" i="9"/>
  <c r="I49" i="9"/>
  <c r="H49" i="9"/>
  <c r="X48" i="9"/>
  <c r="V48" i="9"/>
  <c r="Z48" i="9" s="1"/>
  <c r="U48" i="9"/>
  <c r="Y48" i="9" s="1"/>
  <c r="Z45" i="9"/>
  <c r="Y45" i="9"/>
  <c r="X45" i="9"/>
  <c r="R45" i="9"/>
  <c r="Q45" i="9"/>
  <c r="P45" i="9"/>
  <c r="J45" i="9"/>
  <c r="I45" i="9"/>
  <c r="H45" i="9"/>
  <c r="Z44" i="9"/>
  <c r="Y44" i="9"/>
  <c r="X44" i="9"/>
  <c r="R44" i="9"/>
  <c r="Q44" i="9"/>
  <c r="P44" i="9"/>
  <c r="J44" i="9"/>
  <c r="I44" i="9"/>
  <c r="H44" i="9"/>
  <c r="Z42" i="9"/>
  <c r="Y42" i="9"/>
  <c r="X42" i="9"/>
  <c r="R42" i="9"/>
  <c r="Q42" i="9"/>
  <c r="P42" i="9"/>
  <c r="J42" i="9"/>
  <c r="I42" i="9"/>
  <c r="H42" i="9"/>
  <c r="Z41" i="9"/>
  <c r="Y41" i="9"/>
  <c r="X41" i="9"/>
  <c r="R41" i="9"/>
  <c r="Q41" i="9"/>
  <c r="P41" i="9"/>
  <c r="J41" i="9"/>
  <c r="I41" i="9"/>
  <c r="H41" i="9"/>
  <c r="U39" i="9"/>
  <c r="Z38" i="9"/>
  <c r="Y38" i="9"/>
  <c r="X38" i="9"/>
  <c r="R38" i="9"/>
  <c r="Q38" i="9"/>
  <c r="P38" i="9"/>
  <c r="P167" i="9" s="1"/>
  <c r="I38" i="9"/>
  <c r="H38" i="9"/>
  <c r="U36" i="9"/>
  <c r="Y36" i="9" s="1"/>
  <c r="T36" i="9"/>
  <c r="X36" i="9" s="1"/>
  <c r="R36" i="9"/>
  <c r="L36" i="9"/>
  <c r="Q36" i="9" s="1"/>
  <c r="K36" i="9"/>
  <c r="P36" i="9" s="1"/>
  <c r="J36" i="9"/>
  <c r="R35" i="9"/>
  <c r="Q35" i="9"/>
  <c r="P35" i="9"/>
  <c r="J35" i="9"/>
  <c r="I35" i="9"/>
  <c r="H35" i="9"/>
  <c r="J34" i="9"/>
  <c r="I34" i="9"/>
  <c r="H34" i="9"/>
  <c r="Y33" i="9"/>
  <c r="X33" i="9"/>
  <c r="R33" i="9"/>
  <c r="Q33" i="9"/>
  <c r="P33" i="9"/>
  <c r="J33" i="9"/>
  <c r="I33" i="9"/>
  <c r="H33" i="9"/>
  <c r="Y31" i="9"/>
  <c r="X31" i="9"/>
  <c r="F31" i="9"/>
  <c r="E31" i="9"/>
  <c r="J31" i="9" s="1"/>
  <c r="D31" i="9"/>
  <c r="I31" i="9" s="1"/>
  <c r="C31" i="9"/>
  <c r="H31" i="9" s="1"/>
  <c r="Y30" i="9"/>
  <c r="X30" i="9"/>
  <c r="R30" i="9"/>
  <c r="Q30" i="9"/>
  <c r="P30" i="9"/>
  <c r="J30" i="9"/>
  <c r="I30" i="9"/>
  <c r="H30" i="9"/>
  <c r="Y29" i="9"/>
  <c r="X29" i="9"/>
  <c r="V25" i="9"/>
  <c r="U25" i="9"/>
  <c r="Z24" i="9"/>
  <c r="Y24" i="9"/>
  <c r="T24" i="9"/>
  <c r="T69" i="9" s="1"/>
  <c r="N24" i="9"/>
  <c r="AK36" i="12" s="1"/>
  <c r="M24" i="9"/>
  <c r="M70" i="9" s="1"/>
  <c r="L24" i="9"/>
  <c r="L70" i="9" s="1"/>
  <c r="K24" i="9"/>
  <c r="F24" i="9"/>
  <c r="F36" i="9" s="1"/>
  <c r="E24" i="9"/>
  <c r="D24" i="9"/>
  <c r="D39" i="9" s="1"/>
  <c r="BG33" i="12" s="1"/>
  <c r="C24" i="9"/>
  <c r="H24" i="9" s="1"/>
  <c r="X23" i="9"/>
  <c r="V23" i="9"/>
  <c r="Z23" i="9" s="1"/>
  <c r="U23" i="9"/>
  <c r="Y23" i="9" s="1"/>
  <c r="R23" i="9"/>
  <c r="Q23" i="9"/>
  <c r="P23" i="9"/>
  <c r="J23" i="9"/>
  <c r="I23" i="9"/>
  <c r="H23" i="9"/>
  <c r="N22" i="9"/>
  <c r="AC36" i="12" s="1"/>
  <c r="M22" i="9"/>
  <c r="M50" i="9" s="1"/>
  <c r="BX36" i="12" s="1"/>
  <c r="L22" i="9"/>
  <c r="F22" i="9"/>
  <c r="E22" i="9"/>
  <c r="D22" i="9"/>
  <c r="D50" i="9" s="1"/>
  <c r="BW33" i="12" s="1"/>
  <c r="Z20" i="9"/>
  <c r="Y20" i="9"/>
  <c r="X20" i="9"/>
  <c r="R20" i="9"/>
  <c r="Q20" i="9"/>
  <c r="P20" i="9"/>
  <c r="J20" i="9"/>
  <c r="I20" i="9"/>
  <c r="H20" i="9"/>
  <c r="N7" i="9"/>
  <c r="U36" i="12" s="1"/>
  <c r="M7" i="9"/>
  <c r="T36" i="12" s="1"/>
  <c r="L7" i="9"/>
  <c r="S36" i="12" s="1"/>
  <c r="F7" i="9"/>
  <c r="U33" i="12" s="1"/>
  <c r="E7" i="9"/>
  <c r="T33" i="12" s="1"/>
  <c r="D7" i="9"/>
  <c r="S33" i="12" s="1"/>
  <c r="D193" i="13"/>
  <c r="E192" i="13"/>
  <c r="F192" i="13" s="1"/>
  <c r="S190" i="13"/>
  <c r="L190" i="13"/>
  <c r="E190" i="13"/>
  <c r="D190" i="13"/>
  <c r="U189" i="13"/>
  <c r="M189" i="13"/>
  <c r="F189" i="13"/>
  <c r="S188" i="13"/>
  <c r="E188" i="13"/>
  <c r="D188" i="13"/>
  <c r="U187" i="13"/>
  <c r="L187" i="13"/>
  <c r="L188" i="13" s="1"/>
  <c r="F187" i="13"/>
  <c r="S186" i="13"/>
  <c r="L186" i="13"/>
  <c r="E186" i="13"/>
  <c r="D186" i="13"/>
  <c r="U185" i="13"/>
  <c r="M185" i="13"/>
  <c r="N185" i="13" s="1"/>
  <c r="F185" i="13"/>
  <c r="S184" i="13"/>
  <c r="E184" i="13"/>
  <c r="D184" i="13"/>
  <c r="U183" i="13"/>
  <c r="L183" i="13"/>
  <c r="L184" i="13" s="1"/>
  <c r="F183" i="13"/>
  <c r="S182" i="13"/>
  <c r="L182" i="13"/>
  <c r="E182" i="13"/>
  <c r="D182" i="13"/>
  <c r="U181" i="13"/>
  <c r="M181" i="13"/>
  <c r="N181" i="13" s="1"/>
  <c r="F181" i="13"/>
  <c r="S180" i="13"/>
  <c r="L180" i="13"/>
  <c r="D180" i="13"/>
  <c r="U179" i="13"/>
  <c r="M179" i="13"/>
  <c r="F179" i="13"/>
  <c r="Q166" i="13"/>
  <c r="Q165" i="13"/>
  <c r="Q164" i="13"/>
  <c r="U163" i="13"/>
  <c r="T163" i="13"/>
  <c r="S163" i="13"/>
  <c r="S168" i="13" s="1"/>
  <c r="ER16" i="12" s="1"/>
  <c r="R163" i="13"/>
  <c r="N163" i="13"/>
  <c r="M163" i="13"/>
  <c r="EC13" i="12" s="1"/>
  <c r="L163" i="13"/>
  <c r="K163" i="13"/>
  <c r="K156" i="13" s="1"/>
  <c r="DK13" i="12" s="1"/>
  <c r="G163" i="13"/>
  <c r="F163" i="13"/>
  <c r="F156" i="13" s="1"/>
  <c r="E163" i="13"/>
  <c r="E168" i="13" s="1"/>
  <c r="D163" i="13"/>
  <c r="D168" i="13" s="1"/>
  <c r="C163" i="13"/>
  <c r="C168" i="13" s="1"/>
  <c r="T116" i="13"/>
  <c r="CW16" i="12" s="1"/>
  <c r="S116" i="13"/>
  <c r="CV16" i="12" s="1"/>
  <c r="R116" i="13"/>
  <c r="CU16" i="12" s="1"/>
  <c r="M116" i="13"/>
  <c r="CW13" i="12" s="1"/>
  <c r="L116" i="13"/>
  <c r="CV13" i="12" s="1"/>
  <c r="K116" i="13"/>
  <c r="CU13" i="12" s="1"/>
  <c r="F116" i="13"/>
  <c r="CW10" i="12" s="1"/>
  <c r="E116" i="13"/>
  <c r="CV10" i="12" s="1"/>
  <c r="D116" i="13"/>
  <c r="CU10" i="12" s="1"/>
  <c r="C116" i="13"/>
  <c r="CT10" i="12" s="1"/>
  <c r="CT11" i="12" s="1"/>
  <c r="T97" i="13"/>
  <c r="S97" i="13"/>
  <c r="R97" i="13"/>
  <c r="M97" i="13"/>
  <c r="L97" i="13"/>
  <c r="K97" i="13"/>
  <c r="F97" i="13"/>
  <c r="E97" i="13"/>
  <c r="D97" i="13"/>
  <c r="N59" i="13"/>
  <c r="G59" i="13"/>
  <c r="N57" i="13"/>
  <c r="G57" i="13"/>
  <c r="T38" i="13"/>
  <c r="S38" i="13"/>
  <c r="R38" i="13"/>
  <c r="M38" i="13"/>
  <c r="L38" i="13"/>
  <c r="K38" i="13"/>
  <c r="F38" i="13"/>
  <c r="E38" i="13"/>
  <c r="D38" i="13"/>
  <c r="C38" i="13"/>
  <c r="T22" i="13"/>
  <c r="S22" i="13"/>
  <c r="R22" i="13"/>
  <c r="M20" i="13"/>
  <c r="M13" i="12" s="1"/>
  <c r="L20" i="13"/>
  <c r="K20" i="13"/>
  <c r="F20" i="13"/>
  <c r="F22" i="13" s="1"/>
  <c r="E20" i="13"/>
  <c r="L10" i="12" s="1"/>
  <c r="D20" i="13"/>
  <c r="D22" i="13" s="1"/>
  <c r="C20" i="13"/>
  <c r="T7" i="13"/>
  <c r="U16" i="12" s="1"/>
  <c r="S7" i="13"/>
  <c r="T16" i="12" s="1"/>
  <c r="R7" i="13"/>
  <c r="S16" i="12" s="1"/>
  <c r="V29" i="18"/>
  <c r="X31" i="18" s="1"/>
  <c r="V28" i="18"/>
  <c r="X30" i="18" s="1"/>
  <c r="M28" i="18"/>
  <c r="K28" i="18"/>
  <c r="I28" i="18"/>
  <c r="V27" i="18"/>
  <c r="X29" i="18" s="1"/>
  <c r="M27" i="18"/>
  <c r="K27" i="18"/>
  <c r="I27" i="18"/>
  <c r="V26" i="18"/>
  <c r="M26" i="18"/>
  <c r="K26" i="18"/>
  <c r="I26" i="18"/>
  <c r="M25" i="18"/>
  <c r="K25" i="18"/>
  <c r="I25" i="18"/>
  <c r="M24" i="18"/>
  <c r="K24" i="18"/>
  <c r="I24" i="18"/>
  <c r="M23" i="18"/>
  <c r="K23" i="18"/>
  <c r="I23" i="18"/>
  <c r="M22" i="18"/>
  <c r="K22" i="18"/>
  <c r="I22" i="18"/>
  <c r="S20" i="18"/>
  <c r="R20" i="18"/>
  <c r="K16" i="18" s="1"/>
  <c r="T19" i="18"/>
  <c r="S18" i="18"/>
  <c r="T18" i="18" s="1"/>
  <c r="T17" i="18"/>
  <c r="L15" i="18"/>
  <c r="M10" i="18"/>
  <c r="M9" i="18" s="1"/>
  <c r="K10" i="18"/>
  <c r="K9" i="18" s="1"/>
  <c r="I9" i="18"/>
  <c r="I15" i="18" s="1"/>
  <c r="H9" i="18"/>
  <c r="H15" i="18" s="1"/>
  <c r="M5" i="18"/>
  <c r="M4" i="18" s="1"/>
  <c r="K5" i="18"/>
  <c r="C13" i="22"/>
  <c r="B13" i="22"/>
  <c r="C10" i="22"/>
  <c r="B10" i="22"/>
  <c r="C9" i="22"/>
  <c r="B9" i="22"/>
  <c r="C8" i="22"/>
  <c r="B8" i="22"/>
  <c r="C5" i="22"/>
  <c r="B5" i="22"/>
  <c r="C4" i="22"/>
  <c r="B4" i="22"/>
  <c r="C3" i="22"/>
  <c r="B3" i="22"/>
  <c r="N12" i="23"/>
  <c r="M12" i="23"/>
  <c r="L12" i="23"/>
  <c r="K12" i="23"/>
  <c r="N11" i="23"/>
  <c r="M11" i="23"/>
  <c r="L11" i="23"/>
  <c r="K11" i="23"/>
  <c r="N8" i="23"/>
  <c r="M8" i="23"/>
  <c r="L8" i="23"/>
  <c r="K8" i="23"/>
  <c r="N7" i="23"/>
  <c r="M7" i="23"/>
  <c r="L7" i="23"/>
  <c r="K7" i="23"/>
  <c r="N4" i="23"/>
  <c r="M4" i="23"/>
  <c r="L4" i="23"/>
  <c r="K4" i="23"/>
  <c r="N3" i="23"/>
  <c r="M3" i="23"/>
  <c r="L3" i="23"/>
  <c r="K3" i="23"/>
  <c r="E162" i="15"/>
  <c r="E161" i="15"/>
  <c r="Z158" i="15"/>
  <c r="Z150" i="15" s="1"/>
  <c r="Z151" i="15" s="1"/>
  <c r="AE157" i="15"/>
  <c r="AD157" i="15"/>
  <c r="Y157" i="15"/>
  <c r="Y163" i="15" s="1"/>
  <c r="AE152" i="15"/>
  <c r="AB152" i="15"/>
  <c r="AA152" i="15"/>
  <c r="Y152" i="15"/>
  <c r="X152" i="15"/>
  <c r="W152" i="15"/>
  <c r="V152" i="15"/>
  <c r="U152" i="15"/>
  <c r="P152" i="15"/>
  <c r="K152" i="15"/>
  <c r="J152" i="15"/>
  <c r="I152" i="15"/>
  <c r="H152" i="15"/>
  <c r="H153" i="15" s="1"/>
  <c r="G152" i="15"/>
  <c r="G153" i="15" s="1"/>
  <c r="F152" i="15"/>
  <c r="F153" i="15" s="1"/>
  <c r="AE150" i="15"/>
  <c r="AB150" i="15"/>
  <c r="AA150" i="15"/>
  <c r="Y150" i="15"/>
  <c r="X150" i="15"/>
  <c r="W150" i="15"/>
  <c r="V150" i="15"/>
  <c r="U150" i="15"/>
  <c r="P150" i="15"/>
  <c r="K150" i="15"/>
  <c r="J150" i="15"/>
  <c r="I150" i="15"/>
  <c r="H150" i="15"/>
  <c r="H151" i="15" s="1"/>
  <c r="F150" i="15"/>
  <c r="F151" i="15" s="1"/>
  <c r="D150" i="15"/>
  <c r="AC149" i="15"/>
  <c r="AC157" i="15" s="1"/>
  <c r="AB149" i="15"/>
  <c r="AB157" i="15" s="1"/>
  <c r="AA149" i="15"/>
  <c r="AA157" i="15" s="1"/>
  <c r="X149" i="15"/>
  <c r="X157" i="15" s="1"/>
  <c r="X163" i="15" s="1"/>
  <c r="W149" i="15"/>
  <c r="W157" i="15" s="1"/>
  <c r="V149" i="15"/>
  <c r="V157" i="15" s="1"/>
  <c r="U149" i="15"/>
  <c r="U157" i="15" s="1"/>
  <c r="T149" i="15"/>
  <c r="T157" i="15" s="1"/>
  <c r="S149" i="15"/>
  <c r="S157" i="15" s="1"/>
  <c r="R149" i="15"/>
  <c r="R157" i="15" s="1"/>
  <c r="P149" i="15"/>
  <c r="P157" i="15" s="1"/>
  <c r="O149" i="15"/>
  <c r="O157" i="15" s="1"/>
  <c r="N149" i="15"/>
  <c r="N157" i="15" s="1"/>
  <c r="M149" i="15"/>
  <c r="M157" i="15" s="1"/>
  <c r="L149" i="15"/>
  <c r="L157" i="15" s="1"/>
  <c r="K149" i="15"/>
  <c r="K157" i="15" s="1"/>
  <c r="K163" i="15" s="1"/>
  <c r="J149" i="15"/>
  <c r="J157" i="15" s="1"/>
  <c r="I149" i="15"/>
  <c r="I157" i="15" s="1"/>
  <c r="I163" i="15" s="1"/>
  <c r="H149" i="15"/>
  <c r="H157" i="15" s="1"/>
  <c r="G149" i="15"/>
  <c r="G157" i="15" s="1"/>
  <c r="F149" i="15"/>
  <c r="F157" i="15" s="1"/>
  <c r="F145" i="15"/>
  <c r="F144" i="15"/>
  <c r="D143" i="15"/>
  <c r="C143" i="15"/>
  <c r="D142" i="15"/>
  <c r="C142" i="15"/>
  <c r="I141" i="15"/>
  <c r="H141" i="15"/>
  <c r="D141" i="15"/>
  <c r="C141" i="15"/>
  <c r="D140" i="15"/>
  <c r="C140" i="15"/>
  <c r="AE139" i="15"/>
  <c r="AD139" i="15"/>
  <c r="AC139" i="15"/>
  <c r="AB139" i="15"/>
  <c r="AA139" i="15"/>
  <c r="Y139" i="15"/>
  <c r="X139" i="15"/>
  <c r="W139" i="15"/>
  <c r="V139" i="15"/>
  <c r="U139" i="15"/>
  <c r="P139" i="15"/>
  <c r="K139" i="15"/>
  <c r="J139" i="15"/>
  <c r="D139" i="15"/>
  <c r="C139" i="15"/>
  <c r="I137" i="15"/>
  <c r="H137" i="15"/>
  <c r="G137" i="15"/>
  <c r="I135" i="15"/>
  <c r="H135" i="15"/>
  <c r="G135" i="15"/>
  <c r="F119" i="15"/>
  <c r="F72" i="15" s="1"/>
  <c r="F118" i="15"/>
  <c r="F117" i="15"/>
  <c r="F116" i="15"/>
  <c r="AE109" i="15"/>
  <c r="AD109" i="15"/>
  <c r="AC109" i="15"/>
  <c r="AB109" i="15"/>
  <c r="AA109" i="15"/>
  <c r="Y109" i="15"/>
  <c r="Z109" i="15" s="1"/>
  <c r="X109" i="15"/>
  <c r="W109" i="15"/>
  <c r="V109" i="15"/>
  <c r="U109" i="15"/>
  <c r="T109" i="15"/>
  <c r="S109" i="15"/>
  <c r="R109" i="15"/>
  <c r="P109" i="15"/>
  <c r="O109" i="15"/>
  <c r="N109" i="15"/>
  <c r="M109" i="15"/>
  <c r="L109" i="15"/>
  <c r="K109" i="15"/>
  <c r="J109" i="15"/>
  <c r="I109" i="15"/>
  <c r="H109" i="15"/>
  <c r="D109" i="15"/>
  <c r="C109" i="15"/>
  <c r="B109" i="15"/>
  <c r="Z108" i="15"/>
  <c r="Z107" i="15"/>
  <c r="AE106" i="15"/>
  <c r="AD106" i="15"/>
  <c r="AD111" i="15" s="1"/>
  <c r="AC106" i="15"/>
  <c r="AC111" i="15" s="1"/>
  <c r="AB106" i="15"/>
  <c r="AB111" i="15" s="1"/>
  <c r="AA106" i="15"/>
  <c r="AA111" i="15" s="1"/>
  <c r="Y106" i="15"/>
  <c r="Y111" i="15" s="1"/>
  <c r="X106" i="15"/>
  <c r="X111" i="15" s="1"/>
  <c r="W106" i="15"/>
  <c r="W111" i="15" s="1"/>
  <c r="V106" i="15"/>
  <c r="V111" i="15" s="1"/>
  <c r="U106" i="15"/>
  <c r="U111" i="15" s="1"/>
  <c r="T106" i="15"/>
  <c r="S106" i="15"/>
  <c r="S111" i="15" s="1"/>
  <c r="R106" i="15"/>
  <c r="R111" i="15" s="1"/>
  <c r="P106" i="15"/>
  <c r="P111" i="15" s="1"/>
  <c r="O106" i="15"/>
  <c r="O111" i="15" s="1"/>
  <c r="N106" i="15"/>
  <c r="N111" i="15" s="1"/>
  <c r="M106" i="15"/>
  <c r="M111" i="15" s="1"/>
  <c r="L106" i="15"/>
  <c r="L111" i="15" s="1"/>
  <c r="K106" i="15"/>
  <c r="K111" i="15" s="1"/>
  <c r="J106" i="15"/>
  <c r="J111" i="15" s="1"/>
  <c r="I106" i="15"/>
  <c r="I111" i="15" s="1"/>
  <c r="H106" i="15"/>
  <c r="H111" i="15" s="1"/>
  <c r="G106" i="15"/>
  <c r="G111" i="15" s="1"/>
  <c r="F106" i="15"/>
  <c r="F111" i="15" s="1"/>
  <c r="E106" i="15"/>
  <c r="Z105" i="15"/>
  <c r="Z104" i="15"/>
  <c r="Z101" i="15"/>
  <c r="AE99" i="15"/>
  <c r="AD99" i="15"/>
  <c r="AC99" i="15"/>
  <c r="AB99" i="15"/>
  <c r="AA99" i="15"/>
  <c r="Y99" i="15"/>
  <c r="Z99" i="15" s="1"/>
  <c r="X99" i="15"/>
  <c r="W99" i="15"/>
  <c r="V99" i="15"/>
  <c r="U99" i="15"/>
  <c r="T99" i="15"/>
  <c r="S99" i="15"/>
  <c r="R99" i="15"/>
  <c r="P99" i="15"/>
  <c r="O99" i="15"/>
  <c r="N99" i="15"/>
  <c r="M99" i="15"/>
  <c r="L99" i="15"/>
  <c r="K99" i="15"/>
  <c r="J99" i="15"/>
  <c r="I99" i="15"/>
  <c r="H99" i="15"/>
  <c r="G99" i="15"/>
  <c r="F99" i="15"/>
  <c r="E99" i="15"/>
  <c r="D99" i="15"/>
  <c r="C99" i="15"/>
  <c r="B99" i="15"/>
  <c r="Z98" i="15"/>
  <c r="Z96" i="15"/>
  <c r="AE89" i="15"/>
  <c r="AD89" i="15"/>
  <c r="AC89" i="15"/>
  <c r="AB89" i="15"/>
  <c r="AA89" i="15"/>
  <c r="Z89" i="15"/>
  <c r="Y89" i="15"/>
  <c r="X89" i="15"/>
  <c r="W89" i="15"/>
  <c r="V89" i="15"/>
  <c r="U89" i="15"/>
  <c r="P89" i="15"/>
  <c r="K89" i="15"/>
  <c r="J89" i="15"/>
  <c r="E89" i="15"/>
  <c r="D89" i="15"/>
  <c r="C89" i="15"/>
  <c r="E88" i="15"/>
  <c r="D88" i="15"/>
  <c r="C88" i="15"/>
  <c r="AD86" i="15"/>
  <c r="AB86" i="15"/>
  <c r="V86" i="15"/>
  <c r="E86" i="15"/>
  <c r="D86" i="15"/>
  <c r="C86" i="15"/>
  <c r="AD85" i="15"/>
  <c r="AC85" i="15"/>
  <c r="AB85" i="15"/>
  <c r="AA85" i="15"/>
  <c r="Y85" i="15"/>
  <c r="X85" i="15"/>
  <c r="W85" i="15"/>
  <c r="V85" i="15"/>
  <c r="U85" i="15"/>
  <c r="P85" i="15"/>
  <c r="K85" i="15"/>
  <c r="J85" i="15"/>
  <c r="E85" i="15"/>
  <c r="D85" i="15"/>
  <c r="C85" i="15"/>
  <c r="AD84" i="15"/>
  <c r="AC84" i="15"/>
  <c r="AB84" i="15"/>
  <c r="AA84" i="15"/>
  <c r="Y84" i="15"/>
  <c r="X84" i="15"/>
  <c r="W84" i="15"/>
  <c r="V84" i="15"/>
  <c r="U84" i="15"/>
  <c r="P84" i="15"/>
  <c r="K84" i="15"/>
  <c r="J84" i="15"/>
  <c r="E84" i="15"/>
  <c r="D84" i="15"/>
  <c r="C84" i="15"/>
  <c r="AD83" i="15"/>
  <c r="AC83" i="15"/>
  <c r="AB83" i="15"/>
  <c r="AA83" i="15"/>
  <c r="Y83" i="15"/>
  <c r="X83" i="15"/>
  <c r="W83" i="15"/>
  <c r="V83" i="15"/>
  <c r="U83" i="15"/>
  <c r="P83" i="15"/>
  <c r="K83" i="15"/>
  <c r="J83" i="15"/>
  <c r="E83" i="15"/>
  <c r="D83" i="15"/>
  <c r="C83" i="15"/>
  <c r="AD80" i="15"/>
  <c r="AC80" i="15"/>
  <c r="AB80" i="15"/>
  <c r="AA80" i="15"/>
  <c r="Y80" i="15"/>
  <c r="X80" i="15"/>
  <c r="W80" i="15"/>
  <c r="V80" i="15"/>
  <c r="U80" i="15"/>
  <c r="P80" i="15"/>
  <c r="K80" i="15"/>
  <c r="J80" i="15"/>
  <c r="AD72" i="15"/>
  <c r="AC72" i="15"/>
  <c r="AB72" i="15"/>
  <c r="AA72" i="15"/>
  <c r="Y72" i="15"/>
  <c r="X72" i="15"/>
  <c r="W72" i="15"/>
  <c r="V72" i="15"/>
  <c r="U72" i="15"/>
  <c r="T72" i="15"/>
  <c r="S72" i="15"/>
  <c r="R72" i="15"/>
  <c r="P72" i="15"/>
  <c r="O72" i="15"/>
  <c r="N72" i="15"/>
  <c r="M72" i="15"/>
  <c r="L72" i="15"/>
  <c r="K72" i="15"/>
  <c r="J72" i="15"/>
  <c r="I72" i="15"/>
  <c r="E72" i="15"/>
  <c r="V71" i="15"/>
  <c r="E71" i="15"/>
  <c r="V70" i="15"/>
  <c r="E70" i="15"/>
  <c r="V69" i="15"/>
  <c r="E69" i="15"/>
  <c r="V68" i="15"/>
  <c r="E68" i="15"/>
  <c r="AE64" i="15"/>
  <c r="AE63" i="15"/>
  <c r="AD63" i="15"/>
  <c r="AC63" i="15"/>
  <c r="AB63" i="15"/>
  <c r="AA63" i="15"/>
  <c r="Z63" i="15"/>
  <c r="Y63" i="15"/>
  <c r="X63" i="15"/>
  <c r="W63" i="15"/>
  <c r="V63" i="15"/>
  <c r="U63" i="15"/>
  <c r="P63" i="15"/>
  <c r="K63" i="15"/>
  <c r="J63" i="15"/>
  <c r="E63" i="15"/>
  <c r="E59" i="15"/>
  <c r="D59" i="15"/>
  <c r="C59" i="15"/>
  <c r="B59" i="15"/>
  <c r="V57" i="15"/>
  <c r="AD51" i="15"/>
  <c r="AC51" i="15"/>
  <c r="AB51" i="15"/>
  <c r="Y51" i="15"/>
  <c r="W51" i="15"/>
  <c r="V51" i="15"/>
  <c r="V52" i="15" s="1"/>
  <c r="O51" i="15"/>
  <c r="N51" i="15"/>
  <c r="M51" i="15"/>
  <c r="L51" i="15"/>
  <c r="H51" i="15"/>
  <c r="G51" i="15"/>
  <c r="F51" i="15"/>
  <c r="E51" i="15"/>
  <c r="E53" i="15" s="1"/>
  <c r="D51" i="15"/>
  <c r="C51" i="15"/>
  <c r="B51" i="15"/>
  <c r="U49" i="15"/>
  <c r="P49" i="15"/>
  <c r="K49" i="15"/>
  <c r="J49" i="15"/>
  <c r="I49" i="15"/>
  <c r="H49" i="15"/>
  <c r="G49" i="15"/>
  <c r="F49" i="15"/>
  <c r="E49" i="15"/>
  <c r="D49" i="15"/>
  <c r="C49" i="15"/>
  <c r="B49" i="15"/>
  <c r="V47" i="15"/>
  <c r="E47" i="15"/>
  <c r="E31" i="15"/>
  <c r="D31" i="15"/>
  <c r="C31" i="15"/>
  <c r="B31" i="15"/>
  <c r="E30" i="15"/>
  <c r="E29" i="15"/>
  <c r="E26" i="15"/>
  <c r="AD25" i="15"/>
  <c r="AC25" i="15"/>
  <c r="AB25" i="15"/>
  <c r="Y25" i="15"/>
  <c r="Y26" i="15" s="1"/>
  <c r="X25" i="15"/>
  <c r="W25" i="15"/>
  <c r="W26" i="15" s="1"/>
  <c r="U25" i="15"/>
  <c r="P25" i="15"/>
  <c r="O25" i="15"/>
  <c r="O26" i="15" s="1"/>
  <c r="N25" i="15"/>
  <c r="N26" i="15" s="1"/>
  <c r="M25" i="15"/>
  <c r="M26" i="15" s="1"/>
  <c r="L25" i="15"/>
  <c r="L26" i="15" s="1"/>
  <c r="K25" i="15"/>
  <c r="J25" i="15"/>
  <c r="H25" i="15"/>
  <c r="H26" i="15" s="1"/>
  <c r="F25" i="15"/>
  <c r="F26" i="15" s="1"/>
  <c r="D25" i="15"/>
  <c r="D26" i="15" s="1"/>
  <c r="C25" i="15"/>
  <c r="E87" i="15" s="1"/>
  <c r="B25" i="15"/>
  <c r="B26" i="15" s="1"/>
  <c r="AA24" i="15"/>
  <c r="AA86" i="15" s="1"/>
  <c r="X24" i="15"/>
  <c r="U24" i="15"/>
  <c r="T24" i="15"/>
  <c r="S24" i="15"/>
  <c r="R24" i="15"/>
  <c r="W86" i="15" s="1"/>
  <c r="P24" i="15"/>
  <c r="P51" i="15" s="1"/>
  <c r="K24" i="15"/>
  <c r="J24" i="15"/>
  <c r="I24" i="15"/>
  <c r="AE23" i="15"/>
  <c r="V23" i="15"/>
  <c r="I23" i="15"/>
  <c r="I25" i="15" s="1"/>
  <c r="G23" i="15"/>
  <c r="G25" i="15" s="1"/>
  <c r="G26" i="15" s="1"/>
  <c r="AE22" i="15"/>
  <c r="Z22" i="15"/>
  <c r="T22" i="15"/>
  <c r="T25" i="15" s="1"/>
  <c r="S22" i="15"/>
  <c r="S25" i="15" s="1"/>
  <c r="R22" i="15"/>
  <c r="R25" i="15" s="1"/>
  <c r="AE21" i="15"/>
  <c r="Z21" i="15"/>
  <c r="Z85" i="15" s="1"/>
  <c r="AE20" i="15"/>
  <c r="Z20" i="15"/>
  <c r="Z84" i="15" s="1"/>
  <c r="AE19" i="15"/>
  <c r="Z19" i="15"/>
  <c r="Z83" i="15" s="1"/>
  <c r="E16" i="15"/>
  <c r="V15" i="15"/>
  <c r="V16" i="15" s="1"/>
  <c r="AE14" i="15"/>
  <c r="Z14" i="15"/>
  <c r="AD13" i="15"/>
  <c r="AD69" i="15" s="1"/>
  <c r="AC13" i="15"/>
  <c r="AC71" i="15" s="1"/>
  <c r="AB13" i="15"/>
  <c r="AA13" i="15"/>
  <c r="AA57" i="15" s="1"/>
  <c r="Y13" i="15"/>
  <c r="Y70" i="15" s="1"/>
  <c r="X13" i="15"/>
  <c r="X70" i="15" s="1"/>
  <c r="W13" i="15"/>
  <c r="W68" i="15" s="1"/>
  <c r="U13" i="15"/>
  <c r="T13" i="15"/>
  <c r="S13" i="15"/>
  <c r="S68" i="15" s="1"/>
  <c r="R13" i="15"/>
  <c r="Q13" i="15"/>
  <c r="Q57" i="15" s="1"/>
  <c r="P13" i="15"/>
  <c r="P70" i="15" s="1"/>
  <c r="O13" i="15"/>
  <c r="N13" i="15"/>
  <c r="N70" i="15" s="1"/>
  <c r="M13" i="15"/>
  <c r="M57" i="15" s="1"/>
  <c r="L13" i="15"/>
  <c r="L70" i="15" s="1"/>
  <c r="K13" i="15"/>
  <c r="K68" i="15" s="1"/>
  <c r="J13" i="15"/>
  <c r="J70" i="15" s="1"/>
  <c r="I13" i="15"/>
  <c r="I47" i="15" s="1"/>
  <c r="F13" i="15"/>
  <c r="AE7" i="15"/>
  <c r="AE6" i="15"/>
  <c r="AE13" i="15" s="1"/>
  <c r="Z6" i="15"/>
  <c r="H6" i="15"/>
  <c r="G6" i="15"/>
  <c r="D6" i="15"/>
  <c r="C6" i="15"/>
  <c r="E80" i="15" s="1"/>
  <c r="B6" i="15"/>
  <c r="B13" i="15" s="1"/>
  <c r="B72" i="15" s="1"/>
  <c r="L6" i="60"/>
  <c r="K6" i="60"/>
  <c r="J17" i="59"/>
  <c r="I17" i="59"/>
  <c r="K9" i="59"/>
  <c r="L8" i="59"/>
  <c r="K8" i="59"/>
  <c r="F8" i="59"/>
  <c r="B57" i="64"/>
  <c r="B44" i="64"/>
  <c r="B47" i="64" s="1"/>
  <c r="B50" i="64" s="1"/>
  <c r="B30" i="64"/>
  <c r="B26" i="64"/>
  <c r="D16" i="64"/>
  <c r="C16" i="64"/>
  <c r="B16" i="64"/>
  <c r="D15" i="64"/>
  <c r="C15" i="64"/>
  <c r="B15" i="64"/>
  <c r="D14" i="64"/>
  <c r="C14" i="64"/>
  <c r="B14" i="64"/>
  <c r="D11" i="64"/>
  <c r="C11" i="64"/>
  <c r="B11" i="64"/>
  <c r="D9" i="64"/>
  <c r="C9" i="64"/>
  <c r="B9" i="64"/>
  <c r="D7" i="64"/>
  <c r="C7" i="64"/>
  <c r="B7" i="64"/>
  <c r="C6" i="64"/>
  <c r="D6" i="64" s="1"/>
  <c r="E6" i="64" s="1"/>
  <c r="F6" i="64" s="1"/>
  <c r="G6" i="64" s="1"/>
  <c r="H6" i="64" s="1"/>
  <c r="I6" i="64" s="1"/>
  <c r="J6" i="64" s="1"/>
  <c r="K6" i="64" s="1"/>
  <c r="L6" i="64" s="1"/>
  <c r="M6" i="64" s="1"/>
  <c r="Y186" i="62"/>
  <c r="I186" i="62"/>
  <c r="H186" i="62"/>
  <c r="G186" i="62"/>
  <c r="Y185" i="62"/>
  <c r="I185" i="62"/>
  <c r="H185" i="62"/>
  <c r="G185" i="62"/>
  <c r="Y184" i="62"/>
  <c r="I184" i="62"/>
  <c r="H184" i="62"/>
  <c r="G184" i="62"/>
  <c r="I183" i="62"/>
  <c r="H183" i="62"/>
  <c r="Y182" i="62"/>
  <c r="H182" i="62"/>
  <c r="G182" i="62"/>
  <c r="AG179" i="62"/>
  <c r="AC179" i="62"/>
  <c r="AB179" i="62"/>
  <c r="AA179" i="62"/>
  <c r="Z179" i="62"/>
  <c r="Y179" i="62"/>
  <c r="X179" i="62"/>
  <c r="W179" i="62"/>
  <c r="F179" i="62"/>
  <c r="AL178" i="62"/>
  <c r="AM178" i="62" s="1"/>
  <c r="AN178" i="62" s="1"/>
  <c r="AO178" i="62" s="1"/>
  <c r="AH178" i="62"/>
  <c r="I178" i="62" s="1"/>
  <c r="J178" i="62" s="1"/>
  <c r="K178" i="62" s="1"/>
  <c r="H178" i="62"/>
  <c r="G178" i="62"/>
  <c r="AL177" i="62"/>
  <c r="AM177" i="62" s="1"/>
  <c r="AN177" i="62" s="1"/>
  <c r="AO177" i="62" s="1"/>
  <c r="AH177" i="62"/>
  <c r="H177" i="62"/>
  <c r="G177" i="62"/>
  <c r="AL176" i="62"/>
  <c r="AM176" i="62" s="1"/>
  <c r="AH176" i="62"/>
  <c r="I176" i="62" s="1"/>
  <c r="J176" i="62" s="1"/>
  <c r="K176" i="62" s="1"/>
  <c r="H176" i="62"/>
  <c r="G176" i="62"/>
  <c r="AH175" i="62"/>
  <c r="AI175" i="62" s="1"/>
  <c r="AJ175" i="62" s="1"/>
  <c r="AD175" i="62"/>
  <c r="G175" i="62"/>
  <c r="AK172" i="62"/>
  <c r="AJ172" i="62"/>
  <c r="AI172" i="62"/>
  <c r="AG172" i="62"/>
  <c r="AF172" i="62"/>
  <c r="AE172" i="62"/>
  <c r="AD172" i="62"/>
  <c r="AC172" i="62"/>
  <c r="AB172" i="62"/>
  <c r="AA172" i="62"/>
  <c r="Z172" i="62"/>
  <c r="X172" i="62"/>
  <c r="W172" i="62"/>
  <c r="V172" i="62"/>
  <c r="U172" i="62"/>
  <c r="T172" i="62"/>
  <c r="S172" i="62"/>
  <c r="R172" i="62"/>
  <c r="Q172" i="62"/>
  <c r="P172" i="62"/>
  <c r="O172" i="62"/>
  <c r="N172" i="62"/>
  <c r="F172" i="62"/>
  <c r="E172" i="62"/>
  <c r="Y169" i="62"/>
  <c r="I169" i="62"/>
  <c r="H169" i="62"/>
  <c r="G169" i="62"/>
  <c r="AH166" i="62"/>
  <c r="AH121" i="62" s="1"/>
  <c r="Y166" i="62"/>
  <c r="H166" i="62"/>
  <c r="G166" i="62"/>
  <c r="Y163" i="62"/>
  <c r="I163" i="62"/>
  <c r="H163" i="62"/>
  <c r="G163" i="62"/>
  <c r="Y160" i="62"/>
  <c r="I160" i="62"/>
  <c r="H160" i="62"/>
  <c r="G160" i="62"/>
  <c r="AK154" i="62"/>
  <c r="AJ154" i="62"/>
  <c r="AI154" i="62"/>
  <c r="AH154" i="62"/>
  <c r="AF154" i="62"/>
  <c r="Y154" i="62"/>
  <c r="H154" i="62"/>
  <c r="G154" i="62"/>
  <c r="AM153" i="62"/>
  <c r="AN153" i="62" s="1"/>
  <c r="AK153" i="62"/>
  <c r="AJ153" i="62"/>
  <c r="AI153" i="62"/>
  <c r="AH153" i="62"/>
  <c r="AE153" i="62"/>
  <c r="H153" i="62" s="1"/>
  <c r="AC153" i="62"/>
  <c r="G153" i="62" s="1"/>
  <c r="Y153" i="62"/>
  <c r="Y150" i="62"/>
  <c r="I150" i="62"/>
  <c r="H150" i="62"/>
  <c r="G150" i="62"/>
  <c r="AO147" i="62"/>
  <c r="Y147" i="62"/>
  <c r="I147" i="62"/>
  <c r="H147" i="62"/>
  <c r="G147" i="62"/>
  <c r="AL146" i="62"/>
  <c r="AM146" i="62" s="1"/>
  <c r="AN146" i="62" s="1"/>
  <c r="Y146" i="62"/>
  <c r="I146" i="62"/>
  <c r="J146" i="62" s="1"/>
  <c r="H146" i="62"/>
  <c r="G146" i="62"/>
  <c r="AM144" i="62"/>
  <c r="AN144" i="62" s="1"/>
  <c r="AC143" i="62"/>
  <c r="AB143" i="62"/>
  <c r="AB144" i="62" s="1"/>
  <c r="AA143" i="62"/>
  <c r="AA144" i="62" s="1"/>
  <c r="Z143" i="62"/>
  <c r="Z144" i="62" s="1"/>
  <c r="Y143" i="62"/>
  <c r="X143" i="62"/>
  <c r="X144" i="62" s="1"/>
  <c r="W143" i="62"/>
  <c r="W144" i="62" s="1"/>
  <c r="V143" i="62"/>
  <c r="V144" i="62" s="1"/>
  <c r="U143" i="62"/>
  <c r="U144" i="62" s="1"/>
  <c r="T143" i="62"/>
  <c r="T144" i="62" s="1"/>
  <c r="S143" i="62"/>
  <c r="S144" i="62" s="1"/>
  <c r="R143" i="62"/>
  <c r="R144" i="62" s="1"/>
  <c r="G143" i="62"/>
  <c r="F143" i="62"/>
  <c r="F144" i="62" s="1"/>
  <c r="E143" i="62"/>
  <c r="E144" i="62" s="1"/>
  <c r="D143" i="62"/>
  <c r="D144" i="62" s="1"/>
  <c r="C143" i="62"/>
  <c r="C144" i="62" s="1"/>
  <c r="Y142" i="62"/>
  <c r="I142" i="62"/>
  <c r="H142" i="62"/>
  <c r="G142" i="62"/>
  <c r="Y131" i="62"/>
  <c r="I131" i="62"/>
  <c r="J131" i="62" s="1"/>
  <c r="H131" i="62"/>
  <c r="G131" i="62"/>
  <c r="AK126" i="62"/>
  <c r="AJ126" i="62"/>
  <c r="AI126" i="62"/>
  <c r="AG126" i="62"/>
  <c r="AF126" i="62"/>
  <c r="AE126" i="62"/>
  <c r="AD126" i="62"/>
  <c r="AC126" i="62"/>
  <c r="AB126" i="62"/>
  <c r="AA126" i="62"/>
  <c r="Z126" i="62"/>
  <c r="Y126" i="62"/>
  <c r="X126" i="62"/>
  <c r="W126" i="62"/>
  <c r="V126" i="62"/>
  <c r="U126" i="62"/>
  <c r="T126" i="62"/>
  <c r="S126" i="62"/>
  <c r="R126" i="62"/>
  <c r="Q126" i="62"/>
  <c r="P126" i="62"/>
  <c r="O126" i="62"/>
  <c r="N126" i="62"/>
  <c r="F126" i="62"/>
  <c r="E126" i="62"/>
  <c r="D126" i="62"/>
  <c r="C126" i="62"/>
  <c r="B126" i="62"/>
  <c r="K124" i="62"/>
  <c r="AK121" i="62"/>
  <c r="AJ121" i="62"/>
  <c r="AI121" i="62"/>
  <c r="AG121" i="62"/>
  <c r="AF121" i="62"/>
  <c r="AE121" i="62"/>
  <c r="AD121" i="62"/>
  <c r="AC121" i="62"/>
  <c r="AB121" i="62"/>
  <c r="AA121" i="62"/>
  <c r="Z121" i="62"/>
  <c r="X121" i="62"/>
  <c r="W121" i="62"/>
  <c r="V121" i="62"/>
  <c r="U121" i="62"/>
  <c r="T121" i="62"/>
  <c r="S121" i="62"/>
  <c r="R121" i="62"/>
  <c r="Q121" i="62"/>
  <c r="P121" i="62"/>
  <c r="O121" i="62"/>
  <c r="N121" i="62"/>
  <c r="F121" i="62"/>
  <c r="E121" i="62"/>
  <c r="D121" i="62"/>
  <c r="C121" i="62"/>
  <c r="B121" i="62"/>
  <c r="AK115" i="62"/>
  <c r="AJ115" i="62"/>
  <c r="AI115" i="62"/>
  <c r="AG115" i="62"/>
  <c r="AF115" i="62"/>
  <c r="AE115" i="62"/>
  <c r="AD115" i="62"/>
  <c r="AC115" i="62"/>
  <c r="AB115" i="62"/>
  <c r="AB117" i="62" s="1"/>
  <c r="AA115" i="62"/>
  <c r="AA117" i="62" s="1"/>
  <c r="Z115" i="62"/>
  <c r="X115" i="62"/>
  <c r="W115" i="62"/>
  <c r="V115" i="62"/>
  <c r="U115" i="62"/>
  <c r="T115" i="62"/>
  <c r="S115" i="62"/>
  <c r="R115" i="62"/>
  <c r="Q115" i="62"/>
  <c r="P115" i="62"/>
  <c r="O115" i="62"/>
  <c r="N115" i="62"/>
  <c r="F115" i="62"/>
  <c r="E115" i="62"/>
  <c r="D115" i="62"/>
  <c r="C115" i="62"/>
  <c r="B115" i="62"/>
  <c r="AK109" i="62"/>
  <c r="AJ109" i="62"/>
  <c r="AI109" i="62"/>
  <c r="AG109" i="62"/>
  <c r="AF109" i="62"/>
  <c r="AE109" i="62"/>
  <c r="AD109" i="62"/>
  <c r="AC109" i="62"/>
  <c r="AB109" i="62"/>
  <c r="AA109" i="62"/>
  <c r="Z109" i="62"/>
  <c r="X109" i="62"/>
  <c r="W109" i="62"/>
  <c r="V109" i="62"/>
  <c r="U109" i="62"/>
  <c r="T109" i="62"/>
  <c r="S109" i="62"/>
  <c r="R109" i="62"/>
  <c r="Q109" i="62"/>
  <c r="P109" i="62"/>
  <c r="O109" i="62"/>
  <c r="N109" i="62"/>
  <c r="F109" i="62"/>
  <c r="E109" i="62"/>
  <c r="D109" i="62"/>
  <c r="C109" i="62"/>
  <c r="B109" i="62"/>
  <c r="AK103" i="62"/>
  <c r="AJ103" i="62"/>
  <c r="AI103" i="62"/>
  <c r="AG103" i="62"/>
  <c r="AF103" i="62"/>
  <c r="AE103" i="62"/>
  <c r="AD103" i="62"/>
  <c r="AC103" i="62"/>
  <c r="AB103" i="62"/>
  <c r="AA103" i="62"/>
  <c r="Z103" i="62"/>
  <c r="X103" i="62"/>
  <c r="W103" i="62"/>
  <c r="V103" i="62"/>
  <c r="U103" i="62"/>
  <c r="T103" i="62"/>
  <c r="S103" i="62"/>
  <c r="R103" i="62"/>
  <c r="Q103" i="62"/>
  <c r="P103" i="62"/>
  <c r="O103" i="62"/>
  <c r="N103" i="62"/>
  <c r="F103" i="62"/>
  <c r="E103" i="62"/>
  <c r="D103" i="62"/>
  <c r="C103" i="62"/>
  <c r="B103" i="62"/>
  <c r="K99" i="62"/>
  <c r="AO97" i="62"/>
  <c r="AO96" i="62"/>
  <c r="AO95" i="62"/>
  <c r="AG86" i="62"/>
  <c r="AC86" i="62"/>
  <c r="AB86" i="62"/>
  <c r="AA86" i="62"/>
  <c r="Z86" i="62"/>
  <c r="AC85" i="62"/>
  <c r="AB85" i="62"/>
  <c r="AA85" i="62"/>
  <c r="Z85" i="62"/>
  <c r="X85" i="62"/>
  <c r="W85" i="62"/>
  <c r="V85" i="62"/>
  <c r="U85" i="62"/>
  <c r="T85" i="62"/>
  <c r="S85" i="62"/>
  <c r="R85" i="62"/>
  <c r="Q85" i="62"/>
  <c r="P85" i="62"/>
  <c r="O85" i="62"/>
  <c r="N85" i="62"/>
  <c r="F85" i="62"/>
  <c r="F91" i="62" s="1"/>
  <c r="E85" i="62"/>
  <c r="E91" i="62" s="1"/>
  <c r="D85" i="62"/>
  <c r="D91" i="62" s="1"/>
  <c r="C85" i="62"/>
  <c r="B85" i="62"/>
  <c r="AO80" i="62"/>
  <c r="AN80" i="62"/>
  <c r="AM80" i="62"/>
  <c r="AL80" i="62"/>
  <c r="H78" i="62"/>
  <c r="G78" i="62"/>
  <c r="AK70" i="62"/>
  <c r="AJ70" i="62"/>
  <c r="AI70" i="62"/>
  <c r="AH70" i="62"/>
  <c r="AG70" i="62"/>
  <c r="AG82" i="62" s="1"/>
  <c r="AF70" i="62"/>
  <c r="AF76" i="62" s="1"/>
  <c r="AE70" i="62"/>
  <c r="AE82" i="62" s="1"/>
  <c r="AD70" i="62"/>
  <c r="AD82" i="62" s="1"/>
  <c r="AC68" i="62"/>
  <c r="AB68" i="62"/>
  <c r="AA68" i="62"/>
  <c r="Z68" i="62"/>
  <c r="Z79" i="62" s="1"/>
  <c r="X68" i="62"/>
  <c r="X79" i="62" s="1"/>
  <c r="W68" i="62"/>
  <c r="V68" i="62"/>
  <c r="U68" i="62"/>
  <c r="T68" i="62"/>
  <c r="T80" i="62" s="1"/>
  <c r="T161" i="62" s="1"/>
  <c r="S68" i="62"/>
  <c r="R68" i="62"/>
  <c r="Q68" i="62"/>
  <c r="Q79" i="62" s="1"/>
  <c r="P68" i="62"/>
  <c r="P79" i="62" s="1"/>
  <c r="O68" i="62"/>
  <c r="O80" i="62" s="1"/>
  <c r="N68" i="62"/>
  <c r="N80" i="62" s="1"/>
  <c r="F68" i="62"/>
  <c r="E68" i="62"/>
  <c r="E74" i="62" s="1"/>
  <c r="D68" i="62"/>
  <c r="D79" i="62" s="1"/>
  <c r="C68" i="62"/>
  <c r="B68" i="62"/>
  <c r="AK67" i="62"/>
  <c r="AJ67" i="62"/>
  <c r="AI67" i="62"/>
  <c r="AH67" i="62"/>
  <c r="AG67" i="62"/>
  <c r="AF67" i="62"/>
  <c r="AE67" i="62"/>
  <c r="AD67" i="62"/>
  <c r="I66" i="62"/>
  <c r="H66" i="62"/>
  <c r="G66" i="62"/>
  <c r="G67" i="62" s="1"/>
  <c r="F66" i="62"/>
  <c r="F67" i="62" s="1"/>
  <c r="E66" i="62"/>
  <c r="E67" i="62" s="1"/>
  <c r="D66" i="62"/>
  <c r="D67" i="62" s="1"/>
  <c r="C66" i="62"/>
  <c r="C67" i="62" s="1"/>
  <c r="B66" i="62"/>
  <c r="AB65" i="62"/>
  <c r="AA65" i="62"/>
  <c r="Z65" i="62"/>
  <c r="X65" i="62"/>
  <c r="W65" i="62"/>
  <c r="V65" i="62"/>
  <c r="U65" i="62"/>
  <c r="T65" i="62"/>
  <c r="S65" i="62"/>
  <c r="R65" i="62"/>
  <c r="F65" i="62"/>
  <c r="E65" i="62"/>
  <c r="D65" i="62"/>
  <c r="C65" i="62"/>
  <c r="Y64" i="62"/>
  <c r="AC65" i="62" s="1"/>
  <c r="AK62" i="62"/>
  <c r="AJ62" i="62"/>
  <c r="AI62" i="62"/>
  <c r="AH62" i="62"/>
  <c r="I61" i="62"/>
  <c r="AB60" i="62"/>
  <c r="AA60" i="62"/>
  <c r="Z60" i="62"/>
  <c r="X60" i="62"/>
  <c r="W60" i="62"/>
  <c r="V60" i="62"/>
  <c r="U60" i="62"/>
  <c r="T60" i="62"/>
  <c r="S60" i="62"/>
  <c r="R60" i="62"/>
  <c r="F60" i="62"/>
  <c r="E60" i="62"/>
  <c r="D60" i="62"/>
  <c r="C60" i="62"/>
  <c r="Y59" i="62"/>
  <c r="G59" i="62"/>
  <c r="AC56" i="62"/>
  <c r="AB56" i="62"/>
  <c r="AB61" i="62" s="1"/>
  <c r="AA56" i="62"/>
  <c r="AA61" i="62" s="1"/>
  <c r="Z56" i="62"/>
  <c r="Z28" i="62" s="1"/>
  <c r="AB55" i="62"/>
  <c r="AA55" i="62"/>
  <c r="Z55" i="62"/>
  <c r="X55" i="62"/>
  <c r="W55" i="62"/>
  <c r="V55" i="62"/>
  <c r="U55" i="62"/>
  <c r="T55" i="62"/>
  <c r="S55" i="62"/>
  <c r="R55" i="62"/>
  <c r="F55" i="62"/>
  <c r="E55" i="62"/>
  <c r="D55" i="62"/>
  <c r="C55" i="62"/>
  <c r="Y54" i="62"/>
  <c r="G54" i="62"/>
  <c r="Y40" i="62"/>
  <c r="Y37" i="62" s="1"/>
  <c r="Y39" i="62" s="1"/>
  <c r="X40" i="62"/>
  <c r="X105" i="62" s="1"/>
  <c r="W40" i="62"/>
  <c r="W37" i="62" s="1"/>
  <c r="W39" i="62" s="1"/>
  <c r="Z39" i="62"/>
  <c r="AD37" i="62"/>
  <c r="AA33" i="62"/>
  <c r="Z33" i="62"/>
  <c r="Z40" i="62" s="1"/>
  <c r="U33" i="62"/>
  <c r="S33" i="62"/>
  <c r="R33" i="62"/>
  <c r="T32" i="62"/>
  <c r="Q32" i="62"/>
  <c r="D32" i="62"/>
  <c r="C32" i="62"/>
  <c r="B32" i="62"/>
  <c r="D31" i="62"/>
  <c r="C31" i="62"/>
  <c r="AC26" i="62"/>
  <c r="AB26" i="62"/>
  <c r="AB45" i="62" s="1"/>
  <c r="AA26" i="62"/>
  <c r="Z26" i="62"/>
  <c r="X26" i="62"/>
  <c r="W26" i="62"/>
  <c r="V26" i="62"/>
  <c r="V30" i="62" s="1"/>
  <c r="V22" i="62" s="1"/>
  <c r="U26" i="62"/>
  <c r="T26" i="62"/>
  <c r="S26" i="62"/>
  <c r="R26" i="62"/>
  <c r="Q26" i="62"/>
  <c r="Q33" i="62" s="1"/>
  <c r="F26" i="62"/>
  <c r="E26" i="62"/>
  <c r="E28" i="62" s="1"/>
  <c r="D26" i="62"/>
  <c r="D33" i="62" s="1"/>
  <c r="C26" i="62"/>
  <c r="B26" i="62"/>
  <c r="T22" i="62"/>
  <c r="Q22" i="62"/>
  <c r="D22" i="62"/>
  <c r="C22" i="62"/>
  <c r="B22" i="62"/>
  <c r="AC16" i="62"/>
  <c r="AB16" i="62"/>
  <c r="AA16" i="62"/>
  <c r="Z16" i="62"/>
  <c r="Y16" i="62"/>
  <c r="X16" i="62"/>
  <c r="W16" i="62"/>
  <c r="V16" i="62"/>
  <c r="U16" i="62"/>
  <c r="T16" i="62"/>
  <c r="S16" i="62"/>
  <c r="R16" i="62"/>
  <c r="F16" i="62"/>
  <c r="E16" i="62"/>
  <c r="D16" i="62"/>
  <c r="C16" i="62"/>
  <c r="AG15" i="62"/>
  <c r="AF15" i="62"/>
  <c r="AE15" i="62"/>
  <c r="AI15" i="62" s="1"/>
  <c r="AD15" i="62"/>
  <c r="AH15" i="62" s="1"/>
  <c r="AL15" i="62" s="1"/>
  <c r="G15" i="62"/>
  <c r="G16" i="62" s="1"/>
  <c r="G13" i="62"/>
  <c r="G12" i="62"/>
  <c r="AC9" i="62"/>
  <c r="AB9" i="62"/>
  <c r="AA9" i="62"/>
  <c r="AE9" i="62" s="1"/>
  <c r="AI9" i="62" s="1"/>
  <c r="Z9" i="62"/>
  <c r="AD9" i="62" s="1"/>
  <c r="Y9" i="62"/>
  <c r="X9" i="62"/>
  <c r="W9" i="62"/>
  <c r="V9" i="62"/>
  <c r="U9" i="62"/>
  <c r="T9" i="62"/>
  <c r="S9" i="62"/>
  <c r="R9" i="62"/>
  <c r="Q9" i="62"/>
  <c r="P9" i="62"/>
  <c r="P19" i="62" s="1"/>
  <c r="O9" i="62"/>
  <c r="O19" i="62" s="1"/>
  <c r="N9" i="62"/>
  <c r="N19" i="62" s="1"/>
  <c r="F9" i="62"/>
  <c r="E9" i="62"/>
  <c r="D9" i="62"/>
  <c r="C9" i="62"/>
  <c r="B9" i="62"/>
  <c r="C6" i="62"/>
  <c r="D6" i="62" s="1"/>
  <c r="E6" i="62" s="1"/>
  <c r="F6" i="62" s="1"/>
  <c r="G6" i="62" s="1"/>
  <c r="H6" i="62" s="1"/>
  <c r="I6" i="62" s="1"/>
  <c r="J6" i="62" s="1"/>
  <c r="K6" i="62" s="1"/>
  <c r="H181" i="61"/>
  <c r="H182" i="61" s="1"/>
  <c r="I182" i="61" s="1"/>
  <c r="G181" i="61"/>
  <c r="G182" i="61" s="1"/>
  <c r="F181" i="61"/>
  <c r="F182" i="61" s="1"/>
  <c r="E181" i="61"/>
  <c r="E182" i="61" s="1"/>
  <c r="D181" i="61"/>
  <c r="D182" i="61" s="1"/>
  <c r="C181" i="61"/>
  <c r="C182" i="61" s="1"/>
  <c r="B181" i="61"/>
  <c r="B182" i="61" s="1"/>
  <c r="I179" i="61"/>
  <c r="J179" i="61" s="1"/>
  <c r="K179" i="61" s="1"/>
  <c r="H178" i="61"/>
  <c r="G178" i="61"/>
  <c r="F178" i="61"/>
  <c r="E178" i="61"/>
  <c r="D178" i="61"/>
  <c r="C178" i="61"/>
  <c r="B178" i="61"/>
  <c r="I176" i="61"/>
  <c r="AJ161" i="61"/>
  <c r="AI161" i="61"/>
  <c r="AH161" i="61"/>
  <c r="AG161" i="61"/>
  <c r="AF161" i="61"/>
  <c r="AE161" i="61"/>
  <c r="AD161" i="61"/>
  <c r="AC161" i="61"/>
  <c r="AB161" i="61"/>
  <c r="AA161" i="61"/>
  <c r="Z161" i="61"/>
  <c r="Y161" i="61"/>
  <c r="X161" i="61"/>
  <c r="W161" i="61"/>
  <c r="V161" i="61"/>
  <c r="U161" i="61"/>
  <c r="G161" i="61"/>
  <c r="F161" i="61"/>
  <c r="E161" i="61"/>
  <c r="D161" i="61"/>
  <c r="C161" i="61"/>
  <c r="B161" i="61"/>
  <c r="H160" i="61"/>
  <c r="AC159" i="61"/>
  <c r="AC157" i="61" s="1"/>
  <c r="AB159" i="61"/>
  <c r="AB157" i="61" s="1"/>
  <c r="Y159" i="61"/>
  <c r="Y157" i="61" s="1"/>
  <c r="G159" i="61"/>
  <c r="G157" i="61" s="1"/>
  <c r="G168" i="61" s="1"/>
  <c r="F159" i="61"/>
  <c r="F157" i="61" s="1"/>
  <c r="F167" i="61" s="1"/>
  <c r="E159" i="61"/>
  <c r="E157" i="61" s="1"/>
  <c r="E167" i="61" s="1"/>
  <c r="AD158" i="61"/>
  <c r="Z158" i="61"/>
  <c r="AA158" i="61" s="1"/>
  <c r="D158" i="61"/>
  <c r="D159" i="61" s="1"/>
  <c r="D157" i="61" s="1"/>
  <c r="C158" i="61"/>
  <c r="C159" i="61" s="1"/>
  <c r="C157" i="61" s="1"/>
  <c r="B158" i="61"/>
  <c r="B159" i="61" s="1"/>
  <c r="B157" i="61" s="1"/>
  <c r="AJ156" i="61"/>
  <c r="AI156" i="61"/>
  <c r="AH156" i="61"/>
  <c r="X156" i="61"/>
  <c r="W156" i="61"/>
  <c r="V156" i="61"/>
  <c r="U156" i="61"/>
  <c r="AJ149" i="61"/>
  <c r="AI149" i="61"/>
  <c r="AH149" i="61"/>
  <c r="AG149" i="61"/>
  <c r="AE149" i="61"/>
  <c r="AD149" i="61"/>
  <c r="AA149" i="61"/>
  <c r="Z149" i="61"/>
  <c r="Y149" i="61"/>
  <c r="X149" i="61"/>
  <c r="W149" i="61"/>
  <c r="V149" i="61"/>
  <c r="U149" i="61"/>
  <c r="G149" i="61"/>
  <c r="F149" i="61"/>
  <c r="E149" i="61"/>
  <c r="D149" i="61"/>
  <c r="C149" i="61"/>
  <c r="B149" i="61"/>
  <c r="AJ147" i="61"/>
  <c r="AH147" i="61"/>
  <c r="AG147" i="61"/>
  <c r="AE147" i="61"/>
  <c r="AD147" i="61"/>
  <c r="AC147" i="61"/>
  <c r="AA147" i="61"/>
  <c r="Z147" i="61"/>
  <c r="Y147" i="61"/>
  <c r="X147" i="61"/>
  <c r="W147" i="61"/>
  <c r="V147" i="61"/>
  <c r="U147" i="61"/>
  <c r="H147" i="61"/>
  <c r="G147" i="61"/>
  <c r="F147" i="61"/>
  <c r="E147" i="61"/>
  <c r="D147" i="61"/>
  <c r="C147" i="61"/>
  <c r="B147" i="61"/>
  <c r="AJ146" i="61"/>
  <c r="AH146" i="61"/>
  <c r="AG146" i="61"/>
  <c r="AE146" i="61"/>
  <c r="AD146" i="61"/>
  <c r="AC146" i="61"/>
  <c r="AA146" i="61"/>
  <c r="Z146" i="61"/>
  <c r="Y146" i="61"/>
  <c r="X146" i="61"/>
  <c r="W146" i="61"/>
  <c r="V146" i="61"/>
  <c r="U146" i="61"/>
  <c r="H146" i="61"/>
  <c r="G146" i="61"/>
  <c r="F146" i="61"/>
  <c r="E146" i="61"/>
  <c r="D146" i="61"/>
  <c r="C146" i="61"/>
  <c r="B146" i="61"/>
  <c r="AH145" i="61"/>
  <c r="AG145" i="61"/>
  <c r="AE145" i="61"/>
  <c r="AD145" i="61"/>
  <c r="AC145" i="61"/>
  <c r="AA145" i="61"/>
  <c r="Z145" i="61"/>
  <c r="Y145" i="61"/>
  <c r="X145" i="61"/>
  <c r="W145" i="61"/>
  <c r="V145" i="61"/>
  <c r="U145" i="61"/>
  <c r="H145" i="61"/>
  <c r="G145" i="61"/>
  <c r="F145" i="61"/>
  <c r="E145" i="61"/>
  <c r="D145" i="61"/>
  <c r="C145" i="61"/>
  <c r="B145" i="61"/>
  <c r="B142" i="61"/>
  <c r="H140" i="61"/>
  <c r="K138" i="61"/>
  <c r="J138" i="61"/>
  <c r="I138" i="61"/>
  <c r="G138" i="61"/>
  <c r="F138" i="61"/>
  <c r="E138" i="61"/>
  <c r="D138" i="61"/>
  <c r="C138" i="61"/>
  <c r="B138" i="61"/>
  <c r="H137" i="61"/>
  <c r="F127" i="61"/>
  <c r="E127" i="61"/>
  <c r="D127" i="61"/>
  <c r="C127" i="61"/>
  <c r="B127" i="61"/>
  <c r="H126" i="61"/>
  <c r="G126" i="61"/>
  <c r="G127" i="61" s="1"/>
  <c r="H115" i="61"/>
  <c r="G115" i="61"/>
  <c r="F115" i="61"/>
  <c r="E115" i="61"/>
  <c r="D105" i="61"/>
  <c r="D115" i="61" s="1"/>
  <c r="C105" i="61"/>
  <c r="C115" i="61" s="1"/>
  <c r="B105" i="61"/>
  <c r="B115" i="61" s="1"/>
  <c r="AI100" i="61"/>
  <c r="AF100" i="61"/>
  <c r="AB100" i="61"/>
  <c r="I100" i="61"/>
  <c r="Z99" i="61"/>
  <c r="Y99" i="61"/>
  <c r="X99" i="61"/>
  <c r="W99" i="61"/>
  <c r="V99" i="61"/>
  <c r="U99" i="61"/>
  <c r="T99" i="61"/>
  <c r="S99" i="61"/>
  <c r="R99" i="61"/>
  <c r="P99" i="61"/>
  <c r="F99" i="61"/>
  <c r="F101" i="61" s="1"/>
  <c r="E99" i="61"/>
  <c r="E101" i="61" s="1"/>
  <c r="D99" i="61"/>
  <c r="D101" i="61" s="1"/>
  <c r="C99" i="61"/>
  <c r="C101" i="61" s="1"/>
  <c r="B99" i="61"/>
  <c r="B101" i="61" s="1"/>
  <c r="AJ98" i="61"/>
  <c r="AI98" i="61"/>
  <c r="AF98" i="61"/>
  <c r="AB98" i="61"/>
  <c r="AI97" i="61"/>
  <c r="AF97" i="61"/>
  <c r="AB97" i="61"/>
  <c r="I97" i="61"/>
  <c r="J97" i="61" s="1"/>
  <c r="K97" i="61" s="1"/>
  <c r="AI96" i="61"/>
  <c r="AF96" i="61"/>
  <c r="AB96" i="61"/>
  <c r="I96" i="61"/>
  <c r="AJ95" i="61"/>
  <c r="I95" i="61" s="1"/>
  <c r="J95" i="61" s="1"/>
  <c r="AI95" i="61"/>
  <c r="AH95" i="61"/>
  <c r="AH99" i="61" s="1"/>
  <c r="AG95" i="61"/>
  <c r="AG99" i="61" s="1"/>
  <c r="AE95" i="61"/>
  <c r="AE99" i="61" s="1"/>
  <c r="AD95" i="61"/>
  <c r="AD99" i="61" s="1"/>
  <c r="AC95" i="61"/>
  <c r="AC99" i="61" s="1"/>
  <c r="AA95" i="61"/>
  <c r="AA99" i="61" s="1"/>
  <c r="H95" i="61"/>
  <c r="G95" i="61"/>
  <c r="G99" i="61" s="1"/>
  <c r="G101" i="61" s="1"/>
  <c r="AI92" i="61"/>
  <c r="AF92" i="61"/>
  <c r="AB92" i="61"/>
  <c r="I92" i="61"/>
  <c r="J92" i="61" s="1"/>
  <c r="K92" i="61" s="1"/>
  <c r="AI89" i="61"/>
  <c r="AF89" i="61"/>
  <c r="AB89" i="61"/>
  <c r="I89" i="61"/>
  <c r="J89" i="61" s="1"/>
  <c r="K89" i="61" s="1"/>
  <c r="AH88" i="61"/>
  <c r="AH90" i="61" s="1"/>
  <c r="W88" i="61"/>
  <c r="W90" i="61" s="1"/>
  <c r="V88" i="61"/>
  <c r="V90" i="61" s="1"/>
  <c r="U88" i="61"/>
  <c r="U90" i="61" s="1"/>
  <c r="T88" i="61"/>
  <c r="T90" i="61" s="1"/>
  <c r="S88" i="61"/>
  <c r="S90" i="61" s="1"/>
  <c r="R88" i="61"/>
  <c r="R90" i="61" s="1"/>
  <c r="P88" i="61"/>
  <c r="P90" i="61" s="1"/>
  <c r="E88" i="61"/>
  <c r="E90" i="61" s="1"/>
  <c r="D88" i="61"/>
  <c r="D90" i="61" s="1"/>
  <c r="C88" i="61"/>
  <c r="C90" i="61" s="1"/>
  <c r="B88" i="61"/>
  <c r="B90" i="61" s="1"/>
  <c r="AI87" i="61"/>
  <c r="AG87" i="61"/>
  <c r="AG88" i="61" s="1"/>
  <c r="AG90" i="61" s="1"/>
  <c r="AF87" i="61"/>
  <c r="AB87" i="61"/>
  <c r="I87" i="61"/>
  <c r="J87" i="61" s="1"/>
  <c r="K87" i="61" s="1"/>
  <c r="AJ86" i="61"/>
  <c r="AJ88" i="61" s="1"/>
  <c r="AJ90" i="61" s="1"/>
  <c r="AI86" i="61"/>
  <c r="AE86" i="61"/>
  <c r="AE88" i="61" s="1"/>
  <c r="AE90" i="61" s="1"/>
  <c r="AD86" i="61"/>
  <c r="AD88" i="61" s="1"/>
  <c r="AD90" i="61" s="1"/>
  <c r="AC86" i="61"/>
  <c r="Z86" i="61"/>
  <c r="H86" i="61"/>
  <c r="AF86" i="61" s="1"/>
  <c r="G86" i="61"/>
  <c r="F86" i="61"/>
  <c r="F88" i="61" s="1"/>
  <c r="F90" i="61" s="1"/>
  <c r="AI85" i="61"/>
  <c r="AF85" i="61"/>
  <c r="AB85" i="61"/>
  <c r="I85" i="61"/>
  <c r="J85" i="61" s="1"/>
  <c r="K85" i="61" s="1"/>
  <c r="AI84" i="61"/>
  <c r="AF84" i="61"/>
  <c r="AB84" i="61"/>
  <c r="I84" i="61"/>
  <c r="J84" i="61" s="1"/>
  <c r="K84" i="61" s="1"/>
  <c r="AI83" i="61"/>
  <c r="AF83" i="61"/>
  <c r="AB83" i="61"/>
  <c r="I83" i="61"/>
  <c r="J83" i="61" s="1"/>
  <c r="K83" i="61" s="1"/>
  <c r="AI82" i="61"/>
  <c r="AF82" i="61"/>
  <c r="AB82" i="61"/>
  <c r="AA82" i="61"/>
  <c r="AA88" i="61" s="1"/>
  <c r="AA90" i="61" s="1"/>
  <c r="Z82" i="61"/>
  <c r="Y82" i="61"/>
  <c r="Y88" i="61" s="1"/>
  <c r="Y90" i="61" s="1"/>
  <c r="X82" i="61"/>
  <c r="X88" i="61" s="1"/>
  <c r="X90" i="61" s="1"/>
  <c r="I82" i="61"/>
  <c r="AB81" i="61"/>
  <c r="I81" i="61"/>
  <c r="I149" i="61" s="1"/>
  <c r="H81" i="61"/>
  <c r="AC81" i="61" s="1"/>
  <c r="AH77" i="61"/>
  <c r="AG77" i="61"/>
  <c r="AE77" i="61"/>
  <c r="AD77" i="61"/>
  <c r="AC77" i="61"/>
  <c r="AA77" i="61"/>
  <c r="Z77" i="61"/>
  <c r="Y77" i="61"/>
  <c r="Y78" i="61" s="1"/>
  <c r="X77" i="61"/>
  <c r="W77" i="61"/>
  <c r="V77" i="61"/>
  <c r="U77" i="61"/>
  <c r="T77" i="61"/>
  <c r="S77" i="61"/>
  <c r="R77" i="61"/>
  <c r="P77" i="61"/>
  <c r="H77" i="61"/>
  <c r="G77" i="61"/>
  <c r="F77" i="61"/>
  <c r="E77" i="61"/>
  <c r="D77" i="61"/>
  <c r="C77" i="61"/>
  <c r="B77" i="61"/>
  <c r="AB76" i="61"/>
  <c r="I76" i="61"/>
  <c r="J76" i="61" s="1"/>
  <c r="K76" i="61" s="1"/>
  <c r="AJ75" i="61"/>
  <c r="AI75" i="61"/>
  <c r="AF75" i="61"/>
  <c r="AB75" i="61"/>
  <c r="AF74" i="61"/>
  <c r="AB74" i="61"/>
  <c r="I74" i="61"/>
  <c r="J74" i="61" s="1"/>
  <c r="K74" i="61" s="1"/>
  <c r="AI73" i="61"/>
  <c r="AF73" i="61"/>
  <c r="AB73" i="61"/>
  <c r="I73" i="61"/>
  <c r="J73" i="61" s="1"/>
  <c r="K73" i="61" s="1"/>
  <c r="AI72" i="61"/>
  <c r="AF72" i="61"/>
  <c r="AB72" i="61"/>
  <c r="I72" i="61"/>
  <c r="AI71" i="61"/>
  <c r="AF71" i="61"/>
  <c r="AB71" i="61"/>
  <c r="I71" i="61"/>
  <c r="AI70" i="61"/>
  <c r="AF70" i="61"/>
  <c r="AB70" i="61"/>
  <c r="I70" i="61"/>
  <c r="J70" i="61" s="1"/>
  <c r="K70" i="61" s="1"/>
  <c r="AH67" i="61"/>
  <c r="W67" i="61"/>
  <c r="V67" i="61"/>
  <c r="U67" i="61"/>
  <c r="T67" i="61"/>
  <c r="S67" i="61"/>
  <c r="R67" i="61"/>
  <c r="P67" i="61"/>
  <c r="E67" i="61"/>
  <c r="D67" i="61"/>
  <c r="C67" i="61"/>
  <c r="B67" i="61"/>
  <c r="AG66" i="61"/>
  <c r="AG67" i="61" s="1"/>
  <c r="AF66" i="61"/>
  <c r="AB66" i="61"/>
  <c r="I66" i="61"/>
  <c r="AI65" i="61"/>
  <c r="AE65" i="61"/>
  <c r="AE67" i="61" s="1"/>
  <c r="AD65" i="61"/>
  <c r="AD67" i="61" s="1"/>
  <c r="AC65" i="61"/>
  <c r="AC67" i="61" s="1"/>
  <c r="AA65" i="61"/>
  <c r="AA67" i="61" s="1"/>
  <c r="Z65" i="61"/>
  <c r="Z67" i="61" s="1"/>
  <c r="Y65" i="61"/>
  <c r="Y67" i="61" s="1"/>
  <c r="X65" i="61"/>
  <c r="X67" i="61" s="1"/>
  <c r="I65" i="61"/>
  <c r="J65" i="61" s="1"/>
  <c r="K65" i="61" s="1"/>
  <c r="H65" i="61"/>
  <c r="G65" i="61"/>
  <c r="F65" i="61"/>
  <c r="F67" i="61" s="1"/>
  <c r="AJ64" i="61"/>
  <c r="I64" i="61" s="1"/>
  <c r="J64" i="61" s="1"/>
  <c r="AI64" i="61"/>
  <c r="AF64" i="61"/>
  <c r="AB64" i="61"/>
  <c r="AI63" i="61"/>
  <c r="AF63" i="61"/>
  <c r="AF147" i="61" s="1"/>
  <c r="AB63" i="61"/>
  <c r="AB147" i="61" s="1"/>
  <c r="I63" i="61"/>
  <c r="J63" i="61" s="1"/>
  <c r="AI62" i="61"/>
  <c r="AI146" i="61" s="1"/>
  <c r="AF62" i="61"/>
  <c r="AF146" i="61" s="1"/>
  <c r="AB62" i="61"/>
  <c r="AB146" i="61" s="1"/>
  <c r="I62" i="61"/>
  <c r="J62" i="61" s="1"/>
  <c r="AJ61" i="61"/>
  <c r="AI61" i="61"/>
  <c r="AI145" i="61" s="1"/>
  <c r="AF61" i="61"/>
  <c r="AF145" i="61" s="1"/>
  <c r="AB61" i="61"/>
  <c r="AB145" i="61" s="1"/>
  <c r="AJ56" i="61"/>
  <c r="AI56" i="61"/>
  <c r="AH56" i="61"/>
  <c r="AG56" i="61"/>
  <c r="AF56" i="61"/>
  <c r="AE56" i="61"/>
  <c r="AD56" i="61"/>
  <c r="AC56" i="61"/>
  <c r="AB56" i="61"/>
  <c r="AA56" i="61"/>
  <c r="Z56" i="61"/>
  <c r="Y56" i="61"/>
  <c r="X56" i="61"/>
  <c r="W56" i="61"/>
  <c r="V56" i="61"/>
  <c r="U56" i="61"/>
  <c r="T56" i="61"/>
  <c r="S56" i="61"/>
  <c r="R56" i="61"/>
  <c r="Q56" i="61"/>
  <c r="P56" i="61"/>
  <c r="O56" i="61"/>
  <c r="N56" i="61"/>
  <c r="M56" i="61"/>
  <c r="K56" i="61"/>
  <c r="J56" i="61"/>
  <c r="I56" i="61"/>
  <c r="H56" i="61"/>
  <c r="G56" i="61"/>
  <c r="F56" i="61"/>
  <c r="E56" i="61"/>
  <c r="D56" i="61"/>
  <c r="C56" i="61"/>
  <c r="B56" i="61"/>
  <c r="AJ55" i="61"/>
  <c r="AI55" i="61"/>
  <c r="AH55" i="61"/>
  <c r="AG55" i="61"/>
  <c r="AF55" i="61"/>
  <c r="AE55" i="61"/>
  <c r="AD55" i="61"/>
  <c r="AC55" i="61"/>
  <c r="AB55" i="61"/>
  <c r="AA55" i="61"/>
  <c r="Z55" i="61"/>
  <c r="Y55" i="61"/>
  <c r="X55" i="61"/>
  <c r="W55" i="61"/>
  <c r="V55" i="61"/>
  <c r="U55" i="61"/>
  <c r="T55" i="61"/>
  <c r="S55" i="61"/>
  <c r="R55" i="61"/>
  <c r="Q55" i="61"/>
  <c r="P55" i="61"/>
  <c r="O55" i="61"/>
  <c r="N55" i="61"/>
  <c r="M55" i="61"/>
  <c r="K55" i="61"/>
  <c r="J55" i="61"/>
  <c r="I55" i="61"/>
  <c r="H55" i="61"/>
  <c r="G55" i="61"/>
  <c r="F55" i="61"/>
  <c r="E55" i="61"/>
  <c r="D55" i="61"/>
  <c r="C55" i="61"/>
  <c r="B55" i="61"/>
  <c r="AJ54" i="61"/>
  <c r="AI54" i="61"/>
  <c r="AH54" i="61"/>
  <c r="AG54" i="61"/>
  <c r="AF54" i="61"/>
  <c r="AE54" i="61"/>
  <c r="AD54" i="61"/>
  <c r="AC54" i="61"/>
  <c r="AB54" i="61"/>
  <c r="AA54" i="61"/>
  <c r="Z54" i="61"/>
  <c r="Y54" i="61"/>
  <c r="X54" i="61"/>
  <c r="W54" i="61"/>
  <c r="V54" i="61"/>
  <c r="U54" i="61"/>
  <c r="T54" i="61"/>
  <c r="S54" i="61"/>
  <c r="R54" i="61"/>
  <c r="Q54" i="61"/>
  <c r="P54" i="61"/>
  <c r="O54" i="61"/>
  <c r="N54" i="61"/>
  <c r="M54" i="61"/>
  <c r="K54" i="61"/>
  <c r="J54" i="61"/>
  <c r="I54" i="61"/>
  <c r="H54" i="61"/>
  <c r="G54" i="61"/>
  <c r="F54" i="61"/>
  <c r="E54" i="61"/>
  <c r="D54" i="61"/>
  <c r="C54" i="61"/>
  <c r="B54" i="61"/>
  <c r="AJ53" i="61"/>
  <c r="AI53" i="61"/>
  <c r="AH53" i="61"/>
  <c r="AG53" i="61"/>
  <c r="AF53" i="61"/>
  <c r="AE53" i="61"/>
  <c r="AD53" i="61"/>
  <c r="AC53" i="61"/>
  <c r="AB53" i="61"/>
  <c r="AA53" i="61"/>
  <c r="Z53" i="61"/>
  <c r="Y53" i="61"/>
  <c r="X53" i="61"/>
  <c r="W53" i="61"/>
  <c r="V53" i="61"/>
  <c r="U53" i="61"/>
  <c r="T53" i="61"/>
  <c r="S53" i="61"/>
  <c r="R53" i="61"/>
  <c r="Q53" i="61"/>
  <c r="P53" i="61"/>
  <c r="O53" i="61"/>
  <c r="N53" i="61"/>
  <c r="M53" i="61"/>
  <c r="K53" i="61"/>
  <c r="J53" i="61"/>
  <c r="I53" i="61"/>
  <c r="H53" i="61"/>
  <c r="G53" i="61"/>
  <c r="F53" i="61"/>
  <c r="E53" i="61"/>
  <c r="D53" i="61"/>
  <c r="C53" i="61"/>
  <c r="B53" i="61"/>
  <c r="AJ49" i="61"/>
  <c r="AI49" i="61"/>
  <c r="AH49" i="61"/>
  <c r="AG49" i="61"/>
  <c r="AF49" i="61"/>
  <c r="AE49" i="61"/>
  <c r="AD49" i="61"/>
  <c r="AC49" i="61"/>
  <c r="AB49" i="61"/>
  <c r="AA49" i="61"/>
  <c r="Z49" i="61"/>
  <c r="Y49" i="61"/>
  <c r="X49" i="61"/>
  <c r="W49" i="61"/>
  <c r="V49" i="61"/>
  <c r="U49" i="61"/>
  <c r="T49" i="61"/>
  <c r="S49" i="61"/>
  <c r="R49" i="61"/>
  <c r="Q49" i="61"/>
  <c r="P49" i="61"/>
  <c r="O49" i="61"/>
  <c r="N49" i="61"/>
  <c r="M49" i="61"/>
  <c r="K49" i="61"/>
  <c r="J49" i="61"/>
  <c r="I49" i="61"/>
  <c r="H49" i="61"/>
  <c r="G49" i="61"/>
  <c r="F49" i="61"/>
  <c r="E49" i="61"/>
  <c r="D49" i="61"/>
  <c r="C49" i="61"/>
  <c r="B49" i="61"/>
  <c r="AJ48" i="61"/>
  <c r="AI48" i="61"/>
  <c r="AH48" i="61"/>
  <c r="AG48" i="61"/>
  <c r="AF48" i="61"/>
  <c r="AE48" i="61"/>
  <c r="AD48" i="61"/>
  <c r="AC48" i="61"/>
  <c r="AB48" i="61"/>
  <c r="AA48" i="61"/>
  <c r="Z48" i="61"/>
  <c r="Y48" i="61"/>
  <c r="X48" i="61"/>
  <c r="W48" i="61"/>
  <c r="V48" i="61"/>
  <c r="U48" i="61"/>
  <c r="T48" i="61"/>
  <c r="S48" i="61"/>
  <c r="R48" i="61"/>
  <c r="Q48" i="61"/>
  <c r="P48" i="61"/>
  <c r="O48" i="61"/>
  <c r="N48" i="61"/>
  <c r="M48" i="61"/>
  <c r="K48" i="61"/>
  <c r="J48" i="61"/>
  <c r="I48" i="61"/>
  <c r="H48" i="61"/>
  <c r="G48" i="61"/>
  <c r="F48" i="61"/>
  <c r="E48" i="61"/>
  <c r="D48" i="61"/>
  <c r="C48" i="61"/>
  <c r="B48" i="61"/>
  <c r="AJ47" i="61"/>
  <c r="AI47" i="61"/>
  <c r="AH47" i="61"/>
  <c r="AG47" i="61"/>
  <c r="AF47" i="61"/>
  <c r="AE47" i="61"/>
  <c r="AD47" i="61"/>
  <c r="AC47" i="61"/>
  <c r="AB47" i="61"/>
  <c r="AA47" i="61"/>
  <c r="Z47" i="61"/>
  <c r="Y47" i="61"/>
  <c r="X47" i="61"/>
  <c r="W47" i="61"/>
  <c r="V47" i="61"/>
  <c r="U47" i="61"/>
  <c r="T47" i="61"/>
  <c r="S47" i="61"/>
  <c r="R47" i="61"/>
  <c r="Q47" i="61"/>
  <c r="P47" i="61"/>
  <c r="O47" i="61"/>
  <c r="N47" i="61"/>
  <c r="M47" i="61"/>
  <c r="K47" i="61"/>
  <c r="J47" i="61"/>
  <c r="I47" i="61"/>
  <c r="H47" i="61"/>
  <c r="G47" i="61"/>
  <c r="F47" i="61"/>
  <c r="E47" i="61"/>
  <c r="D47" i="61"/>
  <c r="C47" i="61"/>
  <c r="B47" i="61"/>
  <c r="AJ46" i="61"/>
  <c r="AI46" i="61"/>
  <c r="AH46" i="61"/>
  <c r="AG46" i="61"/>
  <c r="AF46" i="61"/>
  <c r="AE46" i="61"/>
  <c r="AD46" i="61"/>
  <c r="AC46" i="61"/>
  <c r="AB46" i="61"/>
  <c r="AA46" i="61"/>
  <c r="Z46" i="61"/>
  <c r="Y46" i="61"/>
  <c r="X46" i="61"/>
  <c r="W46" i="61"/>
  <c r="V46" i="61"/>
  <c r="U46" i="61"/>
  <c r="T46" i="61"/>
  <c r="S46" i="61"/>
  <c r="R46" i="61"/>
  <c r="Q46" i="61"/>
  <c r="P46" i="61"/>
  <c r="O46" i="61"/>
  <c r="N46" i="61"/>
  <c r="M46" i="61"/>
  <c r="K46" i="61"/>
  <c r="J46" i="61"/>
  <c r="I46" i="61"/>
  <c r="H46" i="61"/>
  <c r="G46" i="61"/>
  <c r="F46" i="61"/>
  <c r="E46" i="61"/>
  <c r="D46" i="61"/>
  <c r="C46" i="61"/>
  <c r="B46" i="61"/>
  <c r="AJ41" i="61"/>
  <c r="AI41" i="61"/>
  <c r="AH41" i="61"/>
  <c r="AG41" i="61"/>
  <c r="AF41" i="61"/>
  <c r="AE41" i="61"/>
  <c r="AD41" i="61"/>
  <c r="AC41" i="61"/>
  <c r="AB41" i="61"/>
  <c r="AA41" i="61"/>
  <c r="Z41" i="61"/>
  <c r="Y41" i="61"/>
  <c r="X41" i="61"/>
  <c r="W41" i="61"/>
  <c r="V41" i="61"/>
  <c r="U41" i="61"/>
  <c r="T41" i="61"/>
  <c r="S41" i="61"/>
  <c r="R41" i="61"/>
  <c r="Q41" i="61"/>
  <c r="P41" i="61"/>
  <c r="O41" i="61"/>
  <c r="N41" i="61"/>
  <c r="M41" i="61"/>
  <c r="K41" i="61"/>
  <c r="J41" i="61"/>
  <c r="I41" i="61"/>
  <c r="H41" i="61"/>
  <c r="G41" i="61"/>
  <c r="F41" i="61"/>
  <c r="E41" i="61"/>
  <c r="D41" i="61"/>
  <c r="C41" i="61"/>
  <c r="B41" i="61"/>
  <c r="AJ40" i="61"/>
  <c r="AI40" i="61"/>
  <c r="AH40" i="61"/>
  <c r="AG40" i="61"/>
  <c r="AF40" i="61"/>
  <c r="AE40" i="61"/>
  <c r="AD40" i="61"/>
  <c r="AC40" i="61"/>
  <c r="AB40" i="61"/>
  <c r="AA40" i="61"/>
  <c r="Z40" i="61"/>
  <c r="Y40" i="61"/>
  <c r="X40" i="61"/>
  <c r="W40" i="61"/>
  <c r="V40" i="61"/>
  <c r="U40" i="61"/>
  <c r="T40" i="61"/>
  <c r="S40" i="61"/>
  <c r="R40" i="61"/>
  <c r="Q40" i="61"/>
  <c r="P40" i="61"/>
  <c r="O40" i="61"/>
  <c r="N40" i="61"/>
  <c r="M40" i="61"/>
  <c r="K40" i="61"/>
  <c r="J40" i="61"/>
  <c r="I40" i="61"/>
  <c r="H40" i="61"/>
  <c r="G40" i="61"/>
  <c r="F40" i="61"/>
  <c r="E40" i="61"/>
  <c r="D40" i="61"/>
  <c r="C40" i="61"/>
  <c r="B40" i="61"/>
  <c r="AJ38" i="61"/>
  <c r="AI38" i="61"/>
  <c r="AH38" i="61"/>
  <c r="AG38" i="61"/>
  <c r="AF38" i="61"/>
  <c r="AE38" i="61"/>
  <c r="AD38" i="61"/>
  <c r="AC38" i="61"/>
  <c r="AB38" i="61"/>
  <c r="AA38" i="61"/>
  <c r="Z38" i="61"/>
  <c r="Y38" i="61"/>
  <c r="X38" i="61"/>
  <c r="W38" i="61"/>
  <c r="V38" i="61"/>
  <c r="U38" i="61"/>
  <c r="T38" i="61"/>
  <c r="S38" i="61"/>
  <c r="R38" i="61"/>
  <c r="Q38" i="61"/>
  <c r="P38" i="61"/>
  <c r="O38" i="61"/>
  <c r="N38" i="61"/>
  <c r="M38" i="61"/>
  <c r="K38" i="61"/>
  <c r="J38" i="61"/>
  <c r="I38" i="61"/>
  <c r="H38" i="61"/>
  <c r="G38" i="61"/>
  <c r="F38" i="61"/>
  <c r="E38" i="61"/>
  <c r="D38" i="61"/>
  <c r="C38" i="61"/>
  <c r="B38" i="61"/>
  <c r="AJ35" i="61"/>
  <c r="AI35" i="61"/>
  <c r="AH35" i="61"/>
  <c r="AG35" i="61"/>
  <c r="AF35" i="61"/>
  <c r="AE35" i="61"/>
  <c r="AD35" i="61"/>
  <c r="AC35" i="61"/>
  <c r="AB35" i="61"/>
  <c r="AA35" i="61"/>
  <c r="Z35" i="61"/>
  <c r="Y35" i="61"/>
  <c r="X35" i="61"/>
  <c r="W35" i="61"/>
  <c r="V35" i="61"/>
  <c r="U35" i="61"/>
  <c r="T35" i="61"/>
  <c r="S35" i="61"/>
  <c r="R35" i="61"/>
  <c r="Q35" i="61"/>
  <c r="P35" i="61"/>
  <c r="O35" i="61"/>
  <c r="N35" i="61"/>
  <c r="M35" i="61"/>
  <c r="K35" i="61"/>
  <c r="J35" i="61"/>
  <c r="I35" i="61"/>
  <c r="H35" i="61"/>
  <c r="G35" i="61"/>
  <c r="F35" i="61"/>
  <c r="E35" i="61"/>
  <c r="D35" i="61"/>
  <c r="C35" i="61"/>
  <c r="B35" i="61"/>
  <c r="AJ34" i="61"/>
  <c r="AI34" i="61"/>
  <c r="AH34" i="61"/>
  <c r="AG34" i="61"/>
  <c r="AF34" i="61"/>
  <c r="AE34" i="61"/>
  <c r="AD34" i="61"/>
  <c r="AC34" i="61"/>
  <c r="AB34" i="61"/>
  <c r="AA34" i="61"/>
  <c r="Z34" i="61"/>
  <c r="Y34" i="61"/>
  <c r="X34" i="61"/>
  <c r="W34" i="61"/>
  <c r="V34" i="61"/>
  <c r="U34" i="61"/>
  <c r="T34" i="61"/>
  <c r="S34" i="61"/>
  <c r="R34" i="61"/>
  <c r="Q34" i="61"/>
  <c r="P34" i="61"/>
  <c r="O34" i="61"/>
  <c r="N34" i="61"/>
  <c r="M34" i="61"/>
  <c r="K34" i="61"/>
  <c r="J34" i="61"/>
  <c r="I34" i="61"/>
  <c r="H34" i="61"/>
  <c r="G34" i="61"/>
  <c r="F34" i="61"/>
  <c r="E34" i="61"/>
  <c r="D34" i="61"/>
  <c r="C34" i="61"/>
  <c r="B34" i="61"/>
  <c r="AJ33" i="61"/>
  <c r="AI33" i="61"/>
  <c r="AH33" i="61"/>
  <c r="AG33" i="61"/>
  <c r="AF33" i="61"/>
  <c r="AE33" i="61"/>
  <c r="AD33" i="61"/>
  <c r="AC33" i="61"/>
  <c r="AB33" i="61"/>
  <c r="AA33" i="61"/>
  <c r="Z33" i="61"/>
  <c r="Y33" i="61"/>
  <c r="X33" i="61"/>
  <c r="W33" i="61"/>
  <c r="V33" i="61"/>
  <c r="U33" i="61"/>
  <c r="T33" i="61"/>
  <c r="S33" i="61"/>
  <c r="R33" i="61"/>
  <c r="Q33" i="61"/>
  <c r="P33" i="61"/>
  <c r="O33" i="61"/>
  <c r="N33" i="61"/>
  <c r="M33" i="61"/>
  <c r="K33" i="61"/>
  <c r="J33" i="61"/>
  <c r="I33" i="61"/>
  <c r="H33" i="61"/>
  <c r="G33" i="61"/>
  <c r="F33" i="61"/>
  <c r="E33" i="61"/>
  <c r="D33" i="61"/>
  <c r="C33" i="61"/>
  <c r="B33" i="61"/>
  <c r="AJ27" i="61"/>
  <c r="AI27" i="61"/>
  <c r="AH27" i="61"/>
  <c r="AG27" i="61"/>
  <c r="AF27" i="61"/>
  <c r="AE27" i="61"/>
  <c r="AD27" i="61"/>
  <c r="AC27" i="61"/>
  <c r="AB27" i="61"/>
  <c r="AA27" i="61"/>
  <c r="Z27" i="61"/>
  <c r="Y27" i="61"/>
  <c r="X27" i="61"/>
  <c r="W27" i="61"/>
  <c r="V27" i="61"/>
  <c r="U27" i="61"/>
  <c r="T27" i="61"/>
  <c r="S27" i="61"/>
  <c r="R27" i="61"/>
  <c r="Q27" i="61"/>
  <c r="P27" i="61"/>
  <c r="O27" i="61"/>
  <c r="N27" i="61"/>
  <c r="M27" i="61"/>
  <c r="K27" i="61"/>
  <c r="J27" i="61"/>
  <c r="I27" i="61"/>
  <c r="H27" i="61"/>
  <c r="G27" i="61"/>
  <c r="F27" i="61"/>
  <c r="E27" i="61"/>
  <c r="D27" i="61"/>
  <c r="C27" i="61"/>
  <c r="B27" i="61"/>
  <c r="AJ26" i="61"/>
  <c r="AI26" i="61"/>
  <c r="AH26" i="61"/>
  <c r="AG26" i="61"/>
  <c r="AF26" i="61"/>
  <c r="AE26" i="61"/>
  <c r="AD26" i="61"/>
  <c r="AC26" i="61"/>
  <c r="AB26" i="61"/>
  <c r="AA26" i="61"/>
  <c r="Z26" i="61"/>
  <c r="Y26" i="61"/>
  <c r="X26" i="61"/>
  <c r="W26" i="61"/>
  <c r="V26" i="61"/>
  <c r="U26" i="61"/>
  <c r="T26" i="61"/>
  <c r="S26" i="61"/>
  <c r="R26" i="61"/>
  <c r="Q26" i="61"/>
  <c r="P26" i="61"/>
  <c r="O26" i="61"/>
  <c r="N26" i="61"/>
  <c r="M26" i="61"/>
  <c r="K26" i="61"/>
  <c r="J26" i="61"/>
  <c r="I26" i="61"/>
  <c r="H26" i="61"/>
  <c r="G26" i="61"/>
  <c r="F26" i="61"/>
  <c r="E26" i="61"/>
  <c r="D26" i="61"/>
  <c r="C26" i="61"/>
  <c r="B26" i="61"/>
  <c r="AJ25" i="61"/>
  <c r="AI25" i="61"/>
  <c r="AH25" i="61"/>
  <c r="AG25" i="61"/>
  <c r="AF25" i="61"/>
  <c r="AE25" i="61"/>
  <c r="AD25" i="61"/>
  <c r="AC25" i="61"/>
  <c r="AB25" i="61"/>
  <c r="AA25" i="61"/>
  <c r="Z25" i="61"/>
  <c r="Y25" i="61"/>
  <c r="X25" i="61"/>
  <c r="W25" i="61"/>
  <c r="V25" i="61"/>
  <c r="U25" i="61"/>
  <c r="T25" i="61"/>
  <c r="S25" i="61"/>
  <c r="R25" i="61"/>
  <c r="Q25" i="61"/>
  <c r="P25" i="61"/>
  <c r="O25" i="61"/>
  <c r="N25" i="61"/>
  <c r="M25" i="61"/>
  <c r="K25" i="61"/>
  <c r="J25" i="61"/>
  <c r="I25" i="61"/>
  <c r="H25" i="61"/>
  <c r="G25" i="61"/>
  <c r="F25" i="61"/>
  <c r="E25" i="61"/>
  <c r="D25" i="61"/>
  <c r="C25" i="61"/>
  <c r="B25" i="61"/>
  <c r="AJ24" i="61"/>
  <c r="AI24" i="61"/>
  <c r="AH24" i="61"/>
  <c r="AG24" i="61"/>
  <c r="AF24" i="61"/>
  <c r="AE24" i="61"/>
  <c r="AD24" i="61"/>
  <c r="AC24" i="61"/>
  <c r="AB24" i="61"/>
  <c r="AA24" i="61"/>
  <c r="Z24" i="61"/>
  <c r="Y24" i="61"/>
  <c r="X24" i="61"/>
  <c r="W24" i="61"/>
  <c r="V24" i="61"/>
  <c r="U24" i="61"/>
  <c r="T24" i="61"/>
  <c r="S24" i="61"/>
  <c r="R24" i="61"/>
  <c r="Q24" i="61"/>
  <c r="P24" i="61"/>
  <c r="O24" i="61"/>
  <c r="N24" i="61"/>
  <c r="M24" i="61"/>
  <c r="K24" i="61"/>
  <c r="J24" i="61"/>
  <c r="I24" i="61"/>
  <c r="H24" i="61"/>
  <c r="G24" i="61"/>
  <c r="F24" i="61"/>
  <c r="E24" i="61"/>
  <c r="D24" i="61"/>
  <c r="C24" i="61"/>
  <c r="B24" i="61"/>
  <c r="AJ23" i="61"/>
  <c r="AI23" i="61"/>
  <c r="AH23" i="61"/>
  <c r="AG23" i="61"/>
  <c r="AF23" i="61"/>
  <c r="AE23" i="61"/>
  <c r="AD23" i="61"/>
  <c r="AC23" i="61"/>
  <c r="AB23" i="61"/>
  <c r="AA23" i="61"/>
  <c r="Z23" i="61"/>
  <c r="Y23" i="61"/>
  <c r="X23" i="61"/>
  <c r="W23" i="61"/>
  <c r="V23" i="61"/>
  <c r="U23" i="61"/>
  <c r="T23" i="61"/>
  <c r="S23" i="61"/>
  <c r="R23" i="61"/>
  <c r="Q23" i="61"/>
  <c r="P23" i="61"/>
  <c r="O23" i="61"/>
  <c r="N23" i="61"/>
  <c r="M23" i="61"/>
  <c r="K23" i="61"/>
  <c r="J23" i="61"/>
  <c r="I23" i="61"/>
  <c r="H23" i="61"/>
  <c r="G23" i="61"/>
  <c r="F23" i="61"/>
  <c r="E23" i="61"/>
  <c r="D23" i="61"/>
  <c r="C23" i="61"/>
  <c r="B23" i="61"/>
  <c r="AJ22" i="61"/>
  <c r="AI22" i="61"/>
  <c r="AH22" i="61"/>
  <c r="AG22" i="61"/>
  <c r="AF22" i="61"/>
  <c r="AE22" i="61"/>
  <c r="AD22" i="61"/>
  <c r="AC22" i="61"/>
  <c r="AB22" i="61"/>
  <c r="AA22" i="61"/>
  <c r="Z22" i="61"/>
  <c r="Y22" i="61"/>
  <c r="X22" i="61"/>
  <c r="W22" i="61"/>
  <c r="V22" i="61"/>
  <c r="U22" i="61"/>
  <c r="T22" i="61"/>
  <c r="S22" i="61"/>
  <c r="R22" i="61"/>
  <c r="Q22" i="61"/>
  <c r="P22" i="61"/>
  <c r="O22" i="61"/>
  <c r="N22" i="61"/>
  <c r="M22" i="61"/>
  <c r="K22" i="61"/>
  <c r="J22" i="61"/>
  <c r="I22" i="61"/>
  <c r="H22" i="61"/>
  <c r="G22" i="61"/>
  <c r="F22" i="61"/>
  <c r="E22" i="61"/>
  <c r="D22" i="61"/>
  <c r="C22" i="61"/>
  <c r="B22" i="61"/>
  <c r="AJ16" i="61"/>
  <c r="AI16" i="61"/>
  <c r="AH16" i="61"/>
  <c r="AG16" i="61"/>
  <c r="AF16" i="61"/>
  <c r="AE16" i="61"/>
  <c r="AD16" i="61"/>
  <c r="AC16" i="61"/>
  <c r="AB16" i="61"/>
  <c r="AA16" i="61"/>
  <c r="Z16" i="61"/>
  <c r="Y16" i="61"/>
  <c r="X16" i="61"/>
  <c r="W16" i="61"/>
  <c r="V16" i="61"/>
  <c r="U16" i="61"/>
  <c r="T16" i="61"/>
  <c r="S16" i="61"/>
  <c r="R16" i="61"/>
  <c r="Q16" i="61"/>
  <c r="P16" i="61"/>
  <c r="O16" i="61"/>
  <c r="N16" i="61"/>
  <c r="M16" i="61"/>
  <c r="K16" i="61"/>
  <c r="J16" i="61"/>
  <c r="I16" i="61"/>
  <c r="H16" i="61"/>
  <c r="G16" i="61"/>
  <c r="F16" i="61"/>
  <c r="E16" i="61"/>
  <c r="D16" i="61"/>
  <c r="C16" i="61"/>
  <c r="B16" i="61"/>
  <c r="AJ13" i="61"/>
  <c r="AI13" i="61"/>
  <c r="AH13" i="61"/>
  <c r="AG13" i="61"/>
  <c r="AF13" i="61"/>
  <c r="AE13" i="61"/>
  <c r="AD13" i="61"/>
  <c r="AC13" i="61"/>
  <c r="AB13" i="61"/>
  <c r="AA13" i="61"/>
  <c r="Z13" i="61"/>
  <c r="Y13" i="61"/>
  <c r="X13" i="61"/>
  <c r="W13" i="61"/>
  <c r="V13" i="61"/>
  <c r="U13" i="61"/>
  <c r="T13" i="61"/>
  <c r="S13" i="61"/>
  <c r="R13" i="61"/>
  <c r="Q13" i="61"/>
  <c r="P13" i="61"/>
  <c r="O13" i="61"/>
  <c r="N13" i="61"/>
  <c r="M13" i="61"/>
  <c r="K13" i="61"/>
  <c r="J13" i="61"/>
  <c r="I13" i="61"/>
  <c r="H13" i="61"/>
  <c r="G13" i="61"/>
  <c r="F13" i="61"/>
  <c r="E13" i="61"/>
  <c r="D13" i="61"/>
  <c r="C13" i="61"/>
  <c r="B13" i="61"/>
  <c r="AJ11" i="61"/>
  <c r="AI11" i="61"/>
  <c r="AH11" i="61"/>
  <c r="AG11" i="61"/>
  <c r="AF11" i="61"/>
  <c r="AE11" i="61"/>
  <c r="AD11" i="61"/>
  <c r="AC11" i="61"/>
  <c r="AB11" i="61"/>
  <c r="AA11" i="61"/>
  <c r="Z11" i="61"/>
  <c r="Y11" i="61"/>
  <c r="X11" i="61"/>
  <c r="W11" i="61"/>
  <c r="V11" i="61"/>
  <c r="U11" i="61"/>
  <c r="T11" i="61"/>
  <c r="S11" i="61"/>
  <c r="R11" i="61"/>
  <c r="Q11" i="61"/>
  <c r="P11" i="61"/>
  <c r="O11" i="61"/>
  <c r="N11" i="61"/>
  <c r="M11" i="61"/>
  <c r="K11" i="61"/>
  <c r="J11" i="61"/>
  <c r="I11" i="61"/>
  <c r="H11" i="61"/>
  <c r="G11" i="61"/>
  <c r="F11" i="61"/>
  <c r="E11" i="61"/>
  <c r="D11" i="61"/>
  <c r="C11" i="61"/>
  <c r="B11" i="61"/>
  <c r="AJ10" i="61"/>
  <c r="AI10" i="61"/>
  <c r="AH10" i="61"/>
  <c r="AG10" i="61"/>
  <c r="AF10" i="61"/>
  <c r="AE10" i="61"/>
  <c r="AD10" i="61"/>
  <c r="AC10" i="61"/>
  <c r="AB10" i="61"/>
  <c r="AA10" i="61"/>
  <c r="Z10" i="61"/>
  <c r="Y10" i="61"/>
  <c r="X10" i="61"/>
  <c r="W10" i="61"/>
  <c r="V10" i="61"/>
  <c r="U10" i="61"/>
  <c r="T10" i="61"/>
  <c r="S10" i="61"/>
  <c r="R10" i="61"/>
  <c r="Q10" i="61"/>
  <c r="P10" i="61"/>
  <c r="O10" i="61"/>
  <c r="N10" i="61"/>
  <c r="M10" i="61"/>
  <c r="K10" i="61"/>
  <c r="J10" i="61"/>
  <c r="I10" i="61"/>
  <c r="H10" i="61"/>
  <c r="G10" i="61"/>
  <c r="F10" i="61"/>
  <c r="E10" i="61"/>
  <c r="D10" i="61"/>
  <c r="C10" i="61"/>
  <c r="B10" i="61"/>
  <c r="AJ9" i="61"/>
  <c r="AI9" i="61"/>
  <c r="AH9" i="61"/>
  <c r="AG9" i="61"/>
  <c r="AF9" i="61"/>
  <c r="AE9" i="61"/>
  <c r="AD9" i="61"/>
  <c r="AC9" i="61"/>
  <c r="AB9" i="61"/>
  <c r="AA9" i="61"/>
  <c r="Z9" i="61"/>
  <c r="Y9" i="61"/>
  <c r="X9" i="61"/>
  <c r="W9" i="61"/>
  <c r="V9" i="61"/>
  <c r="U9" i="61"/>
  <c r="T9" i="61"/>
  <c r="S9" i="61"/>
  <c r="R9" i="61"/>
  <c r="Q9" i="61"/>
  <c r="P9" i="61"/>
  <c r="O9" i="61"/>
  <c r="N9" i="61"/>
  <c r="M9" i="61"/>
  <c r="K9" i="61"/>
  <c r="J9" i="61"/>
  <c r="I9" i="61"/>
  <c r="H9" i="61"/>
  <c r="G9" i="61"/>
  <c r="F9" i="61"/>
  <c r="E9" i="61"/>
  <c r="D9" i="61"/>
  <c r="C9" i="61"/>
  <c r="B9" i="61"/>
  <c r="C6" i="61"/>
  <c r="D6" i="61" s="1"/>
  <c r="E6" i="61" s="1"/>
  <c r="F6" i="61" s="1"/>
  <c r="G6" i="61" s="1"/>
  <c r="H6" i="61" s="1"/>
  <c r="I6" i="61" s="1"/>
  <c r="T215" i="58"/>
  <c r="T216" i="58" s="1"/>
  <c r="T217" i="58" s="1"/>
  <c r="S215" i="58"/>
  <c r="S216" i="58" s="1"/>
  <c r="S217" i="58" s="1"/>
  <c r="R215" i="58"/>
  <c r="R216" i="58" s="1"/>
  <c r="R217" i="58" s="1"/>
  <c r="Q215" i="58"/>
  <c r="Q216" i="58" s="1"/>
  <c r="Q217" i="58" s="1"/>
  <c r="Y140" i="58"/>
  <c r="AF103" i="58"/>
  <c r="AE103" i="58"/>
  <c r="AD103" i="58"/>
  <c r="AC103" i="58"/>
  <c r="AB103" i="58"/>
  <c r="AA103" i="58"/>
  <c r="Z103" i="58"/>
  <c r="Y103" i="58"/>
  <c r="X103" i="58"/>
  <c r="W103" i="58"/>
  <c r="V103" i="58"/>
  <c r="U103" i="58"/>
  <c r="T103" i="58"/>
  <c r="S103" i="58"/>
  <c r="R103" i="58"/>
  <c r="Q103" i="58"/>
  <c r="P103" i="58"/>
  <c r="O103" i="58"/>
  <c r="N103" i="58"/>
  <c r="M103" i="58"/>
  <c r="L103" i="58"/>
  <c r="K103" i="58"/>
  <c r="J103" i="58"/>
  <c r="I103" i="58"/>
  <c r="H103" i="58"/>
  <c r="G103" i="58"/>
  <c r="F103" i="58"/>
  <c r="E103" i="58"/>
  <c r="D103" i="58"/>
  <c r="C103" i="58"/>
  <c r="B103" i="58"/>
  <c r="AF101" i="58"/>
  <c r="AE101" i="58"/>
  <c r="AD101" i="58"/>
  <c r="AC101" i="58"/>
  <c r="AB101" i="58"/>
  <c r="AA101" i="58"/>
  <c r="Z101" i="58"/>
  <c r="Y101" i="58"/>
  <c r="X101" i="58"/>
  <c r="W101" i="58"/>
  <c r="V101" i="58"/>
  <c r="U101" i="58"/>
  <c r="T101" i="58"/>
  <c r="S101" i="58"/>
  <c r="R101" i="58"/>
  <c r="Q101" i="58"/>
  <c r="P101" i="58"/>
  <c r="O101" i="58"/>
  <c r="N101" i="58"/>
  <c r="M101" i="58"/>
  <c r="L101" i="58"/>
  <c r="K101" i="58"/>
  <c r="J101" i="58"/>
  <c r="I101" i="58"/>
  <c r="H101" i="58"/>
  <c r="G101" i="58"/>
  <c r="F101" i="58"/>
  <c r="E101" i="58"/>
  <c r="D101" i="58"/>
  <c r="C101" i="58"/>
  <c r="B101" i="58"/>
  <c r="AF90" i="58"/>
  <c r="AE90" i="58"/>
  <c r="AD90" i="58"/>
  <c r="AC90" i="58"/>
  <c r="AB90" i="58"/>
  <c r="AA90" i="58"/>
  <c r="Z90" i="58"/>
  <c r="Y90" i="58"/>
  <c r="X90" i="58"/>
  <c r="W90" i="58"/>
  <c r="V90" i="58"/>
  <c r="U90" i="58"/>
  <c r="T90" i="58"/>
  <c r="S90" i="58"/>
  <c r="R90" i="58"/>
  <c r="Q90" i="58"/>
  <c r="O90" i="58"/>
  <c r="N90" i="58"/>
  <c r="M90" i="58"/>
  <c r="L90" i="58"/>
  <c r="K90" i="58"/>
  <c r="J90" i="58"/>
  <c r="I90" i="58"/>
  <c r="H90" i="58"/>
  <c r="G90" i="58"/>
  <c r="F90" i="58"/>
  <c r="E90" i="58"/>
  <c r="D90" i="58"/>
  <c r="C90" i="58"/>
  <c r="B90" i="58"/>
  <c r="AF56" i="58"/>
  <c r="AE56" i="58"/>
  <c r="AD56" i="58"/>
  <c r="AC56" i="58"/>
  <c r="AB56" i="58"/>
  <c r="AA56" i="58"/>
  <c r="Z56" i="58"/>
  <c r="Y56" i="58"/>
  <c r="X56" i="58"/>
  <c r="W56" i="58"/>
  <c r="V56" i="58"/>
  <c r="U56" i="58"/>
  <c r="P56" i="58"/>
  <c r="O56" i="58"/>
  <c r="N56" i="58"/>
  <c r="M56" i="58"/>
  <c r="L56" i="58"/>
  <c r="K56" i="58"/>
  <c r="J56" i="58"/>
  <c r="I56" i="58"/>
  <c r="H56" i="58"/>
  <c r="G56" i="58"/>
  <c r="F56" i="58"/>
  <c r="E56" i="58"/>
  <c r="D56" i="58"/>
  <c r="C56" i="58"/>
  <c r="B56" i="58"/>
  <c r="AF55" i="58"/>
  <c r="AE55" i="58"/>
  <c r="AD55" i="58"/>
  <c r="AD54" i="58" s="1"/>
  <c r="AC55" i="58"/>
  <c r="AC54" i="58" s="1"/>
  <c r="AB55" i="58"/>
  <c r="AB54" i="58" s="1"/>
  <c r="AA55" i="58"/>
  <c r="AA54" i="58" s="1"/>
  <c r="Z55" i="58"/>
  <c r="Z54" i="58" s="1"/>
  <c r="Y55" i="58"/>
  <c r="Y54" i="58" s="1"/>
  <c r="X55" i="58"/>
  <c r="W55" i="58"/>
  <c r="V55" i="58"/>
  <c r="U55" i="58"/>
  <c r="P54" i="58"/>
  <c r="O54" i="58"/>
  <c r="N54" i="58"/>
  <c r="M54" i="58"/>
  <c r="L54" i="58"/>
  <c r="K54" i="58"/>
  <c r="J54" i="58"/>
  <c r="I54" i="58"/>
  <c r="H54" i="58"/>
  <c r="G54" i="58"/>
  <c r="F54" i="58"/>
  <c r="E54" i="58"/>
  <c r="D54" i="58"/>
  <c r="C54" i="58"/>
  <c r="B54" i="58"/>
  <c r="P53" i="58"/>
  <c r="O53" i="58"/>
  <c r="N53" i="58"/>
  <c r="M53" i="58"/>
  <c r="L53" i="58"/>
  <c r="K53" i="58"/>
  <c r="J53" i="58"/>
  <c r="I53" i="58"/>
  <c r="H53" i="58"/>
  <c r="G53" i="58"/>
  <c r="F53" i="58"/>
  <c r="E53" i="58"/>
  <c r="D53" i="58"/>
  <c r="C53" i="58"/>
  <c r="B53" i="58"/>
  <c r="AF37" i="58"/>
  <c r="AE37" i="58"/>
  <c r="AD37" i="58"/>
  <c r="AC37" i="58"/>
  <c r="AB37" i="58"/>
  <c r="AA37" i="58"/>
  <c r="Z37" i="58"/>
  <c r="Y37" i="58"/>
  <c r="X37" i="58"/>
  <c r="W37" i="58"/>
  <c r="V37" i="58"/>
  <c r="U37" i="58"/>
  <c r="T37" i="58"/>
  <c r="S37" i="58"/>
  <c r="R37" i="58"/>
  <c r="Q37" i="58"/>
  <c r="P37" i="58"/>
  <c r="O37" i="58"/>
  <c r="N37" i="58"/>
  <c r="M37" i="58"/>
  <c r="L37" i="58"/>
  <c r="K37" i="58"/>
  <c r="J37" i="58"/>
  <c r="I37" i="58"/>
  <c r="H37" i="58"/>
  <c r="G37" i="58"/>
  <c r="F37" i="58"/>
  <c r="E37" i="58"/>
  <c r="D37" i="58"/>
  <c r="C37" i="58"/>
  <c r="B37" i="58"/>
  <c r="AF36" i="58"/>
  <c r="AE36" i="58"/>
  <c r="AD36" i="58"/>
  <c r="AC36" i="58"/>
  <c r="AB36" i="58"/>
  <c r="AA36" i="58"/>
  <c r="Z36" i="58"/>
  <c r="Y36" i="58"/>
  <c r="X36" i="58"/>
  <c r="W36" i="58"/>
  <c r="V36" i="58"/>
  <c r="U36" i="58"/>
  <c r="T36" i="58"/>
  <c r="S36" i="58"/>
  <c r="Q36" i="58"/>
  <c r="P36" i="58"/>
  <c r="O36" i="58"/>
  <c r="N36" i="58"/>
  <c r="M36" i="58"/>
  <c r="L36" i="58"/>
  <c r="K36" i="58"/>
  <c r="J36" i="58"/>
  <c r="I36" i="58"/>
  <c r="H36" i="58"/>
  <c r="G36" i="58"/>
  <c r="F36" i="58"/>
  <c r="E36" i="58"/>
  <c r="D36" i="58"/>
  <c r="C36" i="58"/>
  <c r="B36" i="58"/>
  <c r="AF35" i="58"/>
  <c r="AE35" i="58"/>
  <c r="AD35" i="58"/>
  <c r="AC35" i="58"/>
  <c r="AB35" i="58"/>
  <c r="AA35" i="58"/>
  <c r="Z35" i="58"/>
  <c r="Y35" i="58"/>
  <c r="X35" i="58"/>
  <c r="W35" i="58"/>
  <c r="V35" i="58"/>
  <c r="U35" i="58"/>
  <c r="T35" i="58"/>
  <c r="S35" i="58"/>
  <c r="R35" i="58"/>
  <c r="Q35" i="58"/>
  <c r="P35" i="58"/>
  <c r="O35" i="58"/>
  <c r="N35" i="58"/>
  <c r="M35" i="58"/>
  <c r="L35" i="58"/>
  <c r="K35" i="58"/>
  <c r="J35" i="58"/>
  <c r="I35" i="58"/>
  <c r="H35" i="58"/>
  <c r="G35" i="58"/>
  <c r="F35" i="58"/>
  <c r="E35" i="58"/>
  <c r="D35" i="58"/>
  <c r="D61" i="58" s="1"/>
  <c r="C35" i="58"/>
  <c r="B35" i="58"/>
  <c r="AF34" i="58"/>
  <c r="AE34" i="58"/>
  <c r="AD34" i="58"/>
  <c r="AC34" i="58"/>
  <c r="AB34" i="58"/>
  <c r="AA34" i="58"/>
  <c r="Z34" i="58"/>
  <c r="Y34" i="58"/>
  <c r="X34" i="58"/>
  <c r="W34" i="58"/>
  <c r="V34" i="58"/>
  <c r="U34" i="58"/>
  <c r="T34" i="58"/>
  <c r="S34" i="58"/>
  <c r="R34" i="58"/>
  <c r="Q34" i="58"/>
  <c r="P34" i="58"/>
  <c r="O34" i="58"/>
  <c r="N34" i="58"/>
  <c r="M34" i="58"/>
  <c r="L34" i="58"/>
  <c r="K34" i="58"/>
  <c r="J34" i="58"/>
  <c r="I34" i="58"/>
  <c r="H34" i="58"/>
  <c r="G34" i="58"/>
  <c r="F34" i="58"/>
  <c r="E34" i="58"/>
  <c r="D34" i="58"/>
  <c r="C34" i="58"/>
  <c r="B34" i="58"/>
  <c r="AF31" i="58"/>
  <c r="AE31" i="58"/>
  <c r="AD31" i="58"/>
  <c r="AC31" i="58"/>
  <c r="AB31" i="58"/>
  <c r="AA31" i="58"/>
  <c r="Z31" i="58"/>
  <c r="Y31" i="58"/>
  <c r="X31" i="58"/>
  <c r="W31" i="58"/>
  <c r="V31" i="58"/>
  <c r="U31" i="58"/>
  <c r="T31" i="58"/>
  <c r="S31" i="58"/>
  <c r="R31" i="58"/>
  <c r="Q31" i="58"/>
  <c r="P31" i="58"/>
  <c r="O31" i="58"/>
  <c r="N31" i="58"/>
  <c r="M31" i="58"/>
  <c r="L31" i="58"/>
  <c r="K31" i="58"/>
  <c r="J31" i="58"/>
  <c r="I31" i="58"/>
  <c r="H31" i="58"/>
  <c r="G31" i="58"/>
  <c r="F31" i="58"/>
  <c r="E31" i="58"/>
  <c r="D31" i="58"/>
  <c r="C31" i="58"/>
  <c r="B31" i="58"/>
  <c r="AF24" i="58"/>
  <c r="AE24" i="58"/>
  <c r="AD24" i="58"/>
  <c r="AC24" i="58"/>
  <c r="AB24" i="58"/>
  <c r="AA24" i="58"/>
  <c r="Z24" i="58"/>
  <c r="Y24" i="58"/>
  <c r="X24" i="58"/>
  <c r="W24" i="58"/>
  <c r="V24" i="58"/>
  <c r="U24" i="58"/>
  <c r="T24" i="58"/>
  <c r="S24" i="58"/>
  <c r="R24" i="58"/>
  <c r="Q24" i="58"/>
  <c r="P24" i="58"/>
  <c r="O24" i="58"/>
  <c r="N24" i="58"/>
  <c r="M24" i="58"/>
  <c r="L24" i="58"/>
  <c r="K24" i="58"/>
  <c r="J24" i="58"/>
  <c r="I24" i="58"/>
  <c r="H24" i="58"/>
  <c r="G24" i="58"/>
  <c r="F24" i="58"/>
  <c r="E24" i="58"/>
  <c r="D24" i="58"/>
  <c r="C24" i="58"/>
  <c r="B24" i="58"/>
  <c r="AF12" i="58"/>
  <c r="AF14" i="58" s="1"/>
  <c r="AE12" i="58"/>
  <c r="AE14" i="58" s="1"/>
  <c r="AD12" i="58"/>
  <c r="AD14" i="58" s="1"/>
  <c r="AC12" i="58"/>
  <c r="AC14" i="58" s="1"/>
  <c r="AB12" i="58"/>
  <c r="AB14" i="58" s="1"/>
  <c r="AA12" i="58"/>
  <c r="AA14" i="58" s="1"/>
  <c r="Z12" i="58"/>
  <c r="Z14" i="58" s="1"/>
  <c r="Y12" i="58"/>
  <c r="Y14" i="58" s="1"/>
  <c r="X12" i="58"/>
  <c r="X14" i="58" s="1"/>
  <c r="W12" i="58"/>
  <c r="W14" i="58" s="1"/>
  <c r="W17" i="58" s="1"/>
  <c r="V12" i="58"/>
  <c r="V14" i="58" s="1"/>
  <c r="U12" i="58"/>
  <c r="U14" i="58" s="1"/>
  <c r="T12" i="58"/>
  <c r="T14" i="58" s="1"/>
  <c r="S12" i="58"/>
  <c r="S14" i="58" s="1"/>
  <c r="R12" i="58"/>
  <c r="R14" i="58" s="1"/>
  <c r="R17" i="58" s="1"/>
  <c r="R71" i="58" s="1"/>
  <c r="Q12" i="58"/>
  <c r="Q14" i="58" s="1"/>
  <c r="Q17" i="58" s="1"/>
  <c r="P10" i="58"/>
  <c r="O10" i="58"/>
  <c r="N10" i="58"/>
  <c r="N12" i="58" s="1"/>
  <c r="N14" i="58" s="1"/>
  <c r="N17" i="58" s="1"/>
  <c r="M10" i="58"/>
  <c r="M12" i="58" s="1"/>
  <c r="M14" i="58" s="1"/>
  <c r="L10" i="58"/>
  <c r="L12" i="58" s="1"/>
  <c r="L14" i="58" s="1"/>
  <c r="K10" i="58"/>
  <c r="K12" i="58" s="1"/>
  <c r="K14" i="58" s="1"/>
  <c r="J10" i="58"/>
  <c r="J12" i="58" s="1"/>
  <c r="J14" i="58" s="1"/>
  <c r="J17" i="58" s="1"/>
  <c r="I10" i="58"/>
  <c r="H10" i="58"/>
  <c r="G10" i="58"/>
  <c r="F10" i="58"/>
  <c r="E10" i="58"/>
  <c r="E55" i="58" s="1"/>
  <c r="D10" i="58"/>
  <c r="D55" i="58" s="1"/>
  <c r="C10" i="58"/>
  <c r="B10" i="58"/>
  <c r="C128" i="30"/>
  <c r="B128" i="30"/>
  <c r="E107" i="30"/>
  <c r="C107" i="30"/>
  <c r="E100" i="30"/>
  <c r="D100" i="30"/>
  <c r="C100" i="30"/>
  <c r="C114" i="30" s="1"/>
  <c r="B100" i="30"/>
  <c r="B114" i="30" s="1"/>
  <c r="C87" i="30"/>
  <c r="B87" i="30"/>
  <c r="E84" i="30"/>
  <c r="E89" i="30" s="1"/>
  <c r="C84" i="30"/>
  <c r="C89" i="30" s="1"/>
  <c r="B84" i="30"/>
  <c r="B89" i="30" s="1"/>
  <c r="E77" i="30"/>
  <c r="C77" i="30"/>
  <c r="B77" i="30"/>
  <c r="E61" i="30"/>
  <c r="E58" i="30"/>
  <c r="E55" i="30"/>
  <c r="E51" i="30"/>
  <c r="E52" i="30" s="1"/>
  <c r="D51" i="30"/>
  <c r="D52" i="30" s="1"/>
  <c r="C51" i="30"/>
  <c r="C52" i="30" s="1"/>
  <c r="B51" i="30"/>
  <c r="B52" i="30" s="1"/>
  <c r="E47" i="30"/>
  <c r="D47" i="30"/>
  <c r="C47" i="30"/>
  <c r="B47" i="30"/>
  <c r="E41" i="30"/>
  <c r="D32" i="30"/>
  <c r="C32" i="30"/>
  <c r="C61" i="30" s="1"/>
  <c r="B32" i="30"/>
  <c r="B61" i="30" s="1"/>
  <c r="E31" i="30"/>
  <c r="C31" i="30"/>
  <c r="K40" i="29"/>
  <c r="J40" i="29"/>
  <c r="I40" i="29"/>
  <c r="H40" i="29"/>
  <c r="G40" i="29"/>
  <c r="F40" i="29"/>
  <c r="K39" i="29"/>
  <c r="J39" i="29"/>
  <c r="I39" i="29"/>
  <c r="H39" i="29"/>
  <c r="G39" i="29"/>
  <c r="F39" i="29"/>
  <c r="K38" i="29"/>
  <c r="J38" i="29"/>
  <c r="I38" i="29"/>
  <c r="H38" i="29"/>
  <c r="G38" i="29"/>
  <c r="F38" i="29"/>
  <c r="K36" i="29"/>
  <c r="J36" i="29"/>
  <c r="I36" i="29"/>
  <c r="H36" i="29"/>
  <c r="G36" i="29"/>
  <c r="F36" i="29"/>
  <c r="K35" i="29"/>
  <c r="J35" i="29"/>
  <c r="I35" i="29"/>
  <c r="H35" i="29"/>
  <c r="G35" i="29"/>
  <c r="F35" i="29"/>
  <c r="K34" i="29"/>
  <c r="J34" i="29"/>
  <c r="I34" i="29"/>
  <c r="H34" i="29"/>
  <c r="G34" i="29"/>
  <c r="F34" i="29"/>
  <c r="K32" i="29"/>
  <c r="J32" i="29"/>
  <c r="I32" i="29"/>
  <c r="H32" i="29"/>
  <c r="G32" i="29"/>
  <c r="F32" i="29"/>
  <c r="K31" i="29"/>
  <c r="J31" i="29"/>
  <c r="I31" i="29"/>
  <c r="H31" i="29"/>
  <c r="G31" i="29"/>
  <c r="F31" i="29"/>
  <c r="K25" i="29"/>
  <c r="J25" i="29"/>
  <c r="I25" i="29"/>
  <c r="H25" i="29"/>
  <c r="G25" i="29"/>
  <c r="F25" i="29"/>
  <c r="E25" i="29"/>
  <c r="D25" i="29"/>
  <c r="C25" i="29"/>
  <c r="B25" i="29"/>
  <c r="K22" i="29"/>
  <c r="J22" i="29"/>
  <c r="I22" i="29"/>
  <c r="H22" i="29"/>
  <c r="G22" i="29"/>
  <c r="F22" i="29"/>
  <c r="E22" i="29"/>
  <c r="D22" i="29"/>
  <c r="C22" i="29"/>
  <c r="B22" i="29"/>
  <c r="K16" i="29"/>
  <c r="K18" i="29" s="1"/>
  <c r="K19" i="29" s="1"/>
  <c r="J16" i="29"/>
  <c r="J18" i="29" s="1"/>
  <c r="J19" i="29" s="1"/>
  <c r="I16" i="29"/>
  <c r="I18" i="29" s="1"/>
  <c r="I19" i="29" s="1"/>
  <c r="H16" i="29"/>
  <c r="H18" i="29" s="1"/>
  <c r="H19" i="29" s="1"/>
  <c r="G16" i="29"/>
  <c r="F16" i="29"/>
  <c r="F18" i="29" s="1"/>
  <c r="F19" i="29" s="1"/>
  <c r="E16" i="29"/>
  <c r="D16" i="29"/>
  <c r="C16" i="29"/>
  <c r="C18" i="29" s="1"/>
  <c r="C19" i="29" s="1"/>
  <c r="B16" i="29"/>
  <c r="B18" i="29" s="1"/>
  <c r="B19" i="29" s="1"/>
  <c r="K14" i="29"/>
  <c r="J14" i="29"/>
  <c r="I14" i="29"/>
  <c r="H14" i="29"/>
  <c r="G14" i="29"/>
  <c r="F14" i="29"/>
  <c r="E14" i="29"/>
  <c r="D14" i="29"/>
  <c r="C14" i="29"/>
  <c r="B14" i="29"/>
  <c r="K7" i="29"/>
  <c r="K8" i="29" s="1"/>
  <c r="J7" i="29"/>
  <c r="J8" i="29" s="1"/>
  <c r="I7" i="29"/>
  <c r="I8" i="29" s="1"/>
  <c r="H7" i="29"/>
  <c r="H8" i="29" s="1"/>
  <c r="G7" i="29"/>
  <c r="G8" i="29" s="1"/>
  <c r="F7" i="29"/>
  <c r="F8" i="29" s="1"/>
  <c r="E7" i="29"/>
  <c r="E8" i="29" s="1"/>
  <c r="D7" i="29"/>
  <c r="D8" i="29" s="1"/>
  <c r="C7" i="29"/>
  <c r="C8" i="29" s="1"/>
  <c r="B7" i="29"/>
  <c r="B8" i="29" s="1"/>
  <c r="K4" i="29"/>
  <c r="J4" i="29"/>
  <c r="I4" i="29"/>
  <c r="H4" i="29"/>
  <c r="G4" i="29"/>
  <c r="F4" i="29"/>
  <c r="E178" i="16"/>
  <c r="E177" i="16"/>
  <c r="K173" i="16"/>
  <c r="J173" i="16"/>
  <c r="I173" i="16"/>
  <c r="H173" i="16"/>
  <c r="G173" i="16"/>
  <c r="O168" i="16"/>
  <c r="N168" i="16"/>
  <c r="M168" i="16"/>
  <c r="L168" i="16"/>
  <c r="L169" i="16" s="1"/>
  <c r="K168" i="16"/>
  <c r="K169" i="16" s="1"/>
  <c r="J168" i="16"/>
  <c r="J169" i="16" s="1"/>
  <c r="I168" i="16"/>
  <c r="I169" i="16" s="1"/>
  <c r="H168" i="16"/>
  <c r="H169" i="16" s="1"/>
  <c r="G168" i="16"/>
  <c r="G169" i="16" s="1"/>
  <c r="F168" i="16"/>
  <c r="F169" i="16" s="1"/>
  <c r="O166" i="16"/>
  <c r="N166" i="16"/>
  <c r="M166" i="16"/>
  <c r="L166" i="16"/>
  <c r="L167" i="16" s="1"/>
  <c r="K166" i="16"/>
  <c r="K167" i="16" s="1"/>
  <c r="J166" i="16"/>
  <c r="J167" i="16" s="1"/>
  <c r="I166" i="16"/>
  <c r="I167" i="16" s="1"/>
  <c r="H166" i="16"/>
  <c r="H167" i="16" s="1"/>
  <c r="G166" i="16"/>
  <c r="G167" i="16" s="1"/>
  <c r="F166" i="16"/>
  <c r="F167" i="16" s="1"/>
  <c r="D166" i="16"/>
  <c r="O165" i="16"/>
  <c r="O173" i="16" s="1"/>
  <c r="N165" i="16"/>
  <c r="N173" i="16" s="1"/>
  <c r="M165" i="16"/>
  <c r="M173" i="16" s="1"/>
  <c r="F165" i="16"/>
  <c r="F173" i="16" s="1"/>
  <c r="I160" i="16"/>
  <c r="H160" i="16"/>
  <c r="D159" i="16"/>
  <c r="C159" i="16"/>
  <c r="D158" i="16"/>
  <c r="C158" i="16"/>
  <c r="D157" i="16"/>
  <c r="C157" i="16"/>
  <c r="D156" i="16"/>
  <c r="C156" i="16"/>
  <c r="O155" i="16"/>
  <c r="N155" i="16"/>
  <c r="M155" i="16"/>
  <c r="D155" i="16"/>
  <c r="C155" i="16"/>
  <c r="F140" i="16"/>
  <c r="F139" i="16"/>
  <c r="F138" i="16"/>
  <c r="F137" i="16"/>
  <c r="I130" i="16"/>
  <c r="H130" i="16"/>
  <c r="G130" i="16"/>
  <c r="D130" i="16"/>
  <c r="C130" i="16"/>
  <c r="B130" i="16"/>
  <c r="L129" i="16"/>
  <c r="K129" i="16"/>
  <c r="J129" i="16"/>
  <c r="L128" i="16"/>
  <c r="K128" i="16"/>
  <c r="J128" i="16"/>
  <c r="O127" i="16"/>
  <c r="O132" i="16" s="1"/>
  <c r="N127" i="16"/>
  <c r="N132" i="16" s="1"/>
  <c r="M127" i="16"/>
  <c r="M132" i="16" s="1"/>
  <c r="I127" i="16"/>
  <c r="I132" i="16" s="1"/>
  <c r="H127" i="16"/>
  <c r="H132" i="16" s="1"/>
  <c r="G127" i="16"/>
  <c r="G132" i="16" s="1"/>
  <c r="F127" i="16"/>
  <c r="F132" i="16" s="1"/>
  <c r="E127" i="16"/>
  <c r="L126" i="16"/>
  <c r="K126" i="16"/>
  <c r="J126" i="16"/>
  <c r="L125" i="16"/>
  <c r="K125" i="16"/>
  <c r="J125" i="16"/>
  <c r="L122" i="16"/>
  <c r="K122" i="16"/>
  <c r="J122" i="16"/>
  <c r="L121" i="16"/>
  <c r="K121" i="16"/>
  <c r="J121" i="16"/>
  <c r="I120" i="16"/>
  <c r="H120" i="16"/>
  <c r="G120" i="16"/>
  <c r="F120" i="16"/>
  <c r="E120" i="16"/>
  <c r="D120" i="16"/>
  <c r="C120" i="16"/>
  <c r="B120" i="16"/>
  <c r="L117" i="16"/>
  <c r="L120" i="16" s="1"/>
  <c r="K117" i="16"/>
  <c r="K120" i="16" s="1"/>
  <c r="J117" i="16"/>
  <c r="J120" i="16" s="1"/>
  <c r="O110" i="16"/>
  <c r="N110" i="16"/>
  <c r="I110" i="16"/>
  <c r="H110" i="16"/>
  <c r="E110" i="16"/>
  <c r="D110" i="16"/>
  <c r="C110" i="16"/>
  <c r="E109" i="16"/>
  <c r="D109" i="16"/>
  <c r="C109" i="16"/>
  <c r="O107" i="16"/>
  <c r="N107" i="16"/>
  <c r="M107" i="16"/>
  <c r="E107" i="16"/>
  <c r="D107" i="16"/>
  <c r="C107" i="16"/>
  <c r="O106" i="16"/>
  <c r="N106" i="16"/>
  <c r="I106" i="16"/>
  <c r="H106" i="16"/>
  <c r="E106" i="16"/>
  <c r="D106" i="16"/>
  <c r="C106" i="16"/>
  <c r="O105" i="16"/>
  <c r="N105" i="16"/>
  <c r="I105" i="16"/>
  <c r="H105" i="16"/>
  <c r="E105" i="16"/>
  <c r="D105" i="16"/>
  <c r="C105" i="16"/>
  <c r="E104" i="16"/>
  <c r="D104" i="16"/>
  <c r="C104" i="16"/>
  <c r="E100" i="16"/>
  <c r="D100" i="16"/>
  <c r="C100" i="16"/>
  <c r="I98" i="16"/>
  <c r="E98" i="16"/>
  <c r="D98" i="16"/>
  <c r="C98" i="16"/>
  <c r="E97" i="16"/>
  <c r="D97" i="16"/>
  <c r="C97" i="16"/>
  <c r="O96" i="16"/>
  <c r="N96" i="16"/>
  <c r="I96" i="16"/>
  <c r="E96" i="16"/>
  <c r="D96" i="16"/>
  <c r="C96" i="16"/>
  <c r="O95" i="16"/>
  <c r="N95" i="16"/>
  <c r="M95" i="16"/>
  <c r="I95" i="16"/>
  <c r="E95" i="16"/>
  <c r="D95" i="16"/>
  <c r="C95" i="16"/>
  <c r="O94" i="16"/>
  <c r="N94" i="16"/>
  <c r="M94" i="16"/>
  <c r="I94" i="16"/>
  <c r="E94" i="16"/>
  <c r="D94" i="16"/>
  <c r="C94" i="16"/>
  <c r="E85" i="16"/>
  <c r="K84" i="16"/>
  <c r="J84" i="16"/>
  <c r="I84" i="16"/>
  <c r="H84" i="16"/>
  <c r="G84" i="16"/>
  <c r="E84" i="16"/>
  <c r="I83" i="16"/>
  <c r="H83" i="16"/>
  <c r="G83" i="16"/>
  <c r="E83" i="16"/>
  <c r="I82" i="16"/>
  <c r="H82" i="16"/>
  <c r="G82" i="16"/>
  <c r="E82" i="16"/>
  <c r="K81" i="16"/>
  <c r="J81" i="16"/>
  <c r="I81" i="16"/>
  <c r="H81" i="16"/>
  <c r="G81" i="16"/>
  <c r="E81" i="16"/>
  <c r="E78" i="16"/>
  <c r="E77" i="16"/>
  <c r="E76" i="16"/>
  <c r="E75" i="16"/>
  <c r="O70" i="16"/>
  <c r="N70" i="16"/>
  <c r="M70" i="16"/>
  <c r="E70" i="16"/>
  <c r="L66" i="16"/>
  <c r="L165" i="16" s="1"/>
  <c r="L173" i="16" s="1"/>
  <c r="E66" i="16"/>
  <c r="D66" i="16"/>
  <c r="C66" i="16"/>
  <c r="B66" i="16"/>
  <c r="O61" i="16"/>
  <c r="N61" i="16"/>
  <c r="M61" i="16"/>
  <c r="I61" i="16"/>
  <c r="H61" i="16"/>
  <c r="H62" i="16" s="1"/>
  <c r="G61" i="16"/>
  <c r="G62" i="16" s="1"/>
  <c r="F61" i="16"/>
  <c r="E61" i="16"/>
  <c r="E63" i="16" s="1"/>
  <c r="D61" i="16"/>
  <c r="C61" i="16"/>
  <c r="B61" i="16"/>
  <c r="O59" i="16"/>
  <c r="N59" i="16"/>
  <c r="M59" i="16"/>
  <c r="I59" i="16"/>
  <c r="H59" i="16"/>
  <c r="G59" i="16"/>
  <c r="F59" i="16"/>
  <c r="E59" i="16"/>
  <c r="D59" i="16"/>
  <c r="C59" i="16"/>
  <c r="B59" i="16"/>
  <c r="I57" i="16"/>
  <c r="H57" i="16"/>
  <c r="G57" i="16"/>
  <c r="E57" i="16"/>
  <c r="J49" i="16"/>
  <c r="J59" i="16" s="1"/>
  <c r="L48" i="16"/>
  <c r="K48" i="16"/>
  <c r="L47" i="16"/>
  <c r="K47" i="16"/>
  <c r="J47" i="16"/>
  <c r="L46" i="16"/>
  <c r="K46" i="16"/>
  <c r="J46" i="16"/>
  <c r="E41" i="16"/>
  <c r="E43" i="16" s="1"/>
  <c r="D41" i="16"/>
  <c r="C41" i="16"/>
  <c r="B41" i="16"/>
  <c r="E40" i="16"/>
  <c r="E39" i="16"/>
  <c r="E36" i="16"/>
  <c r="O35" i="16"/>
  <c r="O36" i="16" s="1"/>
  <c r="N35" i="16"/>
  <c r="N36" i="16" s="1"/>
  <c r="I35" i="16"/>
  <c r="I36" i="16" s="1"/>
  <c r="H35" i="16"/>
  <c r="H36" i="16" s="1"/>
  <c r="G35" i="16"/>
  <c r="G36" i="16" s="1"/>
  <c r="F35" i="16"/>
  <c r="F36" i="16" s="1"/>
  <c r="D35" i="16"/>
  <c r="C35" i="16"/>
  <c r="C36" i="16" s="1"/>
  <c r="B35" i="16"/>
  <c r="B36" i="16" s="1"/>
  <c r="L33" i="16"/>
  <c r="K33" i="16"/>
  <c r="J33" i="16"/>
  <c r="M32" i="16"/>
  <c r="M35" i="16" s="1"/>
  <c r="M36" i="16" s="1"/>
  <c r="L32" i="16"/>
  <c r="L29" i="16"/>
  <c r="K29" i="16"/>
  <c r="L28" i="16"/>
  <c r="K28" i="16"/>
  <c r="J28" i="16"/>
  <c r="L27" i="16"/>
  <c r="M105" i="16" s="1"/>
  <c r="K27" i="16"/>
  <c r="J27" i="16"/>
  <c r="J82" i="16" s="1"/>
  <c r="E23" i="16"/>
  <c r="I22" i="16"/>
  <c r="H22" i="16"/>
  <c r="H23" i="16" s="1"/>
  <c r="G22" i="16"/>
  <c r="L21" i="16"/>
  <c r="K21" i="16"/>
  <c r="K22" i="16" s="1"/>
  <c r="J21" i="16"/>
  <c r="J22" i="16" s="1"/>
  <c r="J23" i="16" s="1"/>
  <c r="I18" i="16"/>
  <c r="I76" i="16" s="1"/>
  <c r="H18" i="16"/>
  <c r="G18" i="16"/>
  <c r="G85" i="16" s="1"/>
  <c r="F18" i="16"/>
  <c r="F79" i="16" s="1"/>
  <c r="D18" i="16"/>
  <c r="D78" i="16" s="1"/>
  <c r="C18" i="16"/>
  <c r="C78" i="16" s="1"/>
  <c r="B18" i="16"/>
  <c r="B78" i="16" s="1"/>
  <c r="O17" i="16"/>
  <c r="N17" i="16"/>
  <c r="N18" i="16" s="1"/>
  <c r="N77" i="16" s="1"/>
  <c r="M17" i="16"/>
  <c r="L17" i="16"/>
  <c r="K17" i="16"/>
  <c r="J17" i="16"/>
  <c r="L15" i="16"/>
  <c r="K15" i="16"/>
  <c r="J15" i="16"/>
  <c r="K14" i="16"/>
  <c r="J14" i="16"/>
  <c r="J95" i="16" s="1"/>
  <c r="K13" i="16"/>
  <c r="L95" i="16" s="1"/>
  <c r="J13" i="16"/>
  <c r="J94" i="16" s="1"/>
  <c r="L6" i="16"/>
  <c r="L160" i="16" s="1"/>
  <c r="K6" i="16"/>
  <c r="K160" i="16" s="1"/>
  <c r="J6" i="16"/>
  <c r="J160" i="16" s="1"/>
  <c r="F6" i="16"/>
  <c r="F160" i="16" s="1"/>
  <c r="F7" i="57"/>
  <c r="D7" i="57"/>
  <c r="C7" i="57"/>
  <c r="B7" i="57"/>
  <c r="AH14" i="56"/>
  <c r="AG14" i="56"/>
  <c r="AF14" i="56"/>
  <c r="AN13" i="56"/>
  <c r="AM13" i="56"/>
  <c r="AL13" i="56"/>
  <c r="AK13" i="56"/>
  <c r="AJ13" i="56"/>
  <c r="AI13" i="56"/>
  <c r="AH13" i="56"/>
  <c r="AG13" i="56"/>
  <c r="AF13" i="56"/>
  <c r="AE13" i="56"/>
  <c r="AH12" i="56"/>
  <c r="AG12" i="56"/>
  <c r="AF12" i="56"/>
  <c r="AE12" i="56"/>
  <c r="AH11" i="56"/>
  <c r="AG11" i="56"/>
  <c r="AF11" i="56"/>
  <c r="AE11" i="56"/>
  <c r="AN10" i="56"/>
  <c r="AM10" i="56"/>
  <c r="AL10" i="56"/>
  <c r="AK10" i="56"/>
  <c r="AJ10" i="56"/>
  <c r="AI10" i="56"/>
  <c r="AH10" i="56"/>
  <c r="AG10" i="56"/>
  <c r="AF10" i="56"/>
  <c r="AE10" i="56"/>
  <c r="AH9" i="56"/>
  <c r="AG9" i="56"/>
  <c r="AF9" i="56"/>
  <c r="AN8" i="56"/>
  <c r="AM8" i="56"/>
  <c r="AL8" i="56"/>
  <c r="AK8" i="56"/>
  <c r="AJ8" i="56"/>
  <c r="AI8" i="56"/>
  <c r="AH8" i="56"/>
  <c r="AG8" i="56"/>
  <c r="AF8" i="56"/>
  <c r="AE8" i="56"/>
  <c r="AH7" i="56"/>
  <c r="AG7" i="56"/>
  <c r="AF7" i="56"/>
  <c r="AE7" i="56"/>
  <c r="AH6" i="56"/>
  <c r="AG6" i="56"/>
  <c r="AF6" i="56"/>
  <c r="AN5" i="56"/>
  <c r="AM5" i="56"/>
  <c r="AL5" i="56"/>
  <c r="AK5" i="56"/>
  <c r="AJ5" i="56"/>
  <c r="AI5" i="56"/>
  <c r="AH5" i="56"/>
  <c r="AG5" i="56"/>
  <c r="AF5" i="56"/>
  <c r="AE5" i="56"/>
  <c r="V271" i="55"/>
  <c r="U271" i="55"/>
  <c r="T271" i="55"/>
  <c r="S271" i="55"/>
  <c r="R271" i="55"/>
  <c r="Q271" i="55"/>
  <c r="P271" i="55"/>
  <c r="O271" i="55"/>
  <c r="N271" i="55"/>
  <c r="M271" i="55"/>
  <c r="L271" i="55"/>
  <c r="K271" i="55"/>
  <c r="J271" i="55"/>
  <c r="I271" i="55"/>
  <c r="H271" i="55"/>
  <c r="G271" i="55"/>
  <c r="F271" i="55"/>
  <c r="E271" i="55"/>
  <c r="D271" i="55"/>
  <c r="C271" i="55"/>
  <c r="B271" i="55"/>
  <c r="Q248" i="55"/>
  <c r="D248" i="55"/>
  <c r="C248" i="55"/>
  <c r="B248" i="55"/>
  <c r="U247" i="55"/>
  <c r="T247" i="55"/>
  <c r="S247" i="55"/>
  <c r="R247" i="55"/>
  <c r="O247" i="55"/>
  <c r="N247" i="55"/>
  <c r="U246" i="55"/>
  <c r="T246" i="55"/>
  <c r="S246" i="55"/>
  <c r="R246" i="55"/>
  <c r="O246" i="55"/>
  <c r="N246" i="55"/>
  <c r="X243" i="55"/>
  <c r="W243" i="55"/>
  <c r="V243" i="55"/>
  <c r="X242" i="55"/>
  <c r="X247" i="55" s="1"/>
  <c r="W242" i="55"/>
  <c r="W247" i="55" s="1"/>
  <c r="V242" i="55"/>
  <c r="V247" i="55" s="1"/>
  <c r="X241" i="55"/>
  <c r="X246" i="55" s="1"/>
  <c r="W241" i="55"/>
  <c r="W246" i="55" s="1"/>
  <c r="V241" i="55"/>
  <c r="R238" i="55"/>
  <c r="R237" i="55"/>
  <c r="R236" i="55"/>
  <c r="G234" i="55"/>
  <c r="X233" i="55"/>
  <c r="W233" i="55"/>
  <c r="V233" i="55"/>
  <c r="U233" i="55"/>
  <c r="T233" i="55"/>
  <c r="S233" i="55"/>
  <c r="R233" i="55"/>
  <c r="Q233" i="55"/>
  <c r="P233" i="55"/>
  <c r="O233" i="55"/>
  <c r="N233" i="55"/>
  <c r="M233" i="55"/>
  <c r="L233" i="55"/>
  <c r="K233" i="55"/>
  <c r="J233" i="55"/>
  <c r="I233" i="55"/>
  <c r="H233" i="55"/>
  <c r="G233" i="55"/>
  <c r="F233" i="55"/>
  <c r="X229" i="55"/>
  <c r="W229" i="55"/>
  <c r="V229" i="55"/>
  <c r="U229" i="55"/>
  <c r="T229" i="55"/>
  <c r="S229" i="55"/>
  <c r="X226" i="55"/>
  <c r="W226" i="55"/>
  <c r="V226" i="55"/>
  <c r="U226" i="55"/>
  <c r="T226" i="55"/>
  <c r="S226" i="55"/>
  <c r="R226" i="55"/>
  <c r="Q226" i="55"/>
  <c r="P226" i="55"/>
  <c r="O226" i="55"/>
  <c r="N226" i="55"/>
  <c r="M226" i="55"/>
  <c r="L226" i="55"/>
  <c r="K226" i="55"/>
  <c r="J226" i="55"/>
  <c r="I226" i="55"/>
  <c r="H226" i="55"/>
  <c r="G226" i="55"/>
  <c r="F226" i="55"/>
  <c r="Z225" i="55"/>
  <c r="X223" i="55"/>
  <c r="W223" i="55"/>
  <c r="V223" i="55"/>
  <c r="U223" i="55"/>
  <c r="U248" i="55" s="1"/>
  <c r="T223" i="55"/>
  <c r="T248" i="55" s="1"/>
  <c r="S223" i="55"/>
  <c r="S248" i="55" s="1"/>
  <c r="R223" i="55"/>
  <c r="R248" i="55" s="1"/>
  <c r="Q223" i="55"/>
  <c r="P223" i="55"/>
  <c r="P248" i="55" s="1"/>
  <c r="O223" i="55"/>
  <c r="O248" i="55" s="1"/>
  <c r="N223" i="55"/>
  <c r="N248" i="55" s="1"/>
  <c r="M223" i="55"/>
  <c r="M248" i="55" s="1"/>
  <c r="L223" i="55"/>
  <c r="L248" i="55" s="1"/>
  <c r="K223" i="55"/>
  <c r="K248" i="55" s="1"/>
  <c r="J223" i="55"/>
  <c r="J248" i="55" s="1"/>
  <c r="I223" i="55"/>
  <c r="I248" i="55" s="1"/>
  <c r="H223" i="55"/>
  <c r="H248" i="55" s="1"/>
  <c r="G223" i="55"/>
  <c r="G248" i="55" s="1"/>
  <c r="F223" i="55"/>
  <c r="F248" i="55" s="1"/>
  <c r="R218" i="55"/>
  <c r="Q218" i="55"/>
  <c r="P218" i="55"/>
  <c r="O218" i="55"/>
  <c r="L218" i="55"/>
  <c r="K218" i="55"/>
  <c r="T217" i="55"/>
  <c r="T218" i="55" s="1"/>
  <c r="S217" i="55"/>
  <c r="S218" i="55" s="1"/>
  <c r="X215" i="55"/>
  <c r="AN14" i="56" s="1"/>
  <c r="W215" i="55"/>
  <c r="AM14" i="56" s="1"/>
  <c r="V215" i="55"/>
  <c r="AL14" i="56" s="1"/>
  <c r="U215" i="55"/>
  <c r="AK14" i="56" s="1"/>
  <c r="T215" i="55"/>
  <c r="AJ14" i="56" s="1"/>
  <c r="S215" i="55"/>
  <c r="AI14" i="56" s="1"/>
  <c r="X214" i="55"/>
  <c r="W214" i="55"/>
  <c r="V214" i="55"/>
  <c r="U214" i="55"/>
  <c r="T214" i="55"/>
  <c r="S214" i="55"/>
  <c r="X212" i="55"/>
  <c r="AN12" i="56" s="1"/>
  <c r="W212" i="55"/>
  <c r="AM12" i="56" s="1"/>
  <c r="V212" i="55"/>
  <c r="AL12" i="56" s="1"/>
  <c r="U212" i="55"/>
  <c r="AK12" i="56" s="1"/>
  <c r="T212" i="55"/>
  <c r="AJ12" i="56" s="1"/>
  <c r="S212" i="55"/>
  <c r="AI12" i="56" s="1"/>
  <c r="X211" i="55"/>
  <c r="AN11" i="56" s="1"/>
  <c r="W211" i="55"/>
  <c r="AM11" i="56" s="1"/>
  <c r="V211" i="55"/>
  <c r="AL11" i="56" s="1"/>
  <c r="U211" i="55"/>
  <c r="AK11" i="56" s="1"/>
  <c r="T211" i="55"/>
  <c r="AJ11" i="56" s="1"/>
  <c r="S211" i="55"/>
  <c r="AI11" i="56" s="1"/>
  <c r="X209" i="55"/>
  <c r="AN9" i="56" s="1"/>
  <c r="W209" i="55"/>
  <c r="AM9" i="56" s="1"/>
  <c r="V209" i="55"/>
  <c r="AL9" i="56" s="1"/>
  <c r="U209" i="55"/>
  <c r="AK9" i="56" s="1"/>
  <c r="T209" i="55"/>
  <c r="AJ9" i="56" s="1"/>
  <c r="S209" i="55"/>
  <c r="AI9" i="56" s="1"/>
  <c r="O209" i="55"/>
  <c r="AE9" i="56" s="1"/>
  <c r="X206" i="55"/>
  <c r="AN7" i="56" s="1"/>
  <c r="W206" i="55"/>
  <c r="AM7" i="56" s="1"/>
  <c r="V206" i="55"/>
  <c r="AL7" i="56" s="1"/>
  <c r="U206" i="55"/>
  <c r="AK7" i="56" s="1"/>
  <c r="T206" i="55"/>
  <c r="AJ7" i="56" s="1"/>
  <c r="S206" i="55"/>
  <c r="AI7" i="56" s="1"/>
  <c r="X205" i="55"/>
  <c r="AN6" i="56" s="1"/>
  <c r="W205" i="55"/>
  <c r="AM6" i="56" s="1"/>
  <c r="V205" i="55"/>
  <c r="AL6" i="56" s="1"/>
  <c r="U205" i="55"/>
  <c r="AK6" i="56" s="1"/>
  <c r="T205" i="55"/>
  <c r="AJ6" i="56" s="1"/>
  <c r="S205" i="55"/>
  <c r="AI6" i="56" s="1"/>
  <c r="O205" i="55"/>
  <c r="AE6" i="56" s="1"/>
  <c r="M200" i="55"/>
  <c r="V181" i="55"/>
  <c r="U181" i="55"/>
  <c r="T181" i="55"/>
  <c r="S181" i="55"/>
  <c r="R181" i="55"/>
  <c r="Q181" i="55"/>
  <c r="P181" i="55"/>
  <c r="O181" i="55"/>
  <c r="N181" i="55"/>
  <c r="M181" i="55"/>
  <c r="L181" i="55"/>
  <c r="V179" i="55"/>
  <c r="U179" i="55"/>
  <c r="T179" i="55"/>
  <c r="S179" i="55"/>
  <c r="R179" i="55"/>
  <c r="Q179" i="55"/>
  <c r="P179" i="55"/>
  <c r="O179" i="55"/>
  <c r="N179" i="55"/>
  <c r="M179" i="55"/>
  <c r="L179" i="55"/>
  <c r="V177" i="55"/>
  <c r="U177" i="55"/>
  <c r="T177" i="55"/>
  <c r="S177" i="55"/>
  <c r="R177" i="55"/>
  <c r="Q177" i="55"/>
  <c r="P177" i="55"/>
  <c r="O177" i="55"/>
  <c r="N177" i="55"/>
  <c r="M177" i="55"/>
  <c r="L177" i="55"/>
  <c r="X163" i="55"/>
  <c r="W163" i="55"/>
  <c r="V163" i="55"/>
  <c r="U163" i="55"/>
  <c r="U162" i="55" s="1"/>
  <c r="T162" i="55"/>
  <c r="R162" i="55"/>
  <c r="P162" i="55"/>
  <c r="O162" i="55"/>
  <c r="N162" i="55"/>
  <c r="H162" i="55"/>
  <c r="G162" i="55"/>
  <c r="F162" i="55"/>
  <c r="E162" i="55"/>
  <c r="D162" i="55"/>
  <c r="C162" i="55"/>
  <c r="B162" i="55"/>
  <c r="T154" i="55"/>
  <c r="P154" i="55"/>
  <c r="L154" i="55"/>
  <c r="H154" i="55"/>
  <c r="D154" i="55"/>
  <c r="E154" i="55" s="1"/>
  <c r="F154" i="55" s="1"/>
  <c r="T153" i="55"/>
  <c r="P153" i="55"/>
  <c r="Q153" i="55" s="1"/>
  <c r="L153" i="55"/>
  <c r="M153" i="55" s="1"/>
  <c r="H153" i="55"/>
  <c r="D153" i="55"/>
  <c r="T152" i="55"/>
  <c r="P152" i="55"/>
  <c r="Q152" i="55" s="1"/>
  <c r="R152" i="55" s="1"/>
  <c r="L152" i="55"/>
  <c r="M152" i="55" s="1"/>
  <c r="N152" i="55" s="1"/>
  <c r="G152" i="55"/>
  <c r="D152" i="55"/>
  <c r="Q145" i="55"/>
  <c r="P145" i="55"/>
  <c r="O145" i="55"/>
  <c r="N145" i="55"/>
  <c r="M145" i="55"/>
  <c r="L145" i="55"/>
  <c r="K145" i="55"/>
  <c r="J145" i="55"/>
  <c r="I145" i="55"/>
  <c r="H145" i="55"/>
  <c r="G145" i="55"/>
  <c r="F145" i="55"/>
  <c r="E145" i="55"/>
  <c r="D145" i="55"/>
  <c r="C145" i="55"/>
  <c r="B145" i="55"/>
  <c r="X144" i="55"/>
  <c r="X145" i="55" s="1"/>
  <c r="W144" i="55"/>
  <c r="W145" i="55" s="1"/>
  <c r="V144" i="55"/>
  <c r="V145" i="55" s="1"/>
  <c r="U144" i="55"/>
  <c r="U145" i="55" s="1"/>
  <c r="T144" i="55"/>
  <c r="T145" i="55" s="1"/>
  <c r="S144" i="55"/>
  <c r="S145" i="55" s="1"/>
  <c r="R144" i="55"/>
  <c r="R145" i="55" s="1"/>
  <c r="X141" i="55"/>
  <c r="X147" i="55" s="1"/>
  <c r="W141" i="55"/>
  <c r="W147" i="55" s="1"/>
  <c r="V141" i="55"/>
  <c r="V147" i="55" s="1"/>
  <c r="U141" i="55"/>
  <c r="U147" i="55" s="1"/>
  <c r="T141" i="55"/>
  <c r="T147" i="55" s="1"/>
  <c r="S141" i="55"/>
  <c r="S147" i="55" s="1"/>
  <c r="R141" i="55"/>
  <c r="R147" i="55" s="1"/>
  <c r="Q141" i="55"/>
  <c r="Q147" i="55" s="1"/>
  <c r="P141" i="55"/>
  <c r="P147" i="55" s="1"/>
  <c r="O141" i="55"/>
  <c r="O147" i="55" s="1"/>
  <c r="N141" i="55"/>
  <c r="N147" i="55" s="1"/>
  <c r="M141" i="55"/>
  <c r="M147" i="55" s="1"/>
  <c r="L141" i="55"/>
  <c r="L147" i="55" s="1"/>
  <c r="K141" i="55"/>
  <c r="K147" i="55" s="1"/>
  <c r="J141" i="55"/>
  <c r="J147" i="55" s="1"/>
  <c r="I141" i="55"/>
  <c r="I147" i="55" s="1"/>
  <c r="H141" i="55"/>
  <c r="H147" i="55" s="1"/>
  <c r="G141" i="55"/>
  <c r="G147" i="55" s="1"/>
  <c r="F141" i="55"/>
  <c r="F147" i="55" s="1"/>
  <c r="E141" i="55"/>
  <c r="E147" i="55" s="1"/>
  <c r="D141" i="55"/>
  <c r="D147" i="55" s="1"/>
  <c r="C141" i="55"/>
  <c r="C147" i="55" s="1"/>
  <c r="B141" i="55"/>
  <c r="B147" i="55" s="1"/>
  <c r="X133" i="55"/>
  <c r="W133" i="55"/>
  <c r="V133" i="55"/>
  <c r="U133" i="55"/>
  <c r="T133" i="55"/>
  <c r="S133" i="55"/>
  <c r="R133" i="55"/>
  <c r="Q133" i="55"/>
  <c r="P133" i="55"/>
  <c r="O133" i="55"/>
  <c r="N133" i="55"/>
  <c r="M133" i="55"/>
  <c r="L133" i="55"/>
  <c r="K133" i="55"/>
  <c r="J133" i="55"/>
  <c r="I133" i="55"/>
  <c r="H133" i="55"/>
  <c r="G133" i="55"/>
  <c r="F133" i="55"/>
  <c r="E133" i="55"/>
  <c r="D133" i="55"/>
  <c r="C133" i="55"/>
  <c r="B133" i="55"/>
  <c r="X123" i="55"/>
  <c r="W123" i="55"/>
  <c r="V123" i="55"/>
  <c r="U123" i="55"/>
  <c r="T123" i="55"/>
  <c r="S123" i="55"/>
  <c r="R123" i="55"/>
  <c r="Q123" i="55"/>
  <c r="P123" i="55"/>
  <c r="O123" i="55"/>
  <c r="N123" i="55"/>
  <c r="M123" i="55"/>
  <c r="L123" i="55"/>
  <c r="K123" i="55"/>
  <c r="J123" i="55"/>
  <c r="I123" i="55"/>
  <c r="H123" i="55"/>
  <c r="G123" i="55"/>
  <c r="F123" i="55"/>
  <c r="E123" i="55"/>
  <c r="D123" i="55"/>
  <c r="C123" i="55"/>
  <c r="B123" i="55"/>
  <c r="X121" i="55"/>
  <c r="W121" i="55"/>
  <c r="V121" i="55"/>
  <c r="U121" i="55"/>
  <c r="T121" i="55"/>
  <c r="S121" i="55"/>
  <c r="R121" i="55"/>
  <c r="Q121" i="55"/>
  <c r="P121" i="55"/>
  <c r="O121" i="55"/>
  <c r="N121" i="55"/>
  <c r="M121" i="55"/>
  <c r="L121" i="55"/>
  <c r="K121" i="55"/>
  <c r="J121" i="55"/>
  <c r="I121" i="55"/>
  <c r="H121" i="55"/>
  <c r="G121" i="55"/>
  <c r="F121" i="55"/>
  <c r="E121" i="55"/>
  <c r="D121" i="55"/>
  <c r="C121" i="55"/>
  <c r="B121" i="55"/>
  <c r="X120" i="55"/>
  <c r="W120" i="55"/>
  <c r="V120" i="55"/>
  <c r="U120" i="55"/>
  <c r="T120" i="55"/>
  <c r="S120" i="55"/>
  <c r="R120" i="55"/>
  <c r="Q120" i="55"/>
  <c r="P120" i="55"/>
  <c r="O120" i="55"/>
  <c r="N120" i="55"/>
  <c r="M120" i="55"/>
  <c r="L120" i="55"/>
  <c r="K120" i="55"/>
  <c r="J120" i="55"/>
  <c r="I120" i="55"/>
  <c r="H120" i="55"/>
  <c r="G120" i="55"/>
  <c r="F120" i="55"/>
  <c r="E120" i="55"/>
  <c r="D120" i="55"/>
  <c r="C120" i="55"/>
  <c r="B120" i="55"/>
  <c r="X119" i="55"/>
  <c r="W119" i="55"/>
  <c r="V119" i="55"/>
  <c r="U119" i="55"/>
  <c r="T119" i="55"/>
  <c r="S119" i="55"/>
  <c r="R119" i="55"/>
  <c r="Q119" i="55"/>
  <c r="P119" i="55"/>
  <c r="O119" i="55"/>
  <c r="N119" i="55"/>
  <c r="M119" i="55"/>
  <c r="L119" i="55"/>
  <c r="K119" i="55"/>
  <c r="J119" i="55"/>
  <c r="I119" i="55"/>
  <c r="H119" i="55"/>
  <c r="G119" i="55"/>
  <c r="F119" i="55"/>
  <c r="E119" i="55"/>
  <c r="D119" i="55"/>
  <c r="C119" i="55"/>
  <c r="B119" i="55"/>
  <c r="X118" i="55"/>
  <c r="W118" i="55"/>
  <c r="V118" i="55"/>
  <c r="U118" i="55"/>
  <c r="T118" i="55"/>
  <c r="S118" i="55"/>
  <c r="R118" i="55"/>
  <c r="Q118" i="55"/>
  <c r="P118" i="55"/>
  <c r="O118" i="55"/>
  <c r="N118" i="55"/>
  <c r="M118" i="55"/>
  <c r="L118" i="55"/>
  <c r="K118" i="55"/>
  <c r="J118" i="55"/>
  <c r="I118" i="55"/>
  <c r="H118" i="55"/>
  <c r="G118" i="55"/>
  <c r="F118" i="55"/>
  <c r="X117" i="55"/>
  <c r="W117" i="55"/>
  <c r="V117" i="55"/>
  <c r="U117" i="55"/>
  <c r="T117" i="55"/>
  <c r="S117" i="55"/>
  <c r="R117" i="55"/>
  <c r="Q117" i="55"/>
  <c r="P117" i="55"/>
  <c r="O117" i="55"/>
  <c r="N117" i="55"/>
  <c r="M117" i="55"/>
  <c r="L117" i="55"/>
  <c r="K117" i="55"/>
  <c r="J117" i="55"/>
  <c r="I117" i="55"/>
  <c r="H117" i="55"/>
  <c r="G117" i="55"/>
  <c r="F117" i="55"/>
  <c r="E117" i="55"/>
  <c r="D117" i="55"/>
  <c r="C117" i="55"/>
  <c r="B117" i="55"/>
  <c r="R109" i="55"/>
  <c r="R108" i="55"/>
  <c r="R107" i="55"/>
  <c r="R106" i="55"/>
  <c r="R105" i="55"/>
  <c r="X91" i="55"/>
  <c r="W91" i="55"/>
  <c r="V91" i="55"/>
  <c r="U91" i="55"/>
  <c r="T91" i="55"/>
  <c r="S91" i="55"/>
  <c r="R91" i="55"/>
  <c r="R92" i="55" s="1"/>
  <c r="Q91" i="55"/>
  <c r="P91" i="55"/>
  <c r="O91" i="55"/>
  <c r="N91" i="55"/>
  <c r="M91" i="55"/>
  <c r="L91" i="55"/>
  <c r="K91" i="55"/>
  <c r="J91" i="55"/>
  <c r="I91" i="55"/>
  <c r="H91" i="55"/>
  <c r="G91" i="55"/>
  <c r="F91" i="55"/>
  <c r="E91" i="55"/>
  <c r="D91" i="55"/>
  <c r="C91" i="55"/>
  <c r="B91" i="55"/>
  <c r="R88" i="55"/>
  <c r="R85" i="55"/>
  <c r="AA84" i="55"/>
  <c r="Z84" i="55"/>
  <c r="X75" i="55"/>
  <c r="X76" i="55" s="1"/>
  <c r="W75" i="55"/>
  <c r="W76" i="55" s="1"/>
  <c r="V75" i="55"/>
  <c r="V76" i="55" s="1"/>
  <c r="U75" i="55"/>
  <c r="U76" i="55" s="1"/>
  <c r="T75" i="55"/>
  <c r="T76" i="55" s="1"/>
  <c r="S75" i="55"/>
  <c r="S76" i="55" s="1"/>
  <c r="R75" i="55"/>
  <c r="R76" i="55" s="1"/>
  <c r="Q75" i="55"/>
  <c r="Q76" i="55" s="1"/>
  <c r="P75" i="55"/>
  <c r="P76" i="55" s="1"/>
  <c r="O75" i="55"/>
  <c r="O76" i="55" s="1"/>
  <c r="N75" i="55"/>
  <c r="N76" i="55" s="1"/>
  <c r="M75" i="55"/>
  <c r="M76" i="55" s="1"/>
  <c r="L75" i="55"/>
  <c r="L76" i="55" s="1"/>
  <c r="K75" i="55"/>
  <c r="K76" i="55" s="1"/>
  <c r="J75" i="55"/>
  <c r="J76" i="55" s="1"/>
  <c r="I75" i="55"/>
  <c r="I76" i="55" s="1"/>
  <c r="H75" i="55"/>
  <c r="H76" i="55" s="1"/>
  <c r="G75" i="55"/>
  <c r="G76" i="55" s="1"/>
  <c r="F75" i="55"/>
  <c r="E75" i="55"/>
  <c r="E76" i="55" s="1"/>
  <c r="D75" i="55"/>
  <c r="D76" i="55" s="1"/>
  <c r="C75" i="55"/>
  <c r="C76" i="55" s="1"/>
  <c r="B75" i="55"/>
  <c r="B76" i="55" s="1"/>
  <c r="V70" i="55"/>
  <c r="U70" i="55"/>
  <c r="T70" i="55"/>
  <c r="S70" i="55"/>
  <c r="R70" i="55"/>
  <c r="U68" i="55"/>
  <c r="T68" i="55"/>
  <c r="S68" i="55"/>
  <c r="X67" i="55"/>
  <c r="W67" i="55"/>
  <c r="V67" i="55"/>
  <c r="U67" i="55"/>
  <c r="T67" i="55"/>
  <c r="S67" i="55"/>
  <c r="R67" i="55"/>
  <c r="Q67" i="55"/>
  <c r="P67" i="55"/>
  <c r="P68" i="55" s="1"/>
  <c r="O67" i="55"/>
  <c r="N67" i="55"/>
  <c r="N68" i="55" s="1"/>
  <c r="M67" i="55"/>
  <c r="M68" i="55" s="1"/>
  <c r="L67" i="55"/>
  <c r="L68" i="55" s="1"/>
  <c r="K67" i="55"/>
  <c r="K68" i="55" s="1"/>
  <c r="J67" i="55"/>
  <c r="J68" i="55" s="1"/>
  <c r="I67" i="55"/>
  <c r="I68" i="55" s="1"/>
  <c r="H67" i="55"/>
  <c r="H68" i="55" s="1"/>
  <c r="G67" i="55"/>
  <c r="G68" i="55" s="1"/>
  <c r="F67" i="55"/>
  <c r="F68" i="55" s="1"/>
  <c r="U65" i="55"/>
  <c r="T65" i="55"/>
  <c r="S65" i="55"/>
  <c r="N65" i="55"/>
  <c r="M65" i="55"/>
  <c r="L65" i="55"/>
  <c r="K65" i="55"/>
  <c r="J65" i="55"/>
  <c r="I65" i="55"/>
  <c r="H65" i="55"/>
  <c r="G65" i="55"/>
  <c r="F65" i="55"/>
  <c r="P60" i="55"/>
  <c r="P238" i="55" s="1"/>
  <c r="X53" i="55"/>
  <c r="W53" i="55"/>
  <c r="W60" i="55" s="1"/>
  <c r="W237" i="55" s="1"/>
  <c r="V53" i="55"/>
  <c r="V60" i="55" s="1"/>
  <c r="U53" i="55"/>
  <c r="U60" i="55" s="1"/>
  <c r="U236" i="55" s="1"/>
  <c r="T53" i="55"/>
  <c r="S53" i="55"/>
  <c r="R53" i="55"/>
  <c r="Q53" i="55"/>
  <c r="Q60" i="55" s="1"/>
  <c r="O53" i="55"/>
  <c r="O60" i="55" s="1"/>
  <c r="N53" i="55"/>
  <c r="M53" i="55"/>
  <c r="M60" i="55" s="1"/>
  <c r="L53" i="55"/>
  <c r="K53" i="55"/>
  <c r="K60" i="55" s="1"/>
  <c r="K88" i="55" s="1"/>
  <c r="J53" i="55"/>
  <c r="I53" i="55"/>
  <c r="H53" i="55"/>
  <c r="H60" i="55" s="1"/>
  <c r="H237" i="55" s="1"/>
  <c r="G53" i="55"/>
  <c r="F53" i="55"/>
  <c r="F60" i="55" s="1"/>
  <c r="E53" i="55"/>
  <c r="D53" i="55"/>
  <c r="C53" i="55"/>
  <c r="C60" i="55" s="1"/>
  <c r="B53" i="55"/>
  <c r="X42" i="55"/>
  <c r="W42" i="55"/>
  <c r="V42" i="55"/>
  <c r="U42" i="55"/>
  <c r="T42" i="55"/>
  <c r="S42" i="55"/>
  <c r="X38" i="55"/>
  <c r="W38" i="55"/>
  <c r="V38" i="55"/>
  <c r="U38" i="55"/>
  <c r="T38" i="55"/>
  <c r="S38" i="55"/>
  <c r="R38" i="55"/>
  <c r="Q38" i="55"/>
  <c r="P38" i="55"/>
  <c r="X34" i="55"/>
  <c r="W34" i="55"/>
  <c r="V34" i="55"/>
  <c r="U34" i="55"/>
  <c r="T34" i="55"/>
  <c r="S34" i="55"/>
  <c r="R34" i="55"/>
  <c r="Q34" i="55"/>
  <c r="P34" i="55"/>
  <c r="X29" i="55"/>
  <c r="X65" i="55" s="1"/>
  <c r="W29" i="55"/>
  <c r="W65" i="55" s="1"/>
  <c r="V29" i="55"/>
  <c r="V68" i="55" s="1"/>
  <c r="R29" i="55"/>
  <c r="R65" i="55" s="1"/>
  <c r="Q29" i="55"/>
  <c r="Q30" i="55" s="1"/>
  <c r="P29" i="55"/>
  <c r="T30" i="55" s="1"/>
  <c r="O29" i="55"/>
  <c r="O65" i="55" s="1"/>
  <c r="V24" i="55"/>
  <c r="U24" i="55"/>
  <c r="T24" i="55"/>
  <c r="N24" i="55"/>
  <c r="M24" i="55"/>
  <c r="L24" i="55"/>
  <c r="K24" i="55"/>
  <c r="J24" i="55"/>
  <c r="I24" i="55"/>
  <c r="H24" i="55"/>
  <c r="G24" i="55"/>
  <c r="F24" i="55"/>
  <c r="V22" i="55"/>
  <c r="U22" i="55"/>
  <c r="T22" i="55"/>
  <c r="S22" i="55"/>
  <c r="R22" i="55"/>
  <c r="O22" i="55"/>
  <c r="N22" i="55"/>
  <c r="M22" i="55"/>
  <c r="N21" i="55"/>
  <c r="M21" i="55"/>
  <c r="L21" i="55"/>
  <c r="K21" i="55"/>
  <c r="J21" i="55"/>
  <c r="S20" i="55"/>
  <c r="S24" i="55" s="1"/>
  <c r="R20" i="55"/>
  <c r="R21" i="55" s="1"/>
  <c r="Q20" i="55"/>
  <c r="Q21" i="55" s="1"/>
  <c r="P20" i="55"/>
  <c r="T21" i="55" s="1"/>
  <c r="O20" i="55"/>
  <c r="O24" i="55" s="1"/>
  <c r="V18" i="55"/>
  <c r="U18" i="55"/>
  <c r="T18" i="55"/>
  <c r="S18" i="55"/>
  <c r="R18" i="55"/>
  <c r="Q18" i="55"/>
  <c r="P18" i="55"/>
  <c r="O18" i="55"/>
  <c r="N18" i="55"/>
  <c r="M18" i="55"/>
  <c r="V17" i="55"/>
  <c r="U17" i="55"/>
  <c r="T17" i="55"/>
  <c r="S17" i="55"/>
  <c r="R17" i="55"/>
  <c r="Q17" i="55"/>
  <c r="V15" i="55"/>
  <c r="U15" i="55"/>
  <c r="T15" i="55"/>
  <c r="S15" i="55"/>
  <c r="R15" i="55"/>
  <c r="Q15" i="55"/>
  <c r="X13" i="55"/>
  <c r="W13" i="55"/>
  <c r="V13" i="55"/>
  <c r="S13" i="55"/>
  <c r="R13" i="55"/>
  <c r="O13" i="55"/>
  <c r="N13" i="55"/>
  <c r="M13" i="55"/>
  <c r="L13" i="55"/>
  <c r="K13" i="55"/>
  <c r="J13" i="55"/>
  <c r="Q12" i="55"/>
  <c r="Q22" i="55" s="1"/>
  <c r="P12" i="55"/>
  <c r="P22" i="55" s="1"/>
  <c r="E12" i="55"/>
  <c r="I13" i="55" s="1"/>
  <c r="D12" i="55"/>
  <c r="H13" i="55" s="1"/>
  <c r="C12" i="55"/>
  <c r="G13" i="55" s="1"/>
  <c r="B12" i="55"/>
  <c r="F13" i="55" s="1"/>
  <c r="Y10" i="55"/>
  <c r="AH49" i="66"/>
  <c r="AE49" i="66"/>
  <c r="AD49" i="66"/>
  <c r="AC49" i="66"/>
  <c r="AB49" i="66"/>
  <c r="AQ48" i="66"/>
  <c r="AP48" i="66"/>
  <c r="AO48" i="66"/>
  <c r="AN48" i="66"/>
  <c r="AM48" i="66"/>
  <c r="AL48" i="66"/>
  <c r="AK48" i="66"/>
  <c r="AJ48" i="66"/>
  <c r="AI48" i="66"/>
  <c r="AH48" i="66"/>
  <c r="AG48" i="66"/>
  <c r="AF48" i="66"/>
  <c r="AE48" i="66"/>
  <c r="AD48" i="66"/>
  <c r="AC48" i="66"/>
  <c r="AB48" i="66"/>
  <c r="AA48" i="66"/>
  <c r="Z48" i="66"/>
  <c r="Y48" i="66"/>
  <c r="S48" i="66"/>
  <c r="R48" i="66"/>
  <c r="Q48" i="66"/>
  <c r="P48" i="66"/>
  <c r="O48" i="66"/>
  <c r="N48" i="66"/>
  <c r="AB46" i="66"/>
  <c r="AP45" i="66"/>
  <c r="AB45" i="66"/>
  <c r="AQ44" i="66"/>
  <c r="AP44" i="66"/>
  <c r="AO44" i="66"/>
  <c r="AN44" i="66"/>
  <c r="AM44" i="66"/>
  <c r="AL44" i="66"/>
  <c r="AK44" i="66"/>
  <c r="AJ44" i="66"/>
  <c r="AI44" i="66"/>
  <c r="AH44" i="66"/>
  <c r="AG44" i="66"/>
  <c r="AF44" i="66"/>
  <c r="AE44" i="66"/>
  <c r="AD44" i="66"/>
  <c r="AC44" i="66"/>
  <c r="AB44" i="66"/>
  <c r="AA44" i="66"/>
  <c r="Z44" i="66"/>
  <c r="Y44" i="66"/>
  <c r="X44" i="66"/>
  <c r="W44" i="66"/>
  <c r="V44" i="66"/>
  <c r="U44" i="66"/>
  <c r="T44" i="66"/>
  <c r="S44" i="66"/>
  <c r="R44" i="66"/>
  <c r="Q44" i="66"/>
  <c r="P44" i="66"/>
  <c r="O44" i="66"/>
  <c r="N44" i="66"/>
  <c r="AQ41" i="66"/>
  <c r="AP41" i="66"/>
  <c r="AO41" i="66"/>
  <c r="AN41" i="66"/>
  <c r="AM41" i="66"/>
  <c r="AL41" i="66"/>
  <c r="AK41" i="66"/>
  <c r="AJ41" i="66"/>
  <c r="AI41" i="66"/>
  <c r="AH41" i="66"/>
  <c r="AG41" i="66"/>
  <c r="AF41" i="66"/>
  <c r="AE41" i="66"/>
  <c r="AD41" i="66"/>
  <c r="AC41" i="66"/>
  <c r="AB41" i="66"/>
  <c r="AA41" i="66"/>
  <c r="Z41" i="66"/>
  <c r="Y41" i="66"/>
  <c r="X41" i="66"/>
  <c r="W41" i="66"/>
  <c r="V41" i="66"/>
  <c r="U41" i="66"/>
  <c r="T41" i="66"/>
  <c r="S41" i="66"/>
  <c r="R41" i="66"/>
  <c r="AQ40" i="66"/>
  <c r="AP40" i="66"/>
  <c r="AO40" i="66"/>
  <c r="AN40" i="66"/>
  <c r="AM40" i="66"/>
  <c r="AL40" i="66"/>
  <c r="AI40" i="66"/>
  <c r="AH40" i="66"/>
  <c r="AG40" i="66"/>
  <c r="AF40" i="66"/>
  <c r="AE40" i="66"/>
  <c r="AD40" i="66"/>
  <c r="AC40" i="66"/>
  <c r="AB40" i="66"/>
  <c r="AH39" i="66"/>
  <c r="AE39" i="66"/>
  <c r="AC39" i="66"/>
  <c r="AB39" i="66"/>
  <c r="R39" i="66"/>
  <c r="AQ38" i="66"/>
  <c r="AP38" i="66"/>
  <c r="AO38" i="66"/>
  <c r="AN38" i="66"/>
  <c r="AM38" i="66"/>
  <c r="AL38" i="66"/>
  <c r="AH38" i="66"/>
  <c r="AG38" i="66"/>
  <c r="AF38" i="66"/>
  <c r="AE38" i="66"/>
  <c r="AD38" i="66"/>
  <c r="AC38" i="66"/>
  <c r="AB38" i="66"/>
  <c r="R38" i="66"/>
  <c r="Q38" i="66"/>
  <c r="P38" i="66"/>
  <c r="O38" i="66"/>
  <c r="N38" i="66"/>
  <c r="M38" i="66"/>
  <c r="L38" i="66"/>
  <c r="K38" i="66"/>
  <c r="J38" i="66"/>
  <c r="M37" i="66"/>
  <c r="L37" i="66"/>
  <c r="K37" i="66"/>
  <c r="J37" i="66"/>
  <c r="I37" i="66"/>
  <c r="H37" i="66"/>
  <c r="G37" i="66"/>
  <c r="F37" i="66"/>
  <c r="AQ36" i="66"/>
  <c r="AH36" i="66"/>
  <c r="AG36" i="66"/>
  <c r="AF36" i="66"/>
  <c r="AE36" i="66"/>
  <c r="AD36" i="66"/>
  <c r="AC36" i="66"/>
  <c r="AB36" i="66"/>
  <c r="AQ35" i="66"/>
  <c r="AP35" i="66"/>
  <c r="AO35" i="66"/>
  <c r="AN35" i="66"/>
  <c r="AM35" i="66"/>
  <c r="AL35" i="66"/>
  <c r="AH35" i="66"/>
  <c r="AG35" i="66"/>
  <c r="AF35" i="66"/>
  <c r="AE35" i="66"/>
  <c r="AD35" i="66"/>
  <c r="AC35" i="66"/>
  <c r="AQ34" i="66"/>
  <c r="AP34" i="66"/>
  <c r="AO34" i="66"/>
  <c r="AN34" i="66"/>
  <c r="AM34" i="66"/>
  <c r="AL34" i="66"/>
  <c r="AH34" i="66"/>
  <c r="AF34" i="66"/>
  <c r="AE34" i="66"/>
  <c r="AD34" i="66"/>
  <c r="AC34" i="66"/>
  <c r="AB34" i="66"/>
  <c r="AQ33" i="66"/>
  <c r="AP33" i="66"/>
  <c r="AO33" i="66"/>
  <c r="AN33" i="66"/>
  <c r="AH33" i="66"/>
  <c r="AG33" i="66"/>
  <c r="AF33" i="66"/>
  <c r="AE33" i="66"/>
  <c r="AC33" i="66"/>
  <c r="M33" i="66"/>
  <c r="I28" i="66"/>
  <c r="H28" i="66"/>
  <c r="G28" i="66"/>
  <c r="F28" i="66"/>
  <c r="E28" i="66"/>
  <c r="C28" i="66"/>
  <c r="B28" i="66"/>
  <c r="Y27" i="66"/>
  <c r="X27" i="66"/>
  <c r="W27" i="66"/>
  <c r="V27" i="66"/>
  <c r="U27" i="66"/>
  <c r="T27" i="66"/>
  <c r="S27" i="66"/>
  <c r="R27" i="66"/>
  <c r="Q27" i="66"/>
  <c r="P27" i="66"/>
  <c r="O27" i="66"/>
  <c r="N27" i="66"/>
  <c r="M27" i="66"/>
  <c r="L27" i="66"/>
  <c r="K27" i="66"/>
  <c r="J27" i="66"/>
  <c r="I27" i="66"/>
  <c r="H27" i="66"/>
  <c r="G27" i="66"/>
  <c r="F27" i="66"/>
  <c r="AQ26" i="66"/>
  <c r="AP26" i="66"/>
  <c r="AO26" i="66"/>
  <c r="AN26" i="66"/>
  <c r="AM26" i="66"/>
  <c r="AL26" i="66"/>
  <c r="AK26" i="66"/>
  <c r="AJ26" i="66"/>
  <c r="AI26" i="66"/>
  <c r="AH26" i="66"/>
  <c r="AG26" i="66"/>
  <c r="AF26" i="66"/>
  <c r="AE26" i="66"/>
  <c r="AD26" i="66"/>
  <c r="AC26" i="66"/>
  <c r="AB26" i="66"/>
  <c r="AA26" i="66"/>
  <c r="Z26" i="66"/>
  <c r="Y26" i="66"/>
  <c r="X26" i="66"/>
  <c r="W26" i="66"/>
  <c r="V26" i="66"/>
  <c r="U26" i="66"/>
  <c r="T26" i="66"/>
  <c r="S26" i="66"/>
  <c r="R26" i="66"/>
  <c r="M26" i="66"/>
  <c r="M25" i="66"/>
  <c r="M24" i="66"/>
  <c r="Q23" i="66"/>
  <c r="M23" i="66"/>
  <c r="Y22" i="66"/>
  <c r="X22" i="66"/>
  <c r="W22" i="66"/>
  <c r="V22" i="66"/>
  <c r="U22" i="66"/>
  <c r="T22" i="66"/>
  <c r="S22" i="66"/>
  <c r="R22" i="66"/>
  <c r="Q22" i="66"/>
  <c r="P22" i="66"/>
  <c r="O22" i="66"/>
  <c r="N22" i="66"/>
  <c r="M22" i="66"/>
  <c r="L22" i="66"/>
  <c r="K22" i="66"/>
  <c r="J22" i="66"/>
  <c r="I22" i="66"/>
  <c r="H22" i="66"/>
  <c r="G22" i="66"/>
  <c r="F22" i="66"/>
  <c r="E22" i="66"/>
  <c r="D22" i="66"/>
  <c r="C22" i="66"/>
  <c r="B22" i="66"/>
  <c r="AG21" i="66"/>
  <c r="AF21" i="66"/>
  <c r="AE21" i="66"/>
  <c r="AD21" i="66"/>
  <c r="AC21" i="66"/>
  <c r="AB21" i="66"/>
  <c r="AA21" i="66"/>
  <c r="Z21" i="66"/>
  <c r="Y21" i="66"/>
  <c r="X21" i="66"/>
  <c r="W21" i="66"/>
  <c r="V21" i="66"/>
  <c r="U21" i="66"/>
  <c r="T21" i="66"/>
  <c r="S21" i="66"/>
  <c r="R21" i="66"/>
  <c r="Q21" i="66"/>
  <c r="P21" i="66"/>
  <c r="O21" i="66"/>
  <c r="N21" i="66"/>
  <c r="M21" i="66"/>
  <c r="L21" i="66"/>
  <c r="K21" i="66"/>
  <c r="J21" i="66"/>
  <c r="I21" i="66"/>
  <c r="H21" i="66"/>
  <c r="G21" i="66"/>
  <c r="F21" i="66"/>
  <c r="E21" i="66"/>
  <c r="D21" i="66"/>
  <c r="C21" i="66"/>
  <c r="B21" i="66"/>
  <c r="AQ20" i="66"/>
  <c r="AP20" i="66"/>
  <c r="AO20" i="66"/>
  <c r="AN20" i="66"/>
  <c r="AM20" i="66"/>
  <c r="AL20" i="66"/>
  <c r="AK20" i="66"/>
  <c r="AJ20" i="66"/>
  <c r="AI20" i="66"/>
  <c r="AH20" i="66"/>
  <c r="AG20" i="66"/>
  <c r="AF20" i="66"/>
  <c r="AE20" i="66"/>
  <c r="AD20" i="66"/>
  <c r="AC20" i="66"/>
  <c r="AB20" i="66"/>
  <c r="AA20" i="66"/>
  <c r="Z20" i="66"/>
  <c r="Y20" i="66"/>
  <c r="X20" i="66"/>
  <c r="W20" i="66"/>
  <c r="V20" i="66"/>
  <c r="U20" i="66"/>
  <c r="T20" i="66"/>
  <c r="S20" i="66"/>
  <c r="R20" i="66"/>
  <c r="Q20" i="66"/>
  <c r="P20" i="66"/>
  <c r="O20" i="66"/>
  <c r="N20" i="66"/>
  <c r="M20" i="66"/>
  <c r="L20" i="66"/>
  <c r="K20" i="66"/>
  <c r="J20" i="66"/>
  <c r="I20" i="66"/>
  <c r="H20" i="66"/>
  <c r="G20" i="66"/>
  <c r="F20" i="66"/>
  <c r="E20" i="66"/>
  <c r="D20" i="66"/>
  <c r="C20" i="66"/>
  <c r="B20" i="66"/>
  <c r="Y19" i="66"/>
  <c r="X19" i="66"/>
  <c r="W19" i="66"/>
  <c r="V19" i="66"/>
  <c r="U19" i="66"/>
  <c r="T19" i="66"/>
  <c r="S19" i="66"/>
  <c r="R19" i="66"/>
  <c r="Q19" i="66"/>
  <c r="P19" i="66"/>
  <c r="O19" i="66"/>
  <c r="N19" i="66"/>
  <c r="M19" i="66"/>
  <c r="L19" i="66"/>
  <c r="K19" i="66"/>
  <c r="J19" i="66"/>
  <c r="I19" i="66"/>
  <c r="H19" i="66"/>
  <c r="G19" i="66"/>
  <c r="F19" i="66"/>
  <c r="E19" i="66"/>
  <c r="D19" i="66"/>
  <c r="C19" i="66"/>
  <c r="B19" i="66"/>
  <c r="AK18" i="66"/>
  <c r="AJ18" i="66"/>
  <c r="AI18" i="66"/>
  <c r="AH18" i="66"/>
  <c r="AG18" i="66"/>
  <c r="AF18" i="66"/>
  <c r="AE18" i="66"/>
  <c r="AD18" i="66"/>
  <c r="AC18" i="66"/>
  <c r="AB18" i="66"/>
  <c r="AA18" i="66"/>
  <c r="Z18" i="66"/>
  <c r="Y18" i="66"/>
  <c r="X18" i="66"/>
  <c r="W18" i="66"/>
  <c r="V18" i="66"/>
  <c r="U18" i="66"/>
  <c r="T18" i="66"/>
  <c r="S18" i="66"/>
  <c r="R18" i="66"/>
  <c r="Q18" i="66"/>
  <c r="P18" i="66"/>
  <c r="O18" i="66"/>
  <c r="N18" i="66"/>
  <c r="M18" i="66"/>
  <c r="L18" i="66"/>
  <c r="K18" i="66"/>
  <c r="J18" i="66"/>
  <c r="I18" i="66"/>
  <c r="H18" i="66"/>
  <c r="G18" i="66"/>
  <c r="F18" i="66"/>
  <c r="E18" i="66"/>
  <c r="D18" i="66"/>
  <c r="C18" i="66"/>
  <c r="B18" i="66"/>
  <c r="AQ17" i="66"/>
  <c r="AP17" i="66"/>
  <c r="AO17" i="66"/>
  <c r="AN17" i="66"/>
  <c r="AM17" i="66"/>
  <c r="AL17" i="66"/>
  <c r="AK17" i="66"/>
  <c r="AJ17" i="66"/>
  <c r="AI17" i="66"/>
  <c r="AH17" i="66"/>
  <c r="AG17" i="66"/>
  <c r="AF17" i="66"/>
  <c r="AE17" i="66"/>
  <c r="AD17" i="66"/>
  <c r="AC17" i="66"/>
  <c r="AB17" i="66"/>
  <c r="AA17" i="66"/>
  <c r="Z17" i="66"/>
  <c r="Y17" i="66"/>
  <c r="X17" i="66"/>
  <c r="W17" i="66"/>
  <c r="V17" i="66"/>
  <c r="U17" i="66"/>
  <c r="T17" i="66"/>
  <c r="S17" i="66"/>
  <c r="R17" i="66"/>
  <c r="Q17" i="66"/>
  <c r="P17" i="66"/>
  <c r="O17" i="66"/>
  <c r="N17" i="66"/>
  <c r="M17" i="66"/>
  <c r="L17" i="66"/>
  <c r="K17" i="66"/>
  <c r="J17" i="66"/>
  <c r="I17" i="66"/>
  <c r="H17" i="66"/>
  <c r="G17" i="66"/>
  <c r="F17" i="66"/>
  <c r="E17" i="66"/>
  <c r="D17" i="66"/>
  <c r="C17" i="66"/>
  <c r="B17" i="66"/>
  <c r="AQ12" i="66"/>
  <c r="AP12" i="66"/>
  <c r="AO12" i="66"/>
  <c r="AN12" i="66"/>
  <c r="AM12" i="66"/>
  <c r="AL12" i="66"/>
  <c r="Y12" i="66"/>
  <c r="X12" i="66"/>
  <c r="W12" i="66"/>
  <c r="V12" i="66"/>
  <c r="U12" i="66"/>
  <c r="T12" i="66"/>
  <c r="S12" i="66"/>
  <c r="R12" i="66"/>
  <c r="Q12" i="66"/>
  <c r="P12" i="66"/>
  <c r="O12" i="66"/>
  <c r="N12" i="66"/>
  <c r="M12" i="66"/>
  <c r="L12" i="66"/>
  <c r="K12" i="66"/>
  <c r="J12" i="66"/>
  <c r="I12" i="66"/>
  <c r="H12" i="66"/>
  <c r="G12" i="66"/>
  <c r="F12" i="66"/>
  <c r="E12" i="66"/>
  <c r="D12" i="66"/>
  <c r="C12" i="66"/>
  <c r="B12" i="66"/>
  <c r="AQ11" i="66"/>
  <c r="AP11" i="66"/>
  <c r="AO11" i="66"/>
  <c r="AN11" i="66"/>
  <c r="AM11" i="66"/>
  <c r="AL11" i="66"/>
  <c r="AK11" i="66"/>
  <c r="AJ11" i="66"/>
  <c r="AI11" i="66"/>
  <c r="AH11" i="66"/>
  <c r="AG11" i="66"/>
  <c r="AF11" i="66"/>
  <c r="AE11" i="66"/>
  <c r="AD11" i="66"/>
  <c r="AC11" i="66"/>
  <c r="AB11" i="66"/>
  <c r="AA11" i="66"/>
  <c r="Z11" i="66"/>
  <c r="Y11" i="66"/>
  <c r="X11" i="66"/>
  <c r="W11" i="66"/>
  <c r="V11" i="66"/>
  <c r="U11" i="66"/>
  <c r="T11" i="66"/>
  <c r="S11" i="66"/>
  <c r="R11" i="66"/>
  <c r="Q11" i="66"/>
  <c r="M11" i="66"/>
  <c r="L11" i="66"/>
  <c r="K11" i="66"/>
  <c r="AQ10" i="66"/>
  <c r="AP10" i="66"/>
  <c r="AN10" i="66"/>
  <c r="AM10" i="66"/>
  <c r="AQ9" i="66"/>
  <c r="AP9" i="66"/>
  <c r="AO9" i="66"/>
  <c r="AN9" i="66"/>
  <c r="AM9" i="66"/>
  <c r="AL9" i="66"/>
  <c r="Y9" i="66"/>
  <c r="X9" i="66"/>
  <c r="W9" i="66"/>
  <c r="V9" i="66"/>
  <c r="U9" i="66"/>
  <c r="T9" i="66"/>
  <c r="S9" i="66"/>
  <c r="R9" i="66"/>
  <c r="Q9" i="66"/>
  <c r="P9" i="66"/>
  <c r="O9" i="66"/>
  <c r="N9" i="66"/>
  <c r="M9" i="66"/>
  <c r="L9" i="66"/>
  <c r="K9" i="66"/>
  <c r="J9" i="66"/>
  <c r="I9" i="66"/>
  <c r="H9" i="66"/>
  <c r="G9" i="66"/>
  <c r="F9" i="66"/>
  <c r="E9" i="66"/>
  <c r="D9" i="66"/>
  <c r="C9" i="66"/>
  <c r="B9" i="66"/>
  <c r="AL8" i="66"/>
  <c r="AK8" i="66"/>
  <c r="AJ8" i="66"/>
  <c r="AI8" i="66"/>
  <c r="AH8" i="66"/>
  <c r="AG8" i="66"/>
  <c r="AF8" i="66"/>
  <c r="AE8" i="66"/>
  <c r="AD8" i="66"/>
  <c r="AC8" i="66"/>
  <c r="AB8" i="66"/>
  <c r="AA8" i="66"/>
  <c r="Z8" i="66"/>
  <c r="Y8" i="66"/>
  <c r="X8" i="66"/>
  <c r="W8" i="66"/>
  <c r="V8" i="66"/>
  <c r="U8" i="66"/>
  <c r="T8" i="66"/>
  <c r="S8" i="66"/>
  <c r="R8" i="66"/>
  <c r="Q8" i="66"/>
  <c r="P8" i="66"/>
  <c r="O8" i="66"/>
  <c r="N8" i="66"/>
  <c r="M8" i="66"/>
  <c r="L8" i="66"/>
  <c r="K8" i="66"/>
  <c r="J8" i="66"/>
  <c r="I8" i="66"/>
  <c r="H8" i="66"/>
  <c r="G8" i="66"/>
  <c r="F8" i="66"/>
  <c r="E8" i="66"/>
  <c r="D8" i="66"/>
  <c r="C8" i="66"/>
  <c r="B8" i="66"/>
  <c r="E7" i="66"/>
  <c r="D7" i="66"/>
  <c r="C7" i="66"/>
  <c r="B7" i="66"/>
  <c r="AQ6" i="66"/>
  <c r="AP6" i="66"/>
  <c r="AO6" i="66"/>
  <c r="AN6" i="66"/>
  <c r="AM6" i="66"/>
  <c r="AL6" i="66"/>
  <c r="Y6" i="66"/>
  <c r="X6" i="66"/>
  <c r="W6" i="66"/>
  <c r="V6" i="66"/>
  <c r="U6" i="66"/>
  <c r="T6" i="66"/>
  <c r="S6" i="66"/>
  <c r="R6" i="66"/>
  <c r="Q6" i="66"/>
  <c r="P6" i="66"/>
  <c r="O6" i="66"/>
  <c r="N6" i="66"/>
  <c r="M6" i="66"/>
  <c r="L6" i="66"/>
  <c r="K6" i="66"/>
  <c r="J6" i="66"/>
  <c r="I6" i="66"/>
  <c r="H6" i="66"/>
  <c r="G6" i="66"/>
  <c r="F6" i="66"/>
  <c r="E6" i="66"/>
  <c r="D6" i="66"/>
  <c r="C6" i="66"/>
  <c r="B6" i="66"/>
  <c r="AI5" i="66"/>
  <c r="AH5" i="66"/>
  <c r="AG5" i="66"/>
  <c r="AE5" i="66"/>
  <c r="AD5" i="66"/>
  <c r="AC5" i="66"/>
  <c r="AB5" i="66"/>
  <c r="AA5" i="66"/>
  <c r="Z5" i="66"/>
  <c r="Y5" i="66"/>
  <c r="X5" i="66"/>
  <c r="W5" i="66"/>
  <c r="V5" i="66"/>
  <c r="U5" i="66"/>
  <c r="T5" i="66"/>
  <c r="S5" i="66"/>
  <c r="R5" i="66"/>
  <c r="Q5" i="66"/>
  <c r="P5" i="66"/>
  <c r="O5" i="66"/>
  <c r="N5" i="66"/>
  <c r="M5" i="66"/>
  <c r="L5" i="66"/>
  <c r="K5" i="66"/>
  <c r="J5" i="66"/>
  <c r="I5" i="66"/>
  <c r="H5" i="66"/>
  <c r="G5" i="66"/>
  <c r="F5" i="66"/>
  <c r="E5" i="66"/>
  <c r="D5" i="66"/>
  <c r="C5" i="66"/>
  <c r="B5" i="66"/>
  <c r="AQ4" i="66"/>
  <c r="AP4" i="66"/>
  <c r="AN4" i="66"/>
  <c r="AM4" i="66"/>
  <c r="AL4" i="66"/>
  <c r="AJ4" i="66"/>
  <c r="AI4" i="66"/>
  <c r="AH4" i="66"/>
  <c r="AG4" i="66"/>
  <c r="AF4" i="66"/>
  <c r="AE4" i="66"/>
  <c r="AD4" i="66"/>
  <c r="AC4" i="66"/>
  <c r="AB4" i="66"/>
  <c r="AA4" i="66"/>
  <c r="Z4" i="66"/>
  <c r="Y4" i="66"/>
  <c r="X4" i="66"/>
  <c r="W4" i="66"/>
  <c r="V4" i="66"/>
  <c r="U4" i="66"/>
  <c r="T4" i="66"/>
  <c r="S4" i="66"/>
  <c r="R4" i="66"/>
  <c r="Q4" i="66"/>
  <c r="P4" i="66"/>
  <c r="O4" i="66"/>
  <c r="N4" i="66"/>
  <c r="M4" i="66"/>
  <c r="L4" i="66"/>
  <c r="K4" i="66"/>
  <c r="J4" i="66"/>
  <c r="I4" i="66"/>
  <c r="H4" i="66"/>
  <c r="G4" i="66"/>
  <c r="F4" i="66"/>
  <c r="E4" i="66"/>
  <c r="D4" i="66"/>
  <c r="C4" i="66"/>
  <c r="B4" i="66"/>
  <c r="AV124" i="78"/>
  <c r="AV131" i="78" s="1"/>
  <c r="AT124" i="78"/>
  <c r="AT131" i="78" s="1"/>
  <c r="AS124" i="78"/>
  <c r="V110" i="78"/>
  <c r="AO108" i="78"/>
  <c r="AN108" i="78"/>
  <c r="AO105" i="78"/>
  <c r="AN105" i="78"/>
  <c r="AC100" i="78"/>
  <c r="AB100" i="78"/>
  <c r="AA100" i="78"/>
  <c r="Z100" i="78"/>
  <c r="Y100" i="78"/>
  <c r="X100" i="78"/>
  <c r="W100" i="78"/>
  <c r="V100" i="78"/>
  <c r="U100" i="78"/>
  <c r="T100" i="78"/>
  <c r="S100" i="78"/>
  <c r="R100" i="78"/>
  <c r="Q100" i="78"/>
  <c r="O100" i="78"/>
  <c r="N100" i="78"/>
  <c r="AF99" i="78"/>
  <c r="AE99" i="78"/>
  <c r="AD99" i="78"/>
  <c r="AC99" i="78"/>
  <c r="AB99" i="78"/>
  <c r="AA99" i="78"/>
  <c r="Z99" i="78"/>
  <c r="Y99" i="78"/>
  <c r="X99" i="78"/>
  <c r="W99" i="78"/>
  <c r="V99" i="78"/>
  <c r="U99" i="78"/>
  <c r="T99" i="78"/>
  <c r="S99" i="78"/>
  <c r="R99" i="78"/>
  <c r="Q99" i="78"/>
  <c r="O99" i="78"/>
  <c r="N99" i="78"/>
  <c r="M99" i="78"/>
  <c r="L99" i="78"/>
  <c r="K99" i="78"/>
  <c r="J99" i="78"/>
  <c r="AT91" i="78"/>
  <c r="AS91" i="78"/>
  <c r="AR91" i="78"/>
  <c r="AQ91" i="78"/>
  <c r="AP91" i="78"/>
  <c r="AO91" i="78"/>
  <c r="AN91" i="78"/>
  <c r="AM91" i="78"/>
  <c r="AL91" i="78"/>
  <c r="AF91" i="78"/>
  <c r="AE91" i="78"/>
  <c r="AD91" i="78"/>
  <c r="AC91" i="78"/>
  <c r="AB91" i="78"/>
  <c r="AA91" i="78"/>
  <c r="Z91" i="78"/>
  <c r="Y91" i="78"/>
  <c r="X91" i="78"/>
  <c r="W91" i="78"/>
  <c r="V91" i="78"/>
  <c r="U91" i="78"/>
  <c r="T91" i="78"/>
  <c r="S91" i="78"/>
  <c r="R91" i="78"/>
  <c r="Q91" i="78"/>
  <c r="P91" i="78"/>
  <c r="O91" i="78"/>
  <c r="N91" i="78"/>
  <c r="M91" i="78"/>
  <c r="L91" i="78"/>
  <c r="K91" i="78"/>
  <c r="J91" i="78"/>
  <c r="I91" i="78"/>
  <c r="H91" i="78"/>
  <c r="G91" i="78"/>
  <c r="F91" i="78"/>
  <c r="A91" i="78"/>
  <c r="AR90" i="78"/>
  <c r="AQ90" i="78"/>
  <c r="AP90" i="78"/>
  <c r="AO90" i="78"/>
  <c r="AN90" i="78"/>
  <c r="AM90" i="78"/>
  <c r="AL90" i="78"/>
  <c r="AF90" i="78"/>
  <c r="AE90" i="78"/>
  <c r="AD90" i="78"/>
  <c r="AC90" i="78"/>
  <c r="AB90" i="78"/>
  <c r="AA90" i="78"/>
  <c r="Z90" i="78"/>
  <c r="Y90" i="78"/>
  <c r="X90" i="78"/>
  <c r="W90" i="78"/>
  <c r="V90" i="78"/>
  <c r="U90" i="78"/>
  <c r="T90" i="78"/>
  <c r="S90" i="78"/>
  <c r="R90" i="78"/>
  <c r="Q90" i="78"/>
  <c r="P90" i="78"/>
  <c r="O90" i="78"/>
  <c r="N90" i="78"/>
  <c r="M90" i="78"/>
  <c r="L90" i="78"/>
  <c r="K90" i="78"/>
  <c r="J90" i="78"/>
  <c r="I90" i="78"/>
  <c r="H90" i="78"/>
  <c r="G90" i="78"/>
  <c r="F90" i="78"/>
  <c r="A90" i="78"/>
  <c r="AT89" i="78"/>
  <c r="AS89" i="78"/>
  <c r="AR89" i="78"/>
  <c r="AQ89" i="78"/>
  <c r="AP89" i="78"/>
  <c r="AO89" i="78"/>
  <c r="AN89" i="78"/>
  <c r="AM89" i="78"/>
  <c r="AL89" i="78"/>
  <c r="AF89" i="78"/>
  <c r="AE89" i="78"/>
  <c r="AD89" i="78"/>
  <c r="AC89" i="78"/>
  <c r="AB89" i="78"/>
  <c r="AA89" i="78"/>
  <c r="Z89" i="78"/>
  <c r="Y89" i="78"/>
  <c r="X89" i="78"/>
  <c r="W89" i="78"/>
  <c r="V89" i="78"/>
  <c r="U89" i="78"/>
  <c r="T89" i="78"/>
  <c r="S89" i="78"/>
  <c r="R89" i="78"/>
  <c r="Q89" i="78"/>
  <c r="P89" i="78"/>
  <c r="O89" i="78"/>
  <c r="N89" i="78"/>
  <c r="M89" i="78"/>
  <c r="L89" i="78"/>
  <c r="K89" i="78"/>
  <c r="J89" i="78"/>
  <c r="I89" i="78"/>
  <c r="H89" i="78"/>
  <c r="G89" i="78"/>
  <c r="F89" i="78"/>
  <c r="A89" i="78"/>
  <c r="AT88" i="78"/>
  <c r="AS88" i="78"/>
  <c r="AR88" i="78"/>
  <c r="AQ88" i="78"/>
  <c r="AP88" i="78"/>
  <c r="AO88" i="78"/>
  <c r="AN88" i="78"/>
  <c r="AM88" i="78"/>
  <c r="AL88" i="78"/>
  <c r="AF88" i="78"/>
  <c r="AE88" i="78"/>
  <c r="AD88" i="78"/>
  <c r="AC88" i="78"/>
  <c r="AB88" i="78"/>
  <c r="AA88" i="78"/>
  <c r="Z88" i="78"/>
  <c r="Y88" i="78"/>
  <c r="X88" i="78"/>
  <c r="W88" i="78"/>
  <c r="V88" i="78"/>
  <c r="U88" i="78"/>
  <c r="T88" i="78"/>
  <c r="S88" i="78"/>
  <c r="R88" i="78"/>
  <c r="Q88" i="78"/>
  <c r="P88" i="78"/>
  <c r="O88" i="78"/>
  <c r="N88" i="78"/>
  <c r="M88" i="78"/>
  <c r="L88" i="78"/>
  <c r="K88" i="78"/>
  <c r="J88" i="78"/>
  <c r="I88" i="78"/>
  <c r="H88" i="78"/>
  <c r="G88" i="78"/>
  <c r="F88" i="78"/>
  <c r="A88" i="78"/>
  <c r="AT86" i="78"/>
  <c r="AQ86" i="78"/>
  <c r="AC86" i="78"/>
  <c r="AO45" i="66" s="1"/>
  <c r="AB86" i="78"/>
  <c r="AN45" i="66" s="1"/>
  <c r="AA86" i="78"/>
  <c r="AM45" i="66" s="1"/>
  <c r="Z86" i="78"/>
  <c r="AL45" i="66" s="1"/>
  <c r="Y86" i="78"/>
  <c r="AK46" i="66" s="1"/>
  <c r="X86" i="78"/>
  <c r="AJ46" i="66" s="1"/>
  <c r="W86" i="78"/>
  <c r="AI45" i="66" s="1"/>
  <c r="V86" i="78"/>
  <c r="AH46" i="66" s="1"/>
  <c r="U86" i="78"/>
  <c r="AG45" i="66" s="1"/>
  <c r="T86" i="78"/>
  <c r="AF46" i="66" s="1"/>
  <c r="S86" i="78"/>
  <c r="AE46" i="66" s="1"/>
  <c r="R86" i="78"/>
  <c r="AD46" i="66" s="1"/>
  <c r="Q86" i="78"/>
  <c r="AC46" i="66" s="1"/>
  <c r="O86" i="78"/>
  <c r="AA45" i="66" s="1"/>
  <c r="N86" i="78"/>
  <c r="Z46" i="66" s="1"/>
  <c r="AQ85" i="78"/>
  <c r="AP85" i="78"/>
  <c r="AO85" i="78"/>
  <c r="AN85" i="78"/>
  <c r="AM85" i="78"/>
  <c r="AL85" i="78"/>
  <c r="AF85" i="78"/>
  <c r="AE85" i="78"/>
  <c r="AD85" i="78"/>
  <c r="AC85" i="78"/>
  <c r="AB85" i="78"/>
  <c r="AA85" i="78"/>
  <c r="Z85" i="78"/>
  <c r="Y85" i="78"/>
  <c r="X85" i="78"/>
  <c r="W85" i="78"/>
  <c r="V85" i="78"/>
  <c r="U85" i="78"/>
  <c r="T85" i="78"/>
  <c r="S85" i="78"/>
  <c r="R85" i="78"/>
  <c r="Q85" i="78"/>
  <c r="O85" i="78"/>
  <c r="N85" i="78"/>
  <c r="M85" i="78"/>
  <c r="Y46" i="66" s="1"/>
  <c r="L85" i="78"/>
  <c r="X46" i="66" s="1"/>
  <c r="K85" i="78"/>
  <c r="W45" i="66" s="1"/>
  <c r="J85" i="78"/>
  <c r="V46" i="66" s="1"/>
  <c r="I85" i="78"/>
  <c r="U45" i="66" s="1"/>
  <c r="H85" i="78"/>
  <c r="T46" i="66" s="1"/>
  <c r="G85" i="78"/>
  <c r="S46" i="66" s="1"/>
  <c r="F85" i="78"/>
  <c r="R46" i="66" s="1"/>
  <c r="AT76" i="78"/>
  <c r="AQ76" i="78"/>
  <c r="AP76" i="78"/>
  <c r="AO76" i="78"/>
  <c r="AN76" i="78"/>
  <c r="AM76" i="78"/>
  <c r="AL76" i="78"/>
  <c r="AK76" i="78"/>
  <c r="AF76" i="78"/>
  <c r="AE76" i="78"/>
  <c r="AD76" i="78"/>
  <c r="AC76" i="78"/>
  <c r="AB76" i="78"/>
  <c r="AA76" i="78"/>
  <c r="Z76" i="78"/>
  <c r="Y76" i="78"/>
  <c r="X76" i="78"/>
  <c r="W76" i="78"/>
  <c r="V76" i="78"/>
  <c r="U76" i="78"/>
  <c r="T76" i="78"/>
  <c r="S76" i="78"/>
  <c r="R76" i="78"/>
  <c r="Q76" i="78"/>
  <c r="P76" i="78"/>
  <c r="O76" i="78"/>
  <c r="N76" i="78"/>
  <c r="M76" i="78"/>
  <c r="L76" i="78"/>
  <c r="K76" i="78"/>
  <c r="J76" i="78"/>
  <c r="I76" i="78"/>
  <c r="H76" i="78"/>
  <c r="G76" i="78"/>
  <c r="F76" i="78"/>
  <c r="E76" i="78"/>
  <c r="D76" i="78"/>
  <c r="C76" i="78"/>
  <c r="B76" i="78"/>
  <c r="AT75" i="78"/>
  <c r="AQ75" i="78"/>
  <c r="AP75" i="78"/>
  <c r="AO75" i="78"/>
  <c r="AN75" i="78"/>
  <c r="AM75" i="78"/>
  <c r="AL75" i="78"/>
  <c r="AK75" i="78"/>
  <c r="AF75" i="78"/>
  <c r="AE75" i="78"/>
  <c r="AD75" i="78"/>
  <c r="AC75" i="78"/>
  <c r="AB75" i="78"/>
  <c r="AA75" i="78"/>
  <c r="Z75" i="78"/>
  <c r="Y75" i="78"/>
  <c r="X75" i="78"/>
  <c r="W75" i="78"/>
  <c r="V75" i="78"/>
  <c r="U75" i="78"/>
  <c r="T75" i="78"/>
  <c r="S75" i="78"/>
  <c r="R75" i="78"/>
  <c r="Q75" i="78"/>
  <c r="P75" i="78"/>
  <c r="O75" i="78"/>
  <c r="N75" i="78"/>
  <c r="M75" i="78"/>
  <c r="L75" i="78"/>
  <c r="K75" i="78"/>
  <c r="J75" i="78"/>
  <c r="I75" i="78"/>
  <c r="H75" i="78"/>
  <c r="G75" i="78"/>
  <c r="F75" i="78"/>
  <c r="E75" i="78"/>
  <c r="D75" i="78"/>
  <c r="C75" i="78"/>
  <c r="B75" i="78"/>
  <c r="AT74" i="78"/>
  <c r="AQ74" i="78"/>
  <c r="AP74" i="78"/>
  <c r="AO74" i="78"/>
  <c r="AN74" i="78"/>
  <c r="AM74" i="78"/>
  <c r="AL74" i="78"/>
  <c r="AK74" i="78"/>
  <c r="AF74" i="78"/>
  <c r="AE74" i="78"/>
  <c r="AD74" i="78"/>
  <c r="AC74" i="78"/>
  <c r="AB74" i="78"/>
  <c r="AA74" i="78"/>
  <c r="Z74" i="78"/>
  <c r="Y74" i="78"/>
  <c r="X74" i="78"/>
  <c r="W74" i="78"/>
  <c r="V74" i="78"/>
  <c r="U74" i="78"/>
  <c r="T74" i="78"/>
  <c r="S74" i="78"/>
  <c r="R74" i="78"/>
  <c r="Q74" i="78"/>
  <c r="P74" i="78"/>
  <c r="O74" i="78"/>
  <c r="N74" i="78"/>
  <c r="M74" i="78"/>
  <c r="L74" i="78"/>
  <c r="K74" i="78"/>
  <c r="J74" i="78"/>
  <c r="I74" i="78"/>
  <c r="H74" i="78"/>
  <c r="G74" i="78"/>
  <c r="F74" i="78"/>
  <c r="E74" i="78"/>
  <c r="D74" i="78"/>
  <c r="C74" i="78"/>
  <c r="B74" i="78"/>
  <c r="AT73" i="78"/>
  <c r="AQ73" i="78"/>
  <c r="AP73" i="78"/>
  <c r="AO73" i="78"/>
  <c r="AN73" i="78"/>
  <c r="AM73" i="78"/>
  <c r="AL73" i="78"/>
  <c r="AK73" i="78"/>
  <c r="AF73" i="78"/>
  <c r="AE73" i="78"/>
  <c r="AD73" i="78"/>
  <c r="AC73" i="78"/>
  <c r="AB73" i="78"/>
  <c r="AA73" i="78"/>
  <c r="Z73" i="78"/>
  <c r="Y73" i="78"/>
  <c r="X73" i="78"/>
  <c r="W73" i="78"/>
  <c r="V73" i="78"/>
  <c r="U73" i="78"/>
  <c r="T73" i="78"/>
  <c r="S73" i="78"/>
  <c r="R73" i="78"/>
  <c r="Q73" i="78"/>
  <c r="P73" i="78"/>
  <c r="O73" i="78"/>
  <c r="N73" i="78"/>
  <c r="M73" i="78"/>
  <c r="L73" i="78"/>
  <c r="K73" i="78"/>
  <c r="J73" i="78"/>
  <c r="I73" i="78"/>
  <c r="H73" i="78"/>
  <c r="G73" i="78"/>
  <c r="F73" i="78"/>
  <c r="E73" i="78"/>
  <c r="D73" i="78"/>
  <c r="C73" i="78"/>
  <c r="B73" i="78"/>
  <c r="AD70" i="78"/>
  <c r="AC70" i="78"/>
  <c r="AB70" i="78"/>
  <c r="AA70" i="78"/>
  <c r="Z70" i="78"/>
  <c r="X70" i="78"/>
  <c r="W70" i="78"/>
  <c r="AD69" i="78"/>
  <c r="AC69" i="78"/>
  <c r="AB69" i="78"/>
  <c r="AA69" i="78"/>
  <c r="Z69" i="78"/>
  <c r="X69" i="78"/>
  <c r="W69" i="78"/>
  <c r="AT63" i="78"/>
  <c r="AS63" i="78"/>
  <c r="AR63" i="78"/>
  <c r="AQ63" i="78"/>
  <c r="AO63" i="78"/>
  <c r="AN63" i="78"/>
  <c r="AM63" i="78"/>
  <c r="AL63" i="78"/>
  <c r="AK63" i="78"/>
  <c r="W63" i="78"/>
  <c r="V63" i="78"/>
  <c r="U63" i="78"/>
  <c r="T63" i="78"/>
  <c r="S63" i="78"/>
  <c r="R63" i="78"/>
  <c r="Q63" i="78"/>
  <c r="P63" i="78"/>
  <c r="O63" i="78"/>
  <c r="N63" i="78"/>
  <c r="M63" i="78"/>
  <c r="L63" i="78"/>
  <c r="K63" i="78"/>
  <c r="J63" i="78"/>
  <c r="I63" i="78"/>
  <c r="H63" i="78"/>
  <c r="G63" i="78"/>
  <c r="F63" i="78"/>
  <c r="E63" i="78"/>
  <c r="D63" i="78"/>
  <c r="C63" i="78"/>
  <c r="B63" i="78"/>
  <c r="AT62" i="78"/>
  <c r="AT82" i="78" s="1"/>
  <c r="AS62" i="78"/>
  <c r="AR62" i="78"/>
  <c r="AQ62" i="78"/>
  <c r="AQ82" i="78" s="1"/>
  <c r="AO62" i="78"/>
  <c r="AO82" i="78" s="1"/>
  <c r="AN62" i="78"/>
  <c r="AN82" i="78" s="1"/>
  <c r="AM62" i="78"/>
  <c r="AL62" i="78"/>
  <c r="AL82" i="78" s="1"/>
  <c r="AK62" i="78"/>
  <c r="AK82" i="78" s="1"/>
  <c r="AF62" i="78"/>
  <c r="AF82" i="78" s="1"/>
  <c r="AE62" i="78"/>
  <c r="AD62" i="78"/>
  <c r="AC62" i="78"/>
  <c r="AB62" i="78"/>
  <c r="AB82" i="78" s="1"/>
  <c r="AA62" i="78"/>
  <c r="AA82" i="78" s="1"/>
  <c r="Z62" i="78"/>
  <c r="Y62" i="78"/>
  <c r="X62" i="78"/>
  <c r="X82" i="78" s="1"/>
  <c r="W62" i="78"/>
  <c r="V62" i="78"/>
  <c r="V82" i="78" s="1"/>
  <c r="U62" i="78"/>
  <c r="U82" i="78" s="1"/>
  <c r="T62" i="78"/>
  <c r="S62" i="78"/>
  <c r="S82" i="78" s="1"/>
  <c r="R62" i="78"/>
  <c r="R82" i="78" s="1"/>
  <c r="Q62" i="78"/>
  <c r="P62" i="78"/>
  <c r="P82" i="78" s="1"/>
  <c r="O62" i="78"/>
  <c r="O82" i="78" s="1"/>
  <c r="N62" i="78"/>
  <c r="M62" i="78"/>
  <c r="L62" i="78"/>
  <c r="L82" i="78" s="1"/>
  <c r="K62" i="78"/>
  <c r="J62" i="78"/>
  <c r="J82" i="78" s="1"/>
  <c r="I62" i="78"/>
  <c r="I82" i="78" s="1"/>
  <c r="H62" i="78"/>
  <c r="G62" i="78"/>
  <c r="G82" i="78" s="1"/>
  <c r="F62" i="78"/>
  <c r="F82" i="78" s="1"/>
  <c r="E62" i="78"/>
  <c r="E82" i="78" s="1"/>
  <c r="D62" i="78"/>
  <c r="D82" i="78" s="1"/>
  <c r="C62" i="78"/>
  <c r="C82" i="78" s="1"/>
  <c r="B62" i="78"/>
  <c r="AQ61" i="78"/>
  <c r="AQ81" i="78" s="1"/>
  <c r="AO61" i="78"/>
  <c r="AN61" i="78"/>
  <c r="AM61" i="78"/>
  <c r="AL61" i="78"/>
  <c r="AK61" i="78"/>
  <c r="AK81" i="78" s="1"/>
  <c r="AF61" i="78"/>
  <c r="AE61" i="78"/>
  <c r="AI96" i="78" s="1"/>
  <c r="AD61" i="78"/>
  <c r="AC61" i="78"/>
  <c r="AC81" i="78" s="1"/>
  <c r="AO50" i="66" s="1"/>
  <c r="AB61" i="78"/>
  <c r="AA61" i="78"/>
  <c r="AA81" i="78" s="1"/>
  <c r="AM50" i="66" s="1"/>
  <c r="Z61" i="78"/>
  <c r="Z81" i="78" s="1"/>
  <c r="AL50" i="66" s="1"/>
  <c r="Y61" i="78"/>
  <c r="X61" i="78"/>
  <c r="X81" i="78" s="1"/>
  <c r="AJ50" i="66" s="1"/>
  <c r="W61" i="78"/>
  <c r="V61" i="78"/>
  <c r="V81" i="78" s="1"/>
  <c r="AH50" i="66" s="1"/>
  <c r="U61" i="78"/>
  <c r="T61" i="78"/>
  <c r="S61" i="78"/>
  <c r="R61" i="78"/>
  <c r="R81" i="78" s="1"/>
  <c r="Q61" i="78"/>
  <c r="Q81" i="78" s="1"/>
  <c r="P61" i="78"/>
  <c r="P81" i="78" s="1"/>
  <c r="AB103" i="66" s="1"/>
  <c r="O61" i="78"/>
  <c r="O81" i="78" s="1"/>
  <c r="N61" i="78"/>
  <c r="N81" i="78" s="1"/>
  <c r="M61" i="78"/>
  <c r="L61" i="78"/>
  <c r="L81" i="78" s="1"/>
  <c r="K61" i="78"/>
  <c r="J61" i="78"/>
  <c r="J81" i="78" s="1"/>
  <c r="V50" i="66" s="1"/>
  <c r="I61" i="78"/>
  <c r="H61" i="78"/>
  <c r="G61" i="78"/>
  <c r="F61" i="78"/>
  <c r="F81" i="78" s="1"/>
  <c r="E61" i="78"/>
  <c r="E81" i="78" s="1"/>
  <c r="D61" i="78"/>
  <c r="D81" i="78" s="1"/>
  <c r="P103" i="66" s="1"/>
  <c r="C61" i="78"/>
  <c r="C81" i="78" s="1"/>
  <c r="B61" i="78"/>
  <c r="B81" i="78" s="1"/>
  <c r="AT60" i="78"/>
  <c r="AT80" i="78" s="1"/>
  <c r="AS60" i="78"/>
  <c r="AR60" i="78"/>
  <c r="AQ60" i="78"/>
  <c r="AQ80" i="78" s="1"/>
  <c r="AO60" i="78"/>
  <c r="AO80" i="78" s="1"/>
  <c r="AN60" i="78"/>
  <c r="AM60" i="78"/>
  <c r="AL60" i="78"/>
  <c r="AL80" i="78" s="1"/>
  <c r="AK60" i="78"/>
  <c r="AK80" i="78" s="1"/>
  <c r="AF60" i="78"/>
  <c r="AF80" i="78" s="1"/>
  <c r="AE60" i="78"/>
  <c r="AD60" i="78"/>
  <c r="AC60" i="78"/>
  <c r="AC80" i="78" s="1"/>
  <c r="AB60" i="78"/>
  <c r="AB80" i="78" s="1"/>
  <c r="AA60" i="78"/>
  <c r="AA80" i="78" s="1"/>
  <c r="Z60" i="78"/>
  <c r="Z80" i="78" s="1"/>
  <c r="Y60" i="78"/>
  <c r="X60" i="78"/>
  <c r="W60" i="78"/>
  <c r="V60" i="78"/>
  <c r="V80" i="78" s="1"/>
  <c r="U60" i="78"/>
  <c r="U80" i="78" s="1"/>
  <c r="T60" i="78"/>
  <c r="T80" i="78" s="1"/>
  <c r="S60" i="78"/>
  <c r="S80" i="78" s="1"/>
  <c r="R60" i="78"/>
  <c r="R80" i="78" s="1"/>
  <c r="Q60" i="78"/>
  <c r="Q80" i="78" s="1"/>
  <c r="P60" i="78"/>
  <c r="P80" i="78" s="1"/>
  <c r="O60" i="78"/>
  <c r="O80" i="78" s="1"/>
  <c r="N60" i="78"/>
  <c r="N80" i="78" s="1"/>
  <c r="M60" i="78"/>
  <c r="L60" i="78"/>
  <c r="K60" i="78"/>
  <c r="J60" i="78"/>
  <c r="J80" i="78" s="1"/>
  <c r="I60" i="78"/>
  <c r="H60" i="78"/>
  <c r="H80" i="78" s="1"/>
  <c r="G60" i="78"/>
  <c r="G80" i="78" s="1"/>
  <c r="F60" i="78"/>
  <c r="F80" i="78" s="1"/>
  <c r="E60" i="78"/>
  <c r="E80" i="78" s="1"/>
  <c r="D60" i="78"/>
  <c r="D80" i="78" s="1"/>
  <c r="C60" i="78"/>
  <c r="C80" i="78" s="1"/>
  <c r="B60" i="78"/>
  <c r="B80" i="78" s="1"/>
  <c r="AT59" i="78"/>
  <c r="AS59" i="78"/>
  <c r="AR59" i="78"/>
  <c r="AQ59" i="78"/>
  <c r="AQ79" i="78" s="1"/>
  <c r="AO59" i="78"/>
  <c r="AO79" i="78" s="1"/>
  <c r="AN59" i="78"/>
  <c r="AM59" i="78"/>
  <c r="AL59" i="78"/>
  <c r="AK59" i="78"/>
  <c r="AK79" i="78" s="1"/>
  <c r="AF59" i="78"/>
  <c r="AE59" i="78"/>
  <c r="AI94" i="78" s="1"/>
  <c r="AD59" i="78"/>
  <c r="AH94" i="78" s="1"/>
  <c r="AC59" i="78"/>
  <c r="AB59" i="78"/>
  <c r="AA59" i="78"/>
  <c r="AA79" i="78" s="1"/>
  <c r="Z59" i="78"/>
  <c r="Y59" i="78"/>
  <c r="X59" i="78"/>
  <c r="X79" i="78" s="1"/>
  <c r="W59" i="78"/>
  <c r="V59" i="78"/>
  <c r="U59" i="78"/>
  <c r="T59" i="78"/>
  <c r="S59" i="78"/>
  <c r="R59" i="78"/>
  <c r="Q59" i="78"/>
  <c r="P59" i="78"/>
  <c r="O59" i="78"/>
  <c r="O79" i="78" s="1"/>
  <c r="N59" i="78"/>
  <c r="M59" i="78"/>
  <c r="L59" i="78"/>
  <c r="L79" i="78" s="1"/>
  <c r="K59" i="78"/>
  <c r="J59" i="78"/>
  <c r="I59" i="78"/>
  <c r="H59" i="78"/>
  <c r="G59" i="78"/>
  <c r="F59" i="78"/>
  <c r="E59" i="78"/>
  <c r="D59" i="78"/>
  <c r="C59" i="78"/>
  <c r="C79" i="78" s="1"/>
  <c r="B59" i="78"/>
  <c r="AP56" i="78"/>
  <c r="AO56" i="78"/>
  <c r="AN56" i="78"/>
  <c r="AM56" i="78"/>
  <c r="AL56" i="78"/>
  <c r="AK56" i="78"/>
  <c r="AF56" i="78"/>
  <c r="AE56" i="78"/>
  <c r="AQ47" i="66" s="1"/>
  <c r="AD56" i="78"/>
  <c r="AP47" i="66" s="1"/>
  <c r="AC56" i="78"/>
  <c r="AO47" i="66" s="1"/>
  <c r="AB56" i="78"/>
  <c r="AN47" i="66" s="1"/>
  <c r="AA56" i="78"/>
  <c r="AM47" i="66" s="1"/>
  <c r="Z56" i="78"/>
  <c r="AL47" i="66" s="1"/>
  <c r="Y56" i="78"/>
  <c r="AK47" i="66" s="1"/>
  <c r="X56" i="78"/>
  <c r="AJ47" i="66" s="1"/>
  <c r="W56" i="78"/>
  <c r="AI47" i="66" s="1"/>
  <c r="V56" i="78"/>
  <c r="AH47" i="66" s="1"/>
  <c r="U56" i="78"/>
  <c r="AG47" i="66" s="1"/>
  <c r="T56" i="78"/>
  <c r="AF47" i="66" s="1"/>
  <c r="S56" i="78"/>
  <c r="AE47" i="66" s="1"/>
  <c r="R56" i="78"/>
  <c r="AD47" i="66" s="1"/>
  <c r="Q56" i="78"/>
  <c r="AC47" i="66" s="1"/>
  <c r="P56" i="78"/>
  <c r="AB47" i="66" s="1"/>
  <c r="O56" i="78"/>
  <c r="AA47" i="66" s="1"/>
  <c r="N56" i="78"/>
  <c r="Z47" i="66" s="1"/>
  <c r="M56" i="78"/>
  <c r="Y47" i="66" s="1"/>
  <c r="L56" i="78"/>
  <c r="X47" i="66" s="1"/>
  <c r="K56" i="78"/>
  <c r="W47" i="66" s="1"/>
  <c r="J56" i="78"/>
  <c r="V47" i="66" s="1"/>
  <c r="I56" i="78"/>
  <c r="U47" i="66" s="1"/>
  <c r="H56" i="78"/>
  <c r="T47" i="66" s="1"/>
  <c r="G56" i="78"/>
  <c r="S47" i="66" s="1"/>
  <c r="F56" i="78"/>
  <c r="R47" i="66" s="1"/>
  <c r="E56" i="78"/>
  <c r="Q47" i="66" s="1"/>
  <c r="D56" i="78"/>
  <c r="P47" i="66" s="1"/>
  <c r="C56" i="78"/>
  <c r="O47" i="66" s="1"/>
  <c r="B56" i="78"/>
  <c r="N47" i="66" s="1"/>
  <c r="AT55" i="78"/>
  <c r="AT56" i="78" s="1"/>
  <c r="AR55" i="78"/>
  <c r="AQ55" i="78"/>
  <c r="AQ56" i="78" s="1"/>
  <c r="AP53" i="78"/>
  <c r="M53" i="78"/>
  <c r="AT45" i="78"/>
  <c r="AS45" i="78"/>
  <c r="AR45" i="78"/>
  <c r="AQ45" i="78"/>
  <c r="AO45" i="78"/>
  <c r="AN45" i="78"/>
  <c r="AM45" i="78"/>
  <c r="AL45" i="78"/>
  <c r="AK45" i="78"/>
  <c r="AF45" i="78"/>
  <c r="AE45" i="78"/>
  <c r="V45" i="78"/>
  <c r="U45" i="78"/>
  <c r="T45" i="78"/>
  <c r="T69" i="78" s="1"/>
  <c r="S45" i="78"/>
  <c r="S70" i="78" s="1"/>
  <c r="R45" i="78"/>
  <c r="Q45" i="78"/>
  <c r="P45" i="78"/>
  <c r="O45" i="78"/>
  <c r="N45" i="78"/>
  <c r="M45" i="78"/>
  <c r="L45" i="78"/>
  <c r="K45" i="78"/>
  <c r="J45" i="78"/>
  <c r="I45" i="78"/>
  <c r="H45" i="78"/>
  <c r="G45" i="78"/>
  <c r="F45" i="78"/>
  <c r="E45" i="78"/>
  <c r="D45" i="78"/>
  <c r="C45" i="78"/>
  <c r="B45" i="78"/>
  <c r="AP44" i="78"/>
  <c r="AP43" i="78"/>
  <c r="AP62" i="78" s="1"/>
  <c r="AP42" i="78"/>
  <c r="AP61" i="78" s="1"/>
  <c r="AP41" i="78"/>
  <c r="AP60" i="78" s="1"/>
  <c r="AP40" i="78"/>
  <c r="AP59" i="78" s="1"/>
  <c r="AT37" i="78"/>
  <c r="AS37" i="78"/>
  <c r="AR37" i="78"/>
  <c r="Y37" i="78"/>
  <c r="Y69" i="78" s="1"/>
  <c r="V37" i="78"/>
  <c r="AP36" i="78"/>
  <c r="AT27" i="78"/>
  <c r="AR27" i="78"/>
  <c r="AQ27" i="78"/>
  <c r="AO27" i="78"/>
  <c r="AN27" i="78"/>
  <c r="AM27" i="78"/>
  <c r="AL27" i="78"/>
  <c r="AK27" i="78"/>
  <c r="AF27" i="78"/>
  <c r="AE27" i="78"/>
  <c r="AD27" i="78"/>
  <c r="AC27" i="78"/>
  <c r="AB27" i="78"/>
  <c r="AA27" i="78"/>
  <c r="Z27" i="78"/>
  <c r="Y27" i="78"/>
  <c r="X27" i="78"/>
  <c r="W27" i="78"/>
  <c r="V27" i="78"/>
  <c r="U27" i="78"/>
  <c r="T27" i="78"/>
  <c r="S27" i="78"/>
  <c r="R27" i="78"/>
  <c r="Q27" i="78"/>
  <c r="P27" i="78"/>
  <c r="O27" i="78"/>
  <c r="N27" i="78"/>
  <c r="M27" i="78"/>
  <c r="L27" i="78"/>
  <c r="K27" i="78"/>
  <c r="J27" i="78"/>
  <c r="I27" i="78"/>
  <c r="H27" i="78"/>
  <c r="G27" i="78"/>
  <c r="F27" i="78"/>
  <c r="E27" i="78"/>
  <c r="D27" i="78"/>
  <c r="C27" i="78"/>
  <c r="B27" i="78"/>
  <c r="AP26" i="78"/>
  <c r="AP27" i="78" s="1"/>
  <c r="AS24" i="78"/>
  <c r="AT18" i="78"/>
  <c r="AQ18" i="78"/>
  <c r="AP18" i="78"/>
  <c r="AO18" i="78"/>
  <c r="AO19" i="78" s="1"/>
  <c r="AN18" i="78"/>
  <c r="AM18" i="78"/>
  <c r="AL18" i="78"/>
  <c r="AK18" i="78"/>
  <c r="AF18" i="78"/>
  <c r="AE18" i="78"/>
  <c r="AD18" i="78"/>
  <c r="AC18" i="78"/>
  <c r="AB18" i="78"/>
  <c r="AB19" i="78" s="1"/>
  <c r="AA18" i="78"/>
  <c r="Z18" i="78"/>
  <c r="Y18" i="78"/>
  <c r="X18" i="78"/>
  <c r="W18" i="78"/>
  <c r="V18" i="78"/>
  <c r="U18" i="78"/>
  <c r="T18" i="78"/>
  <c r="S18" i="78"/>
  <c r="R18" i="78"/>
  <c r="Q18" i="78"/>
  <c r="P18" i="78"/>
  <c r="P19" i="78" s="1"/>
  <c r="O18" i="78"/>
  <c r="N18" i="78"/>
  <c r="M18" i="78"/>
  <c r="L18" i="78"/>
  <c r="K18" i="78"/>
  <c r="J18" i="78"/>
  <c r="I18" i="78"/>
  <c r="H18" i="78"/>
  <c r="G18" i="78"/>
  <c r="F18" i="78"/>
  <c r="E18" i="78"/>
  <c r="D18" i="78"/>
  <c r="C18" i="78"/>
  <c r="B18" i="78"/>
  <c r="AF16" i="78"/>
  <c r="AE16" i="78"/>
  <c r="AD16" i="78"/>
  <c r="AS15" i="78"/>
  <c r="AS56" i="78" s="1"/>
  <c r="AR15" i="78"/>
  <c r="AF12" i="78"/>
  <c r="AE12" i="78"/>
  <c r="AD12" i="78"/>
  <c r="AC12" i="78"/>
  <c r="AB12" i="78"/>
  <c r="AA12" i="78"/>
  <c r="Z12" i="78"/>
  <c r="AT11" i="78"/>
  <c r="AP11" i="78"/>
  <c r="AO11" i="78"/>
  <c r="AN11" i="78"/>
  <c r="AM11" i="78"/>
  <c r="AL11" i="78"/>
  <c r="AK11" i="78"/>
  <c r="R11" i="78"/>
  <c r="Q11" i="78"/>
  <c r="P11" i="78"/>
  <c r="O11" i="78"/>
  <c r="N11" i="78"/>
  <c r="M11" i="78"/>
  <c r="G11" i="78"/>
  <c r="AA13" i="78" s="1"/>
  <c r="F11" i="78"/>
  <c r="Z13" i="78" s="1"/>
  <c r="AF10" i="78"/>
  <c r="AE10" i="78"/>
  <c r="AD10" i="78"/>
  <c r="AC10" i="78"/>
  <c r="AB10" i="78"/>
  <c r="AA10" i="78"/>
  <c r="Z10" i="78"/>
  <c r="Y10" i="78"/>
  <c r="X10" i="78"/>
  <c r="W10" i="78"/>
  <c r="V10" i="78"/>
  <c r="U10" i="78"/>
  <c r="T10" i="78"/>
  <c r="S10" i="78"/>
  <c r="R10" i="78"/>
  <c r="Q10" i="78"/>
  <c r="P10" i="78"/>
  <c r="H10" i="78"/>
  <c r="G10" i="78"/>
  <c r="F10" i="78"/>
  <c r="AT9" i="78"/>
  <c r="AP9" i="78"/>
  <c r="AO9" i="78"/>
  <c r="AN9" i="78"/>
  <c r="AM9" i="78"/>
  <c r="AL9" i="78"/>
  <c r="AK9" i="78"/>
  <c r="AF9" i="78"/>
  <c r="AE9" i="78"/>
  <c r="AD9" i="78"/>
  <c r="AC9" i="78"/>
  <c r="AB9" i="78"/>
  <c r="AA9" i="78"/>
  <c r="Z9" i="78"/>
  <c r="Y9" i="78"/>
  <c r="X9" i="78"/>
  <c r="W9" i="78"/>
  <c r="V9" i="78"/>
  <c r="U9" i="78"/>
  <c r="T9" i="78"/>
  <c r="S9" i="78"/>
  <c r="R9" i="78"/>
  <c r="Q9" i="78"/>
  <c r="P9" i="78"/>
  <c r="O9" i="78"/>
  <c r="N9" i="78"/>
  <c r="M9" i="78"/>
  <c r="H9" i="78"/>
  <c r="G9" i="78"/>
  <c r="F9" i="78"/>
  <c r="E9" i="78"/>
  <c r="D9" i="78"/>
  <c r="C9" i="78"/>
  <c r="B9" i="78"/>
  <c r="AT8" i="78"/>
  <c r="AS8" i="78"/>
  <c r="AR8" i="78"/>
  <c r="AB8" i="78"/>
  <c r="AA8" i="78"/>
  <c r="Z8" i="78"/>
  <c r="X8" i="78"/>
  <c r="W8" i="78"/>
  <c r="T8" i="78"/>
  <c r="O8" i="78"/>
  <c r="N8" i="78"/>
  <c r="AT7" i="78"/>
  <c r="AS7" i="78"/>
  <c r="AP7" i="78"/>
  <c r="AO7" i="78"/>
  <c r="AN7" i="78"/>
  <c r="AM7" i="78"/>
  <c r="AL7" i="78"/>
  <c r="AF7" i="78"/>
  <c r="AB7" i="78"/>
  <c r="AA7" i="78"/>
  <c r="Z7" i="78"/>
  <c r="Y7" i="78"/>
  <c r="H7" i="78"/>
  <c r="G7" i="78"/>
  <c r="F7" i="78"/>
  <c r="AQ6" i="78"/>
  <c r="AQ8" i="78" s="1"/>
  <c r="L6" i="78"/>
  <c r="L9" i="78" s="1"/>
  <c r="K6" i="78"/>
  <c r="K9" i="78" s="1"/>
  <c r="J6" i="78"/>
  <c r="N7" i="78" s="1"/>
  <c r="I6" i="78"/>
  <c r="U8" i="78" s="1"/>
  <c r="AT5" i="78"/>
  <c r="AA5" i="78"/>
  <c r="Z5" i="78"/>
  <c r="W5" i="78"/>
  <c r="O5" i="78"/>
  <c r="AA49" i="66" s="1"/>
  <c r="N5" i="78"/>
  <c r="Z49" i="66" s="1"/>
  <c r="AP4" i="78"/>
  <c r="AO4" i="78"/>
  <c r="AN4" i="78"/>
  <c r="AM4" i="78"/>
  <c r="AL4" i="78"/>
  <c r="AF4" i="78"/>
  <c r="AE4" i="78"/>
  <c r="AD4" i="78"/>
  <c r="AC4" i="78"/>
  <c r="AB4" i="78"/>
  <c r="AA4" i="78"/>
  <c r="Z4" i="78"/>
  <c r="Y4" i="78"/>
  <c r="X4" i="78"/>
  <c r="W4" i="78"/>
  <c r="G4" i="78"/>
  <c r="S49" i="66" s="1"/>
  <c r="F4" i="78"/>
  <c r="R49" i="66" s="1"/>
  <c r="AS3" i="78"/>
  <c r="AR3" i="78"/>
  <c r="AQ3" i="78"/>
  <c r="L3" i="78"/>
  <c r="X48" i="66" s="1"/>
  <c r="K3" i="78"/>
  <c r="W48" i="66" s="1"/>
  <c r="J3" i="78"/>
  <c r="V48" i="66" s="1"/>
  <c r="I3" i="78"/>
  <c r="Y5" i="78" s="1"/>
  <c r="H3" i="78"/>
  <c r="T48" i="66" s="1"/>
  <c r="O8" i="28"/>
  <c r="N8" i="28"/>
  <c r="M8" i="28"/>
  <c r="L8" i="28"/>
  <c r="K8" i="28"/>
  <c r="J8" i="28"/>
  <c r="I8" i="28"/>
  <c r="H8" i="28"/>
  <c r="G8" i="28"/>
  <c r="F8" i="28"/>
  <c r="E8" i="28"/>
  <c r="D8" i="28"/>
  <c r="C8" i="28"/>
  <c r="B8" i="28"/>
  <c r="B7" i="28"/>
  <c r="N5" i="28"/>
  <c r="M5" i="28"/>
  <c r="L5" i="28"/>
  <c r="K5" i="28"/>
  <c r="J5" i="28"/>
  <c r="I5" i="28"/>
  <c r="H5" i="28"/>
  <c r="G5" i="28"/>
  <c r="F5" i="28"/>
  <c r="B5" i="28"/>
  <c r="N3" i="28"/>
  <c r="M3" i="28"/>
  <c r="L3" i="28"/>
  <c r="K3" i="28"/>
  <c r="J3" i="28"/>
  <c r="I3" i="28"/>
  <c r="H3" i="28"/>
  <c r="G3" i="28"/>
  <c r="F3" i="28"/>
  <c r="Y8" i="65"/>
  <c r="X8" i="65"/>
  <c r="W8" i="65"/>
  <c r="V8" i="65"/>
  <c r="U8" i="65"/>
  <c r="T8" i="65"/>
  <c r="S8" i="65"/>
  <c r="R8" i="65"/>
  <c r="Q8" i="65"/>
  <c r="P8" i="65"/>
  <c r="O8" i="65"/>
  <c r="N8" i="65"/>
  <c r="M8" i="65"/>
  <c r="L8" i="65"/>
  <c r="K8" i="65"/>
  <c r="J8" i="65"/>
  <c r="I8" i="65"/>
  <c r="H8" i="65"/>
  <c r="G8" i="65"/>
  <c r="F8" i="65"/>
  <c r="E8" i="65"/>
  <c r="D8" i="65"/>
  <c r="C8" i="65"/>
  <c r="B8" i="65"/>
  <c r="B7" i="65"/>
  <c r="S5" i="65"/>
  <c r="R5" i="65"/>
  <c r="Q5" i="65"/>
  <c r="P5" i="65"/>
  <c r="O5" i="65"/>
  <c r="N5" i="65"/>
  <c r="M5" i="65"/>
  <c r="L5" i="65"/>
  <c r="K5" i="65"/>
  <c r="J5" i="65"/>
  <c r="I5" i="65"/>
  <c r="H5" i="65"/>
  <c r="G5" i="65"/>
  <c r="F5" i="65"/>
  <c r="B5" i="65"/>
  <c r="S3" i="65"/>
  <c r="R3" i="65"/>
  <c r="Q3" i="65"/>
  <c r="P3" i="65"/>
  <c r="O3" i="65"/>
  <c r="N3" i="65"/>
  <c r="M3" i="65"/>
  <c r="L3" i="65"/>
  <c r="K3" i="65"/>
  <c r="J3" i="65"/>
  <c r="I3" i="65"/>
  <c r="H3" i="65"/>
  <c r="G3" i="65"/>
  <c r="F3" i="65"/>
  <c r="CD388" i="37"/>
  <c r="CC388" i="37"/>
  <c r="CB388" i="37"/>
  <c r="BL388" i="37"/>
  <c r="BK388" i="37"/>
  <c r="BJ388" i="37"/>
  <c r="BI388" i="37"/>
  <c r="BH388" i="37"/>
  <c r="BG388" i="37"/>
  <c r="BF388" i="37"/>
  <c r="BE388" i="37"/>
  <c r="BD388" i="37"/>
  <c r="BC388" i="37"/>
  <c r="BB388" i="37"/>
  <c r="BA388" i="37"/>
  <c r="AZ388" i="37"/>
  <c r="AY388" i="37"/>
  <c r="AX388" i="37"/>
  <c r="AW388" i="37"/>
  <c r="AV388" i="37"/>
  <c r="AU388" i="37"/>
  <c r="AT388" i="37"/>
  <c r="CD386" i="37"/>
  <c r="CC386" i="37"/>
  <c r="CB386" i="37"/>
  <c r="BL386" i="37"/>
  <c r="BK386" i="37"/>
  <c r="BJ386" i="37"/>
  <c r="BB386" i="37"/>
  <c r="BA386" i="37"/>
  <c r="AZ386" i="37"/>
  <c r="AY386" i="37"/>
  <c r="AX386" i="37"/>
  <c r="AW386" i="37"/>
  <c r="AV386" i="37"/>
  <c r="AU386" i="37"/>
  <c r="AT386" i="37"/>
  <c r="BJ384" i="37"/>
  <c r="BG384" i="37"/>
  <c r="BF384" i="37"/>
  <c r="CB382" i="37"/>
  <c r="CA382" i="37"/>
  <c r="BZ382" i="37"/>
  <c r="BY382" i="37"/>
  <c r="AW382" i="37"/>
  <c r="AV382" i="37"/>
  <c r="AU382" i="37"/>
  <c r="AT382" i="37"/>
  <c r="AS382" i="37"/>
  <c r="AR382" i="37"/>
  <c r="AQ382" i="37"/>
  <c r="AP382" i="37"/>
  <c r="AO382" i="37"/>
  <c r="AN382" i="37"/>
  <c r="AM382" i="37"/>
  <c r="AL382" i="37"/>
  <c r="AK382" i="37"/>
  <c r="AJ382" i="37"/>
  <c r="AI382" i="37"/>
  <c r="AH382" i="37"/>
  <c r="AG382" i="37"/>
  <c r="AF382" i="37"/>
  <c r="AE382" i="37"/>
  <c r="AD382" i="37"/>
  <c r="AC382" i="37"/>
  <c r="CB380" i="37"/>
  <c r="CA380" i="37"/>
  <c r="BZ380" i="37"/>
  <c r="BY380" i="37"/>
  <c r="AW380" i="37"/>
  <c r="AV380" i="37"/>
  <c r="AU380" i="37"/>
  <c r="AT380" i="37"/>
  <c r="AS380" i="37"/>
  <c r="AR380" i="37"/>
  <c r="AQ380" i="37"/>
  <c r="AP380" i="37"/>
  <c r="AO380" i="37"/>
  <c r="AN380" i="37"/>
  <c r="AM380" i="37"/>
  <c r="AL380" i="37"/>
  <c r="AK380" i="37"/>
  <c r="AJ380" i="37"/>
  <c r="AI380" i="37"/>
  <c r="AH380" i="37"/>
  <c r="AG380" i="37"/>
  <c r="AF380" i="37"/>
  <c r="AE380" i="37"/>
  <c r="AD380" i="37"/>
  <c r="AC380" i="37"/>
  <c r="CB379" i="37"/>
  <c r="CA379" i="37"/>
  <c r="BZ379" i="37"/>
  <c r="BY379" i="37"/>
  <c r="AW379" i="37"/>
  <c r="AV379" i="37"/>
  <c r="AU379" i="37"/>
  <c r="AT379" i="37"/>
  <c r="AS379" i="37"/>
  <c r="AR379" i="37"/>
  <c r="AQ379" i="37"/>
  <c r="AP379" i="37"/>
  <c r="AO379" i="37"/>
  <c r="AN379" i="37"/>
  <c r="AM379" i="37"/>
  <c r="AL379" i="37"/>
  <c r="AK379" i="37"/>
  <c r="AJ379" i="37"/>
  <c r="AI379" i="37"/>
  <c r="AH379" i="37"/>
  <c r="CB377" i="37"/>
  <c r="CA377" i="37"/>
  <c r="BZ377" i="37"/>
  <c r="BY377" i="37"/>
  <c r="AW377" i="37"/>
  <c r="AV377" i="37"/>
  <c r="AU377" i="37"/>
  <c r="AT377" i="37"/>
  <c r="AS377" i="37"/>
  <c r="AR377" i="37"/>
  <c r="AQ377" i="37"/>
  <c r="AP377" i="37"/>
  <c r="AO377" i="37"/>
  <c r="AN377" i="37"/>
  <c r="AM377" i="37"/>
  <c r="AL377" i="37"/>
  <c r="AK377" i="37"/>
  <c r="AJ377" i="37"/>
  <c r="AI377" i="37"/>
  <c r="AH377" i="37"/>
  <c r="CB373" i="37"/>
  <c r="CA373" i="37"/>
  <c r="BZ373" i="37"/>
  <c r="BY373" i="37"/>
  <c r="AW373" i="37"/>
  <c r="AV373" i="37"/>
  <c r="AU373" i="37"/>
  <c r="AT373" i="37"/>
  <c r="AS373" i="37"/>
  <c r="AR373" i="37"/>
  <c r="AQ373" i="37"/>
  <c r="AP373" i="37"/>
  <c r="AO373" i="37"/>
  <c r="AN373" i="37"/>
  <c r="AM373" i="37"/>
  <c r="AL373" i="37"/>
  <c r="AK373" i="37"/>
  <c r="AJ373" i="37"/>
  <c r="AI373" i="37"/>
  <c r="AH373" i="37"/>
  <c r="CB371" i="37"/>
  <c r="CA371" i="37"/>
  <c r="BZ371" i="37"/>
  <c r="BY371" i="37"/>
  <c r="AW371" i="37"/>
  <c r="AV371" i="37"/>
  <c r="AU371" i="37"/>
  <c r="AT371" i="37"/>
  <c r="AS371" i="37"/>
  <c r="AR371" i="37"/>
  <c r="AQ371" i="37"/>
  <c r="AP371" i="37"/>
  <c r="AO371" i="37"/>
  <c r="AN371" i="37"/>
  <c r="AM371" i="37"/>
  <c r="AL371" i="37"/>
  <c r="AK371" i="37"/>
  <c r="AJ371" i="37"/>
  <c r="AI371" i="37"/>
  <c r="AH371" i="37"/>
  <c r="CB370" i="37"/>
  <c r="CA370" i="37"/>
  <c r="BZ370" i="37"/>
  <c r="AW370" i="37"/>
  <c r="AV370" i="37"/>
  <c r="AU370" i="37"/>
  <c r="AT370" i="37"/>
  <c r="AS370" i="37"/>
  <c r="AR370" i="37"/>
  <c r="AQ370" i="37"/>
  <c r="AP370" i="37"/>
  <c r="AO370" i="37"/>
  <c r="AN370" i="37"/>
  <c r="AM370" i="37"/>
  <c r="AL370" i="37"/>
  <c r="CB368" i="37"/>
  <c r="CA368" i="37"/>
  <c r="BZ368" i="37"/>
  <c r="AW368" i="37"/>
  <c r="AV368" i="37"/>
  <c r="AU368" i="37"/>
  <c r="AT368" i="37"/>
  <c r="AS368" i="37"/>
  <c r="AR368" i="37"/>
  <c r="AQ368" i="37"/>
  <c r="AP368" i="37"/>
  <c r="AO368" i="37"/>
  <c r="AN368" i="37"/>
  <c r="AM368" i="37"/>
  <c r="AL368" i="37"/>
  <c r="CB364" i="37"/>
  <c r="CA364" i="37"/>
  <c r="BZ364" i="37"/>
  <c r="BY364" i="37"/>
  <c r="AW364" i="37"/>
  <c r="AV364" i="37"/>
  <c r="AU364" i="37"/>
  <c r="AT364" i="37"/>
  <c r="AS364" i="37"/>
  <c r="AR364" i="37"/>
  <c r="AQ364" i="37"/>
  <c r="AP364" i="37"/>
  <c r="AO364" i="37"/>
  <c r="AN364" i="37"/>
  <c r="AM364" i="37"/>
  <c r="AL364" i="37"/>
  <c r="AK364" i="37"/>
  <c r="AJ364" i="37"/>
  <c r="AI364" i="37"/>
  <c r="AH364" i="37"/>
  <c r="CB362" i="37"/>
  <c r="CA362" i="37"/>
  <c r="BZ362" i="37"/>
  <c r="BY362" i="37"/>
  <c r="AW362" i="37"/>
  <c r="AV362" i="37"/>
  <c r="AU362" i="37"/>
  <c r="AT362" i="37"/>
  <c r="AS362" i="37"/>
  <c r="AR362" i="37"/>
  <c r="AQ362" i="37"/>
  <c r="AP362" i="37"/>
  <c r="AO362" i="37"/>
  <c r="AN362" i="37"/>
  <c r="AM362" i="37"/>
  <c r="AL362" i="37"/>
  <c r="AK362" i="37"/>
  <c r="AJ362" i="37"/>
  <c r="AI362" i="37"/>
  <c r="AH362" i="37"/>
  <c r="CB361" i="37"/>
  <c r="CA361" i="37"/>
  <c r="BZ361" i="37"/>
  <c r="AW361" i="37"/>
  <c r="AV361" i="37"/>
  <c r="AU361" i="37"/>
  <c r="AT361" i="37"/>
  <c r="AS361" i="37"/>
  <c r="AR361" i="37"/>
  <c r="AQ361" i="37"/>
  <c r="AP361" i="37"/>
  <c r="AO361" i="37"/>
  <c r="AN361" i="37"/>
  <c r="AM361" i="37"/>
  <c r="AL361" i="37"/>
  <c r="AK361" i="37"/>
  <c r="AJ361" i="37"/>
  <c r="CB359" i="37"/>
  <c r="CA359" i="37"/>
  <c r="BZ359" i="37"/>
  <c r="AW359" i="37"/>
  <c r="AV359" i="37"/>
  <c r="AU359" i="37"/>
  <c r="AT359" i="37"/>
  <c r="AS359" i="37"/>
  <c r="AR359" i="37"/>
  <c r="AQ359" i="37"/>
  <c r="AP359" i="37"/>
  <c r="AO359" i="37"/>
  <c r="AN359" i="37"/>
  <c r="AM359" i="37"/>
  <c r="AL359" i="37"/>
  <c r="AK359" i="37"/>
  <c r="AJ359" i="37"/>
  <c r="BY345" i="37"/>
  <c r="BY344" i="37" s="1"/>
  <c r="AR344" i="37"/>
  <c r="AR350" i="37" s="1"/>
  <c r="AQ344" i="37"/>
  <c r="AQ351" i="37" s="1"/>
  <c r="AP344" i="37"/>
  <c r="AP351" i="37" s="1"/>
  <c r="AN344" i="37"/>
  <c r="AN350" i="37" s="1"/>
  <c r="AM344" i="37"/>
  <c r="AM351" i="37" s="1"/>
  <c r="AL344" i="37"/>
  <c r="AL350" i="37" s="1"/>
  <c r="AK344" i="37"/>
  <c r="AK350" i="37" s="1"/>
  <c r="BY350" i="37" s="1"/>
  <c r="AJ344" i="37"/>
  <c r="AJ350" i="37" s="1"/>
  <c r="AI344" i="37"/>
  <c r="AI350" i="37" s="1"/>
  <c r="AH344" i="37"/>
  <c r="AH350" i="37" s="1"/>
  <c r="AG344" i="37"/>
  <c r="AG350" i="37" s="1"/>
  <c r="AF344" i="37"/>
  <c r="AE344" i="37"/>
  <c r="AD344" i="37"/>
  <c r="AB344" i="37"/>
  <c r="AB350" i="37" s="1"/>
  <c r="AA344" i="37"/>
  <c r="Z344" i="37"/>
  <c r="Z351" i="37" s="1"/>
  <c r="Y344" i="37"/>
  <c r="X344" i="37"/>
  <c r="X350" i="37" s="1"/>
  <c r="J344" i="37"/>
  <c r="J347" i="37" s="1"/>
  <c r="AR339" i="37"/>
  <c r="AQ339" i="37"/>
  <c r="AP339" i="37"/>
  <c r="AN339" i="37"/>
  <c r="AM339" i="37"/>
  <c r="AL339" i="37"/>
  <c r="AK339" i="37"/>
  <c r="AJ339" i="37"/>
  <c r="AI339" i="37"/>
  <c r="AH339" i="37"/>
  <c r="AG339" i="37"/>
  <c r="AB339" i="37"/>
  <c r="AA339" i="37"/>
  <c r="Z339" i="37"/>
  <c r="Y339" i="37"/>
  <c r="X339" i="37"/>
  <c r="W339" i="37"/>
  <c r="W340" i="37" s="1"/>
  <c r="V339" i="37"/>
  <c r="V340" i="37" s="1"/>
  <c r="U339" i="37"/>
  <c r="U340" i="37" s="1"/>
  <c r="T339" i="37"/>
  <c r="T340" i="37" s="1"/>
  <c r="S339" i="37"/>
  <c r="S340" i="37" s="1"/>
  <c r="R339" i="37"/>
  <c r="R340" i="37" s="1"/>
  <c r="Q339" i="37"/>
  <c r="Q340" i="37" s="1"/>
  <c r="P339" i="37"/>
  <c r="P340" i="37" s="1"/>
  <c r="O339" i="37"/>
  <c r="O340" i="37" s="1"/>
  <c r="N339" i="37"/>
  <c r="N340" i="37" s="1"/>
  <c r="M339" i="37"/>
  <c r="M340" i="37" s="1"/>
  <c r="L339" i="37"/>
  <c r="L340" i="37" s="1"/>
  <c r="K339" i="37"/>
  <c r="K340" i="37" s="1"/>
  <c r="J339" i="37"/>
  <c r="I339" i="37"/>
  <c r="H339" i="37"/>
  <c r="G339" i="37"/>
  <c r="G340" i="37" s="1"/>
  <c r="F339" i="37"/>
  <c r="F340" i="37" s="1"/>
  <c r="E339" i="37"/>
  <c r="D339" i="37"/>
  <c r="D340" i="37" s="1"/>
  <c r="C339" i="37"/>
  <c r="C340" i="37" s="1"/>
  <c r="B339" i="37"/>
  <c r="B340" i="37" s="1"/>
  <c r="D338" i="37"/>
  <c r="AR337" i="37"/>
  <c r="AQ337" i="37"/>
  <c r="AP337" i="37"/>
  <c r="AN337" i="37"/>
  <c r="AM337" i="37"/>
  <c r="AL337" i="37"/>
  <c r="AK337" i="37"/>
  <c r="AJ337" i="37"/>
  <c r="AI337" i="37"/>
  <c r="AH337" i="37"/>
  <c r="AG337" i="37"/>
  <c r="AB337" i="37"/>
  <c r="AA337" i="37"/>
  <c r="Z337" i="37"/>
  <c r="Y337" i="37"/>
  <c r="X337" i="37"/>
  <c r="I337" i="37"/>
  <c r="H337" i="37"/>
  <c r="D337" i="37"/>
  <c r="I336" i="37"/>
  <c r="I344" i="37" s="1"/>
  <c r="H336" i="37"/>
  <c r="H344" i="37" s="1"/>
  <c r="G336" i="37"/>
  <c r="F336" i="37"/>
  <c r="C336" i="37"/>
  <c r="B336" i="37"/>
  <c r="AG332" i="37"/>
  <c r="AB332" i="37"/>
  <c r="AA332" i="37"/>
  <c r="Z332" i="37"/>
  <c r="Y332" i="37"/>
  <c r="X332" i="37"/>
  <c r="W332" i="37"/>
  <c r="BY331" i="37"/>
  <c r="AR331" i="37"/>
  <c r="AQ331" i="37"/>
  <c r="AP331" i="37"/>
  <c r="AM331" i="37"/>
  <c r="AL331" i="37"/>
  <c r="AK331" i="37"/>
  <c r="AJ331" i="37"/>
  <c r="AI331" i="37"/>
  <c r="AH331" i="37"/>
  <c r="AG331" i="37"/>
  <c r="AF331" i="37"/>
  <c r="AE331" i="37"/>
  <c r="AD331" i="37"/>
  <c r="CA329" i="37"/>
  <c r="BZ329" i="37"/>
  <c r="BY329" i="37"/>
  <c r="AS329" i="37"/>
  <c r="AR329" i="37"/>
  <c r="AQ329" i="37"/>
  <c r="AP329" i="37"/>
  <c r="AO329" i="37"/>
  <c r="AN329" i="37"/>
  <c r="AM329" i="37"/>
  <c r="AL329" i="37"/>
  <c r="AK329" i="37"/>
  <c r="AJ329" i="37"/>
  <c r="AI329" i="37"/>
  <c r="AH329" i="37"/>
  <c r="AG329" i="37"/>
  <c r="AF329" i="37"/>
  <c r="AE329" i="37"/>
  <c r="AD329" i="37"/>
  <c r="AC329" i="37"/>
  <c r="CB328" i="37"/>
  <c r="CA328" i="37"/>
  <c r="BZ328" i="37"/>
  <c r="BY328" i="37"/>
  <c r="CC327" i="37"/>
  <c r="CD327" i="37" s="1"/>
  <c r="AW327" i="37"/>
  <c r="BA327" i="37" s="1"/>
  <c r="AV327" i="37"/>
  <c r="AZ327" i="37" s="1"/>
  <c r="AU327" i="37"/>
  <c r="AU329" i="37" s="1"/>
  <c r="AT327" i="37"/>
  <c r="AT329" i="37" s="1"/>
  <c r="CB326" i="37"/>
  <c r="CA326" i="37"/>
  <c r="BZ326" i="37"/>
  <c r="BY326" i="37"/>
  <c r="AV326" i="37"/>
  <c r="AU326" i="37"/>
  <c r="AT326" i="37"/>
  <c r="CC325" i="37"/>
  <c r="CD325" i="37" s="1"/>
  <c r="BA325" i="37"/>
  <c r="BE325" i="37" s="1"/>
  <c r="BI325" i="37" s="1"/>
  <c r="AZ325" i="37"/>
  <c r="BD325" i="37" s="1"/>
  <c r="BH325" i="37" s="1"/>
  <c r="AY325" i="37"/>
  <c r="BC325" i="37" s="1"/>
  <c r="BG325" i="37" s="1"/>
  <c r="AX325" i="37"/>
  <c r="BB325" i="37" s="1"/>
  <c r="BF325" i="37" s="1"/>
  <c r="BS324" i="37"/>
  <c r="BR324" i="37"/>
  <c r="BQ324" i="37"/>
  <c r="BP324" i="37"/>
  <c r="BO324" i="37"/>
  <c r="BN324" i="37"/>
  <c r="CA323" i="37"/>
  <c r="BZ323" i="37"/>
  <c r="BY323" i="37"/>
  <c r="AW323" i="37"/>
  <c r="BQ322" i="37" s="1"/>
  <c r="AV323" i="37"/>
  <c r="AU323" i="37"/>
  <c r="BW322" i="37" s="1"/>
  <c r="AT323" i="37"/>
  <c r="BK322" i="37" s="1"/>
  <c r="AG323" i="37"/>
  <c r="H323" i="37"/>
  <c r="G323" i="37"/>
  <c r="F323" i="37"/>
  <c r="D323" i="37"/>
  <c r="C323" i="37"/>
  <c r="B323" i="37"/>
  <c r="AO319" i="37"/>
  <c r="AM319" i="37"/>
  <c r="AL319" i="37"/>
  <c r="AK319" i="37"/>
  <c r="AJ319" i="37"/>
  <c r="AI319" i="37"/>
  <c r="CB318" i="37"/>
  <c r="CA318" i="37"/>
  <c r="BZ318" i="37"/>
  <c r="BY318" i="37"/>
  <c r="CC317" i="37"/>
  <c r="CD317" i="37" s="1"/>
  <c r="AW317" i="37"/>
  <c r="BA317" i="37" s="1"/>
  <c r="BE317" i="37" s="1"/>
  <c r="BI317" i="37" s="1"/>
  <c r="BI316" i="37" s="1"/>
  <c r="AV317" i="37"/>
  <c r="AZ317" i="37" s="1"/>
  <c r="BD317" i="37" s="1"/>
  <c r="BH317" i="37" s="1"/>
  <c r="BH316" i="37" s="1"/>
  <c r="AU317" i="37"/>
  <c r="AY317" i="37" s="1"/>
  <c r="BC317" i="37" s="1"/>
  <c r="BG317" i="37" s="1"/>
  <c r="BG316" i="37" s="1"/>
  <c r="AT317" i="37"/>
  <c r="AX317" i="37" s="1"/>
  <c r="BB317" i="37" s="1"/>
  <c r="BF317" i="37" s="1"/>
  <c r="AO316" i="37"/>
  <c r="AM316" i="37"/>
  <c r="AL316" i="37"/>
  <c r="AK316" i="37"/>
  <c r="AJ316" i="37"/>
  <c r="AI316" i="37"/>
  <c r="AH316" i="37"/>
  <c r="AW315" i="37"/>
  <c r="AV315" i="37"/>
  <c r="CA314" i="37"/>
  <c r="BZ314" i="37"/>
  <c r="BZ316" i="37" s="1"/>
  <c r="BY314" i="37"/>
  <c r="AU314" i="37"/>
  <c r="AT314" i="37"/>
  <c r="AX315" i="37" s="1"/>
  <c r="AG314" i="37"/>
  <c r="AO313" i="37"/>
  <c r="AM313" i="37"/>
  <c r="AL313" i="37"/>
  <c r="AK313" i="37"/>
  <c r="AJ313" i="37"/>
  <c r="AI313" i="37"/>
  <c r="AH313" i="37"/>
  <c r="CA311" i="37"/>
  <c r="BZ311" i="37"/>
  <c r="BZ313" i="37" s="1"/>
  <c r="BY311" i="37"/>
  <c r="AU311" i="37"/>
  <c r="AT311" i="37"/>
  <c r="AG311" i="37"/>
  <c r="BT309" i="37"/>
  <c r="BS309" i="37"/>
  <c r="BR309" i="37"/>
  <c r="BQ309" i="37"/>
  <c r="BP309" i="37"/>
  <c r="BO309" i="37"/>
  <c r="BN309" i="37"/>
  <c r="BM309" i="37"/>
  <c r="BL309" i="37"/>
  <c r="BK309" i="37"/>
  <c r="BJ309" i="37"/>
  <c r="BI309" i="37"/>
  <c r="BH309" i="37"/>
  <c r="BG309" i="37"/>
  <c r="BF309" i="37"/>
  <c r="BE309" i="37"/>
  <c r="BD309" i="37"/>
  <c r="BC309" i="37"/>
  <c r="BB309" i="37"/>
  <c r="CF308" i="37"/>
  <c r="BT308" i="37"/>
  <c r="BS308" i="37"/>
  <c r="BR308" i="37"/>
  <c r="BQ308" i="37"/>
  <c r="BP308" i="37"/>
  <c r="BO308" i="37"/>
  <c r="BN308" i="37"/>
  <c r="BM308" i="37"/>
  <c r="BJ308" i="37"/>
  <c r="BI308" i="37"/>
  <c r="BH308" i="37"/>
  <c r="BG308" i="37"/>
  <c r="BF308" i="37"/>
  <c r="BE308" i="37"/>
  <c r="BD308" i="37"/>
  <c r="BC308" i="37"/>
  <c r="BB308" i="37"/>
  <c r="BA308" i="37"/>
  <c r="AZ308" i="37"/>
  <c r="AY308" i="37"/>
  <c r="AX308" i="37"/>
  <c r="CG307" i="37"/>
  <c r="CG308" i="37" s="1"/>
  <c r="CD307" i="37"/>
  <c r="CC307" i="37"/>
  <c r="CB307" i="37"/>
  <c r="BQ306" i="37"/>
  <c r="BQ305" i="37" s="1"/>
  <c r="BP306" i="37"/>
  <c r="BP305" i="37" s="1"/>
  <c r="BO306" i="37"/>
  <c r="BK306" i="37"/>
  <c r="AE304" i="37"/>
  <c r="D28" i="66" s="1"/>
  <c r="BJ303" i="37"/>
  <c r="BI303" i="37"/>
  <c r="BH303" i="37"/>
  <c r="BG303" i="37"/>
  <c r="BF303" i="37"/>
  <c r="BE303" i="37"/>
  <c r="BD303" i="37"/>
  <c r="BC303" i="37"/>
  <c r="BB303" i="37"/>
  <c r="BY302" i="37"/>
  <c r="AF302" i="37"/>
  <c r="E27" i="66" s="1"/>
  <c r="AE302" i="37"/>
  <c r="D27" i="66" s="1"/>
  <c r="AD302" i="37"/>
  <c r="C27" i="66" s="1"/>
  <c r="AC302" i="37"/>
  <c r="B27" i="66" s="1"/>
  <c r="BB301" i="37"/>
  <c r="BA301" i="37"/>
  <c r="AZ301" i="37"/>
  <c r="AY301" i="37"/>
  <c r="AX301" i="37"/>
  <c r="CB300" i="37"/>
  <c r="CB316" i="37" s="1"/>
  <c r="BJ300" i="37"/>
  <c r="BI300" i="37"/>
  <c r="BH300" i="37"/>
  <c r="BG300" i="37"/>
  <c r="BF300" i="37"/>
  <c r="BE300" i="37"/>
  <c r="BD300" i="37"/>
  <c r="BC300" i="37"/>
  <c r="BB300" i="37"/>
  <c r="BA300" i="37"/>
  <c r="AZ300" i="37"/>
  <c r="AY300" i="37"/>
  <c r="AX300" i="37"/>
  <c r="AX316" i="37" s="1"/>
  <c r="AW300" i="37"/>
  <c r="AW316" i="37" s="1"/>
  <c r="AV300" i="37"/>
  <c r="AU300" i="37"/>
  <c r="AU319" i="37" s="1"/>
  <c r="AT300" i="37"/>
  <c r="AT319" i="37" s="1"/>
  <c r="CD299" i="37"/>
  <c r="CD300" i="37" s="1"/>
  <c r="CC299" i="37"/>
  <c r="CC300" i="37" s="1"/>
  <c r="AS299" i="37"/>
  <c r="AS300" i="37" s="1"/>
  <c r="AR299" i="37"/>
  <c r="AR300" i="37" s="1"/>
  <c r="AR319" i="37" s="1"/>
  <c r="AQ299" i="37"/>
  <c r="AU301" i="37" s="1"/>
  <c r="AP299" i="37"/>
  <c r="AT301" i="37" s="1"/>
  <c r="AN299" i="37"/>
  <c r="AM299" i="37"/>
  <c r="AL299" i="37"/>
  <c r="AK299" i="37"/>
  <c r="I26" i="66" s="1"/>
  <c r="AJ299" i="37"/>
  <c r="H26" i="66" s="1"/>
  <c r="AI299" i="37"/>
  <c r="G26" i="66" s="1"/>
  <c r="AH299" i="37"/>
  <c r="F26" i="66" s="1"/>
  <c r="AG299" i="37"/>
  <c r="AF299" i="37"/>
  <c r="AF316" i="37" s="1"/>
  <c r="AE299" i="37"/>
  <c r="AE316" i="37" s="1"/>
  <c r="AC299" i="37"/>
  <c r="AC316" i="37" s="1"/>
  <c r="AB299" i="37"/>
  <c r="CA298" i="37"/>
  <c r="CA299" i="37" s="1"/>
  <c r="BY298" i="37"/>
  <c r="BY299" i="37" s="1"/>
  <c r="BY300" i="37" s="1"/>
  <c r="BJ298" i="37"/>
  <c r="BI298" i="37"/>
  <c r="BH298" i="37"/>
  <c r="BG298" i="37"/>
  <c r="BF298" i="37"/>
  <c r="BE298" i="37"/>
  <c r="BD298" i="37"/>
  <c r="BC298" i="37"/>
  <c r="BB298" i="37"/>
  <c r="BA298" i="37"/>
  <c r="CC298" i="37" s="1"/>
  <c r="CC302" i="37" s="1"/>
  <c r="AV298" i="37"/>
  <c r="AU298" i="37"/>
  <c r="AT298" i="37"/>
  <c r="AD298" i="37"/>
  <c r="AD299" i="37" s="1"/>
  <c r="H298" i="37"/>
  <c r="G298" i="37"/>
  <c r="F298" i="37"/>
  <c r="D298" i="37"/>
  <c r="C298" i="37"/>
  <c r="B298" i="37"/>
  <c r="AW295" i="37"/>
  <c r="AV295" i="37"/>
  <c r="AU295" i="37"/>
  <c r="AT295" i="37"/>
  <c r="AS295" i="37"/>
  <c r="AR295" i="37"/>
  <c r="AQ295" i="37"/>
  <c r="AP295" i="37"/>
  <c r="AO295" i="37"/>
  <c r="AN295" i="37"/>
  <c r="AM295" i="37"/>
  <c r="AL295" i="37"/>
  <c r="AK295" i="37"/>
  <c r="AJ295" i="37"/>
  <c r="AI295" i="37"/>
  <c r="AH295" i="37"/>
  <c r="BA290" i="37"/>
  <c r="AZ290" i="37"/>
  <c r="AY290" i="37"/>
  <c r="AX290" i="37"/>
  <c r="AW290" i="37"/>
  <c r="AV290" i="37"/>
  <c r="AU290" i="37"/>
  <c r="AT290" i="37"/>
  <c r="CD286" i="37"/>
  <c r="CD229" i="37" s="1"/>
  <c r="BY286" i="37"/>
  <c r="CD285" i="37"/>
  <c r="CB285" i="37"/>
  <c r="CA285" i="37"/>
  <c r="BY285" i="37"/>
  <c r="AH285" i="37"/>
  <c r="CD284" i="37"/>
  <c r="CB284" i="37"/>
  <c r="CA284" i="37"/>
  <c r="BY284" i="37"/>
  <c r="AD284" i="37"/>
  <c r="CD283" i="37"/>
  <c r="CB283" i="37"/>
  <c r="CA283" i="37"/>
  <c r="BY283" i="37"/>
  <c r="BA282" i="37"/>
  <c r="AZ282" i="37"/>
  <c r="AY282" i="37"/>
  <c r="AX282" i="37"/>
  <c r="AW282" i="37"/>
  <c r="AV282" i="37"/>
  <c r="AU282" i="37"/>
  <c r="AT282" i="37"/>
  <c r="CG278" i="37"/>
  <c r="CG276" i="37"/>
  <c r="CF276" i="37"/>
  <c r="CE276" i="37"/>
  <c r="CD276" i="37"/>
  <c r="CC276" i="37"/>
  <c r="CB276" i="37"/>
  <c r="CA276" i="37"/>
  <c r="BY276" i="37"/>
  <c r="J276" i="37"/>
  <c r="I276" i="37"/>
  <c r="H276" i="37"/>
  <c r="G276" i="37"/>
  <c r="C276" i="37"/>
  <c r="B276" i="37"/>
  <c r="CG275" i="37"/>
  <c r="CF275" i="37"/>
  <c r="CE275" i="37"/>
  <c r="CD275" i="37"/>
  <c r="CC275" i="37"/>
  <c r="CB275" i="37"/>
  <c r="CA275" i="37"/>
  <c r="BY275" i="37"/>
  <c r="CG274" i="37"/>
  <c r="BQ274" i="37"/>
  <c r="BP274" i="37"/>
  <c r="BO274" i="37"/>
  <c r="CH274" i="37" s="1"/>
  <c r="BM274" i="37"/>
  <c r="CF274" i="37" s="1"/>
  <c r="BL274" i="37"/>
  <c r="BK274" i="37"/>
  <c r="BJ274" i="37"/>
  <c r="BI274" i="37"/>
  <c r="CE274" i="37" s="1"/>
  <c r="BH274" i="37"/>
  <c r="BG274" i="37"/>
  <c r="BF274" i="37"/>
  <c r="BE274" i="37"/>
  <c r="CD274" i="37" s="1"/>
  <c r="BD274" i="37"/>
  <c r="BC274" i="37"/>
  <c r="BB274" i="37"/>
  <c r="BA274" i="37"/>
  <c r="CC274" i="37" s="1"/>
  <c r="AZ274" i="37"/>
  <c r="AY274" i="37"/>
  <c r="AX274" i="37"/>
  <c r="AW274" i="37"/>
  <c r="CB274" i="37" s="1"/>
  <c r="AV274" i="37"/>
  <c r="AU274" i="37"/>
  <c r="AT274" i="37"/>
  <c r="AS274" i="37"/>
  <c r="CA274" i="37" s="1"/>
  <c r="AR274" i="37"/>
  <c r="AQ274" i="37"/>
  <c r="AP274" i="37"/>
  <c r="AN274" i="37"/>
  <c r="AM274" i="37"/>
  <c r="AL274" i="37"/>
  <c r="AK274" i="37"/>
  <c r="BY274" i="37" s="1"/>
  <c r="AJ274" i="37"/>
  <c r="AI274" i="37"/>
  <c r="AH274" i="37"/>
  <c r="AG274" i="37"/>
  <c r="AF274" i="37"/>
  <c r="AE274" i="37"/>
  <c r="AD274" i="37"/>
  <c r="CG273" i="37"/>
  <c r="BQ273" i="37"/>
  <c r="BQ278" i="37" s="1"/>
  <c r="BP273" i="37"/>
  <c r="BP278" i="37" s="1"/>
  <c r="BO273" i="37"/>
  <c r="BO278" i="37" s="1"/>
  <c r="CH278" i="37" s="1"/>
  <c r="BM273" i="37"/>
  <c r="BM278" i="37" s="1"/>
  <c r="CF278" i="37" s="1"/>
  <c r="BL273" i="37"/>
  <c r="BL278" i="37" s="1"/>
  <c r="BK273" i="37"/>
  <c r="BK278" i="37" s="1"/>
  <c r="BJ273" i="37"/>
  <c r="BJ278" i="37" s="1"/>
  <c r="BI273" i="37"/>
  <c r="BI278" i="37" s="1"/>
  <c r="CE278" i="37" s="1"/>
  <c r="BH273" i="37"/>
  <c r="BH278" i="37" s="1"/>
  <c r="BG273" i="37"/>
  <c r="BG278" i="37" s="1"/>
  <c r="BF273" i="37"/>
  <c r="BF278" i="37" s="1"/>
  <c r="BE273" i="37"/>
  <c r="CD273" i="37" s="1"/>
  <c r="BD273" i="37"/>
  <c r="BD278" i="37" s="1"/>
  <c r="BC273" i="37"/>
  <c r="BC278" i="37" s="1"/>
  <c r="BB273" i="37"/>
  <c r="BB278" i="37" s="1"/>
  <c r="BA273" i="37"/>
  <c r="CC273" i="37" s="1"/>
  <c r="AZ273" i="37"/>
  <c r="AZ278" i="37" s="1"/>
  <c r="AY273" i="37"/>
  <c r="AY278" i="37" s="1"/>
  <c r="AX273" i="37"/>
  <c r="AX278" i="37" s="1"/>
  <c r="AW273" i="37"/>
  <c r="CB273" i="37" s="1"/>
  <c r="AV273" i="37"/>
  <c r="AV278" i="37" s="1"/>
  <c r="AU273" i="37"/>
  <c r="AU278" i="37" s="1"/>
  <c r="AT273" i="37"/>
  <c r="AT278" i="37" s="1"/>
  <c r="AS273" i="37"/>
  <c r="AS278" i="37" s="1"/>
  <c r="AR273" i="37"/>
  <c r="AR278" i="37" s="1"/>
  <c r="AQ273" i="37"/>
  <c r="AQ278" i="37" s="1"/>
  <c r="AP273" i="37"/>
  <c r="AP278" i="37" s="1"/>
  <c r="AN273" i="37"/>
  <c r="AN278" i="37" s="1"/>
  <c r="AM273" i="37"/>
  <c r="AM278" i="37" s="1"/>
  <c r="AL273" i="37"/>
  <c r="AL278" i="37" s="1"/>
  <c r="AK273" i="37"/>
  <c r="BY273" i="37" s="1"/>
  <c r="AJ273" i="37"/>
  <c r="AJ278" i="37" s="1"/>
  <c r="AI273" i="37"/>
  <c r="AI278" i="37" s="1"/>
  <c r="AH273" i="37"/>
  <c r="AH278" i="37" s="1"/>
  <c r="AG273" i="37"/>
  <c r="AG278" i="37" s="1"/>
  <c r="AF273" i="37"/>
  <c r="AF278" i="37" s="1"/>
  <c r="AE273" i="37"/>
  <c r="AE278" i="37" s="1"/>
  <c r="AD273" i="37"/>
  <c r="AD278" i="37" s="1"/>
  <c r="AB273" i="37"/>
  <c r="AA273" i="37"/>
  <c r="Z273" i="37"/>
  <c r="Y273" i="37"/>
  <c r="X273" i="37"/>
  <c r="W273" i="37"/>
  <c r="J273" i="37"/>
  <c r="I273" i="37"/>
  <c r="I278" i="37" s="1"/>
  <c r="CG272" i="37"/>
  <c r="CF272" i="37"/>
  <c r="CE272" i="37"/>
  <c r="CD272" i="37"/>
  <c r="CC272" i="37"/>
  <c r="CB272" i="37"/>
  <c r="CA272" i="37"/>
  <c r="BY272" i="37"/>
  <c r="AB272" i="37"/>
  <c r="AB277" i="37" s="1"/>
  <c r="AA272" i="37"/>
  <c r="AA277" i="37" s="1"/>
  <c r="Z272" i="37"/>
  <c r="Z277" i="37" s="1"/>
  <c r="Y272" i="37"/>
  <c r="Y277" i="37" s="1"/>
  <c r="X272" i="37"/>
  <c r="X277" i="37" s="1"/>
  <c r="W272" i="37"/>
  <c r="W277" i="37" s="1"/>
  <c r="CG271" i="37"/>
  <c r="CF271" i="37"/>
  <c r="CE271" i="37"/>
  <c r="CD271" i="37"/>
  <c r="CC271" i="37"/>
  <c r="H271" i="37"/>
  <c r="H273" i="37" s="1"/>
  <c r="H278" i="37" s="1"/>
  <c r="G271" i="37"/>
  <c r="G273" i="37" s="1"/>
  <c r="G278" i="37" s="1"/>
  <c r="CG270" i="37"/>
  <c r="CF270" i="37"/>
  <c r="CE270" i="37"/>
  <c r="CD270" i="37"/>
  <c r="CC270" i="37"/>
  <c r="CB270" i="37"/>
  <c r="CA270" i="37"/>
  <c r="CG269" i="37"/>
  <c r="CF269" i="37"/>
  <c r="CE269" i="37"/>
  <c r="CD269" i="37"/>
  <c r="CG268" i="37"/>
  <c r="CF268" i="37"/>
  <c r="CE268" i="37"/>
  <c r="CD268" i="37"/>
  <c r="CC268" i="37"/>
  <c r="CB268" i="37"/>
  <c r="CA268" i="37"/>
  <c r="BY268" i="37"/>
  <c r="CG267" i="37"/>
  <c r="CF267" i="37"/>
  <c r="CE267" i="37"/>
  <c r="CD267" i="37"/>
  <c r="CC267" i="37"/>
  <c r="CB267" i="37"/>
  <c r="CA267" i="37"/>
  <c r="BY267" i="37"/>
  <c r="CG266" i="37"/>
  <c r="BQ266" i="37"/>
  <c r="BP266" i="37"/>
  <c r="BO266" i="37"/>
  <c r="CH266" i="37" s="1"/>
  <c r="BM266" i="37"/>
  <c r="CF266" i="37" s="1"/>
  <c r="BL266" i="37"/>
  <c r="BK266" i="37"/>
  <c r="BJ266" i="37"/>
  <c r="BI266" i="37"/>
  <c r="CE266" i="37" s="1"/>
  <c r="BH266" i="37"/>
  <c r="BG266" i="37"/>
  <c r="BF266" i="37"/>
  <c r="BE266" i="37"/>
  <c r="CD266" i="37" s="1"/>
  <c r="BD266" i="37"/>
  <c r="BC266" i="37"/>
  <c r="BB266" i="37"/>
  <c r="BA266" i="37"/>
  <c r="CC266" i="37" s="1"/>
  <c r="AZ266" i="37"/>
  <c r="AY266" i="37"/>
  <c r="AX266" i="37"/>
  <c r="AW266" i="37"/>
  <c r="CB266" i="37" s="1"/>
  <c r="AV266" i="37"/>
  <c r="AU266" i="37"/>
  <c r="AT266" i="37"/>
  <c r="AS266" i="37"/>
  <c r="CA266" i="37" s="1"/>
  <c r="AR266" i="37"/>
  <c r="AQ266" i="37"/>
  <c r="AP266" i="37"/>
  <c r="AN266" i="37"/>
  <c r="AM266" i="37"/>
  <c r="AL266" i="37"/>
  <c r="AK266" i="37"/>
  <c r="BY266" i="37" s="1"/>
  <c r="AJ266" i="37"/>
  <c r="AI266" i="37"/>
  <c r="AH266" i="37"/>
  <c r="AG266" i="37"/>
  <c r="AF266" i="37"/>
  <c r="AE266" i="37"/>
  <c r="AD266" i="37"/>
  <c r="J266" i="37"/>
  <c r="I266" i="37"/>
  <c r="H266" i="37"/>
  <c r="G266" i="37"/>
  <c r="E266" i="37"/>
  <c r="D266" i="37"/>
  <c r="C266" i="37"/>
  <c r="B266" i="37"/>
  <c r="CG265" i="37"/>
  <c r="CF265" i="37"/>
  <c r="CE265" i="37"/>
  <c r="CD265" i="37"/>
  <c r="CC265" i="37"/>
  <c r="CB265" i="37"/>
  <c r="CA265" i="37"/>
  <c r="BY265" i="37"/>
  <c r="AB265" i="37"/>
  <c r="AA265" i="37"/>
  <c r="Z265" i="37"/>
  <c r="Y265" i="37"/>
  <c r="X265" i="37"/>
  <c r="W265" i="37"/>
  <c r="CG264" i="37"/>
  <c r="CF264" i="37"/>
  <c r="CE264" i="37"/>
  <c r="CD264" i="37"/>
  <c r="CC264" i="37"/>
  <c r="CB264" i="37"/>
  <c r="CA264" i="37"/>
  <c r="BY264" i="37"/>
  <c r="CG263" i="37"/>
  <c r="CF263" i="37"/>
  <c r="CE263" i="37"/>
  <c r="CD263" i="37"/>
  <c r="CC263" i="37"/>
  <c r="CB263" i="37"/>
  <c r="CA263" i="37"/>
  <c r="BY263" i="37"/>
  <c r="BQ262" i="37"/>
  <c r="BP262" i="37"/>
  <c r="BO262" i="37"/>
  <c r="BM262" i="37"/>
  <c r="BL262" i="37"/>
  <c r="BK262" i="37"/>
  <c r="BJ262" i="37"/>
  <c r="BI262" i="37"/>
  <c r="BH262" i="37"/>
  <c r="BG262" i="37"/>
  <c r="BA260" i="37"/>
  <c r="AZ260" i="37"/>
  <c r="AY260" i="37"/>
  <c r="AX260" i="37"/>
  <c r="AW260" i="37"/>
  <c r="AV260" i="37"/>
  <c r="AU260" i="37"/>
  <c r="AT260" i="37"/>
  <c r="AQ257" i="37"/>
  <c r="AP257" i="37"/>
  <c r="AN257" i="37"/>
  <c r="AM257" i="37"/>
  <c r="AL257" i="37"/>
  <c r="E257" i="37"/>
  <c r="D257" i="37"/>
  <c r="C257" i="37"/>
  <c r="CG256" i="37"/>
  <c r="CF256" i="37"/>
  <c r="BY256" i="37"/>
  <c r="BQ256" i="37"/>
  <c r="BP256" i="37"/>
  <c r="BM256" i="37"/>
  <c r="BL256" i="37"/>
  <c r="BK256" i="37"/>
  <c r="BH256" i="37"/>
  <c r="BG256" i="37"/>
  <c r="BD256" i="37"/>
  <c r="BC256" i="37"/>
  <c r="BB256" i="37"/>
  <c r="BA256" i="37"/>
  <c r="AZ256" i="37"/>
  <c r="AY256" i="37"/>
  <c r="AX256" i="37"/>
  <c r="AW256" i="37"/>
  <c r="AV256" i="37"/>
  <c r="AU256" i="37"/>
  <c r="AT256" i="37"/>
  <c r="AS256" i="37"/>
  <c r="AR256" i="37"/>
  <c r="AQ256" i="37"/>
  <c r="AP256" i="37"/>
  <c r="AN256" i="37"/>
  <c r="AM256" i="37"/>
  <c r="AL256" i="37"/>
  <c r="AK256" i="37"/>
  <c r="AJ256" i="37"/>
  <c r="AI256" i="37"/>
  <c r="AG256" i="37"/>
  <c r="E256" i="37"/>
  <c r="D256" i="37"/>
  <c r="C256" i="37"/>
  <c r="AB255" i="37"/>
  <c r="AA255" i="37"/>
  <c r="E255" i="37"/>
  <c r="D255" i="37"/>
  <c r="C255" i="37"/>
  <c r="BN254" i="37"/>
  <c r="AZ254" i="37"/>
  <c r="AY254" i="37"/>
  <c r="AX254" i="37"/>
  <c r="AW254" i="37"/>
  <c r="AV254" i="37"/>
  <c r="AU254" i="37"/>
  <c r="AT254" i="37"/>
  <c r="AS254" i="37"/>
  <c r="AR254" i="37"/>
  <c r="AQ254" i="37"/>
  <c r="AG254" i="37"/>
  <c r="E254" i="37"/>
  <c r="D254" i="37"/>
  <c r="C254" i="37"/>
  <c r="CG253" i="37"/>
  <c r="CF253" i="37"/>
  <c r="CE253" i="37"/>
  <c r="CD253" i="37"/>
  <c r="CC253" i="37"/>
  <c r="BY253" i="37"/>
  <c r="BT253" i="37"/>
  <c r="BS253" i="37"/>
  <c r="BR253" i="37"/>
  <c r="BQ253" i="37"/>
  <c r="BP253" i="37"/>
  <c r="BO253" i="37"/>
  <c r="BN253" i="37"/>
  <c r="BM253" i="37"/>
  <c r="BL253" i="37"/>
  <c r="BK253" i="37"/>
  <c r="BJ253" i="37"/>
  <c r="BI253" i="37"/>
  <c r="BH253" i="37"/>
  <c r="BG253" i="37"/>
  <c r="BF253" i="37"/>
  <c r="BE253" i="37"/>
  <c r="BD253" i="37"/>
  <c r="BC253" i="37"/>
  <c r="BB253" i="37"/>
  <c r="BA253" i="37"/>
  <c r="AZ253" i="37"/>
  <c r="AY253" i="37"/>
  <c r="AX253" i="37"/>
  <c r="AW253" i="37"/>
  <c r="AV253" i="37"/>
  <c r="AU253" i="37"/>
  <c r="AT253" i="37"/>
  <c r="AS253" i="37"/>
  <c r="AR253" i="37"/>
  <c r="AQ253" i="37"/>
  <c r="AP253" i="37"/>
  <c r="AN253" i="37"/>
  <c r="AM253" i="37"/>
  <c r="AL253" i="37"/>
  <c r="AK253" i="37"/>
  <c r="AJ253" i="37"/>
  <c r="AG253" i="37"/>
  <c r="I253" i="37"/>
  <c r="H253" i="37"/>
  <c r="G253" i="37"/>
  <c r="E253" i="37"/>
  <c r="D253" i="37"/>
  <c r="C253" i="37"/>
  <c r="CE252" i="37"/>
  <c r="CD252" i="37"/>
  <c r="CC252" i="37"/>
  <c r="BY252" i="37"/>
  <c r="BL252" i="37"/>
  <c r="BK252" i="37"/>
  <c r="BJ252" i="37"/>
  <c r="BI252" i="37"/>
  <c r="BH252" i="37"/>
  <c r="BG252" i="37"/>
  <c r="BF252" i="37"/>
  <c r="BE252" i="37"/>
  <c r="BD252" i="37"/>
  <c r="BC252" i="37"/>
  <c r="BB252" i="37"/>
  <c r="BA252" i="37"/>
  <c r="AZ252" i="37"/>
  <c r="AY252" i="37"/>
  <c r="AX252" i="37"/>
  <c r="AW252" i="37"/>
  <c r="AV252" i="37"/>
  <c r="AU252" i="37"/>
  <c r="AT252" i="37"/>
  <c r="AS252" i="37"/>
  <c r="AR252" i="37"/>
  <c r="AQ252" i="37"/>
  <c r="AP252" i="37"/>
  <c r="AN252" i="37"/>
  <c r="AM252" i="37"/>
  <c r="AL252" i="37"/>
  <c r="AK252" i="37"/>
  <c r="AJ252" i="37"/>
  <c r="AI252" i="37"/>
  <c r="AG252" i="37"/>
  <c r="AB252" i="37"/>
  <c r="AA252" i="37"/>
  <c r="Z252" i="37"/>
  <c r="Y252" i="37"/>
  <c r="X252" i="37"/>
  <c r="E252" i="37"/>
  <c r="D252" i="37"/>
  <c r="C252" i="37"/>
  <c r="CG251" i="37"/>
  <c r="CF251" i="37"/>
  <c r="CE251" i="37"/>
  <c r="CD251" i="37"/>
  <c r="CC251" i="37"/>
  <c r="BY251" i="37"/>
  <c r="BT251" i="37"/>
  <c r="BS251" i="37"/>
  <c r="BR251" i="37"/>
  <c r="BQ251" i="37"/>
  <c r="BP251" i="37"/>
  <c r="BO251" i="37"/>
  <c r="BN251" i="37"/>
  <c r="BM251" i="37"/>
  <c r="BL251" i="37"/>
  <c r="BK251" i="37"/>
  <c r="BJ251" i="37"/>
  <c r="BI251" i="37"/>
  <c r="BH251" i="37"/>
  <c r="BG251" i="37"/>
  <c r="BF251" i="37"/>
  <c r="BE251" i="37"/>
  <c r="BD251" i="37"/>
  <c r="BC251" i="37"/>
  <c r="BB251" i="37"/>
  <c r="BA251" i="37"/>
  <c r="AZ251" i="37"/>
  <c r="AY251" i="37"/>
  <c r="AX251" i="37"/>
  <c r="AW251" i="37"/>
  <c r="AV251" i="37"/>
  <c r="AU251" i="37"/>
  <c r="AT251" i="37"/>
  <c r="AS251" i="37"/>
  <c r="AR251" i="37"/>
  <c r="AQ251" i="37"/>
  <c r="AP251" i="37"/>
  <c r="AN251" i="37"/>
  <c r="AM251" i="37"/>
  <c r="AL251" i="37"/>
  <c r="AK251" i="37"/>
  <c r="AJ251" i="37"/>
  <c r="AI251" i="37"/>
  <c r="AG251" i="37"/>
  <c r="AB251" i="37"/>
  <c r="AA251" i="37"/>
  <c r="Z251" i="37"/>
  <c r="Y251" i="37"/>
  <c r="X251" i="37"/>
  <c r="E251" i="37"/>
  <c r="D251" i="37"/>
  <c r="C251" i="37"/>
  <c r="AB250" i="37"/>
  <c r="AA250" i="37"/>
  <c r="Z250" i="37"/>
  <c r="Y250" i="37"/>
  <c r="X250" i="37"/>
  <c r="E248" i="37"/>
  <c r="D248" i="37"/>
  <c r="C248" i="37"/>
  <c r="CF247" i="37"/>
  <c r="CD247" i="37"/>
  <c r="BQ247" i="37"/>
  <c r="BP247" i="37"/>
  <c r="BO247" i="37"/>
  <c r="BM247" i="37"/>
  <c r="BL247" i="37"/>
  <c r="BK247" i="37"/>
  <c r="BJ247" i="37"/>
  <c r="BI247" i="37"/>
  <c r="BH247" i="37"/>
  <c r="BG247" i="37"/>
  <c r="BF247" i="37"/>
  <c r="BE247" i="37"/>
  <c r="BD247" i="37"/>
  <c r="BC247" i="37"/>
  <c r="BB247" i="37"/>
  <c r="CG245" i="37"/>
  <c r="CD245" i="37"/>
  <c r="CC245" i="37"/>
  <c r="BT245" i="37"/>
  <c r="BS245" i="37"/>
  <c r="AQ21" i="66" s="1"/>
  <c r="BR245" i="37"/>
  <c r="AP21" i="66" s="1"/>
  <c r="BQ245" i="37"/>
  <c r="AO21" i="66" s="1"/>
  <c r="BP245" i="37"/>
  <c r="AN21" i="66" s="1"/>
  <c r="BO245" i="37"/>
  <c r="AM21" i="66" s="1"/>
  <c r="BN245" i="37"/>
  <c r="AL21" i="66" s="1"/>
  <c r="BM245" i="37"/>
  <c r="AK21" i="66" s="1"/>
  <c r="BL245" i="37"/>
  <c r="AJ21" i="66" s="1"/>
  <c r="BK245" i="37"/>
  <c r="AI21" i="66" s="1"/>
  <c r="BJ245" i="37"/>
  <c r="AH21" i="66" s="1"/>
  <c r="AA244" i="37"/>
  <c r="X244" i="37"/>
  <c r="E244" i="37"/>
  <c r="D244" i="37"/>
  <c r="C244" i="37"/>
  <c r="I242" i="37"/>
  <c r="H242" i="37"/>
  <c r="G242" i="37"/>
  <c r="I241" i="37"/>
  <c r="H241" i="37"/>
  <c r="G241" i="37"/>
  <c r="E241" i="37"/>
  <c r="D241" i="37"/>
  <c r="C241" i="37"/>
  <c r="E240" i="37"/>
  <c r="D240" i="37"/>
  <c r="C240" i="37"/>
  <c r="CF234" i="37"/>
  <c r="BO234" i="37"/>
  <c r="BN234" i="37"/>
  <c r="BM234" i="37"/>
  <c r="BL234" i="37"/>
  <c r="BK234" i="37"/>
  <c r="BJ234" i="37"/>
  <c r="BI234" i="37"/>
  <c r="BH234" i="37"/>
  <c r="BG234" i="37"/>
  <c r="BF234" i="37"/>
  <c r="AZ234" i="37"/>
  <c r="AV234" i="37"/>
  <c r="AS234" i="37"/>
  <c r="AR234" i="37"/>
  <c r="AQ234" i="37"/>
  <c r="AP234" i="37"/>
  <c r="AO234" i="37"/>
  <c r="AN234" i="37"/>
  <c r="AM234" i="37"/>
  <c r="AL234" i="37"/>
  <c r="AK234" i="37"/>
  <c r="AJ234" i="37"/>
  <c r="AI234" i="37"/>
  <c r="AH234" i="37"/>
  <c r="AG234" i="37"/>
  <c r="AF234" i="37"/>
  <c r="AE234" i="37"/>
  <c r="AD234" i="37"/>
  <c r="AC234" i="37"/>
  <c r="BO233" i="37"/>
  <c r="AM29" i="66" s="1"/>
  <c r="BL233" i="37"/>
  <c r="AJ29" i="66" s="1"/>
  <c r="BK233" i="37"/>
  <c r="AI29" i="66" s="1"/>
  <c r="BJ233" i="37"/>
  <c r="AH29" i="66" s="1"/>
  <c r="BH233" i="37"/>
  <c r="AF29" i="66" s="1"/>
  <c r="BG233" i="37"/>
  <c r="AE29" i="66" s="1"/>
  <c r="BF233" i="37"/>
  <c r="AD29" i="66" s="1"/>
  <c r="AZ233" i="37"/>
  <c r="X29" i="66" s="1"/>
  <c r="AV233" i="37"/>
  <c r="T29" i="66" s="1"/>
  <c r="AS233" i="37"/>
  <c r="Q29" i="66" s="1"/>
  <c r="AR233" i="37"/>
  <c r="P29" i="66" s="1"/>
  <c r="AQ233" i="37"/>
  <c r="O29" i="66" s="1"/>
  <c r="AP233" i="37"/>
  <c r="N29" i="66" s="1"/>
  <c r="AO233" i="37"/>
  <c r="M29" i="66" s="1"/>
  <c r="AN233" i="37"/>
  <c r="L29" i="66" s="1"/>
  <c r="AM233" i="37"/>
  <c r="K29" i="66" s="1"/>
  <c r="AL233" i="37"/>
  <c r="J29" i="66" s="1"/>
  <c r="AK233" i="37"/>
  <c r="I29" i="66" s="1"/>
  <c r="AJ233" i="37"/>
  <c r="H29" i="66" s="1"/>
  <c r="AI233" i="37"/>
  <c r="G29" i="66" s="1"/>
  <c r="AH233" i="37"/>
  <c r="F29" i="66" s="1"/>
  <c r="AG233" i="37"/>
  <c r="AF233" i="37"/>
  <c r="AE233" i="37"/>
  <c r="AD233" i="37"/>
  <c r="AC233" i="37"/>
  <c r="CF232" i="37"/>
  <c r="BO232" i="37"/>
  <c r="BN232" i="37"/>
  <c r="BM232" i="37"/>
  <c r="BL232" i="37"/>
  <c r="BK232" i="37"/>
  <c r="BJ232" i="37"/>
  <c r="BI232" i="37"/>
  <c r="BH232" i="37"/>
  <c r="BG232" i="37"/>
  <c r="BF232" i="37"/>
  <c r="AZ232" i="37"/>
  <c r="AV232" i="37"/>
  <c r="AS232" i="37"/>
  <c r="AR232" i="37"/>
  <c r="AQ232" i="37"/>
  <c r="AP232" i="37"/>
  <c r="AO232" i="37"/>
  <c r="AN232" i="37"/>
  <c r="AM232" i="37"/>
  <c r="AL232" i="37"/>
  <c r="AK232" i="37"/>
  <c r="AJ232" i="37"/>
  <c r="AI232" i="37"/>
  <c r="AH232" i="37"/>
  <c r="AG232" i="37"/>
  <c r="AF232" i="37"/>
  <c r="E29" i="66" s="1"/>
  <c r="AE232" i="37"/>
  <c r="D29" i="66" s="1"/>
  <c r="AD232" i="37"/>
  <c r="C29" i="66" s="1"/>
  <c r="AC232" i="37"/>
  <c r="B29" i="66" s="1"/>
  <c r="CF231" i="37"/>
  <c r="BO231" i="37"/>
  <c r="BN231" i="37"/>
  <c r="BM231" i="37"/>
  <c r="BL231" i="37"/>
  <c r="BK231" i="37"/>
  <c r="BJ231" i="37"/>
  <c r="BI231" i="37"/>
  <c r="BH231" i="37"/>
  <c r="BG231" i="37"/>
  <c r="BF231" i="37"/>
  <c r="AZ231" i="37"/>
  <c r="AV231" i="37"/>
  <c r="AS231" i="37"/>
  <c r="AR231" i="37"/>
  <c r="AQ231" i="37"/>
  <c r="AP231" i="37"/>
  <c r="AO231" i="37"/>
  <c r="AN231" i="37"/>
  <c r="AM231" i="37"/>
  <c r="AL231" i="37"/>
  <c r="AK231" i="37"/>
  <c r="AJ231" i="37"/>
  <c r="AI231" i="37"/>
  <c r="AH231" i="37"/>
  <c r="AG231" i="37"/>
  <c r="AF231" i="37"/>
  <c r="AE231" i="37"/>
  <c r="AD231" i="37"/>
  <c r="AC231" i="37"/>
  <c r="CG229" i="37"/>
  <c r="CF229" i="37"/>
  <c r="CC229" i="37"/>
  <c r="CB229" i="37"/>
  <c r="BT229" i="37"/>
  <c r="BS229" i="37"/>
  <c r="BR229" i="37"/>
  <c r="BQ229" i="37"/>
  <c r="BP229" i="37"/>
  <c r="BO229" i="37"/>
  <c r="BN229" i="37"/>
  <c r="BM229" i="37"/>
  <c r="BL229" i="37"/>
  <c r="BK229" i="37"/>
  <c r="BJ229" i="37"/>
  <c r="BI229" i="37"/>
  <c r="BH229" i="37"/>
  <c r="BG229" i="37"/>
  <c r="BF229" i="37"/>
  <c r="BE229" i="37"/>
  <c r="BD229" i="37"/>
  <c r="BC229" i="37"/>
  <c r="BB229" i="37"/>
  <c r="BA229" i="37"/>
  <c r="AZ229" i="37"/>
  <c r="AY229" i="37"/>
  <c r="AX229" i="37"/>
  <c r="AW229" i="37"/>
  <c r="AV229" i="37"/>
  <c r="AU229" i="37"/>
  <c r="AT229" i="37"/>
  <c r="AS229" i="37"/>
  <c r="AR229" i="37"/>
  <c r="AQ229" i="37"/>
  <c r="AP229" i="37"/>
  <c r="AN229" i="37"/>
  <c r="AM229" i="37"/>
  <c r="AL229" i="37"/>
  <c r="AK229" i="37"/>
  <c r="AJ229" i="37"/>
  <c r="AI229" i="37"/>
  <c r="AH229" i="37"/>
  <c r="AG229" i="37"/>
  <c r="AF229" i="37"/>
  <c r="AE229" i="37"/>
  <c r="AD229" i="37"/>
  <c r="AG228" i="37"/>
  <c r="AB228" i="37"/>
  <c r="AA228" i="37"/>
  <c r="Z228" i="37"/>
  <c r="Y228" i="37"/>
  <c r="X228" i="37"/>
  <c r="W228" i="37"/>
  <c r="E228" i="37"/>
  <c r="CG227" i="37"/>
  <c r="CF227" i="37"/>
  <c r="CD227" i="37"/>
  <c r="CC227" i="37"/>
  <c r="CB227" i="37"/>
  <c r="BT227" i="37"/>
  <c r="BS227" i="37"/>
  <c r="BR227" i="37"/>
  <c r="BQ227" i="37"/>
  <c r="BP227" i="37"/>
  <c r="BO227" i="37"/>
  <c r="BN227" i="37"/>
  <c r="BM227" i="37"/>
  <c r="BL227" i="37"/>
  <c r="BK227" i="37"/>
  <c r="BJ227" i="37"/>
  <c r="BI227" i="37"/>
  <c r="BH227" i="37"/>
  <c r="BG227" i="37"/>
  <c r="BF227" i="37"/>
  <c r="BE227" i="37"/>
  <c r="BD227" i="37"/>
  <c r="BC227" i="37"/>
  <c r="BB227" i="37"/>
  <c r="BA227" i="37"/>
  <c r="AZ227" i="37"/>
  <c r="AY227" i="37"/>
  <c r="AX227" i="37"/>
  <c r="AW227" i="37"/>
  <c r="AV227" i="37"/>
  <c r="AU227" i="37"/>
  <c r="AT227" i="37"/>
  <c r="AS227" i="37"/>
  <c r="AR227" i="37"/>
  <c r="AQ227" i="37"/>
  <c r="AP227" i="37"/>
  <c r="AN227" i="37"/>
  <c r="AM227" i="37"/>
  <c r="AL227" i="37"/>
  <c r="AK227" i="37"/>
  <c r="AJ227" i="37"/>
  <c r="AI227" i="37"/>
  <c r="AH227" i="37"/>
  <c r="AG227" i="37"/>
  <c r="AF227" i="37"/>
  <c r="AE227" i="37"/>
  <c r="AB227" i="37"/>
  <c r="AA227" i="37"/>
  <c r="E227" i="37"/>
  <c r="CD226" i="37"/>
  <c r="CC226" i="37"/>
  <c r="CB226" i="37"/>
  <c r="BL226" i="37"/>
  <c r="BK226" i="37"/>
  <c r="BJ226" i="37"/>
  <c r="BI226" i="37"/>
  <c r="BH226" i="37"/>
  <c r="BG226" i="37"/>
  <c r="BF226" i="37"/>
  <c r="BE226" i="37"/>
  <c r="BD226" i="37"/>
  <c r="BC226" i="37"/>
  <c r="BB226" i="37"/>
  <c r="BA226" i="37"/>
  <c r="AZ226" i="37"/>
  <c r="AY226" i="37"/>
  <c r="AX226" i="37"/>
  <c r="AW226" i="37"/>
  <c r="AV226" i="37"/>
  <c r="AU226" i="37"/>
  <c r="AT226" i="37"/>
  <c r="AS226" i="37"/>
  <c r="AR226" i="37"/>
  <c r="AQ226" i="37"/>
  <c r="AP226" i="37"/>
  <c r="AN226" i="37"/>
  <c r="AM226" i="37"/>
  <c r="AL226" i="37"/>
  <c r="AK226" i="37"/>
  <c r="AJ226" i="37"/>
  <c r="AI226" i="37"/>
  <c r="AH226" i="37"/>
  <c r="AG226" i="37"/>
  <c r="AF226" i="37"/>
  <c r="AE226" i="37"/>
  <c r="AD226" i="37"/>
  <c r="AB226" i="37"/>
  <c r="AA226" i="37"/>
  <c r="Z226" i="37"/>
  <c r="Y226" i="37"/>
  <c r="X226" i="37"/>
  <c r="W226" i="37"/>
  <c r="E226" i="37"/>
  <c r="CG225" i="37"/>
  <c r="CF225" i="37"/>
  <c r="CD225" i="37"/>
  <c r="CC225" i="37"/>
  <c r="CB225" i="37"/>
  <c r="BT225" i="37"/>
  <c r="BS225" i="37"/>
  <c r="BR225" i="37"/>
  <c r="BQ225" i="37"/>
  <c r="BP225" i="37"/>
  <c r="BO225" i="37"/>
  <c r="BN225" i="37"/>
  <c r="BM225" i="37"/>
  <c r="BL225" i="37"/>
  <c r="BK225" i="37"/>
  <c r="BJ225" i="37"/>
  <c r="BI225" i="37"/>
  <c r="BH225" i="37"/>
  <c r="BG225" i="37"/>
  <c r="BF225" i="37"/>
  <c r="BE225" i="37"/>
  <c r="BD225" i="37"/>
  <c r="BC225" i="37"/>
  <c r="BB225" i="37"/>
  <c r="BA225" i="37"/>
  <c r="AZ225" i="37"/>
  <c r="AY225" i="37"/>
  <c r="AX225" i="37"/>
  <c r="AW225" i="37"/>
  <c r="AV225" i="37"/>
  <c r="AU225" i="37"/>
  <c r="AT225" i="37"/>
  <c r="AS225" i="37"/>
  <c r="AR225" i="37"/>
  <c r="AQ225" i="37"/>
  <c r="AP225" i="37"/>
  <c r="AN225" i="37"/>
  <c r="AM225" i="37"/>
  <c r="AL225" i="37"/>
  <c r="AK225" i="37"/>
  <c r="AJ225" i="37"/>
  <c r="AI225" i="37"/>
  <c r="AH225" i="37"/>
  <c r="AG225" i="37"/>
  <c r="AF225" i="37"/>
  <c r="AE225" i="37"/>
  <c r="AD225" i="37"/>
  <c r="AB225" i="37"/>
  <c r="AA225" i="37"/>
  <c r="Z225" i="37"/>
  <c r="Y225" i="37"/>
  <c r="X225" i="37"/>
  <c r="W225" i="37"/>
  <c r="E225" i="37"/>
  <c r="AB224" i="37"/>
  <c r="AA224" i="37"/>
  <c r="Z224" i="37"/>
  <c r="Y224" i="37"/>
  <c r="X224" i="37"/>
  <c r="W224" i="37"/>
  <c r="AT223" i="37"/>
  <c r="AS223" i="37"/>
  <c r="AT220" i="37"/>
  <c r="AS220" i="37"/>
  <c r="E220" i="37"/>
  <c r="AT219" i="37"/>
  <c r="AS219" i="37"/>
  <c r="E219" i="37"/>
  <c r="BA217" i="37"/>
  <c r="AZ217" i="37"/>
  <c r="AY217" i="37"/>
  <c r="AX217" i="37"/>
  <c r="AW217" i="37"/>
  <c r="AV217" i="37"/>
  <c r="AU217" i="37"/>
  <c r="AT217" i="37"/>
  <c r="AG214" i="37"/>
  <c r="J214" i="37"/>
  <c r="I214" i="37"/>
  <c r="H214" i="37"/>
  <c r="E214" i="37"/>
  <c r="AB213" i="37"/>
  <c r="AA213" i="37"/>
  <c r="Z213" i="37"/>
  <c r="Y213" i="37"/>
  <c r="X213" i="37"/>
  <c r="BQ211" i="37"/>
  <c r="X209" i="37"/>
  <c r="AQ205" i="37"/>
  <c r="AP205" i="37"/>
  <c r="AN205" i="37"/>
  <c r="AM205" i="37"/>
  <c r="R205" i="37"/>
  <c r="Q205" i="37"/>
  <c r="H205" i="37"/>
  <c r="G205" i="37"/>
  <c r="F205" i="37"/>
  <c r="E205" i="37"/>
  <c r="E207" i="37" s="1"/>
  <c r="D205" i="37"/>
  <c r="C205" i="37"/>
  <c r="B205" i="37"/>
  <c r="V204" i="37"/>
  <c r="U204" i="37"/>
  <c r="T204" i="37"/>
  <c r="S204" i="37"/>
  <c r="CF203" i="37"/>
  <c r="CB203" i="37"/>
  <c r="BL203" i="37"/>
  <c r="BI203" i="37"/>
  <c r="BA203" i="37"/>
  <c r="AZ203" i="37"/>
  <c r="AY203" i="37"/>
  <c r="AX203" i="37"/>
  <c r="AW203" i="37"/>
  <c r="AV203" i="37"/>
  <c r="AU203" i="37"/>
  <c r="AT203" i="37"/>
  <c r="AS203" i="37"/>
  <c r="AR203" i="37"/>
  <c r="AQ203" i="37"/>
  <c r="AP203" i="37"/>
  <c r="AN203" i="37"/>
  <c r="AM203" i="37"/>
  <c r="AL203" i="37"/>
  <c r="AK203" i="37"/>
  <c r="AJ203" i="37"/>
  <c r="AI203" i="37"/>
  <c r="AH203" i="37"/>
  <c r="AG203" i="37"/>
  <c r="AF203" i="37"/>
  <c r="AE203" i="37"/>
  <c r="AD203" i="37"/>
  <c r="H203" i="37"/>
  <c r="G203" i="37"/>
  <c r="F203" i="37"/>
  <c r="E203" i="37"/>
  <c r="D203" i="37"/>
  <c r="C203" i="37"/>
  <c r="B203" i="37"/>
  <c r="AB202" i="37"/>
  <c r="AA202" i="37"/>
  <c r="Z202" i="37"/>
  <c r="AQ201" i="37"/>
  <c r="AP201" i="37"/>
  <c r="AN201" i="37"/>
  <c r="AM201" i="37"/>
  <c r="AL201" i="37"/>
  <c r="AK201" i="37"/>
  <c r="AJ201" i="37"/>
  <c r="AI201" i="37"/>
  <c r="AH201" i="37"/>
  <c r="J201" i="37"/>
  <c r="E201" i="37"/>
  <c r="BR197" i="37"/>
  <c r="BN197" i="37"/>
  <c r="BM197" i="37"/>
  <c r="BM201" i="37" s="1"/>
  <c r="CA196" i="37"/>
  <c r="BY196" i="37"/>
  <c r="Z196" i="37"/>
  <c r="Z200" i="37" s="1"/>
  <c r="CF194" i="37"/>
  <c r="CF197" i="37" s="1"/>
  <c r="BL194" i="37"/>
  <c r="BL197" i="37" s="1"/>
  <c r="BI194" i="37"/>
  <c r="BI197" i="37" s="1"/>
  <c r="BA194" i="37"/>
  <c r="BA197" i="37" s="1"/>
  <c r="AZ194" i="37"/>
  <c r="AZ197" i="37" s="1"/>
  <c r="AY194" i="37"/>
  <c r="AY197" i="37" s="1"/>
  <c r="AX194" i="37"/>
  <c r="AX197" i="37" s="1"/>
  <c r="AW194" i="37"/>
  <c r="AW197" i="37" s="1"/>
  <c r="AV194" i="37"/>
  <c r="AV197" i="37" s="1"/>
  <c r="AV201" i="37" s="1"/>
  <c r="AU194" i="37"/>
  <c r="AU197" i="37" s="1"/>
  <c r="AT194" i="37"/>
  <c r="AT197" i="37" s="1"/>
  <c r="AT257" i="37" s="1"/>
  <c r="AS194" i="37"/>
  <c r="AS197" i="37" s="1"/>
  <c r="AR194" i="37"/>
  <c r="AR197" i="37" s="1"/>
  <c r="AQ194" i="37"/>
  <c r="AP194" i="37"/>
  <c r="AN194" i="37"/>
  <c r="AM194" i="37"/>
  <c r="AL194" i="37"/>
  <c r="AK194" i="37"/>
  <c r="AJ194" i="37"/>
  <c r="AI194" i="37"/>
  <c r="AH194" i="37"/>
  <c r="AG194" i="37"/>
  <c r="AG197" i="37" s="1"/>
  <c r="AG205" i="37" s="1"/>
  <c r="AF194" i="37"/>
  <c r="AF197" i="37" s="1"/>
  <c r="AE194" i="37"/>
  <c r="AE197" i="37" s="1"/>
  <c r="AD194" i="37"/>
  <c r="AD197" i="37" s="1"/>
  <c r="AB193" i="37"/>
  <c r="AB196" i="37" s="1"/>
  <c r="AB200" i="37" s="1"/>
  <c r="AA193" i="37"/>
  <c r="AA196" i="37" s="1"/>
  <c r="E193" i="37"/>
  <c r="CE192" i="37"/>
  <c r="CA192" i="37"/>
  <c r="BY192" i="37"/>
  <c r="CA191" i="37"/>
  <c r="BY191" i="37"/>
  <c r="BQ191" i="37"/>
  <c r="BQ194" i="37" s="1"/>
  <c r="BQ197" i="37" s="1"/>
  <c r="BP191" i="37"/>
  <c r="BP194" i="37" s="1"/>
  <c r="BP197" i="37" s="1"/>
  <c r="BM191" i="37"/>
  <c r="BM203" i="37" s="1"/>
  <c r="BK191" i="37"/>
  <c r="BK203" i="37" s="1"/>
  <c r="BD191" i="37"/>
  <c r="BD203" i="37" s="1"/>
  <c r="BC191" i="37"/>
  <c r="BC194" i="37" s="1"/>
  <c r="BC197" i="37" s="1"/>
  <c r="CG190" i="37"/>
  <c r="CD190" i="37"/>
  <c r="CA190" i="37"/>
  <c r="BY190" i="37"/>
  <c r="BI190" i="37"/>
  <c r="BH190" i="37"/>
  <c r="BG190" i="37"/>
  <c r="BG191" i="37" s="1"/>
  <c r="BE190" i="37"/>
  <c r="BB190" i="37"/>
  <c r="BB191" i="37" s="1"/>
  <c r="AG190" i="37"/>
  <c r="AD190" i="37"/>
  <c r="E190" i="37"/>
  <c r="D190" i="37"/>
  <c r="C190" i="37"/>
  <c r="B190" i="37"/>
  <c r="CE189" i="37"/>
  <c r="CA189" i="37"/>
  <c r="BY189" i="37"/>
  <c r="S189" i="37"/>
  <c r="CE188" i="37"/>
  <c r="CA188" i="37"/>
  <c r="BY188" i="37"/>
  <c r="BS185" i="37"/>
  <c r="BS186" i="37" s="1"/>
  <c r="BR185" i="37"/>
  <c r="BR186" i="37" s="1"/>
  <c r="BN185" i="37"/>
  <c r="BN186" i="37" s="1"/>
  <c r="CG183" i="37"/>
  <c r="CG185" i="37" s="1"/>
  <c r="CG186" i="37" s="1"/>
  <c r="CF183" i="37"/>
  <c r="CF185" i="37" s="1"/>
  <c r="CF186" i="37" s="1"/>
  <c r="CE183" i="37"/>
  <c r="CE185" i="37" s="1"/>
  <c r="CD183" i="37"/>
  <c r="CD185" i="37" s="1"/>
  <c r="CD186" i="37" s="1"/>
  <c r="CC183" i="37"/>
  <c r="CC185" i="37" s="1"/>
  <c r="CC186" i="37" s="1"/>
  <c r="CB183" i="37"/>
  <c r="CB185" i="37" s="1"/>
  <c r="CB186" i="37" s="1"/>
  <c r="CA183" i="37"/>
  <c r="CA185" i="37" s="1"/>
  <c r="BY183" i="37"/>
  <c r="BY185" i="37" s="1"/>
  <c r="BT183" i="37"/>
  <c r="BT185" i="37" s="1"/>
  <c r="BT186" i="37" s="1"/>
  <c r="BQ183" i="37"/>
  <c r="BQ185" i="37" s="1"/>
  <c r="BQ186" i="37" s="1"/>
  <c r="BP183" i="37"/>
  <c r="BP185" i="37" s="1"/>
  <c r="BP186" i="37" s="1"/>
  <c r="BO183" i="37"/>
  <c r="BO185" i="37" s="1"/>
  <c r="BO186" i="37" s="1"/>
  <c r="BM183" i="37"/>
  <c r="BM185" i="37" s="1"/>
  <c r="BM186" i="37" s="1"/>
  <c r="BL183" i="37"/>
  <c r="BL185" i="37" s="1"/>
  <c r="BL186" i="37" s="1"/>
  <c r="BK183" i="37"/>
  <c r="BK185" i="37" s="1"/>
  <c r="BK186" i="37" s="1"/>
  <c r="BJ183" i="37"/>
  <c r="BJ185" i="37" s="1"/>
  <c r="BJ186" i="37" s="1"/>
  <c r="BI183" i="37"/>
  <c r="BI185" i="37" s="1"/>
  <c r="BI186" i="37" s="1"/>
  <c r="BH183" i="37"/>
  <c r="BH185" i="37" s="1"/>
  <c r="BH186" i="37" s="1"/>
  <c r="BG183" i="37"/>
  <c r="BG185" i="37" s="1"/>
  <c r="BG186" i="37" s="1"/>
  <c r="BF183" i="37"/>
  <c r="BF185" i="37" s="1"/>
  <c r="BF186" i="37" s="1"/>
  <c r="BE183" i="37"/>
  <c r="BE185" i="37" s="1"/>
  <c r="BE186" i="37" s="1"/>
  <c r="BD183" i="37"/>
  <c r="BD185" i="37" s="1"/>
  <c r="BD186" i="37" s="1"/>
  <c r="BC183" i="37"/>
  <c r="BC185" i="37" s="1"/>
  <c r="BC186" i="37" s="1"/>
  <c r="BB183" i="37"/>
  <c r="BB185" i="37" s="1"/>
  <c r="BB186" i="37" s="1"/>
  <c r="BA183" i="37"/>
  <c r="BA185" i="37" s="1"/>
  <c r="BA186" i="37" s="1"/>
  <c r="AZ183" i="37"/>
  <c r="AZ185" i="37" s="1"/>
  <c r="AZ186" i="37" s="1"/>
  <c r="AY183" i="37"/>
  <c r="AY185" i="37" s="1"/>
  <c r="AY186" i="37" s="1"/>
  <c r="AX183" i="37"/>
  <c r="AX185" i="37" s="1"/>
  <c r="AX186" i="37" s="1"/>
  <c r="AW183" i="37"/>
  <c r="AW185" i="37" s="1"/>
  <c r="AW186" i="37" s="1"/>
  <c r="AV183" i="37"/>
  <c r="AV185" i="37" s="1"/>
  <c r="AV186" i="37" s="1"/>
  <c r="AU183" i="37"/>
  <c r="AU185" i="37" s="1"/>
  <c r="AU186" i="37" s="1"/>
  <c r="AT183" i="37"/>
  <c r="AT185" i="37" s="1"/>
  <c r="AT186" i="37" s="1"/>
  <c r="AS183" i="37"/>
  <c r="AS185" i="37" s="1"/>
  <c r="AS186" i="37" s="1"/>
  <c r="AR183" i="37"/>
  <c r="AR185" i="37" s="1"/>
  <c r="AR186" i="37" s="1"/>
  <c r="AQ183" i="37"/>
  <c r="AQ185" i="37" s="1"/>
  <c r="AQ186" i="37" s="1"/>
  <c r="AP183" i="37"/>
  <c r="AP185" i="37" s="1"/>
  <c r="AP186" i="37" s="1"/>
  <c r="AN183" i="37"/>
  <c r="AN185" i="37" s="1"/>
  <c r="AN186" i="37" s="1"/>
  <c r="AM183" i="37"/>
  <c r="AM185" i="37" s="1"/>
  <c r="AM186" i="37" s="1"/>
  <c r="AL183" i="37"/>
  <c r="AL185" i="37" s="1"/>
  <c r="AL186" i="37" s="1"/>
  <c r="AK183" i="37"/>
  <c r="AK185" i="37" s="1"/>
  <c r="AK186" i="37" s="1"/>
  <c r="AJ183" i="37"/>
  <c r="AJ185" i="37" s="1"/>
  <c r="AJ186" i="37" s="1"/>
  <c r="AI183" i="37"/>
  <c r="AI185" i="37" s="1"/>
  <c r="AI186" i="37" s="1"/>
  <c r="AH183" i="37"/>
  <c r="AH185" i="37" s="1"/>
  <c r="AH186" i="37" s="1"/>
  <c r="AG183" i="37"/>
  <c r="AG185" i="37" s="1"/>
  <c r="AG186" i="37" s="1"/>
  <c r="AF183" i="37"/>
  <c r="AF185" i="37" s="1"/>
  <c r="AF186" i="37" s="1"/>
  <c r="AE183" i="37"/>
  <c r="AE185" i="37" s="1"/>
  <c r="AE186" i="37" s="1"/>
  <c r="AD183" i="37"/>
  <c r="AD185" i="37" s="1"/>
  <c r="AD186" i="37" s="1"/>
  <c r="AC183" i="37"/>
  <c r="AC185" i="37" s="1"/>
  <c r="AC186" i="37" s="1"/>
  <c r="CG182" i="37"/>
  <c r="CF182" i="37"/>
  <c r="CD182" i="37"/>
  <c r="CC182" i="37"/>
  <c r="CB182" i="37"/>
  <c r="BS182" i="37"/>
  <c r="AQ23" i="66" s="1"/>
  <c r="BR182" i="37"/>
  <c r="AP23" i="66" s="1"/>
  <c r="BQ182" i="37"/>
  <c r="AO23" i="66" s="1"/>
  <c r="BP182" i="37"/>
  <c r="AN23" i="66" s="1"/>
  <c r="BO182" i="37"/>
  <c r="AM23" i="66" s="1"/>
  <c r="BN182" i="37"/>
  <c r="AL23" i="66" s="1"/>
  <c r="BM182" i="37"/>
  <c r="AK23" i="66" s="1"/>
  <c r="BL182" i="37"/>
  <c r="AJ23" i="66" s="1"/>
  <c r="BK182" i="37"/>
  <c r="AI23" i="66" s="1"/>
  <c r="BJ182" i="37"/>
  <c r="AH23" i="66" s="1"/>
  <c r="BI182" i="37"/>
  <c r="AG23" i="66" s="1"/>
  <c r="BH182" i="37"/>
  <c r="AF23" i="66" s="1"/>
  <c r="BG182" i="37"/>
  <c r="AE23" i="66" s="1"/>
  <c r="BF182" i="37"/>
  <c r="AD23" i="66" s="1"/>
  <c r="BE182" i="37"/>
  <c r="AC23" i="66" s="1"/>
  <c r="BD182" i="37"/>
  <c r="AB23" i="66" s="1"/>
  <c r="BC182" i="37"/>
  <c r="AA23" i="66" s="1"/>
  <c r="BB182" i="37"/>
  <c r="Z23" i="66" s="1"/>
  <c r="BA182" i="37"/>
  <c r="Y23" i="66" s="1"/>
  <c r="AZ182" i="37"/>
  <c r="X23" i="66" s="1"/>
  <c r="AY182" i="37"/>
  <c r="W23" i="66" s="1"/>
  <c r="AX182" i="37"/>
  <c r="V23" i="66" s="1"/>
  <c r="AW182" i="37"/>
  <c r="U23" i="66" s="1"/>
  <c r="AV182" i="37"/>
  <c r="T23" i="66" s="1"/>
  <c r="AU182" i="37"/>
  <c r="S23" i="66" s="1"/>
  <c r="AT182" i="37"/>
  <c r="R23" i="66" s="1"/>
  <c r="AR182" i="37"/>
  <c r="P23" i="66" s="1"/>
  <c r="AQ182" i="37"/>
  <c r="O23" i="66" s="1"/>
  <c r="AP182" i="37"/>
  <c r="N23" i="66" s="1"/>
  <c r="AN182" i="37"/>
  <c r="L23" i="66" s="1"/>
  <c r="AM182" i="37"/>
  <c r="K23" i="66" s="1"/>
  <c r="AL182" i="37"/>
  <c r="J23" i="66" s="1"/>
  <c r="AK182" i="37"/>
  <c r="I23" i="66" s="1"/>
  <c r="AJ182" i="37"/>
  <c r="H23" i="66" s="1"/>
  <c r="AI182" i="37"/>
  <c r="G23" i="66" s="1"/>
  <c r="AH182" i="37"/>
  <c r="F23" i="66" s="1"/>
  <c r="AG182" i="37"/>
  <c r="AF182" i="37"/>
  <c r="E23" i="66" s="1"/>
  <c r="AE182" i="37"/>
  <c r="D23" i="66" s="1"/>
  <c r="AD182" i="37"/>
  <c r="C23" i="66" s="1"/>
  <c r="AC182" i="37"/>
  <c r="B23" i="66" s="1"/>
  <c r="AB182" i="37"/>
  <c r="AB183" i="37" s="1"/>
  <c r="AB185" i="37" s="1"/>
  <c r="BT181" i="37"/>
  <c r="BS181" i="37"/>
  <c r="BR181" i="37"/>
  <c r="BQ181" i="37"/>
  <c r="BP181" i="37"/>
  <c r="BO181" i="37"/>
  <c r="BN181" i="37"/>
  <c r="BM181" i="37"/>
  <c r="BL181" i="37"/>
  <c r="BK181" i="37"/>
  <c r="BJ181" i="37"/>
  <c r="BI181" i="37"/>
  <c r="BH181" i="37"/>
  <c r="BG181" i="37"/>
  <c r="BF181" i="37"/>
  <c r="BE181" i="37"/>
  <c r="BC181" i="37"/>
  <c r="BB181" i="37"/>
  <c r="BA181" i="37"/>
  <c r="AZ181" i="37"/>
  <c r="AY181" i="37"/>
  <c r="AX181" i="37"/>
  <c r="AW181" i="37"/>
  <c r="AV181" i="37"/>
  <c r="AU181" i="37"/>
  <c r="AT181" i="37"/>
  <c r="AS181" i="37"/>
  <c r="AR181" i="37"/>
  <c r="AQ181" i="37"/>
  <c r="AP181" i="37"/>
  <c r="AO181" i="37"/>
  <c r="AN181" i="37"/>
  <c r="AM181" i="37"/>
  <c r="AL181" i="37"/>
  <c r="AK181" i="37"/>
  <c r="AJ181" i="37"/>
  <c r="AI181" i="37"/>
  <c r="AH181" i="37"/>
  <c r="AB180" i="37"/>
  <c r="P178" i="37"/>
  <c r="O178" i="37"/>
  <c r="N178" i="37"/>
  <c r="M178" i="37"/>
  <c r="L178" i="37"/>
  <c r="K178" i="37"/>
  <c r="J178" i="37"/>
  <c r="BL176" i="37"/>
  <c r="BK176" i="37"/>
  <c r="AZ176" i="37"/>
  <c r="AY176" i="37"/>
  <c r="AX176" i="37"/>
  <c r="AW176" i="37"/>
  <c r="AV176" i="37"/>
  <c r="T24" i="66" s="1"/>
  <c r="AU176" i="37"/>
  <c r="S24" i="66" s="1"/>
  <c r="AT176" i="37"/>
  <c r="AS176" i="37"/>
  <c r="Q24" i="66" s="1"/>
  <c r="AR176" i="37"/>
  <c r="AQ176" i="37"/>
  <c r="AP176" i="37"/>
  <c r="AN176" i="37"/>
  <c r="L24" i="66" s="1"/>
  <c r="AM176" i="37"/>
  <c r="AG176" i="37"/>
  <c r="AG177" i="37" s="1"/>
  <c r="G176" i="37"/>
  <c r="F176" i="37"/>
  <c r="E176" i="37"/>
  <c r="E177" i="37" s="1"/>
  <c r="D176" i="37"/>
  <c r="C176" i="37"/>
  <c r="B176" i="37"/>
  <c r="AB175" i="37"/>
  <c r="AB176" i="37" s="1"/>
  <c r="AA175" i="37"/>
  <c r="AA176" i="37" s="1"/>
  <c r="E175" i="37"/>
  <c r="AR174" i="37"/>
  <c r="AH174" i="37"/>
  <c r="AG174" i="37"/>
  <c r="AF174" i="37"/>
  <c r="AE174" i="37"/>
  <c r="AD174" i="37"/>
  <c r="J174" i="37"/>
  <c r="E174" i="37"/>
  <c r="CA173" i="37"/>
  <c r="AB173" i="37"/>
  <c r="AA173" i="37"/>
  <c r="Z173" i="37"/>
  <c r="H171" i="37"/>
  <c r="G171" i="37"/>
  <c r="F171" i="37"/>
  <c r="E171" i="37"/>
  <c r="D171" i="37"/>
  <c r="C171" i="37"/>
  <c r="B171" i="37"/>
  <c r="BL170" i="37"/>
  <c r="BO169" i="37"/>
  <c r="BN169" i="37"/>
  <c r="BM169" i="37"/>
  <c r="BL169" i="37"/>
  <c r="BK169" i="37"/>
  <c r="BJ169" i="37"/>
  <c r="CG168" i="37"/>
  <c r="CG234" i="37" s="1"/>
  <c r="CD168" i="37"/>
  <c r="CD234" i="37" s="1"/>
  <c r="CC168" i="37"/>
  <c r="CC234" i="37" s="1"/>
  <c r="CB168" i="37"/>
  <c r="CB234" i="37" s="1"/>
  <c r="CA168" i="37"/>
  <c r="BT168" i="37"/>
  <c r="BT234" i="37" s="1"/>
  <c r="BS168" i="37"/>
  <c r="BR168" i="37"/>
  <c r="BV169" i="37" s="1"/>
  <c r="BQ168" i="37"/>
  <c r="BQ234" i="37" s="1"/>
  <c r="BP168" i="37"/>
  <c r="BP234" i="37" s="1"/>
  <c r="BE168" i="37"/>
  <c r="BE234" i="37" s="1"/>
  <c r="BD168" i="37"/>
  <c r="BD234" i="37" s="1"/>
  <c r="BC168" i="37"/>
  <c r="BC234" i="37" s="1"/>
  <c r="BB168" i="37"/>
  <c r="BB234" i="37" s="1"/>
  <c r="BA168" i="37"/>
  <c r="BA234" i="37" s="1"/>
  <c r="AY168" i="37"/>
  <c r="AY234" i="37" s="1"/>
  <c r="AX168" i="37"/>
  <c r="AX234" i="37" s="1"/>
  <c r="AW168" i="37"/>
  <c r="AW234" i="37" s="1"/>
  <c r="AU168" i="37"/>
  <c r="AT168" i="37"/>
  <c r="BV170" i="37" s="1"/>
  <c r="AB168" i="37"/>
  <c r="AA168" i="37"/>
  <c r="Y168" i="37"/>
  <c r="X168" i="37"/>
  <c r="W168" i="37"/>
  <c r="BL167" i="37"/>
  <c r="BO166" i="37"/>
  <c r="BL166" i="37"/>
  <c r="BK166" i="37"/>
  <c r="BJ166" i="37"/>
  <c r="CE165" i="37"/>
  <c r="CD165" i="37"/>
  <c r="CD233" i="37" s="1"/>
  <c r="CC165" i="37"/>
  <c r="CC233" i="37" s="1"/>
  <c r="CB165" i="37"/>
  <c r="CB233" i="37" s="1"/>
  <c r="CA165" i="37"/>
  <c r="BI165" i="37"/>
  <c r="BI233" i="37" s="1"/>
  <c r="AG29" i="66" s="1"/>
  <c r="BE165" i="37"/>
  <c r="BE233" i="37" s="1"/>
  <c r="AC29" i="66" s="1"/>
  <c r="BD165" i="37"/>
  <c r="BD233" i="37" s="1"/>
  <c r="AB29" i="66" s="1"/>
  <c r="BC165" i="37"/>
  <c r="BC233" i="37" s="1"/>
  <c r="AA29" i="66" s="1"/>
  <c r="BB165" i="37"/>
  <c r="BB233" i="37" s="1"/>
  <c r="Z29" i="66" s="1"/>
  <c r="BA165" i="37"/>
  <c r="BA233" i="37" s="1"/>
  <c r="Y29" i="66" s="1"/>
  <c r="AY165" i="37"/>
  <c r="AY233" i="37" s="1"/>
  <c r="W29" i="66" s="1"/>
  <c r="AX165" i="37"/>
  <c r="AX233" i="37" s="1"/>
  <c r="V29" i="66" s="1"/>
  <c r="AW165" i="37"/>
  <c r="AW233" i="37" s="1"/>
  <c r="U29" i="66" s="1"/>
  <c r="AU165" i="37"/>
  <c r="AT165" i="37"/>
  <c r="BV167" i="37" s="1"/>
  <c r="BL164" i="37"/>
  <c r="BO163" i="37"/>
  <c r="BN163" i="37"/>
  <c r="BM163" i="37"/>
  <c r="BL163" i="37"/>
  <c r="BK163" i="37"/>
  <c r="BJ163" i="37"/>
  <c r="CG162" i="37"/>
  <c r="CG232" i="37" s="1"/>
  <c r="CD162" i="37"/>
  <c r="CD232" i="37" s="1"/>
  <c r="CC162" i="37"/>
  <c r="CC232" i="37" s="1"/>
  <c r="CB162" i="37"/>
  <c r="CB232" i="37" s="1"/>
  <c r="CA162" i="37"/>
  <c r="BT162" i="37"/>
  <c r="BT232" i="37" s="1"/>
  <c r="BS162" i="37"/>
  <c r="BW163" i="37" s="1"/>
  <c r="BR162" i="37"/>
  <c r="BQ162" i="37"/>
  <c r="BQ232" i="37" s="1"/>
  <c r="BP162" i="37"/>
  <c r="BP232" i="37" s="1"/>
  <c r="BE162" i="37"/>
  <c r="BE232" i="37" s="1"/>
  <c r="BD162" i="37"/>
  <c r="BD232" i="37" s="1"/>
  <c r="BC162" i="37"/>
  <c r="BC232" i="37" s="1"/>
  <c r="BB162" i="37"/>
  <c r="BB232" i="37" s="1"/>
  <c r="BA162" i="37"/>
  <c r="BA232" i="37" s="1"/>
  <c r="AY162" i="37"/>
  <c r="AY232" i="37" s="1"/>
  <c r="AX162" i="37"/>
  <c r="AX232" i="37" s="1"/>
  <c r="AW162" i="37"/>
  <c r="AW232" i="37" s="1"/>
  <c r="AU162" i="37"/>
  <c r="BW164" i="37" s="1"/>
  <c r="AT162" i="37"/>
  <c r="BL161" i="37"/>
  <c r="BO160" i="37"/>
  <c r="BN160" i="37"/>
  <c r="BM160" i="37"/>
  <c r="BL160" i="37"/>
  <c r="BK160" i="37"/>
  <c r="BJ160" i="37"/>
  <c r="CG159" i="37"/>
  <c r="CG231" i="37" s="1"/>
  <c r="CD159" i="37"/>
  <c r="CD231" i="37" s="1"/>
  <c r="CC159" i="37"/>
  <c r="CC231" i="37" s="1"/>
  <c r="CB159" i="37"/>
  <c r="CB231" i="37" s="1"/>
  <c r="CA159" i="37"/>
  <c r="BT159" i="37"/>
  <c r="BS159" i="37"/>
  <c r="BR159" i="37"/>
  <c r="BQ159" i="37"/>
  <c r="BQ231" i="37" s="1"/>
  <c r="BP159" i="37"/>
  <c r="BP231" i="37" s="1"/>
  <c r="BE159" i="37"/>
  <c r="BE231" i="37" s="1"/>
  <c r="BD159" i="37"/>
  <c r="BD231" i="37" s="1"/>
  <c r="BC159" i="37"/>
  <c r="BC231" i="37" s="1"/>
  <c r="BB159" i="37"/>
  <c r="BB231" i="37" s="1"/>
  <c r="BA159" i="37"/>
  <c r="BA231" i="37" s="1"/>
  <c r="AY159" i="37"/>
  <c r="AY231" i="37" s="1"/>
  <c r="AX159" i="37"/>
  <c r="AX231" i="37" s="1"/>
  <c r="AW159" i="37"/>
  <c r="AU159" i="37"/>
  <c r="AT159" i="37"/>
  <c r="R159" i="37"/>
  <c r="Q159" i="37"/>
  <c r="P159" i="37"/>
  <c r="N159" i="37"/>
  <c r="M159" i="37"/>
  <c r="L159" i="37"/>
  <c r="K159" i="37"/>
  <c r="I159" i="37"/>
  <c r="H159" i="37"/>
  <c r="G159" i="37"/>
  <c r="F159" i="37"/>
  <c r="J159" i="37" s="1"/>
  <c r="D159" i="37"/>
  <c r="C159" i="37"/>
  <c r="B159" i="37"/>
  <c r="E159" i="37" s="1"/>
  <c r="CG157" i="37"/>
  <c r="CG176" i="37" s="1"/>
  <c r="CF157" i="37"/>
  <c r="CE157" i="37"/>
  <c r="CE176" i="37" s="1"/>
  <c r="CD157" i="37"/>
  <c r="CC157" i="37"/>
  <c r="CA157" i="37"/>
  <c r="BY157" i="37"/>
  <c r="BY176" i="37" s="1"/>
  <c r="BT157" i="37"/>
  <c r="BS157" i="37"/>
  <c r="BW254" i="37" s="1"/>
  <c r="BR157" i="37"/>
  <c r="BV254" i="37" s="1"/>
  <c r="BQ157" i="37"/>
  <c r="BP157" i="37"/>
  <c r="BO157" i="37"/>
  <c r="BO254" i="37" s="1"/>
  <c r="BM157" i="37"/>
  <c r="BI157" i="37"/>
  <c r="BI176" i="37" s="1"/>
  <c r="BH157" i="37"/>
  <c r="BH176" i="37" s="1"/>
  <c r="BG157" i="37"/>
  <c r="BF157" i="37"/>
  <c r="BE157" i="37"/>
  <c r="BD157" i="37"/>
  <c r="BD176" i="37" s="1"/>
  <c r="BC157" i="37"/>
  <c r="BC254" i="37" s="1"/>
  <c r="BB157" i="37"/>
  <c r="BB176" i="37" s="1"/>
  <c r="BA157" i="37"/>
  <c r="AL157" i="37"/>
  <c r="AK157" i="37"/>
  <c r="AK176" i="37" s="1"/>
  <c r="AJ157" i="37"/>
  <c r="AJ176" i="37" s="1"/>
  <c r="AI157" i="37"/>
  <c r="AI176" i="37" s="1"/>
  <c r="AH157" i="37"/>
  <c r="AH176" i="37" s="1"/>
  <c r="AF157" i="37"/>
  <c r="AE157" i="37"/>
  <c r="AE228" i="37" s="1"/>
  <c r="AD157" i="37"/>
  <c r="AD228" i="37" s="1"/>
  <c r="Z157" i="37"/>
  <c r="Z227" i="37" s="1"/>
  <c r="BL156" i="37"/>
  <c r="BK156" i="37"/>
  <c r="BJ156" i="37"/>
  <c r="BI156" i="37"/>
  <c r="BH156" i="37"/>
  <c r="BG156" i="37"/>
  <c r="BF156" i="37"/>
  <c r="BA156" i="37"/>
  <c r="AW156" i="37"/>
  <c r="AV156" i="37"/>
  <c r="AU156" i="37"/>
  <c r="AR156" i="37"/>
  <c r="AP156" i="37"/>
  <c r="AG156" i="37"/>
  <c r="AB156" i="37"/>
  <c r="Z156" i="37"/>
  <c r="Y156" i="37"/>
  <c r="X156" i="37"/>
  <c r="U156" i="37"/>
  <c r="I156" i="37"/>
  <c r="H156" i="37"/>
  <c r="CE154" i="37"/>
  <c r="CD154" i="37"/>
  <c r="CC154" i="37"/>
  <c r="BE154" i="37"/>
  <c r="BE156" i="37" s="1"/>
  <c r="AZ154" i="37"/>
  <c r="AZ156" i="37" s="1"/>
  <c r="AY154" i="37"/>
  <c r="AX154" i="37"/>
  <c r="AS154" i="37"/>
  <c r="AS156" i="37" s="1"/>
  <c r="AS255" i="37" s="1"/>
  <c r="V154" i="37"/>
  <c r="V156" i="37" s="1"/>
  <c r="T154" i="37"/>
  <c r="T156" i="37" s="1"/>
  <c r="CE153" i="37"/>
  <c r="CD153" i="37"/>
  <c r="CC153" i="37"/>
  <c r="BD153" i="37"/>
  <c r="BD156" i="37" s="1"/>
  <c r="BC153" i="37"/>
  <c r="BC156" i="37" s="1"/>
  <c r="BB153" i="37"/>
  <c r="BB156" i="37" s="1"/>
  <c r="AY153" i="37"/>
  <c r="AX153" i="37"/>
  <c r="AT153" i="37"/>
  <c r="CB153" i="37" s="1"/>
  <c r="CB156" i="37" s="1"/>
  <c r="AQ153" i="37"/>
  <c r="AQ156" i="37" s="1"/>
  <c r="AN153" i="37"/>
  <c r="AN156" i="37" s="1"/>
  <c r="AM153" i="37"/>
  <c r="AM156" i="37" s="1"/>
  <c r="AL153" i="37"/>
  <c r="AL156" i="37" s="1"/>
  <c r="AK153" i="37"/>
  <c r="AK156" i="37" s="1"/>
  <c r="AJ153" i="37"/>
  <c r="AJ156" i="37" s="1"/>
  <c r="AI153" i="37"/>
  <c r="AI156" i="37" s="1"/>
  <c r="AH153" i="37"/>
  <c r="AH156" i="37" s="1"/>
  <c r="AF153" i="37"/>
  <c r="AF156" i="37" s="1"/>
  <c r="AE153" i="37"/>
  <c r="AE156" i="37" s="1"/>
  <c r="AD153" i="37"/>
  <c r="AA153" i="37"/>
  <c r="AA156" i="37" s="1"/>
  <c r="W153" i="37"/>
  <c r="W156" i="37" s="1"/>
  <c r="G153" i="37"/>
  <c r="G156" i="37" s="1"/>
  <c r="F153" i="37"/>
  <c r="F156" i="37" s="1"/>
  <c r="CA150" i="37"/>
  <c r="AD150" i="37"/>
  <c r="S150" i="37"/>
  <c r="S156" i="37" s="1"/>
  <c r="R150" i="37"/>
  <c r="R156" i="37" s="1"/>
  <c r="Q150" i="37"/>
  <c r="Q156" i="37" s="1"/>
  <c r="CA149" i="37"/>
  <c r="AD149" i="37"/>
  <c r="CG148" i="37"/>
  <c r="CG165" i="37" s="1"/>
  <c r="CG233" i="37" s="1"/>
  <c r="CF148" i="37"/>
  <c r="CA148" i="37"/>
  <c r="BT148" i="37"/>
  <c r="BT156" i="37" s="1"/>
  <c r="BS148" i="37"/>
  <c r="BR148" i="37"/>
  <c r="BQ148" i="37"/>
  <c r="BP148" i="37"/>
  <c r="BP156" i="37" s="1"/>
  <c r="BO148" i="37"/>
  <c r="BO156" i="37" s="1"/>
  <c r="BN148" i="37"/>
  <c r="BN165" i="37" s="1"/>
  <c r="BN233" i="37" s="1"/>
  <c r="AL29" i="66" s="1"/>
  <c r="BM148" i="37"/>
  <c r="BM156" i="37" s="1"/>
  <c r="CA147" i="37"/>
  <c r="J144" i="37"/>
  <c r="E144" i="37"/>
  <c r="BZ143" i="37"/>
  <c r="AO143" i="37"/>
  <c r="AH143" i="37"/>
  <c r="AG143" i="37"/>
  <c r="AG144" i="37" s="1"/>
  <c r="AF143" i="37"/>
  <c r="AE143" i="37"/>
  <c r="AE175" i="37" s="1"/>
  <c r="AB143" i="37"/>
  <c r="AB174" i="37" s="1"/>
  <c r="AA143" i="37"/>
  <c r="AA174" i="37" s="1"/>
  <c r="Z143" i="37"/>
  <c r="Z144" i="37" s="1"/>
  <c r="Y143" i="37"/>
  <c r="Y11" i="37" s="1"/>
  <c r="X143" i="37"/>
  <c r="W143" i="37"/>
  <c r="W11" i="37" s="1"/>
  <c r="V143" i="37"/>
  <c r="CA142" i="37"/>
  <c r="BY142" i="37"/>
  <c r="AD142" i="37"/>
  <c r="AD143" i="37" s="1"/>
  <c r="AD11" i="37" s="1"/>
  <c r="J142" i="37"/>
  <c r="I142" i="37"/>
  <c r="BT139" i="37"/>
  <c r="BS139" i="37"/>
  <c r="BR139" i="37"/>
  <c r="BQ139" i="37"/>
  <c r="BP139" i="37"/>
  <c r="BO139" i="37"/>
  <c r="BN139" i="37"/>
  <c r="BM139" i="37"/>
  <c r="BL139" i="37"/>
  <c r="BK139" i="37"/>
  <c r="BJ139" i="37"/>
  <c r="BT136" i="37"/>
  <c r="BS136" i="37"/>
  <c r="BR136" i="37"/>
  <c r="BT135" i="37"/>
  <c r="BS135" i="37"/>
  <c r="BR135" i="37"/>
  <c r="BQ135" i="37"/>
  <c r="BP135" i="37"/>
  <c r="BO135" i="37"/>
  <c r="BN135" i="37"/>
  <c r="BM135" i="37"/>
  <c r="BL135" i="37"/>
  <c r="BK135" i="37"/>
  <c r="BJ135" i="37"/>
  <c r="BT132" i="37"/>
  <c r="BS132" i="37"/>
  <c r="BR132" i="37"/>
  <c r="BT131" i="37"/>
  <c r="BS131" i="37"/>
  <c r="BR131" i="37"/>
  <c r="BQ131" i="37"/>
  <c r="BP131" i="37"/>
  <c r="BO131" i="37"/>
  <c r="BN131" i="37"/>
  <c r="BM131" i="37"/>
  <c r="BL131" i="37"/>
  <c r="BK131" i="37"/>
  <c r="BJ131" i="37"/>
  <c r="CG127" i="37"/>
  <c r="CF127" i="37"/>
  <c r="CD127" i="37"/>
  <c r="CC127" i="37"/>
  <c r="BT127" i="37"/>
  <c r="BS127" i="37"/>
  <c r="BR127" i="37"/>
  <c r="BQ127" i="37"/>
  <c r="BP127" i="37"/>
  <c r="BO127" i="37"/>
  <c r="BN127" i="37"/>
  <c r="BM127" i="37"/>
  <c r="BL127" i="37"/>
  <c r="BK127" i="37"/>
  <c r="BJ127" i="37"/>
  <c r="BI127" i="37"/>
  <c r="BH127" i="37"/>
  <c r="BG127" i="37"/>
  <c r="BF127" i="37"/>
  <c r="BE127" i="37"/>
  <c r="BD127" i="37"/>
  <c r="BC127" i="37"/>
  <c r="BB127" i="37"/>
  <c r="CG126" i="37"/>
  <c r="CD126" i="37"/>
  <c r="CC126" i="37"/>
  <c r="CB126" i="37"/>
  <c r="BT126" i="37"/>
  <c r="BS126" i="37"/>
  <c r="BR126" i="37"/>
  <c r="BQ126" i="37"/>
  <c r="BP126" i="37"/>
  <c r="BO126" i="37"/>
  <c r="BN126" i="37"/>
  <c r="BM126" i="37"/>
  <c r="BL126" i="37"/>
  <c r="BK126" i="37"/>
  <c r="BJ126" i="37"/>
  <c r="BC126" i="37"/>
  <c r="BB126" i="37"/>
  <c r="AZ126" i="37"/>
  <c r="AY126" i="37"/>
  <c r="AX126" i="37"/>
  <c r="CE125" i="37"/>
  <c r="AW125" i="37"/>
  <c r="BA126" i="37" s="1"/>
  <c r="AS125" i="37"/>
  <c r="AR125" i="37"/>
  <c r="AV126" i="37" s="1"/>
  <c r="AQ125" i="37"/>
  <c r="AP125" i="37"/>
  <c r="AT126" i="37" s="1"/>
  <c r="AO125" i="37"/>
  <c r="AN125" i="37"/>
  <c r="AM125" i="37"/>
  <c r="AL125" i="37"/>
  <c r="AK125" i="37"/>
  <c r="AJ125" i="37"/>
  <c r="AI125" i="37"/>
  <c r="AH125" i="37"/>
  <c r="AG125" i="37"/>
  <c r="AF125" i="37"/>
  <c r="AE125" i="37"/>
  <c r="AD125" i="37"/>
  <c r="AC125" i="37"/>
  <c r="CF124" i="37"/>
  <c r="CD124" i="37"/>
  <c r="CC124" i="37"/>
  <c r="BO124" i="37"/>
  <c r="BM124" i="37"/>
  <c r="BL124" i="37"/>
  <c r="BK124" i="37"/>
  <c r="BJ124" i="37"/>
  <c r="BI124" i="37"/>
  <c r="BH124" i="37"/>
  <c r="BG124" i="37"/>
  <c r="BF124" i="37"/>
  <c r="BE124" i="37"/>
  <c r="BD124" i="37"/>
  <c r="BC124" i="37"/>
  <c r="BB124" i="37"/>
  <c r="BO123" i="37"/>
  <c r="BL123" i="37"/>
  <c r="BK123" i="37"/>
  <c r="BJ123" i="37"/>
  <c r="CD122" i="37"/>
  <c r="CC122" i="37"/>
  <c r="CB122" i="37"/>
  <c r="BO122" i="37"/>
  <c r="BM122" i="37"/>
  <c r="BL122" i="37"/>
  <c r="BK122" i="37"/>
  <c r="BJ122" i="37"/>
  <c r="BC122" i="37"/>
  <c r="BB122" i="37"/>
  <c r="AZ122" i="37"/>
  <c r="AY122" i="37"/>
  <c r="AX122" i="37"/>
  <c r="CE121" i="37"/>
  <c r="CE122" i="37" s="1"/>
  <c r="BT121" i="37"/>
  <c r="BS121" i="37"/>
  <c r="BR121" i="37"/>
  <c r="BQ121" i="37"/>
  <c r="BQ124" i="37" s="1"/>
  <c r="BP121" i="37"/>
  <c r="BP122" i="37" s="1"/>
  <c r="BN121" i="37"/>
  <c r="BA121" i="37"/>
  <c r="AW121" i="37"/>
  <c r="BM123" i="37" s="1"/>
  <c r="AS121" i="37"/>
  <c r="AR121" i="37"/>
  <c r="AQ121" i="37"/>
  <c r="AU122" i="37" s="1"/>
  <c r="AP121" i="37"/>
  <c r="AT122" i="37" s="1"/>
  <c r="AO121" i="37"/>
  <c r="AN121" i="37"/>
  <c r="AM121" i="37"/>
  <c r="AL121" i="37"/>
  <c r="AK121" i="37"/>
  <c r="AJ121" i="37"/>
  <c r="AI121" i="37"/>
  <c r="AH121" i="37"/>
  <c r="AG121" i="37"/>
  <c r="AF121" i="37"/>
  <c r="AE121" i="37"/>
  <c r="AD121" i="37"/>
  <c r="AC121" i="37"/>
  <c r="CG120" i="37"/>
  <c r="CF120" i="37"/>
  <c r="CD120" i="37"/>
  <c r="CC120" i="37"/>
  <c r="BT120" i="37"/>
  <c r="BS120" i="37"/>
  <c r="BR120" i="37"/>
  <c r="BQ120" i="37"/>
  <c r="BP120" i="37"/>
  <c r="BO120" i="37"/>
  <c r="BN120" i="37"/>
  <c r="BM120" i="37"/>
  <c r="BL120" i="37"/>
  <c r="BK120" i="37"/>
  <c r="BJ120" i="37"/>
  <c r="BI120" i="37"/>
  <c r="BH120" i="37"/>
  <c r="BG120" i="37"/>
  <c r="BF120" i="37"/>
  <c r="BE120" i="37"/>
  <c r="BD120" i="37"/>
  <c r="BC120" i="37"/>
  <c r="BB120" i="37"/>
  <c r="BT119" i="37"/>
  <c r="BS119" i="37"/>
  <c r="BR119" i="37"/>
  <c r="BP119" i="37"/>
  <c r="BO119" i="37"/>
  <c r="BL119" i="37"/>
  <c r="BK119" i="37"/>
  <c r="BJ119" i="37"/>
  <c r="CG118" i="37"/>
  <c r="CD118" i="37"/>
  <c r="CC118" i="37"/>
  <c r="CB118" i="37"/>
  <c r="BS118" i="37"/>
  <c r="BR118" i="37"/>
  <c r="BQ118" i="37"/>
  <c r="BP118" i="37"/>
  <c r="BO118" i="37"/>
  <c r="BN118" i="37"/>
  <c r="BM118" i="37"/>
  <c r="BL118" i="37"/>
  <c r="BK118" i="37"/>
  <c r="BJ118" i="37"/>
  <c r="BC118" i="37"/>
  <c r="BB118" i="37"/>
  <c r="AZ118" i="37"/>
  <c r="AY118" i="37"/>
  <c r="AX118" i="37"/>
  <c r="AV118" i="37"/>
  <c r="AU118" i="37"/>
  <c r="AT118" i="37"/>
  <c r="AS118" i="37"/>
  <c r="AR118" i="37"/>
  <c r="AQ118" i="37"/>
  <c r="AP118" i="37"/>
  <c r="AO118" i="37"/>
  <c r="AN118" i="37"/>
  <c r="AM118" i="37"/>
  <c r="CE117" i="37"/>
  <c r="CF118" i="37" s="1"/>
  <c r="BA117" i="37"/>
  <c r="AW117" i="37"/>
  <c r="AH117" i="37"/>
  <c r="AL118" i="37" s="1"/>
  <c r="AG117" i="37"/>
  <c r="AF117" i="37"/>
  <c r="AK118" i="37" s="1"/>
  <c r="AE117" i="37"/>
  <c r="AJ118" i="37" s="1"/>
  <c r="AD117" i="37"/>
  <c r="AI118" i="37" s="1"/>
  <c r="AC117" i="37"/>
  <c r="CG116" i="37"/>
  <c r="CF116" i="37"/>
  <c r="CD116" i="37"/>
  <c r="CC116" i="37"/>
  <c r="BY116" i="37"/>
  <c r="BT116" i="37"/>
  <c r="BS116" i="37"/>
  <c r="BR116" i="37"/>
  <c r="BQ116" i="37"/>
  <c r="BP116" i="37"/>
  <c r="BO116" i="37"/>
  <c r="BN116" i="37"/>
  <c r="BM116" i="37"/>
  <c r="BL116" i="37"/>
  <c r="BK116" i="37"/>
  <c r="BJ116" i="37"/>
  <c r="BI116" i="37"/>
  <c r="BH116" i="37"/>
  <c r="BG116" i="37"/>
  <c r="BF116" i="37"/>
  <c r="BE116" i="37"/>
  <c r="BD116" i="37"/>
  <c r="BC116" i="37"/>
  <c r="BB116" i="37"/>
  <c r="AK116" i="37"/>
  <c r="AJ116" i="37"/>
  <c r="AI116" i="37"/>
  <c r="AH116" i="37"/>
  <c r="AH113" i="37" s="1"/>
  <c r="BT115" i="37"/>
  <c r="BS115" i="37"/>
  <c r="BR115" i="37"/>
  <c r="BP115" i="37"/>
  <c r="BO115" i="37"/>
  <c r="BL115" i="37"/>
  <c r="BK115" i="37"/>
  <c r="BJ115" i="37"/>
  <c r="BH115" i="37"/>
  <c r="BG115" i="37"/>
  <c r="BF115" i="37"/>
  <c r="BD115" i="37"/>
  <c r="BC115" i="37"/>
  <c r="BB115" i="37"/>
  <c r="CG114" i="37"/>
  <c r="CD114" i="37"/>
  <c r="CC114" i="37"/>
  <c r="CB114" i="37"/>
  <c r="BT114" i="37"/>
  <c r="BS114" i="37"/>
  <c r="BR114" i="37"/>
  <c r="BQ114" i="37"/>
  <c r="BP114" i="37"/>
  <c r="BO114" i="37"/>
  <c r="BN114" i="37"/>
  <c r="BM114" i="37"/>
  <c r="BL114" i="37"/>
  <c r="BK114" i="37"/>
  <c r="BJ114" i="37"/>
  <c r="BC114" i="37"/>
  <c r="BB114" i="37"/>
  <c r="AZ114" i="37"/>
  <c r="AY114" i="37"/>
  <c r="AX114" i="37"/>
  <c r="AV114" i="37"/>
  <c r="AU114" i="37"/>
  <c r="AT114" i="37"/>
  <c r="AS114" i="37"/>
  <c r="AR114" i="37"/>
  <c r="AQ114" i="37"/>
  <c r="AP114" i="37"/>
  <c r="AO114" i="37"/>
  <c r="AN114" i="37"/>
  <c r="AM114" i="37"/>
  <c r="CE113" i="37"/>
  <c r="CF114" i="37" s="1"/>
  <c r="BA113" i="37"/>
  <c r="AW113" i="37"/>
  <c r="AG113" i="37"/>
  <c r="AF113" i="37"/>
  <c r="AE113" i="37"/>
  <c r="AD113" i="37"/>
  <c r="AC113" i="37"/>
  <c r="CD99" i="37"/>
  <c r="CB99" i="37"/>
  <c r="BJ99" i="37"/>
  <c r="BI99" i="37"/>
  <c r="BH99" i="37"/>
  <c r="BG99" i="37"/>
  <c r="BF99" i="37"/>
  <c r="BE99" i="37"/>
  <c r="BD99" i="37"/>
  <c r="BC99" i="37"/>
  <c r="BB99" i="37"/>
  <c r="BA99" i="37"/>
  <c r="AZ99" i="37"/>
  <c r="AY99" i="37"/>
  <c r="AX99" i="37"/>
  <c r="AW99" i="37"/>
  <c r="AV99" i="37"/>
  <c r="AU99" i="37"/>
  <c r="AT99" i="37"/>
  <c r="AS99" i="37"/>
  <c r="AR99" i="37"/>
  <c r="AQ99" i="37"/>
  <c r="AP99" i="37"/>
  <c r="CB98" i="37"/>
  <c r="BJ98" i="37"/>
  <c r="BI98" i="37"/>
  <c r="BC98" i="37"/>
  <c r="BB98" i="37"/>
  <c r="BA98" i="37"/>
  <c r="AZ98" i="37"/>
  <c r="AY98" i="37"/>
  <c r="AX98" i="37"/>
  <c r="AW98" i="37"/>
  <c r="AV98" i="37"/>
  <c r="AU98" i="37"/>
  <c r="AT98" i="37"/>
  <c r="CE97" i="37"/>
  <c r="CE98" i="37" s="1"/>
  <c r="CC97" i="37"/>
  <c r="CC99" i="37" s="1"/>
  <c r="CD96" i="37"/>
  <c r="CB96" i="37"/>
  <c r="BJ96" i="37"/>
  <c r="BI96" i="37"/>
  <c r="BH96" i="37"/>
  <c r="BG96" i="37"/>
  <c r="BF96" i="37"/>
  <c r="BE96" i="37"/>
  <c r="BD96" i="37"/>
  <c r="BC96" i="37"/>
  <c r="BB96" i="37"/>
  <c r="BA96" i="37"/>
  <c r="AZ96" i="37"/>
  <c r="AY96" i="37"/>
  <c r="AX96" i="37"/>
  <c r="AW96" i="37"/>
  <c r="AV96" i="37"/>
  <c r="AU96" i="37"/>
  <c r="AT96" i="37"/>
  <c r="AS96" i="37"/>
  <c r="AR96" i="37"/>
  <c r="AQ96" i="37"/>
  <c r="AP96" i="37"/>
  <c r="CB95" i="37"/>
  <c r="BJ95" i="37"/>
  <c r="BI95" i="37"/>
  <c r="BC95" i="37"/>
  <c r="BB95" i="37"/>
  <c r="BA95" i="37"/>
  <c r="AZ95" i="37"/>
  <c r="AY95" i="37"/>
  <c r="AX95" i="37"/>
  <c r="AW95" i="37"/>
  <c r="AV95" i="37"/>
  <c r="AU95" i="37"/>
  <c r="AT95" i="37"/>
  <c r="CE94" i="37"/>
  <c r="CE95" i="37" s="1"/>
  <c r="CC94" i="37"/>
  <c r="CC96" i="37" s="1"/>
  <c r="CD93" i="37"/>
  <c r="CB93" i="37"/>
  <c r="BJ93" i="37"/>
  <c r="BI93" i="37"/>
  <c r="BH93" i="37"/>
  <c r="BG93" i="37"/>
  <c r="BF93" i="37"/>
  <c r="BE93" i="37"/>
  <c r="BD93" i="37"/>
  <c r="BC93" i="37"/>
  <c r="BB93" i="37"/>
  <c r="BA93" i="37"/>
  <c r="AZ93" i="37"/>
  <c r="AY93" i="37"/>
  <c r="AX93" i="37"/>
  <c r="AW93" i="37"/>
  <c r="AV93" i="37"/>
  <c r="AU93" i="37"/>
  <c r="AT93" i="37"/>
  <c r="AS93" i="37"/>
  <c r="AR93" i="37"/>
  <c r="AQ93" i="37"/>
  <c r="AP93" i="37"/>
  <c r="CB92" i="37"/>
  <c r="BJ92" i="37"/>
  <c r="BI92" i="37"/>
  <c r="BC92" i="37"/>
  <c r="BB92" i="37"/>
  <c r="BA92" i="37"/>
  <c r="AZ92" i="37"/>
  <c r="AY92" i="37"/>
  <c r="AX92" i="37"/>
  <c r="AW92" i="37"/>
  <c r="AV92" i="37"/>
  <c r="AU92" i="37"/>
  <c r="AT92" i="37"/>
  <c r="CE91" i="37"/>
  <c r="CE92" i="37" s="1"/>
  <c r="CC91" i="37"/>
  <c r="CC93" i="37" s="1"/>
  <c r="CB88" i="37"/>
  <c r="AW88" i="37"/>
  <c r="AV88" i="37"/>
  <c r="AU88" i="37"/>
  <c r="AT88" i="37"/>
  <c r="AS88" i="37"/>
  <c r="AR88" i="37"/>
  <c r="AQ88" i="37"/>
  <c r="AP88" i="37"/>
  <c r="AO88" i="37"/>
  <c r="AN88" i="37"/>
  <c r="AM88" i="37"/>
  <c r="AL88" i="37"/>
  <c r="AK88" i="37"/>
  <c r="AJ88" i="37"/>
  <c r="AI88" i="37"/>
  <c r="AH88" i="37"/>
  <c r="BZ87" i="37"/>
  <c r="AW87" i="37"/>
  <c r="AV87" i="37"/>
  <c r="AU87" i="37"/>
  <c r="AT87" i="37"/>
  <c r="AS87" i="37"/>
  <c r="AR87" i="37"/>
  <c r="AQ87" i="37"/>
  <c r="AP87" i="37"/>
  <c r="AO87" i="37"/>
  <c r="AN87" i="37"/>
  <c r="AM87" i="37"/>
  <c r="AL87" i="37"/>
  <c r="CA86" i="37"/>
  <c r="CB85" i="37"/>
  <c r="AW85" i="37"/>
  <c r="AV85" i="37"/>
  <c r="AU85" i="37"/>
  <c r="AT85" i="37"/>
  <c r="AS85" i="37"/>
  <c r="AR85" i="37"/>
  <c r="AQ85" i="37"/>
  <c r="AP85" i="37"/>
  <c r="AO85" i="37"/>
  <c r="AN85" i="37"/>
  <c r="AM85" i="37"/>
  <c r="AL85" i="37"/>
  <c r="AK85" i="37"/>
  <c r="AJ85" i="37"/>
  <c r="AI85" i="37"/>
  <c r="AH85" i="37"/>
  <c r="BZ84" i="37"/>
  <c r="BY84" i="37"/>
  <c r="AW84" i="37"/>
  <c r="AV84" i="37"/>
  <c r="AU84" i="37"/>
  <c r="AT84" i="37"/>
  <c r="AS84" i="37"/>
  <c r="AR84" i="37"/>
  <c r="AQ84" i="37"/>
  <c r="AP84" i="37"/>
  <c r="AO84" i="37"/>
  <c r="AN84" i="37"/>
  <c r="AM84" i="37"/>
  <c r="AL84" i="37"/>
  <c r="AK84" i="37"/>
  <c r="AJ84" i="37"/>
  <c r="AI84" i="37"/>
  <c r="AH84" i="37"/>
  <c r="CA83" i="37"/>
  <c r="CB82" i="37"/>
  <c r="AW82" i="37"/>
  <c r="AV82" i="37"/>
  <c r="AU82" i="37"/>
  <c r="AT82" i="37"/>
  <c r="AS82" i="37"/>
  <c r="AR82" i="37"/>
  <c r="AQ82" i="37"/>
  <c r="AP82" i="37"/>
  <c r="AO82" i="37"/>
  <c r="AN82" i="37"/>
  <c r="AM82" i="37"/>
  <c r="AL82" i="37"/>
  <c r="AK82" i="37"/>
  <c r="AJ82" i="37"/>
  <c r="AI82" i="37"/>
  <c r="AH82" i="37"/>
  <c r="BZ81" i="37"/>
  <c r="BY81" i="37"/>
  <c r="AW81" i="37"/>
  <c r="AV81" i="37"/>
  <c r="AU81" i="37"/>
  <c r="AT81" i="37"/>
  <c r="AS81" i="37"/>
  <c r="AR81" i="37"/>
  <c r="AQ81" i="37"/>
  <c r="AP81" i="37"/>
  <c r="AO81" i="37"/>
  <c r="AN81" i="37"/>
  <c r="AM81" i="37"/>
  <c r="AL81" i="37"/>
  <c r="AK81" i="37"/>
  <c r="AJ81" i="37"/>
  <c r="AI81" i="37"/>
  <c r="AH81" i="37"/>
  <c r="CA80" i="37"/>
  <c r="CB81" i="37" s="1"/>
  <c r="CB79" i="37"/>
  <c r="AW79" i="37"/>
  <c r="AV79" i="37"/>
  <c r="AU79" i="37"/>
  <c r="AT79" i="37"/>
  <c r="AS79" i="37"/>
  <c r="AR79" i="37"/>
  <c r="AQ79" i="37"/>
  <c r="AP79" i="37"/>
  <c r="AO79" i="37"/>
  <c r="AN79" i="37"/>
  <c r="AM79" i="37"/>
  <c r="AL79" i="37"/>
  <c r="AK79" i="37"/>
  <c r="AJ79" i="37"/>
  <c r="AI79" i="37"/>
  <c r="AH79" i="37"/>
  <c r="BZ78" i="37"/>
  <c r="BY78" i="37"/>
  <c r="AW78" i="37"/>
  <c r="AV78" i="37"/>
  <c r="AU78" i="37"/>
  <c r="AT78" i="37"/>
  <c r="AS78" i="37"/>
  <c r="AR78" i="37"/>
  <c r="AQ78" i="37"/>
  <c r="AP78" i="37"/>
  <c r="AO78" i="37"/>
  <c r="AN78" i="37"/>
  <c r="AM78" i="37"/>
  <c r="AL78" i="37"/>
  <c r="AK78" i="37"/>
  <c r="AJ78" i="37"/>
  <c r="AI78" i="37"/>
  <c r="AH78" i="37"/>
  <c r="CA77" i="37"/>
  <c r="CB78" i="37" s="1"/>
  <c r="BT75" i="37"/>
  <c r="BS75" i="37"/>
  <c r="BR75" i="37"/>
  <c r="BQ75" i="37"/>
  <c r="BP75" i="37"/>
  <c r="BO75" i="37"/>
  <c r="BM75" i="37"/>
  <c r="BL75" i="37"/>
  <c r="BK75" i="37"/>
  <c r="BJ75" i="37"/>
  <c r="BI75" i="37"/>
  <c r="CB74" i="37"/>
  <c r="BZ74" i="37"/>
  <c r="BY74" i="37"/>
  <c r="AW74" i="37"/>
  <c r="AV74" i="37"/>
  <c r="AU74" i="37"/>
  <c r="AT74" i="37"/>
  <c r="AS74" i="37"/>
  <c r="AR74" i="37"/>
  <c r="AQ74" i="37"/>
  <c r="AP74" i="37"/>
  <c r="AO74" i="37"/>
  <c r="AN74" i="37"/>
  <c r="AM74" i="37"/>
  <c r="AL74" i="37"/>
  <c r="AK74" i="37"/>
  <c r="AJ74" i="37"/>
  <c r="AI74" i="37"/>
  <c r="AH74" i="37"/>
  <c r="CG73" i="37"/>
  <c r="CF73" i="37"/>
  <c r="CD73" i="37"/>
  <c r="CC73" i="37"/>
  <c r="CB73" i="37"/>
  <c r="BT73" i="37"/>
  <c r="BS73" i="37"/>
  <c r="BR73" i="37"/>
  <c r="BQ73" i="37"/>
  <c r="BP73" i="37"/>
  <c r="BO73" i="37"/>
  <c r="BN73" i="37"/>
  <c r="BM73" i="37"/>
  <c r="BL73" i="37"/>
  <c r="BK73" i="37"/>
  <c r="BJ73" i="37"/>
  <c r="BI73" i="37"/>
  <c r="BH73" i="37"/>
  <c r="BG73" i="37"/>
  <c r="BF73" i="37"/>
  <c r="BE73" i="37"/>
  <c r="BD73" i="37"/>
  <c r="BC73" i="37"/>
  <c r="BB73" i="37"/>
  <c r="BA73" i="37"/>
  <c r="AZ73" i="37"/>
  <c r="AY73" i="37"/>
  <c r="AX73" i="37"/>
  <c r="AW73" i="37"/>
  <c r="AV73" i="37"/>
  <c r="AU73" i="37"/>
  <c r="AT73" i="37"/>
  <c r="AS73" i="37"/>
  <c r="AR73" i="37"/>
  <c r="AQ73" i="37"/>
  <c r="AP73" i="37"/>
  <c r="AO73" i="37"/>
  <c r="AN73" i="37"/>
  <c r="AM73" i="37"/>
  <c r="AL73" i="37"/>
  <c r="AK73" i="37"/>
  <c r="AJ73" i="37"/>
  <c r="AI73" i="37"/>
  <c r="AH73" i="37"/>
  <c r="CG72" i="37"/>
  <c r="CD72" i="37"/>
  <c r="CC72" i="37"/>
  <c r="BZ72" i="37"/>
  <c r="BY72" i="37"/>
  <c r="BT72" i="37"/>
  <c r="BS72" i="37"/>
  <c r="BR72" i="37"/>
  <c r="BQ72" i="37"/>
  <c r="BP72" i="37"/>
  <c r="BO72" i="37"/>
  <c r="BN72" i="37"/>
  <c r="BM72" i="37"/>
  <c r="BL72" i="37"/>
  <c r="BK72" i="37"/>
  <c r="BJ72" i="37"/>
  <c r="BI72" i="37"/>
  <c r="BH72" i="37"/>
  <c r="BG72" i="37"/>
  <c r="BC72" i="37"/>
  <c r="BB72" i="37"/>
  <c r="BA72" i="37"/>
  <c r="AZ72" i="37"/>
  <c r="AY72" i="37"/>
  <c r="AX72" i="37"/>
  <c r="AW72" i="37"/>
  <c r="AV72" i="37"/>
  <c r="AU72" i="37"/>
  <c r="AT72" i="37"/>
  <c r="AS72" i="37"/>
  <c r="AR72" i="37"/>
  <c r="AQ72" i="37"/>
  <c r="AP72" i="37"/>
  <c r="AO72" i="37"/>
  <c r="AN72" i="37"/>
  <c r="AM72" i="37"/>
  <c r="AL72" i="37"/>
  <c r="AK72" i="37"/>
  <c r="AJ72" i="37"/>
  <c r="AI72" i="37"/>
  <c r="AH72" i="37"/>
  <c r="CE71" i="37"/>
  <c r="CF72" i="37" s="1"/>
  <c r="CA71" i="37"/>
  <c r="CA72" i="37" s="1"/>
  <c r="BT70" i="37"/>
  <c r="BS70" i="37"/>
  <c r="BR70" i="37"/>
  <c r="BQ70" i="37"/>
  <c r="BP70" i="37"/>
  <c r="BO70" i="37"/>
  <c r="BM70" i="37"/>
  <c r="BL70" i="37"/>
  <c r="BK70" i="37"/>
  <c r="BJ70" i="37"/>
  <c r="BI70" i="37"/>
  <c r="CB69" i="37"/>
  <c r="BZ69" i="37"/>
  <c r="BY69" i="37"/>
  <c r="AW69" i="37"/>
  <c r="AV69" i="37"/>
  <c r="AU69" i="37"/>
  <c r="AT69" i="37"/>
  <c r="AS69" i="37"/>
  <c r="AR69" i="37"/>
  <c r="AQ69" i="37"/>
  <c r="AP69" i="37"/>
  <c r="AO69" i="37"/>
  <c r="AN69" i="37"/>
  <c r="AM69" i="37"/>
  <c r="AL69" i="37"/>
  <c r="AK69" i="37"/>
  <c r="AJ69" i="37"/>
  <c r="AI69" i="37"/>
  <c r="AH69" i="37"/>
  <c r="CG68" i="37"/>
  <c r="CF68" i="37"/>
  <c r="CD68" i="37"/>
  <c r="CC68" i="37"/>
  <c r="CB68" i="37"/>
  <c r="BT68" i="37"/>
  <c r="BS68" i="37"/>
  <c r="BR68" i="37"/>
  <c r="BQ68" i="37"/>
  <c r="BP68" i="37"/>
  <c r="BO68" i="37"/>
  <c r="BN68" i="37"/>
  <c r="BM68" i="37"/>
  <c r="BL68" i="37"/>
  <c r="BK68" i="37"/>
  <c r="BJ68" i="37"/>
  <c r="BI68" i="37"/>
  <c r="BH68" i="37"/>
  <c r="BG68" i="37"/>
  <c r="BF68" i="37"/>
  <c r="BE68" i="37"/>
  <c r="BD68" i="37"/>
  <c r="BC68" i="37"/>
  <c r="BB68" i="37"/>
  <c r="BA68" i="37"/>
  <c r="AZ68" i="37"/>
  <c r="AY68" i="37"/>
  <c r="AX68" i="37"/>
  <c r="AW68" i="37"/>
  <c r="AV68" i="37"/>
  <c r="AU68" i="37"/>
  <c r="AT68" i="37"/>
  <c r="AS68" i="37"/>
  <c r="AR68" i="37"/>
  <c r="AQ68" i="37"/>
  <c r="AP68" i="37"/>
  <c r="AO68" i="37"/>
  <c r="AN68" i="37"/>
  <c r="AM68" i="37"/>
  <c r="AL68" i="37"/>
  <c r="AK68" i="37"/>
  <c r="AJ68" i="37"/>
  <c r="AI68" i="37"/>
  <c r="AH68" i="37"/>
  <c r="CG67" i="37"/>
  <c r="CD67" i="37"/>
  <c r="CC67" i="37"/>
  <c r="BZ67" i="37"/>
  <c r="BY67" i="37"/>
  <c r="BT67" i="37"/>
  <c r="BS67" i="37"/>
  <c r="BR67" i="37"/>
  <c r="BQ67" i="37"/>
  <c r="BP67" i="37"/>
  <c r="BO67" i="37"/>
  <c r="BN67" i="37"/>
  <c r="BM67" i="37"/>
  <c r="BL67" i="37"/>
  <c r="BK67" i="37"/>
  <c r="BJ67" i="37"/>
  <c r="BI67" i="37"/>
  <c r="BC67" i="37"/>
  <c r="BB67" i="37"/>
  <c r="BA67" i="37"/>
  <c r="AZ67" i="37"/>
  <c r="AY67" i="37"/>
  <c r="AX67" i="37"/>
  <c r="AW67" i="37"/>
  <c r="AV67" i="37"/>
  <c r="AU67" i="37"/>
  <c r="AT67" i="37"/>
  <c r="AS67" i="37"/>
  <c r="AR67" i="37"/>
  <c r="AQ67" i="37"/>
  <c r="AP67" i="37"/>
  <c r="AO67" i="37"/>
  <c r="AN67" i="37"/>
  <c r="AM67" i="37"/>
  <c r="AL67" i="37"/>
  <c r="AK67" i="37"/>
  <c r="AJ67" i="37"/>
  <c r="AI67" i="37"/>
  <c r="AH67" i="37"/>
  <c r="CE66" i="37"/>
  <c r="CF67" i="37" s="1"/>
  <c r="CA66" i="37"/>
  <c r="CA67" i="37" s="1"/>
  <c r="BI65" i="37"/>
  <c r="BH65" i="37"/>
  <c r="BG65" i="37"/>
  <c r="BF65" i="37"/>
  <c r="BT64" i="37"/>
  <c r="BS64" i="37"/>
  <c r="BR64" i="37"/>
  <c r="BQ64" i="37"/>
  <c r="BP64" i="37"/>
  <c r="BO64" i="37"/>
  <c r="BN64" i="37"/>
  <c r="BM64" i="37"/>
  <c r="BL64" i="37"/>
  <c r="BK64" i="37"/>
  <c r="BJ64" i="37"/>
  <c r="BI64" i="37"/>
  <c r="BH64" i="37"/>
  <c r="BG64" i="37"/>
  <c r="BE64" i="37"/>
  <c r="BD64" i="37"/>
  <c r="BC64" i="37"/>
  <c r="BB64" i="37"/>
  <c r="CG62" i="37"/>
  <c r="CG174" i="37" s="1"/>
  <c r="CF62" i="37"/>
  <c r="CF143" i="37" s="1"/>
  <c r="CF11" i="37" s="1"/>
  <c r="CD62" i="37"/>
  <c r="CD143" i="37" s="1"/>
  <c r="CD11" i="37" s="1"/>
  <c r="CC62" i="37"/>
  <c r="CC143" i="37" s="1"/>
  <c r="CB62" i="37"/>
  <c r="BT62" i="37"/>
  <c r="BT143" i="37" s="1"/>
  <c r="BT11" i="37" s="1"/>
  <c r="BS62" i="37"/>
  <c r="BS143" i="37" s="1"/>
  <c r="BS11" i="37" s="1"/>
  <c r="BR62" i="37"/>
  <c r="BR143" i="37" s="1"/>
  <c r="BR11" i="37" s="1"/>
  <c r="BQ62" i="37"/>
  <c r="BP62" i="37"/>
  <c r="BP174" i="37" s="1"/>
  <c r="AN30" i="66" s="1"/>
  <c r="BO62" i="37"/>
  <c r="BO143" i="37" s="1"/>
  <c r="BO11" i="37" s="1"/>
  <c r="BN62" i="37"/>
  <c r="BN228" i="37" s="1"/>
  <c r="BM62" i="37"/>
  <c r="BM143" i="37" s="1"/>
  <c r="BM11" i="37" s="1"/>
  <c r="BL62" i="37"/>
  <c r="BL228" i="37" s="1"/>
  <c r="BK62" i="37"/>
  <c r="BJ62" i="37"/>
  <c r="BJ228" i="37" s="1"/>
  <c r="BI62" i="37"/>
  <c r="BI143" i="37" s="1"/>
  <c r="BI11" i="37" s="1"/>
  <c r="BH62" i="37"/>
  <c r="BH143" i="37" s="1"/>
  <c r="BH11" i="37" s="1"/>
  <c r="BG62" i="37"/>
  <c r="BG174" i="37" s="1"/>
  <c r="AE30" i="66" s="1"/>
  <c r="BF62" i="37"/>
  <c r="BF143" i="37" s="1"/>
  <c r="BF11" i="37" s="1"/>
  <c r="BE62" i="37"/>
  <c r="BE143" i="37" s="1"/>
  <c r="BD62" i="37"/>
  <c r="BD174" i="37" s="1"/>
  <c r="AB30" i="66" s="1"/>
  <c r="BC62" i="37"/>
  <c r="BC143" i="37" s="1"/>
  <c r="BB62" i="37"/>
  <c r="BB143" i="37" s="1"/>
  <c r="BB11" i="37" s="1"/>
  <c r="BA62" i="37"/>
  <c r="BA143" i="37" s="1"/>
  <c r="BA11" i="37" s="1"/>
  <c r="AZ62" i="37"/>
  <c r="AZ228" i="37" s="1"/>
  <c r="AY62" i="37"/>
  <c r="AX62" i="37"/>
  <c r="AX228" i="37" s="1"/>
  <c r="AW62" i="37"/>
  <c r="AW228" i="37" s="1"/>
  <c r="AV62" i="37"/>
  <c r="AV228" i="37" s="1"/>
  <c r="AU62" i="37"/>
  <c r="AU228" i="37" s="1"/>
  <c r="AT62" i="37"/>
  <c r="AT228" i="37" s="1"/>
  <c r="AS62" i="37"/>
  <c r="AR62" i="37"/>
  <c r="AR228" i="37" s="1"/>
  <c r="AQ62" i="37"/>
  <c r="AQ228" i="37" s="1"/>
  <c r="AP62" i="37"/>
  <c r="AP174" i="37" s="1"/>
  <c r="AN62" i="37"/>
  <c r="AN228" i="37" s="1"/>
  <c r="AM62" i="37"/>
  <c r="AM228" i="37" s="1"/>
  <c r="AL62" i="37"/>
  <c r="AL174" i="37" s="1"/>
  <c r="AK62" i="37"/>
  <c r="AK143" i="37" s="1"/>
  <c r="AJ62" i="37"/>
  <c r="AJ143" i="37" s="1"/>
  <c r="AJ11" i="37" s="1"/>
  <c r="AI62" i="37"/>
  <c r="AI143" i="37" s="1"/>
  <c r="AI11" i="37" s="1"/>
  <c r="Y62" i="37"/>
  <c r="X62" i="37"/>
  <c r="X227" i="37" s="1"/>
  <c r="W62" i="37"/>
  <c r="V62" i="37"/>
  <c r="U62" i="37"/>
  <c r="U143" i="37" s="1"/>
  <c r="T62" i="37"/>
  <c r="S62" i="37"/>
  <c r="R62" i="37"/>
  <c r="R143" i="37" s="1"/>
  <c r="Q62" i="37"/>
  <c r="Q143" i="37" s="1"/>
  <c r="BT60" i="37"/>
  <c r="BS60" i="37"/>
  <c r="BR60" i="37"/>
  <c r="CE59" i="37"/>
  <c r="CE231" i="37" s="1"/>
  <c r="CA59" i="37"/>
  <c r="BZ59" i="37"/>
  <c r="BZ82" i="37" s="1"/>
  <c r="BY59" i="37"/>
  <c r="I59" i="37"/>
  <c r="I10" i="37" s="1"/>
  <c r="H59" i="37"/>
  <c r="H201" i="37" s="1"/>
  <c r="G59" i="37"/>
  <c r="F59" i="37"/>
  <c r="D59" i="37"/>
  <c r="C59" i="37"/>
  <c r="C62" i="37" s="1"/>
  <c r="B59" i="37"/>
  <c r="B62" i="37" s="1"/>
  <c r="BZ58" i="37"/>
  <c r="AK58" i="37"/>
  <c r="AJ58" i="37"/>
  <c r="AR57" i="37"/>
  <c r="AQ57" i="37"/>
  <c r="AP57" i="37"/>
  <c r="AO57" i="37"/>
  <c r="AS244" i="37" s="1"/>
  <c r="AN57" i="37"/>
  <c r="AM57" i="37"/>
  <c r="AL57" i="37"/>
  <c r="AK57" i="37"/>
  <c r="AJ57" i="37"/>
  <c r="AG57" i="37"/>
  <c r="AF57" i="37"/>
  <c r="AF223" i="37" s="1"/>
  <c r="AE57" i="37"/>
  <c r="AE223" i="37" s="1"/>
  <c r="AD57" i="37"/>
  <c r="AD223" i="37" s="1"/>
  <c r="AB57" i="37"/>
  <c r="AA57" i="37"/>
  <c r="Y57" i="37"/>
  <c r="X57" i="37"/>
  <c r="W57" i="37" s="1"/>
  <c r="W222" i="37" s="1"/>
  <c r="AR54" i="37"/>
  <c r="AQ54" i="37"/>
  <c r="AP54" i="37"/>
  <c r="AO54" i="37"/>
  <c r="AS241" i="37" s="1"/>
  <c r="AN54" i="37"/>
  <c r="AM54" i="37"/>
  <c r="AL54" i="37"/>
  <c r="AK54" i="37"/>
  <c r="AJ54" i="37"/>
  <c r="AI54" i="37"/>
  <c r="AH54" i="37"/>
  <c r="AH220" i="37" s="1"/>
  <c r="AG54" i="37"/>
  <c r="AF54" i="37"/>
  <c r="AF220" i="37" s="1"/>
  <c r="AE54" i="37"/>
  <c r="AE220" i="37" s="1"/>
  <c r="AD54" i="37"/>
  <c r="AD220" i="37" s="1"/>
  <c r="AB54" i="37"/>
  <c r="AA54" i="37"/>
  <c r="Y54" i="37"/>
  <c r="X54" i="37"/>
  <c r="W54" i="37" s="1"/>
  <c r="W219" i="37" s="1"/>
  <c r="AQ53" i="37"/>
  <c r="AP53" i="37"/>
  <c r="AO53" i="37"/>
  <c r="AS240" i="37" s="1"/>
  <c r="AN53" i="37"/>
  <c r="AM53" i="37"/>
  <c r="AL53" i="37"/>
  <c r="AK53" i="37"/>
  <c r="AJ53" i="37"/>
  <c r="AI53" i="37"/>
  <c r="AH53" i="37"/>
  <c r="AG53" i="37"/>
  <c r="AF53" i="37"/>
  <c r="AF219" i="37" s="1"/>
  <c r="AE53" i="37"/>
  <c r="AE219" i="37" s="1"/>
  <c r="AD53" i="37"/>
  <c r="AD219" i="37" s="1"/>
  <c r="AB53" i="37"/>
  <c r="AA53" i="37"/>
  <c r="Y53" i="37"/>
  <c r="X53" i="37"/>
  <c r="W53" i="37" s="1"/>
  <c r="W218" i="37" s="1"/>
  <c r="AX50" i="37"/>
  <c r="AW50" i="37"/>
  <c r="AV50" i="37"/>
  <c r="AU50" i="37"/>
  <c r="AT50" i="37"/>
  <c r="AS50" i="37"/>
  <c r="AR50" i="37"/>
  <c r="AQ50" i="37"/>
  <c r="AP50" i="37"/>
  <c r="AO50" i="37"/>
  <c r="AN50" i="37"/>
  <c r="AM50" i="37"/>
  <c r="AL50" i="37"/>
  <c r="AK50" i="37"/>
  <c r="AJ50" i="37"/>
  <c r="AI50" i="37"/>
  <c r="AH50" i="37"/>
  <c r="AX49" i="37"/>
  <c r="AW49" i="37"/>
  <c r="AV49" i="37"/>
  <c r="AU49" i="37"/>
  <c r="AT49" i="37"/>
  <c r="AS49" i="37"/>
  <c r="AR49" i="37"/>
  <c r="AQ49" i="37"/>
  <c r="AP49" i="37"/>
  <c r="AO49" i="37"/>
  <c r="AN49" i="37"/>
  <c r="AM49" i="37"/>
  <c r="AL49" i="37"/>
  <c r="AK49" i="37"/>
  <c r="AJ49" i="37"/>
  <c r="AI49" i="37"/>
  <c r="CB48" i="37"/>
  <c r="CB50" i="37" s="1"/>
  <c r="CA48" i="37"/>
  <c r="BZ48" i="37"/>
  <c r="BY48" i="37"/>
  <c r="BY49" i="37" s="1"/>
  <c r="CB47" i="37"/>
  <c r="AX47" i="37"/>
  <c r="AW47" i="37"/>
  <c r="AV47" i="37"/>
  <c r="AU47" i="37"/>
  <c r="AT47" i="37"/>
  <c r="AS47" i="37"/>
  <c r="AR47" i="37"/>
  <c r="AQ47" i="37"/>
  <c r="AP47" i="37"/>
  <c r="AO47" i="37"/>
  <c r="AN47" i="37"/>
  <c r="AM47" i="37"/>
  <c r="AL47" i="37"/>
  <c r="AK47" i="37"/>
  <c r="AJ47" i="37"/>
  <c r="AI47" i="37"/>
  <c r="AH47" i="37"/>
  <c r="AX46" i="37"/>
  <c r="AW46" i="37"/>
  <c r="AV46" i="37"/>
  <c r="AU46" i="37"/>
  <c r="AT46" i="37"/>
  <c r="AS46" i="37"/>
  <c r="AR46" i="37"/>
  <c r="AQ46" i="37"/>
  <c r="AP46" i="37"/>
  <c r="AO46" i="37"/>
  <c r="AN46" i="37"/>
  <c r="AM46" i="37"/>
  <c r="AL46" i="37"/>
  <c r="AK46" i="37"/>
  <c r="AJ46" i="37"/>
  <c r="AI46" i="37"/>
  <c r="CA45" i="37"/>
  <c r="CB46" i="37" s="1"/>
  <c r="BZ45" i="37"/>
  <c r="BZ47" i="37" s="1"/>
  <c r="BY45" i="37"/>
  <c r="BY47" i="37" s="1"/>
  <c r="CB44" i="37"/>
  <c r="AX44" i="37"/>
  <c r="AW44" i="37"/>
  <c r="AV44" i="37"/>
  <c r="AU44" i="37"/>
  <c r="AT44" i="37"/>
  <c r="AS44" i="37"/>
  <c r="AR44" i="37"/>
  <c r="AQ44" i="37"/>
  <c r="AP44" i="37"/>
  <c r="AO44" i="37"/>
  <c r="AN44" i="37"/>
  <c r="AM44" i="37"/>
  <c r="AL44" i="37"/>
  <c r="AX43" i="37"/>
  <c r="AW43" i="37"/>
  <c r="AV43" i="37"/>
  <c r="AU43" i="37"/>
  <c r="AT43" i="37"/>
  <c r="AS43" i="37"/>
  <c r="AR43" i="37"/>
  <c r="AQ43" i="37"/>
  <c r="AP43" i="37"/>
  <c r="CA42" i="37"/>
  <c r="CB43" i="37" s="1"/>
  <c r="BZ42" i="37"/>
  <c r="BZ44" i="37" s="1"/>
  <c r="AK42" i="37"/>
  <c r="AJ42" i="37"/>
  <c r="AJ44" i="37" s="1"/>
  <c r="AI42" i="37"/>
  <c r="AI44" i="37" s="1"/>
  <c r="AH42" i="37"/>
  <c r="AL43" i="37" s="1"/>
  <c r="BT40" i="37"/>
  <c r="BS40" i="37"/>
  <c r="BR40" i="37"/>
  <c r="BQ40" i="37"/>
  <c r="BP40" i="37"/>
  <c r="BO40" i="37"/>
  <c r="BM40" i="37"/>
  <c r="BL40" i="37"/>
  <c r="BK40" i="37"/>
  <c r="BJ40" i="37"/>
  <c r="BI40" i="37"/>
  <c r="CG39" i="37"/>
  <c r="CF39" i="37"/>
  <c r="CD39" i="37"/>
  <c r="BT39" i="37"/>
  <c r="BS39" i="37"/>
  <c r="BR39" i="37"/>
  <c r="BQ39" i="37"/>
  <c r="BP39" i="37"/>
  <c r="BO39" i="37"/>
  <c r="BN39" i="37"/>
  <c r="BM39" i="37"/>
  <c r="BL39" i="37"/>
  <c r="BK39" i="37"/>
  <c r="BJ39" i="37"/>
  <c r="BI39" i="37"/>
  <c r="BH39" i="37"/>
  <c r="BG39" i="37"/>
  <c r="BF39" i="37"/>
  <c r="BE39" i="37"/>
  <c r="BD39" i="37"/>
  <c r="BC39" i="37"/>
  <c r="BB39" i="37"/>
  <c r="BA39" i="37"/>
  <c r="AZ39" i="37"/>
  <c r="AY39" i="37"/>
  <c r="AX39" i="37"/>
  <c r="AW39" i="37"/>
  <c r="AV39" i="37"/>
  <c r="AU39" i="37"/>
  <c r="AT39" i="37"/>
  <c r="AS39" i="37"/>
  <c r="AR39" i="37"/>
  <c r="AQ39" i="37"/>
  <c r="AP39" i="37"/>
  <c r="CG38" i="37"/>
  <c r="CF38" i="37"/>
  <c r="CE38" i="37"/>
  <c r="BT38" i="37"/>
  <c r="BS38" i="37"/>
  <c r="BR38" i="37"/>
  <c r="BQ38" i="37"/>
  <c r="BP38" i="37"/>
  <c r="BO38" i="37"/>
  <c r="BN38" i="37"/>
  <c r="BM38" i="37"/>
  <c r="BL38" i="37"/>
  <c r="BK38" i="37"/>
  <c r="BJ38" i="37"/>
  <c r="BC38" i="37"/>
  <c r="BB38" i="37"/>
  <c r="BA38" i="37"/>
  <c r="AZ38" i="37"/>
  <c r="AY38" i="37"/>
  <c r="AX38" i="37"/>
  <c r="AW38" i="37"/>
  <c r="AV38" i="37"/>
  <c r="AU38" i="37"/>
  <c r="AT38" i="37"/>
  <c r="CC37" i="37"/>
  <c r="CC39" i="37" s="1"/>
  <c r="CB37" i="37"/>
  <c r="CA37" i="37"/>
  <c r="BT36" i="37"/>
  <c r="BS36" i="37"/>
  <c r="BR36" i="37"/>
  <c r="BQ36" i="37"/>
  <c r="BP36" i="37"/>
  <c r="BO36" i="37"/>
  <c r="BM36" i="37"/>
  <c r="BL36" i="37"/>
  <c r="BK36" i="37"/>
  <c r="BJ36" i="37"/>
  <c r="BI36" i="37"/>
  <c r="CG35" i="37"/>
  <c r="CF35" i="37"/>
  <c r="CD35" i="37"/>
  <c r="BT35" i="37"/>
  <c r="BS35" i="37"/>
  <c r="BR35" i="37"/>
  <c r="BQ35" i="37"/>
  <c r="BP35" i="37"/>
  <c r="BO35" i="37"/>
  <c r="BN35" i="37"/>
  <c r="BM35" i="37"/>
  <c r="BL35" i="37"/>
  <c r="BK35" i="37"/>
  <c r="BJ35" i="37"/>
  <c r="BI35" i="37"/>
  <c r="BH35" i="37"/>
  <c r="BG35" i="37"/>
  <c r="BF35" i="37"/>
  <c r="BE35" i="37"/>
  <c r="BD35" i="37"/>
  <c r="BC35" i="37"/>
  <c r="BB35" i="37"/>
  <c r="BA35" i="37"/>
  <c r="AZ35" i="37"/>
  <c r="AY35" i="37"/>
  <c r="AX35" i="37"/>
  <c r="AW35" i="37"/>
  <c r="AV35" i="37"/>
  <c r="AU35" i="37"/>
  <c r="AT35" i="37"/>
  <c r="AS35" i="37"/>
  <c r="AR35" i="37"/>
  <c r="AQ35" i="37"/>
  <c r="AP35" i="37"/>
  <c r="CG34" i="37"/>
  <c r="BT34" i="37"/>
  <c r="BS34" i="37"/>
  <c r="BR34" i="37"/>
  <c r="BQ34" i="37"/>
  <c r="BP34" i="37"/>
  <c r="BO34" i="37"/>
  <c r="BN34" i="37"/>
  <c r="BM34" i="37"/>
  <c r="BL34" i="37"/>
  <c r="BK34" i="37"/>
  <c r="BJ34" i="37"/>
  <c r="BC34" i="37"/>
  <c r="BB34" i="37"/>
  <c r="BA34" i="37"/>
  <c r="AZ34" i="37"/>
  <c r="AY34" i="37"/>
  <c r="AX34" i="37"/>
  <c r="AW34" i="37"/>
  <c r="AV34" i="37"/>
  <c r="AU34" i="37"/>
  <c r="AT34" i="37"/>
  <c r="CE33" i="37"/>
  <c r="CF34" i="37" s="1"/>
  <c r="CC33" i="37"/>
  <c r="CD34" i="37" s="1"/>
  <c r="CB33" i="37"/>
  <c r="CA33" i="37"/>
  <c r="CB30" i="37"/>
  <c r="BZ30" i="37"/>
  <c r="AW30" i="37"/>
  <c r="AV30" i="37"/>
  <c r="AU30" i="37"/>
  <c r="AT30" i="37"/>
  <c r="AS30" i="37"/>
  <c r="AR30" i="37"/>
  <c r="AQ30" i="37"/>
  <c r="AP30" i="37"/>
  <c r="AO30" i="37"/>
  <c r="AN30" i="37"/>
  <c r="AM30" i="37"/>
  <c r="AL30" i="37"/>
  <c r="AW29" i="37"/>
  <c r="AV29" i="37"/>
  <c r="AU29" i="37"/>
  <c r="AT29" i="37"/>
  <c r="AS29" i="37"/>
  <c r="AR29" i="37"/>
  <c r="AQ29" i="37"/>
  <c r="AP29" i="37"/>
  <c r="CA28" i="37"/>
  <c r="CA29" i="37" s="1"/>
  <c r="CB27" i="37"/>
  <c r="BZ27" i="37"/>
  <c r="BY27" i="37"/>
  <c r="AW27" i="37"/>
  <c r="AV27" i="37"/>
  <c r="AU27" i="37"/>
  <c r="AT27" i="37"/>
  <c r="AS27" i="37"/>
  <c r="AR27" i="37"/>
  <c r="AQ27" i="37"/>
  <c r="AP27" i="37"/>
  <c r="AO27" i="37"/>
  <c r="AN27" i="37"/>
  <c r="AM27" i="37"/>
  <c r="AL27" i="37"/>
  <c r="AK27" i="37"/>
  <c r="AJ27" i="37"/>
  <c r="AI27" i="37"/>
  <c r="AH27" i="37"/>
  <c r="BZ26" i="37"/>
  <c r="BY26" i="37"/>
  <c r="AW26" i="37"/>
  <c r="AV26" i="37"/>
  <c r="AU26" i="37"/>
  <c r="AT26" i="37"/>
  <c r="AS26" i="37"/>
  <c r="AR26" i="37"/>
  <c r="AQ26" i="37"/>
  <c r="AP26" i="37"/>
  <c r="AO26" i="37"/>
  <c r="AN26" i="37"/>
  <c r="AM26" i="37"/>
  <c r="AL26" i="37"/>
  <c r="AK26" i="37"/>
  <c r="AJ26" i="37"/>
  <c r="AI26" i="37"/>
  <c r="AH26" i="37"/>
  <c r="CA25" i="37"/>
  <c r="CB26" i="37" s="1"/>
  <c r="CB24" i="37"/>
  <c r="BZ24" i="37"/>
  <c r="BY24" i="37"/>
  <c r="AW24" i="37"/>
  <c r="AV24" i="37"/>
  <c r="AU24" i="37"/>
  <c r="AT24" i="37"/>
  <c r="AS24" i="37"/>
  <c r="AR24" i="37"/>
  <c r="AQ24" i="37"/>
  <c r="AP24" i="37"/>
  <c r="AO24" i="37"/>
  <c r="AN24" i="37"/>
  <c r="AM24" i="37"/>
  <c r="AL24" i="37"/>
  <c r="AK24" i="37"/>
  <c r="AJ24" i="37"/>
  <c r="AI24" i="37"/>
  <c r="AH24" i="37"/>
  <c r="BZ23" i="37"/>
  <c r="BY23" i="37"/>
  <c r="AW23" i="37"/>
  <c r="AV23" i="37"/>
  <c r="AU23" i="37"/>
  <c r="AT23" i="37"/>
  <c r="AS23" i="37"/>
  <c r="AR23" i="37"/>
  <c r="AQ23" i="37"/>
  <c r="AP23" i="37"/>
  <c r="AO23" i="37"/>
  <c r="AN23" i="37"/>
  <c r="AM23" i="37"/>
  <c r="AL23" i="37"/>
  <c r="AK23" i="37"/>
  <c r="AJ23" i="37"/>
  <c r="AI23" i="37"/>
  <c r="AH23" i="37"/>
  <c r="CA22" i="37"/>
  <c r="CB19" i="37"/>
  <c r="BZ19" i="37"/>
  <c r="BY19" i="37"/>
  <c r="AW19" i="37"/>
  <c r="AV19" i="37"/>
  <c r="AU19" i="37"/>
  <c r="AT19" i="37"/>
  <c r="AS19" i="37"/>
  <c r="AR19" i="37"/>
  <c r="AQ19" i="37"/>
  <c r="AP19" i="37"/>
  <c r="AO19" i="37"/>
  <c r="AN19" i="37"/>
  <c r="AM19" i="37"/>
  <c r="AL19" i="37"/>
  <c r="AK19" i="37"/>
  <c r="AJ19" i="37"/>
  <c r="AI19" i="37"/>
  <c r="AH19" i="37"/>
  <c r="BZ18" i="37"/>
  <c r="BY18" i="37"/>
  <c r="AW18" i="37"/>
  <c r="AV18" i="37"/>
  <c r="AU18" i="37"/>
  <c r="AT18" i="37"/>
  <c r="AS18" i="37"/>
  <c r="AR18" i="37"/>
  <c r="AQ18" i="37"/>
  <c r="AP18" i="37"/>
  <c r="AK18" i="37"/>
  <c r="AJ18" i="37"/>
  <c r="AI18" i="37"/>
  <c r="AH18" i="37"/>
  <c r="CA17" i="37"/>
  <c r="CB18" i="37" s="1"/>
  <c r="CB16" i="37"/>
  <c r="BZ16" i="37"/>
  <c r="BY16" i="37"/>
  <c r="AW16" i="37"/>
  <c r="AV16" i="37"/>
  <c r="AU16" i="37"/>
  <c r="AT16" i="37"/>
  <c r="AS16" i="37"/>
  <c r="AR16" i="37"/>
  <c r="AQ16" i="37"/>
  <c r="AP16" i="37"/>
  <c r="AO16" i="37"/>
  <c r="AN16" i="37"/>
  <c r="AM16" i="37"/>
  <c r="AL16" i="37"/>
  <c r="AK16" i="37"/>
  <c r="AJ16" i="37"/>
  <c r="AI16" i="37"/>
  <c r="AH16" i="37"/>
  <c r="BZ15" i="37"/>
  <c r="BY15" i="37"/>
  <c r="AW15" i="37"/>
  <c r="AV15" i="37"/>
  <c r="AU15" i="37"/>
  <c r="AT15" i="37"/>
  <c r="AS15" i="37"/>
  <c r="AR15" i="37"/>
  <c r="AQ15" i="37"/>
  <c r="AP15" i="37"/>
  <c r="AK15" i="37"/>
  <c r="AJ15" i="37"/>
  <c r="AI15" i="37"/>
  <c r="AH15" i="37"/>
  <c r="CA14" i="37"/>
  <c r="CA15" i="37" s="1"/>
  <c r="CG10" i="37"/>
  <c r="CF10" i="37"/>
  <c r="CD10" i="37"/>
  <c r="CC10" i="37"/>
  <c r="CB10" i="37"/>
  <c r="BT10" i="37"/>
  <c r="BS10" i="37"/>
  <c r="BR10" i="37"/>
  <c r="BQ10" i="37"/>
  <c r="BP10" i="37"/>
  <c r="BO10" i="37"/>
  <c r="BM10" i="37"/>
  <c r="BL10" i="37"/>
  <c r="BK10" i="37"/>
  <c r="BJ10" i="37"/>
  <c r="BI10" i="37"/>
  <c r="BH10" i="37"/>
  <c r="BG10" i="37"/>
  <c r="BF10" i="37"/>
  <c r="BE10" i="37"/>
  <c r="BD10" i="37"/>
  <c r="BC10" i="37"/>
  <c r="BB10" i="37"/>
  <c r="BA10" i="37"/>
  <c r="AZ10" i="37"/>
  <c r="AY10" i="37"/>
  <c r="AX10" i="37"/>
  <c r="AW10" i="37"/>
  <c r="AV10" i="37"/>
  <c r="AU10" i="37"/>
  <c r="AT10" i="37"/>
  <c r="AS10" i="37"/>
  <c r="AR10" i="37"/>
  <c r="AQ10" i="37"/>
  <c r="AP10" i="37"/>
  <c r="AN10" i="37"/>
  <c r="AM10" i="37"/>
  <c r="AL10" i="37"/>
  <c r="AK10" i="37"/>
  <c r="AJ10" i="37"/>
  <c r="AI10" i="37"/>
  <c r="AH10" i="37"/>
  <c r="AG10" i="37"/>
  <c r="AF10" i="37"/>
  <c r="AE10" i="37"/>
  <c r="AD10" i="37"/>
  <c r="AB10" i="37"/>
  <c r="AA10" i="37"/>
  <c r="Z10" i="37"/>
  <c r="Y10" i="37"/>
  <c r="X10" i="37"/>
  <c r="W10" i="37"/>
  <c r="J10" i="37"/>
  <c r="CG8" i="37"/>
  <c r="CF8" i="37"/>
  <c r="CD8" i="37"/>
  <c r="CC8" i="37"/>
  <c r="BT8" i="37"/>
  <c r="BS8" i="37"/>
  <c r="BR8" i="37"/>
  <c r="BQ8" i="37"/>
  <c r="BP8" i="37"/>
  <c r="BO8" i="37"/>
  <c r="BN8" i="37"/>
  <c r="BM8" i="37"/>
  <c r="BL8" i="37"/>
  <c r="BK8" i="37"/>
  <c r="BJ8" i="37"/>
  <c r="BI8" i="37"/>
  <c r="BH8" i="37"/>
  <c r="BG8" i="37"/>
  <c r="BF8" i="37"/>
  <c r="BE8" i="37"/>
  <c r="BD8" i="37"/>
  <c r="BC8" i="37"/>
  <c r="BB8" i="37"/>
  <c r="CG6" i="37"/>
  <c r="BT6" i="37"/>
  <c r="BT7" i="37" s="1"/>
  <c r="BS6" i="37"/>
  <c r="AQ18" i="66" s="1"/>
  <c r="BR6" i="37"/>
  <c r="AP18" i="66" s="1"/>
  <c r="BQ6" i="37"/>
  <c r="AO18" i="66" s="1"/>
  <c r="BP6" i="37"/>
  <c r="AN18" i="66" s="1"/>
  <c r="BO6" i="37"/>
  <c r="AM18" i="66" s="1"/>
  <c r="BN6" i="37"/>
  <c r="AL18" i="66" s="1"/>
  <c r="CE5" i="37"/>
  <c r="CE39" i="37" s="1"/>
  <c r="CA5" i="37"/>
  <c r="H5" i="37"/>
  <c r="H331" i="37" s="1"/>
  <c r="G5" i="37"/>
  <c r="G331" i="37" s="1"/>
  <c r="F5" i="37"/>
  <c r="K17" i="69"/>
  <c r="J17" i="69"/>
  <c r="I17" i="69"/>
  <c r="H17" i="69"/>
  <c r="G17" i="69"/>
  <c r="F17" i="69"/>
  <c r="E17" i="69"/>
  <c r="K16" i="69"/>
  <c r="J16" i="69"/>
  <c r="I16" i="69"/>
  <c r="H16" i="69"/>
  <c r="G16" i="69"/>
  <c r="F16" i="69"/>
  <c r="E16" i="69"/>
  <c r="K9" i="69"/>
  <c r="J9" i="69"/>
  <c r="I9" i="69"/>
  <c r="K8" i="69"/>
  <c r="K11" i="69" s="1"/>
  <c r="J8" i="69"/>
  <c r="I8" i="69"/>
  <c r="H8" i="69"/>
  <c r="G5" i="69"/>
  <c r="F5" i="69"/>
  <c r="E5" i="69"/>
  <c r="D5" i="69"/>
  <c r="C5" i="69"/>
  <c r="C8" i="69" s="1"/>
  <c r="C11" i="69" s="1"/>
  <c r="B5" i="69"/>
  <c r="B8" i="69" s="1"/>
  <c r="G3" i="69"/>
  <c r="F3" i="69"/>
  <c r="E3" i="69"/>
  <c r="D3" i="69"/>
  <c r="BF314" i="41"/>
  <c r="BE314" i="41"/>
  <c r="BE315" i="41" s="1"/>
  <c r="BD314" i="41"/>
  <c r="BD315" i="41" s="1"/>
  <c r="BC314" i="41"/>
  <c r="BC315" i="41" s="1"/>
  <c r="BB314" i="41"/>
  <c r="BA314" i="41"/>
  <c r="BA315" i="41" s="1"/>
  <c r="AZ314" i="41"/>
  <c r="AZ315" i="41" s="1"/>
  <c r="AY314" i="41"/>
  <c r="AY315" i="41" s="1"/>
  <c r="BI312" i="41"/>
  <c r="BI314" i="41" s="1"/>
  <c r="BI315" i="41" s="1"/>
  <c r="BH312" i="41"/>
  <c r="BH314" i="41" s="1"/>
  <c r="BH315" i="41" s="1"/>
  <c r="BG312" i="41"/>
  <c r="BG314" i="41" s="1"/>
  <c r="BG315" i="41" s="1"/>
  <c r="BF307" i="41"/>
  <c r="BE307" i="41"/>
  <c r="BI307" i="41" s="1"/>
  <c r="BI295" i="41" s="1"/>
  <c r="BD307" i="41"/>
  <c r="BC307" i="41"/>
  <c r="BF306" i="41"/>
  <c r="BE306" i="41"/>
  <c r="BI306" i="41" s="1"/>
  <c r="BI294" i="41" s="1"/>
  <c r="BD306" i="41"/>
  <c r="BC306" i="41"/>
  <c r="BF305" i="41"/>
  <c r="BE305" i="41"/>
  <c r="BI305" i="41" s="1"/>
  <c r="BI293" i="41" s="1"/>
  <c r="BD305" i="41"/>
  <c r="BC305" i="41"/>
  <c r="BF304" i="41"/>
  <c r="BE304" i="41"/>
  <c r="BI304" i="41" s="1"/>
  <c r="BI292" i="41" s="1"/>
  <c r="BD304" i="41"/>
  <c r="BC304" i="41"/>
  <c r="BE287" i="41"/>
  <c r="BD287" i="41"/>
  <c r="BA287" i="41"/>
  <c r="AZ287" i="41"/>
  <c r="AX287" i="41"/>
  <c r="AW287" i="41"/>
  <c r="B275" i="41"/>
  <c r="BO273" i="41"/>
  <c r="BN273" i="41"/>
  <c r="BN272" i="41" s="1"/>
  <c r="AG272" i="41"/>
  <c r="AF272" i="41"/>
  <c r="AE272" i="41"/>
  <c r="AE278" i="41" s="1"/>
  <c r="AD272" i="41"/>
  <c r="AC272" i="41"/>
  <c r="AB272" i="41"/>
  <c r="AA272" i="41"/>
  <c r="Z272" i="41"/>
  <c r="Y272" i="41"/>
  <c r="X272" i="41"/>
  <c r="W272" i="41"/>
  <c r="V272" i="41"/>
  <c r="U272" i="41"/>
  <c r="T272" i="41"/>
  <c r="S272" i="41"/>
  <c r="Q272" i="41"/>
  <c r="Q278" i="41" s="1"/>
  <c r="P272" i="41"/>
  <c r="P279" i="41" s="1"/>
  <c r="O272" i="41"/>
  <c r="O279" i="41" s="1"/>
  <c r="N272" i="41"/>
  <c r="M272" i="41"/>
  <c r="M279" i="41" s="1"/>
  <c r="AG267" i="41"/>
  <c r="AF267" i="41"/>
  <c r="AE267" i="41"/>
  <c r="AD267" i="41"/>
  <c r="AC267" i="41"/>
  <c r="AB267" i="41"/>
  <c r="AA267" i="41"/>
  <c r="Z267" i="41"/>
  <c r="Y267" i="41"/>
  <c r="X267" i="41"/>
  <c r="W267" i="41"/>
  <c r="V267" i="41"/>
  <c r="Q267" i="41"/>
  <c r="P267" i="41"/>
  <c r="O267" i="41"/>
  <c r="N267" i="41"/>
  <c r="M267" i="41"/>
  <c r="L267" i="41"/>
  <c r="L268" i="41" s="1"/>
  <c r="K267" i="41"/>
  <c r="K268" i="41" s="1"/>
  <c r="J267" i="41"/>
  <c r="J268" i="41" s="1"/>
  <c r="I267" i="41"/>
  <c r="I268" i="41" s="1"/>
  <c r="H267" i="41"/>
  <c r="H268" i="41" s="1"/>
  <c r="G267" i="41"/>
  <c r="G268" i="41" s="1"/>
  <c r="F267" i="41"/>
  <c r="F268" i="41" s="1"/>
  <c r="E267" i="41"/>
  <c r="E268" i="41" s="1"/>
  <c r="D267" i="41"/>
  <c r="D268" i="41" s="1"/>
  <c r="C267" i="41"/>
  <c r="C268" i="41" s="1"/>
  <c r="B267" i="41"/>
  <c r="B268" i="41" s="1"/>
  <c r="AG265" i="41"/>
  <c r="AF265" i="41"/>
  <c r="AE265" i="41"/>
  <c r="AD265" i="41"/>
  <c r="AC265" i="41"/>
  <c r="AB265" i="41"/>
  <c r="AA265" i="41"/>
  <c r="Z265" i="41"/>
  <c r="Y265" i="41"/>
  <c r="X265" i="41"/>
  <c r="W265" i="41"/>
  <c r="V265" i="41"/>
  <c r="Q265" i="41"/>
  <c r="P265" i="41"/>
  <c r="O265" i="41"/>
  <c r="N265" i="41"/>
  <c r="M265" i="41"/>
  <c r="L265" i="41"/>
  <c r="K265" i="41"/>
  <c r="J265" i="41"/>
  <c r="I265" i="41"/>
  <c r="H265" i="41"/>
  <c r="G265" i="41"/>
  <c r="F265" i="41"/>
  <c r="E265" i="41"/>
  <c r="D265" i="41"/>
  <c r="C265" i="41"/>
  <c r="B265" i="41"/>
  <c r="V260" i="41"/>
  <c r="Q260" i="41"/>
  <c r="P260" i="41"/>
  <c r="O260" i="41"/>
  <c r="N260" i="41"/>
  <c r="M260" i="41"/>
  <c r="L260" i="41"/>
  <c r="AA259" i="41"/>
  <c r="Z259" i="41"/>
  <c r="Y259" i="41"/>
  <c r="X259" i="41"/>
  <c r="W259" i="41"/>
  <c r="V259" i="41"/>
  <c r="U259" i="41"/>
  <c r="T259" i="41"/>
  <c r="S259" i="41"/>
  <c r="Q259" i="41"/>
  <c r="O259" i="41"/>
  <c r="N259" i="41"/>
  <c r="M259" i="41"/>
  <c r="L259" i="41"/>
  <c r="V254" i="41"/>
  <c r="Q254" i="41"/>
  <c r="P254" i="41"/>
  <c r="O254" i="41"/>
  <c r="N254" i="41"/>
  <c r="M254" i="41"/>
  <c r="Z245" i="41"/>
  <c r="Y245" i="41"/>
  <c r="X245" i="41"/>
  <c r="W245" i="41"/>
  <c r="U245" i="41"/>
  <c r="T245" i="41"/>
  <c r="S245" i="41"/>
  <c r="P245" i="41"/>
  <c r="M245" i="41"/>
  <c r="L245" i="41"/>
  <c r="K245" i="41"/>
  <c r="J245" i="41"/>
  <c r="I245" i="41"/>
  <c r="H245" i="41"/>
  <c r="G245" i="41"/>
  <c r="F245" i="41"/>
  <c r="E245" i="41"/>
  <c r="D245" i="41"/>
  <c r="C245" i="41"/>
  <c r="B245" i="41"/>
  <c r="BO244" i="41"/>
  <c r="BN244" i="41"/>
  <c r="AU243" i="41"/>
  <c r="BO242" i="41"/>
  <c r="BN242" i="41"/>
  <c r="BR241" i="41"/>
  <c r="BO239" i="41"/>
  <c r="BN239" i="41"/>
  <c r="BT238" i="41"/>
  <c r="AK238" i="41"/>
  <c r="AW240" i="41" s="1"/>
  <c r="AJ238" i="41"/>
  <c r="AV240" i="41" s="1"/>
  <c r="AI238" i="41"/>
  <c r="AQ240" i="41" s="1"/>
  <c r="AH238" i="41"/>
  <c r="BP238" i="41" s="1"/>
  <c r="Q238" i="41"/>
  <c r="BB237" i="41"/>
  <c r="BA237" i="41"/>
  <c r="AZ237" i="41"/>
  <c r="AY237" i="41"/>
  <c r="AX237" i="41"/>
  <c r="AW237" i="41"/>
  <c r="AV237" i="41"/>
  <c r="AU237" i="41"/>
  <c r="AT237" i="41"/>
  <c r="AS237" i="41"/>
  <c r="AR237" i="41"/>
  <c r="AQ237" i="41"/>
  <c r="BT236" i="41"/>
  <c r="O236" i="41"/>
  <c r="BU235" i="41"/>
  <c r="BU236" i="41" s="1"/>
  <c r="BR235" i="41"/>
  <c r="BS236" i="41" s="1"/>
  <c r="BQ235" i="41"/>
  <c r="AG235" i="41"/>
  <c r="P11" i="66" s="1"/>
  <c r="AF235" i="41"/>
  <c r="AE235" i="41"/>
  <c r="N11" i="66" s="1"/>
  <c r="AA235" i="41"/>
  <c r="J11" i="66" s="1"/>
  <c r="Z235" i="41"/>
  <c r="I11" i="66" s="1"/>
  <c r="Y235" i="41"/>
  <c r="H11" i="66" s="1"/>
  <c r="X235" i="41"/>
  <c r="G11" i="66" s="1"/>
  <c r="W235" i="41"/>
  <c r="F11" i="66" s="1"/>
  <c r="U235" i="41"/>
  <c r="E11" i="66" s="1"/>
  <c r="T235" i="41"/>
  <c r="D11" i="66" s="1"/>
  <c r="S235" i="41"/>
  <c r="C11" i="66" s="1"/>
  <c r="R235" i="41"/>
  <c r="B11" i="66" s="1"/>
  <c r="BO234" i="41"/>
  <c r="BN234" i="41"/>
  <c r="BB234" i="41"/>
  <c r="BA234" i="41"/>
  <c r="AZ234" i="41"/>
  <c r="AY234" i="41"/>
  <c r="AX234" i="41"/>
  <c r="AW234" i="41"/>
  <c r="AV234" i="41"/>
  <c r="AU234" i="41"/>
  <c r="AT234" i="41"/>
  <c r="AP234" i="41"/>
  <c r="AO234" i="41"/>
  <c r="AN234" i="41"/>
  <c r="AM234" i="41"/>
  <c r="AL234" i="41"/>
  <c r="AK234" i="41"/>
  <c r="AJ234" i="41"/>
  <c r="AI234" i="41"/>
  <c r="AH234" i="41"/>
  <c r="BP234" i="41" s="1"/>
  <c r="V234" i="41"/>
  <c r="V245" i="41" s="1"/>
  <c r="Q234" i="41"/>
  <c r="Q235" i="41" s="1"/>
  <c r="AZ233" i="41"/>
  <c r="AK232" i="41"/>
  <c r="AJ232" i="41"/>
  <c r="AI232" i="41"/>
  <c r="AC231" i="41"/>
  <c r="AB231" i="41"/>
  <c r="AA231" i="41"/>
  <c r="AG229" i="41"/>
  <c r="BI225" i="41"/>
  <c r="BH225" i="41"/>
  <c r="BG225" i="41"/>
  <c r="BF225" i="41"/>
  <c r="BV225" i="41" s="1"/>
  <c r="BE225" i="41"/>
  <c r="BD225" i="41"/>
  <c r="BC225" i="41"/>
  <c r="BB225" i="41"/>
  <c r="BA225" i="41"/>
  <c r="AZ225" i="41"/>
  <c r="AY225" i="41"/>
  <c r="AX225" i="41"/>
  <c r="AW225" i="41"/>
  <c r="AV225" i="41"/>
  <c r="AU225" i="41"/>
  <c r="AT225" i="41"/>
  <c r="AS225" i="41"/>
  <c r="AR225" i="41"/>
  <c r="AQ225" i="41"/>
  <c r="AP225" i="41"/>
  <c r="AO225" i="41"/>
  <c r="AN225" i="41"/>
  <c r="AL225" i="41"/>
  <c r="AK225" i="41"/>
  <c r="AJ225" i="41"/>
  <c r="AH225" i="41"/>
  <c r="AG225" i="41"/>
  <c r="AF225" i="41"/>
  <c r="AE225" i="41"/>
  <c r="AD225" i="41"/>
  <c r="AC225" i="41"/>
  <c r="AB225" i="41"/>
  <c r="AA225" i="41"/>
  <c r="Z225" i="41"/>
  <c r="Y225" i="41"/>
  <c r="X225" i="41"/>
  <c r="W225" i="41"/>
  <c r="BV224" i="41"/>
  <c r="BU224" i="41"/>
  <c r="BT224" i="41"/>
  <c r="BS224" i="41"/>
  <c r="BR224" i="41"/>
  <c r="BQ224" i="41"/>
  <c r="BP224" i="41"/>
  <c r="BO224" i="41"/>
  <c r="BN224" i="41"/>
  <c r="AI224" i="41"/>
  <c r="V224" i="41"/>
  <c r="BI223" i="41"/>
  <c r="BH223" i="41"/>
  <c r="BG223" i="41"/>
  <c r="BF223" i="41"/>
  <c r="BV223" i="41" s="1"/>
  <c r="BE223" i="41"/>
  <c r="BD223" i="41"/>
  <c r="BC223" i="41"/>
  <c r="BB223" i="41"/>
  <c r="BA223" i="41"/>
  <c r="AZ223" i="41"/>
  <c r="AY223" i="41"/>
  <c r="AX223" i="41"/>
  <c r="AW223" i="41"/>
  <c r="AV223" i="41"/>
  <c r="AU223" i="41"/>
  <c r="AT223" i="41"/>
  <c r="AS223" i="41"/>
  <c r="AR223" i="41"/>
  <c r="AQ223" i="41"/>
  <c r="AP223" i="41"/>
  <c r="AO223" i="41"/>
  <c r="AN223" i="41"/>
  <c r="AM223" i="41"/>
  <c r="AL223" i="41"/>
  <c r="AK223" i="41"/>
  <c r="AJ223" i="41"/>
  <c r="AI223" i="41"/>
  <c r="AH223" i="41"/>
  <c r="AF223" i="41"/>
  <c r="AE223" i="41"/>
  <c r="AD223" i="41"/>
  <c r="AB223" i="41"/>
  <c r="AA223" i="41"/>
  <c r="Z223" i="41"/>
  <c r="Y223" i="41"/>
  <c r="X223" i="41"/>
  <c r="W223" i="41"/>
  <c r="BV222" i="41"/>
  <c r="BU222" i="41"/>
  <c r="BT222" i="41"/>
  <c r="BS222" i="41"/>
  <c r="BR222" i="41"/>
  <c r="BQ222" i="41"/>
  <c r="BP222" i="41"/>
  <c r="BO222" i="41"/>
  <c r="BN222" i="41"/>
  <c r="AC222" i="41"/>
  <c r="AG223" i="41" s="1"/>
  <c r="V222" i="41"/>
  <c r="BI221" i="41"/>
  <c r="BH221" i="41"/>
  <c r="BG221" i="41"/>
  <c r="BF221" i="41"/>
  <c r="BV221" i="41" s="1"/>
  <c r="BE221" i="41"/>
  <c r="BD221" i="41"/>
  <c r="BC221" i="41"/>
  <c r="BB221" i="41"/>
  <c r="BA221" i="41"/>
  <c r="AZ221" i="41"/>
  <c r="AY221" i="41"/>
  <c r="AX221" i="41"/>
  <c r="AW221" i="41"/>
  <c r="AV221" i="41"/>
  <c r="AU221" i="41"/>
  <c r="AT221" i="41"/>
  <c r="AS221" i="41"/>
  <c r="AR221" i="41"/>
  <c r="AQ221" i="41"/>
  <c r="AP221" i="41"/>
  <c r="AO221" i="41"/>
  <c r="AN221" i="41"/>
  <c r="AM221" i="41"/>
  <c r="AL221" i="41"/>
  <c r="AK221" i="41"/>
  <c r="AJ221" i="41"/>
  <c r="AI221" i="41"/>
  <c r="AH221" i="41"/>
  <c r="AG221" i="41"/>
  <c r="AF221" i="41"/>
  <c r="AE221" i="41"/>
  <c r="AD221" i="41"/>
  <c r="AC221" i="41"/>
  <c r="AB221" i="41"/>
  <c r="AA221" i="41"/>
  <c r="Z221" i="41"/>
  <c r="Y221" i="41"/>
  <c r="X221" i="41"/>
  <c r="W221" i="41"/>
  <c r="BV220" i="41"/>
  <c r="BU220" i="41"/>
  <c r="BT220" i="41"/>
  <c r="BS220" i="41"/>
  <c r="BR220" i="41"/>
  <c r="BQ220" i="41"/>
  <c r="BP220" i="41"/>
  <c r="BO220" i="41"/>
  <c r="BN220" i="41"/>
  <c r="V220" i="41"/>
  <c r="AL216" i="41"/>
  <c r="AK216" i="41"/>
  <c r="AJ216" i="41"/>
  <c r="AI216" i="41"/>
  <c r="BU213" i="41"/>
  <c r="BT213" i="41"/>
  <c r="BS213" i="41"/>
  <c r="BR213" i="41"/>
  <c r="BQ213" i="41"/>
  <c r="BP213" i="41"/>
  <c r="BO213" i="41"/>
  <c r="BN213" i="41"/>
  <c r="BU212" i="41"/>
  <c r="BU146" i="41" s="1"/>
  <c r="BT212" i="41"/>
  <c r="BS212" i="41"/>
  <c r="BR212" i="41"/>
  <c r="BQ212" i="41"/>
  <c r="BP212" i="41"/>
  <c r="BO212" i="41"/>
  <c r="BN212" i="41"/>
  <c r="AN212" i="41"/>
  <c r="BU211" i="41"/>
  <c r="BT211" i="41"/>
  <c r="BS211" i="41"/>
  <c r="BR211" i="41"/>
  <c r="BQ211" i="41"/>
  <c r="BP211" i="41"/>
  <c r="BO211" i="41"/>
  <c r="BN211" i="41"/>
  <c r="AN211" i="41"/>
  <c r="AJ211" i="41"/>
  <c r="AK211" i="41" s="1"/>
  <c r="AF211" i="41"/>
  <c r="AG211" i="41" s="1"/>
  <c r="BU210" i="41"/>
  <c r="BT210" i="41"/>
  <c r="BS210" i="41"/>
  <c r="BR210" i="41"/>
  <c r="BQ210" i="41"/>
  <c r="BP210" i="41"/>
  <c r="BO210" i="41"/>
  <c r="BN210" i="41"/>
  <c r="AN210" i="41"/>
  <c r="AJ210" i="41"/>
  <c r="AK210" i="41" s="1"/>
  <c r="AF210" i="41"/>
  <c r="AG210" i="41" s="1"/>
  <c r="BU209" i="41"/>
  <c r="BT209" i="41"/>
  <c r="BS209" i="41"/>
  <c r="BR209" i="41"/>
  <c r="BQ209" i="41"/>
  <c r="BP209" i="41"/>
  <c r="BO209" i="41"/>
  <c r="BN209" i="41"/>
  <c r="AN209" i="41"/>
  <c r="AJ209" i="41"/>
  <c r="AK209" i="41" s="1"/>
  <c r="AF209" i="41"/>
  <c r="AG209" i="41" s="1"/>
  <c r="AL208" i="41"/>
  <c r="AK208" i="41"/>
  <c r="AJ208" i="41"/>
  <c r="AI208" i="41"/>
  <c r="BU204" i="41"/>
  <c r="BU202" i="41"/>
  <c r="BT202" i="41"/>
  <c r="BS202" i="41"/>
  <c r="BR202" i="41"/>
  <c r="V202" i="41"/>
  <c r="U202" i="41"/>
  <c r="T202" i="41"/>
  <c r="S202" i="41"/>
  <c r="Q202" i="41"/>
  <c r="BU201" i="41"/>
  <c r="BT201" i="41"/>
  <c r="BS201" i="41"/>
  <c r="BR201" i="41"/>
  <c r="AO201" i="41"/>
  <c r="AO202" i="41" s="1"/>
  <c r="AN201" i="41"/>
  <c r="AN202" i="41" s="1"/>
  <c r="AM201" i="41"/>
  <c r="AM202" i="41" s="1"/>
  <c r="AL201" i="41"/>
  <c r="AK201" i="41"/>
  <c r="AK202" i="41" s="1"/>
  <c r="AJ201" i="41"/>
  <c r="AJ202" i="41" s="1"/>
  <c r="AI201" i="41"/>
  <c r="AI202" i="41" s="1"/>
  <c r="AH201" i="41"/>
  <c r="AG201" i="41"/>
  <c r="AG202" i="41" s="1"/>
  <c r="AB201" i="41"/>
  <c r="AB202" i="41" s="1"/>
  <c r="X201" i="41"/>
  <c r="X202" i="41" s="1"/>
  <c r="W201" i="41"/>
  <c r="W202" i="41" s="1"/>
  <c r="BU200" i="41"/>
  <c r="BT200" i="41"/>
  <c r="BS200" i="41"/>
  <c r="BR200" i="41"/>
  <c r="BU199" i="41"/>
  <c r="BT199" i="41"/>
  <c r="BS199" i="41"/>
  <c r="BR199" i="41"/>
  <c r="BQ199" i="41"/>
  <c r="BP199" i="41"/>
  <c r="AF199" i="41"/>
  <c r="AF201" i="41" s="1"/>
  <c r="AF202" i="41" s="1"/>
  <c r="AE199" i="41"/>
  <c r="AE201" i="41" s="1"/>
  <c r="AE202" i="41" s="1"/>
  <c r="AD199" i="41"/>
  <c r="AD201" i="41" s="1"/>
  <c r="AC199" i="41"/>
  <c r="AC201" i="41" s="1"/>
  <c r="AC202" i="41" s="1"/>
  <c r="AA199" i="41"/>
  <c r="AA201" i="41" s="1"/>
  <c r="AA202" i="41" s="1"/>
  <c r="Z199" i="41"/>
  <c r="BN199" i="41" s="1"/>
  <c r="Y199" i="41"/>
  <c r="Y201" i="41" s="1"/>
  <c r="Y202" i="41" s="1"/>
  <c r="P199" i="41"/>
  <c r="P202" i="41" s="1"/>
  <c r="O199" i="41"/>
  <c r="O202" i="41" s="1"/>
  <c r="N199" i="41"/>
  <c r="N202" i="41" s="1"/>
  <c r="M199" i="41"/>
  <c r="M202" i="41" s="1"/>
  <c r="L199" i="41"/>
  <c r="L202" i="41" s="1"/>
  <c r="BU198" i="41"/>
  <c r="AU198" i="41"/>
  <c r="AU204" i="41" s="1"/>
  <c r="BT204" i="41" s="1"/>
  <c r="AT198" i="41"/>
  <c r="BS198" i="41" s="1"/>
  <c r="AS198" i="41"/>
  <c r="AS204" i="41" s="1"/>
  <c r="AR198" i="41"/>
  <c r="AR204" i="41" s="1"/>
  <c r="AQ198" i="41"/>
  <c r="AQ204" i="41" s="1"/>
  <c r="AP198" i="41"/>
  <c r="AO198" i="41"/>
  <c r="AO204" i="41" s="1"/>
  <c r="AN198" i="41"/>
  <c r="AN204" i="41" s="1"/>
  <c r="AM198" i="41"/>
  <c r="AM204" i="41" s="1"/>
  <c r="AL198" i="41"/>
  <c r="AK198" i="41"/>
  <c r="AK204" i="41" s="1"/>
  <c r="AJ198" i="41"/>
  <c r="AJ204" i="41" s="1"/>
  <c r="AI198" i="41"/>
  <c r="AI204" i="41" s="1"/>
  <c r="AH198" i="41"/>
  <c r="AH204" i="41" s="1"/>
  <c r="BP204" i="41" s="1"/>
  <c r="AG198" i="41"/>
  <c r="AG204" i="41" s="1"/>
  <c r="X198" i="41"/>
  <c r="X204" i="41" s="1"/>
  <c r="W198" i="41"/>
  <c r="W204" i="41" s="1"/>
  <c r="V198" i="41"/>
  <c r="V204" i="41" s="1"/>
  <c r="U198" i="41"/>
  <c r="U204" i="41" s="1"/>
  <c r="T198" i="41"/>
  <c r="T204" i="41" s="1"/>
  <c r="S198" i="41"/>
  <c r="S204" i="41" s="1"/>
  <c r="Q198" i="41"/>
  <c r="Q204" i="41" s="1"/>
  <c r="P198" i="41"/>
  <c r="P204" i="41" s="1"/>
  <c r="O198" i="41"/>
  <c r="O204" i="41" s="1"/>
  <c r="N198" i="41"/>
  <c r="N204" i="41" s="1"/>
  <c r="M198" i="41"/>
  <c r="M204" i="41" s="1"/>
  <c r="L198" i="41"/>
  <c r="L204" i="41" s="1"/>
  <c r="K198" i="41"/>
  <c r="J198" i="41"/>
  <c r="H198" i="41"/>
  <c r="G198" i="41"/>
  <c r="F198" i="41"/>
  <c r="BU197" i="41"/>
  <c r="BT197" i="41"/>
  <c r="BS197" i="41"/>
  <c r="BR197" i="41"/>
  <c r="BQ197" i="41"/>
  <c r="BP197" i="41"/>
  <c r="AF197" i="41"/>
  <c r="AF198" i="41" s="1"/>
  <c r="AF204" i="41" s="1"/>
  <c r="AE197" i="41"/>
  <c r="AE198" i="41" s="1"/>
  <c r="AE204" i="41" s="1"/>
  <c r="AD197" i="41"/>
  <c r="AC197" i="41"/>
  <c r="AC198" i="41" s="1"/>
  <c r="AC204" i="41" s="1"/>
  <c r="AB197" i="41"/>
  <c r="AB198" i="41" s="1"/>
  <c r="AB204" i="41" s="1"/>
  <c r="AA197" i="41"/>
  <c r="AA198" i="41" s="1"/>
  <c r="AA204" i="41" s="1"/>
  <c r="Z197" i="41"/>
  <c r="Z198" i="41" s="1"/>
  <c r="Y197" i="41"/>
  <c r="Y204" i="41" s="1"/>
  <c r="BU196" i="41"/>
  <c r="BT196" i="41"/>
  <c r="BS196" i="41"/>
  <c r="BR196" i="41"/>
  <c r="BQ196" i="41"/>
  <c r="BP196" i="41"/>
  <c r="BO196" i="41"/>
  <c r="BN196" i="41"/>
  <c r="BU193" i="41"/>
  <c r="BT193" i="41"/>
  <c r="BS193" i="41"/>
  <c r="BR193" i="41"/>
  <c r="BQ193" i="41"/>
  <c r="BP193" i="41"/>
  <c r="BO193" i="41"/>
  <c r="BN193" i="41"/>
  <c r="BU192" i="41"/>
  <c r="BT192" i="41"/>
  <c r="BP192" i="41"/>
  <c r="BO192" i="41"/>
  <c r="BN192" i="41"/>
  <c r="AT192" i="41"/>
  <c r="BS192" i="41" s="1"/>
  <c r="AS192" i="41"/>
  <c r="AR192" i="41"/>
  <c r="AQ192" i="41"/>
  <c r="AP192" i="41"/>
  <c r="BR192" i="41" s="1"/>
  <c r="AL192" i="41"/>
  <c r="BQ192" i="41" s="1"/>
  <c r="BU191" i="41"/>
  <c r="BT191" i="41"/>
  <c r="AT191" i="41"/>
  <c r="BS191" i="41" s="1"/>
  <c r="AS191" i="41"/>
  <c r="AR191" i="41"/>
  <c r="AQ191" i="41"/>
  <c r="AP191" i="41"/>
  <c r="BR191" i="41" s="1"/>
  <c r="AO191" i="41"/>
  <c r="AN191" i="41"/>
  <c r="AM191" i="41"/>
  <c r="AL191" i="41"/>
  <c r="BQ191" i="41" s="1"/>
  <c r="AK191" i="41"/>
  <c r="AJ191" i="41"/>
  <c r="AI191" i="41"/>
  <c r="AH191" i="41"/>
  <c r="BP191" i="41" s="1"/>
  <c r="AG191" i="41"/>
  <c r="AF191" i="41"/>
  <c r="AE191" i="41"/>
  <c r="AD191" i="41"/>
  <c r="BO191" i="41" s="1"/>
  <c r="AC191" i="41"/>
  <c r="AB191" i="41"/>
  <c r="AA191" i="41"/>
  <c r="Z191" i="41"/>
  <c r="BN191" i="41" s="1"/>
  <c r="Y191" i="41"/>
  <c r="X191" i="41"/>
  <c r="W191" i="41"/>
  <c r="V191" i="41"/>
  <c r="U191" i="41"/>
  <c r="T191" i="41"/>
  <c r="S191" i="41"/>
  <c r="Q191" i="41"/>
  <c r="P191" i="41"/>
  <c r="O191" i="41"/>
  <c r="N191" i="41"/>
  <c r="M191" i="41"/>
  <c r="L191" i="41"/>
  <c r="K191" i="41"/>
  <c r="J191" i="41"/>
  <c r="I191" i="41"/>
  <c r="I275" i="41" s="1"/>
  <c r="H191" i="41"/>
  <c r="G191" i="41"/>
  <c r="F191" i="41"/>
  <c r="E191" i="41"/>
  <c r="E275" i="41" s="1"/>
  <c r="D191" i="41"/>
  <c r="D275" i="41" s="1"/>
  <c r="C191" i="41"/>
  <c r="C275" i="41" s="1"/>
  <c r="BU190" i="41"/>
  <c r="BT190" i="41"/>
  <c r="BS190" i="41"/>
  <c r="BR190" i="41"/>
  <c r="BQ190" i="41"/>
  <c r="BP190" i="41"/>
  <c r="BO190" i="41"/>
  <c r="BN190" i="41"/>
  <c r="BU189" i="41"/>
  <c r="BT189" i="41"/>
  <c r="BS189" i="41"/>
  <c r="BR189" i="41"/>
  <c r="BQ189" i="41"/>
  <c r="BP189" i="41"/>
  <c r="BO189" i="41"/>
  <c r="BN189" i="41"/>
  <c r="BU188" i="41"/>
  <c r="BT188" i="41"/>
  <c r="BS188" i="41"/>
  <c r="BR188" i="41"/>
  <c r="BQ188" i="41"/>
  <c r="BP188" i="41"/>
  <c r="BO188" i="41"/>
  <c r="BN188" i="41"/>
  <c r="AL185" i="41"/>
  <c r="AK185" i="41"/>
  <c r="AJ185" i="41"/>
  <c r="AI185" i="41"/>
  <c r="BI169" i="41"/>
  <c r="BH169" i="41"/>
  <c r="BG169" i="41"/>
  <c r="BF169" i="41"/>
  <c r="BE169" i="41"/>
  <c r="BD169" i="41"/>
  <c r="BC169" i="41"/>
  <c r="BB169" i="41"/>
  <c r="BA169" i="41"/>
  <c r="AZ169" i="41"/>
  <c r="AY169" i="41"/>
  <c r="AX169" i="41"/>
  <c r="AW169" i="41"/>
  <c r="AV169" i="41"/>
  <c r="AU169" i="41"/>
  <c r="AS169" i="41"/>
  <c r="AR169" i="41"/>
  <c r="AQ169" i="41"/>
  <c r="AO169" i="41"/>
  <c r="AN169" i="41"/>
  <c r="AM169" i="41"/>
  <c r="AL169" i="41"/>
  <c r="AK169" i="41"/>
  <c r="AJ169" i="41"/>
  <c r="AI169" i="41"/>
  <c r="AH169" i="41"/>
  <c r="AG169" i="41"/>
  <c r="AF169" i="41"/>
  <c r="AE169" i="41"/>
  <c r="AD169" i="41"/>
  <c r="AC169" i="41"/>
  <c r="AB169" i="41"/>
  <c r="AA169" i="41"/>
  <c r="Z169" i="41"/>
  <c r="Y169" i="41"/>
  <c r="X169" i="41"/>
  <c r="W169" i="41"/>
  <c r="V169" i="41"/>
  <c r="Q169" i="41"/>
  <c r="P169" i="41"/>
  <c r="O169" i="41"/>
  <c r="N169" i="41"/>
  <c r="M169" i="41"/>
  <c r="V168" i="41"/>
  <c r="Q168" i="41"/>
  <c r="P168" i="41"/>
  <c r="O168" i="41"/>
  <c r="N168" i="41"/>
  <c r="M168" i="41"/>
  <c r="M167" i="41"/>
  <c r="BO166" i="41"/>
  <c r="BN166" i="41"/>
  <c r="BI166" i="41"/>
  <c r="BG166" i="41"/>
  <c r="BE166" i="41"/>
  <c r="BC166" i="41"/>
  <c r="AZ166" i="41"/>
  <c r="AY166" i="41"/>
  <c r="AV166" i="41"/>
  <c r="AU166" i="41"/>
  <c r="AS166" i="41"/>
  <c r="AQ166" i="41"/>
  <c r="AM166" i="41"/>
  <c r="AA166" i="41"/>
  <c r="Y166" i="41"/>
  <c r="X166" i="41"/>
  <c r="W166" i="41"/>
  <c r="V166" i="41"/>
  <c r="Q166" i="41"/>
  <c r="P166" i="41"/>
  <c r="O166" i="41"/>
  <c r="N166" i="41"/>
  <c r="N164" i="41"/>
  <c r="M164" i="41"/>
  <c r="L164" i="41"/>
  <c r="K164" i="41"/>
  <c r="J164" i="41"/>
  <c r="I164" i="41"/>
  <c r="H164" i="41"/>
  <c r="G164" i="41"/>
  <c r="F164" i="41"/>
  <c r="E164" i="41"/>
  <c r="D164" i="41"/>
  <c r="C164" i="41"/>
  <c r="B164" i="41"/>
  <c r="Q163" i="41"/>
  <c r="P163" i="41"/>
  <c r="O163" i="41"/>
  <c r="N163" i="41"/>
  <c r="M163" i="41"/>
  <c r="Q159" i="41"/>
  <c r="BI158" i="41"/>
  <c r="BH158" i="41"/>
  <c r="AQ8" i="66" s="1"/>
  <c r="BG158" i="41"/>
  <c r="AP8" i="66" s="1"/>
  <c r="BF158" i="41"/>
  <c r="AO8" i="66" s="1"/>
  <c r="BE158" i="41"/>
  <c r="AN8" i="66" s="1"/>
  <c r="BD158" i="41"/>
  <c r="AM8" i="66" s="1"/>
  <c r="AI156" i="41"/>
  <c r="AH156" i="41"/>
  <c r="AG156" i="41"/>
  <c r="AF156" i="41"/>
  <c r="AE156" i="41"/>
  <c r="AD156" i="41"/>
  <c r="AC156" i="41"/>
  <c r="AB156" i="41"/>
  <c r="AA156" i="41"/>
  <c r="Z156" i="41"/>
  <c r="Y156" i="41"/>
  <c r="X156" i="41"/>
  <c r="W156" i="41"/>
  <c r="V156" i="41"/>
  <c r="Q156" i="41"/>
  <c r="P156" i="41"/>
  <c r="O156" i="41"/>
  <c r="N156" i="41"/>
  <c r="M156" i="41"/>
  <c r="AG146" i="41"/>
  <c r="AF146" i="41"/>
  <c r="AE146" i="41"/>
  <c r="AD146" i="41"/>
  <c r="AC146" i="41"/>
  <c r="AB146" i="41"/>
  <c r="AA146" i="41"/>
  <c r="Z146" i="41"/>
  <c r="Y146" i="41"/>
  <c r="X146" i="41"/>
  <c r="W146" i="41"/>
  <c r="V146" i="41"/>
  <c r="U146" i="41"/>
  <c r="T146" i="41"/>
  <c r="S146" i="41"/>
  <c r="Q146" i="41"/>
  <c r="P146" i="41"/>
  <c r="O146" i="41"/>
  <c r="N146" i="41"/>
  <c r="M146" i="41"/>
  <c r="L146" i="41"/>
  <c r="W145" i="41"/>
  <c r="V145" i="41"/>
  <c r="U145" i="41"/>
  <c r="T145" i="41"/>
  <c r="S145" i="41"/>
  <c r="Q145" i="41"/>
  <c r="P145" i="41"/>
  <c r="O145" i="41"/>
  <c r="Q144" i="41"/>
  <c r="Q143" i="41"/>
  <c r="N143" i="41"/>
  <c r="M143" i="41"/>
  <c r="L143" i="41"/>
  <c r="Q142" i="41"/>
  <c r="P142" i="41"/>
  <c r="O142" i="41"/>
  <c r="N142" i="41"/>
  <c r="M142" i="41"/>
  <c r="L142" i="41"/>
  <c r="BU140" i="41"/>
  <c r="BU139" i="41"/>
  <c r="BU138" i="41"/>
  <c r="BU137" i="41"/>
  <c r="BU136" i="41"/>
  <c r="BU135" i="41"/>
  <c r="AL125" i="41"/>
  <c r="AK125" i="41"/>
  <c r="AJ125" i="41"/>
  <c r="AI125" i="41"/>
  <c r="BU121" i="41"/>
  <c r="BT121" i="41"/>
  <c r="BS121" i="41"/>
  <c r="BR121" i="41"/>
  <c r="BQ121" i="41"/>
  <c r="BP121" i="41"/>
  <c r="BO121" i="41"/>
  <c r="BN121" i="41"/>
  <c r="BI121" i="41"/>
  <c r="BH121" i="41"/>
  <c r="BG121" i="41"/>
  <c r="BF121" i="41"/>
  <c r="BE121" i="41"/>
  <c r="BD121" i="41"/>
  <c r="BC121" i="41"/>
  <c r="BB121" i="41"/>
  <c r="BA121" i="41"/>
  <c r="AZ121" i="41"/>
  <c r="AY121" i="41"/>
  <c r="AX121" i="41"/>
  <c r="AW121" i="41"/>
  <c r="AV121" i="41"/>
  <c r="AU121" i="41"/>
  <c r="AT121" i="41"/>
  <c r="AS121" i="41"/>
  <c r="AR121" i="41"/>
  <c r="AQ121" i="41"/>
  <c r="AP121" i="41"/>
  <c r="AO121" i="41"/>
  <c r="AN121" i="41"/>
  <c r="AM121" i="41"/>
  <c r="AL121" i="41"/>
  <c r="AK121" i="41"/>
  <c r="AJ121" i="41"/>
  <c r="AI121" i="41"/>
  <c r="AH121" i="41"/>
  <c r="AG121" i="41"/>
  <c r="AF121" i="41"/>
  <c r="AE121" i="41"/>
  <c r="AD121" i="41"/>
  <c r="AC121" i="41"/>
  <c r="AB121" i="41"/>
  <c r="AA121" i="41"/>
  <c r="Z121" i="41"/>
  <c r="Y121" i="41"/>
  <c r="X121" i="41"/>
  <c r="W121" i="41"/>
  <c r="V121" i="41"/>
  <c r="Q121" i="41"/>
  <c r="P121" i="41"/>
  <c r="O121" i="41"/>
  <c r="N121" i="41"/>
  <c r="M121" i="41"/>
  <c r="BI112" i="41"/>
  <c r="BH112" i="41"/>
  <c r="BG112" i="41"/>
  <c r="BF112" i="41"/>
  <c r="BE112" i="41"/>
  <c r="BC112" i="41"/>
  <c r="BA112" i="41"/>
  <c r="AZ112" i="41"/>
  <c r="AY112" i="41"/>
  <c r="AV112" i="41"/>
  <c r="AU112" i="41"/>
  <c r="AS112" i="41"/>
  <c r="AR112" i="41"/>
  <c r="AQ112" i="41"/>
  <c r="AO112" i="41"/>
  <c r="AM112" i="41"/>
  <c r="AI112" i="41"/>
  <c r="AA112" i="41"/>
  <c r="X112" i="41"/>
  <c r="W112" i="41"/>
  <c r="V112" i="41"/>
  <c r="U112" i="41"/>
  <c r="U113" i="41" s="1"/>
  <c r="T112" i="41"/>
  <c r="T114" i="41" s="1"/>
  <c r="S112" i="41"/>
  <c r="Q112" i="41"/>
  <c r="P112" i="41"/>
  <c r="P114" i="41" s="1"/>
  <c r="O112" i="41"/>
  <c r="O113" i="41" s="1"/>
  <c r="N112" i="41"/>
  <c r="M112" i="41"/>
  <c r="L112" i="41"/>
  <c r="K112" i="41"/>
  <c r="J112" i="41"/>
  <c r="I112" i="41"/>
  <c r="H112" i="41"/>
  <c r="G112" i="41"/>
  <c r="F112" i="41"/>
  <c r="E112" i="41"/>
  <c r="D112" i="41"/>
  <c r="C112" i="41"/>
  <c r="B112" i="41"/>
  <c r="N110" i="41"/>
  <c r="M110" i="41"/>
  <c r="L110" i="41"/>
  <c r="V109" i="41"/>
  <c r="U109" i="41"/>
  <c r="T109" i="41"/>
  <c r="S109" i="41"/>
  <c r="Q109" i="41"/>
  <c r="P109" i="41"/>
  <c r="BI108" i="41"/>
  <c r="BH108" i="41"/>
  <c r="BG108" i="41"/>
  <c r="BF108" i="41"/>
  <c r="BE108" i="41"/>
  <c r="BD108" i="41"/>
  <c r="BC108" i="41"/>
  <c r="BB108" i="41"/>
  <c r="BA108" i="41"/>
  <c r="AZ108" i="41"/>
  <c r="AY108" i="41"/>
  <c r="AX108" i="41"/>
  <c r="AW108" i="41"/>
  <c r="AV108" i="41"/>
  <c r="AU108" i="41"/>
  <c r="AT108" i="41"/>
  <c r="AS108" i="41"/>
  <c r="AR108" i="41"/>
  <c r="AQ108" i="41"/>
  <c r="AO108" i="41"/>
  <c r="AN108" i="41"/>
  <c r="AM108" i="41"/>
  <c r="AL108" i="41"/>
  <c r="AK108" i="41"/>
  <c r="AJ108" i="41"/>
  <c r="AI108" i="41"/>
  <c r="AH108" i="41"/>
  <c r="AG108" i="41"/>
  <c r="AF108" i="41"/>
  <c r="AE108" i="41"/>
  <c r="AD108" i="41"/>
  <c r="AC108" i="41"/>
  <c r="AB108" i="41"/>
  <c r="AA108" i="41"/>
  <c r="Z108" i="41"/>
  <c r="Y108" i="41"/>
  <c r="X108" i="41"/>
  <c r="W108" i="41"/>
  <c r="V108" i="41"/>
  <c r="U108" i="41"/>
  <c r="T108" i="41"/>
  <c r="S108" i="41"/>
  <c r="Q108" i="41"/>
  <c r="P108" i="41"/>
  <c r="O108" i="41"/>
  <c r="N108" i="41"/>
  <c r="M108" i="41"/>
  <c r="L108" i="41"/>
  <c r="BU99" i="41"/>
  <c r="BT99" i="41"/>
  <c r="BP99" i="41"/>
  <c r="BO99" i="41"/>
  <c r="BN99" i="41"/>
  <c r="BM98" i="41"/>
  <c r="V98" i="41"/>
  <c r="V110" i="41" s="1"/>
  <c r="Q98" i="41"/>
  <c r="Q110" i="41" s="1"/>
  <c r="P98" i="41"/>
  <c r="P110" i="41" s="1"/>
  <c r="O98" i="41"/>
  <c r="O110" i="41" s="1"/>
  <c r="BU97" i="41"/>
  <c r="BT97" i="41"/>
  <c r="BS97" i="41"/>
  <c r="BR96" i="41"/>
  <c r="BQ96" i="41"/>
  <c r="BP96" i="41"/>
  <c r="BO96" i="41"/>
  <c r="BB96" i="41"/>
  <c r="AY96" i="41"/>
  <c r="AX96" i="41"/>
  <c r="AW96" i="41"/>
  <c r="AV96" i="41"/>
  <c r="AU96" i="41"/>
  <c r="AT96" i="41"/>
  <c r="AS96" i="41"/>
  <c r="AR96" i="41"/>
  <c r="AQ96" i="41"/>
  <c r="AP96" i="41"/>
  <c r="AO96" i="41"/>
  <c r="AN96" i="41"/>
  <c r="AM96" i="41"/>
  <c r="AL96" i="41"/>
  <c r="AK96" i="41"/>
  <c r="AJ96" i="41"/>
  <c r="AI96" i="41"/>
  <c r="AH96" i="41"/>
  <c r="AG96" i="41"/>
  <c r="AF96" i="41"/>
  <c r="AE96" i="41"/>
  <c r="W96" i="41"/>
  <c r="BN96" i="41" s="1"/>
  <c r="BU95" i="41"/>
  <c r="BT95" i="41"/>
  <c r="BS95" i="41"/>
  <c r="BP95" i="41"/>
  <c r="BO95" i="41"/>
  <c r="BN95" i="41"/>
  <c r="BU94" i="41"/>
  <c r="BT94" i="41"/>
  <c r="BS94" i="41"/>
  <c r="BR94" i="41"/>
  <c r="BP94" i="41"/>
  <c r="BO94" i="41"/>
  <c r="BN94" i="41"/>
  <c r="BI91" i="41"/>
  <c r="BH91" i="41"/>
  <c r="BG91" i="41"/>
  <c r="BD91" i="41"/>
  <c r="BC91" i="41"/>
  <c r="BB91" i="41"/>
  <c r="BA91" i="41"/>
  <c r="AZ91" i="41"/>
  <c r="AY91" i="41"/>
  <c r="AX91" i="41"/>
  <c r="AW91" i="41"/>
  <c r="AV91" i="41"/>
  <c r="AU91" i="41"/>
  <c r="AS91" i="41"/>
  <c r="AR91" i="41"/>
  <c r="AQ91" i="41"/>
  <c r="AP91" i="41"/>
  <c r="AO91" i="41"/>
  <c r="AN91" i="41"/>
  <c r="AM91" i="41"/>
  <c r="AL91" i="41"/>
  <c r="AK91" i="41"/>
  <c r="AJ91" i="41"/>
  <c r="AI91" i="41"/>
  <c r="AH91" i="41"/>
  <c r="AG91" i="41"/>
  <c r="AF91" i="41"/>
  <c r="AE91" i="41"/>
  <c r="AD91" i="41"/>
  <c r="AC91" i="41"/>
  <c r="AB91" i="41"/>
  <c r="AA91" i="41"/>
  <c r="Z91" i="41"/>
  <c r="Y91" i="41"/>
  <c r="X91" i="41"/>
  <c r="W91" i="41"/>
  <c r="V91" i="41"/>
  <c r="V92" i="41" s="1"/>
  <c r="U91" i="41"/>
  <c r="U92" i="41" s="1"/>
  <c r="E10" i="66" s="1"/>
  <c r="T91" i="41"/>
  <c r="T92" i="41" s="1"/>
  <c r="D10" i="66" s="1"/>
  <c r="S91" i="41"/>
  <c r="S92" i="41" s="1"/>
  <c r="C10" i="66" s="1"/>
  <c r="R91" i="41"/>
  <c r="R92" i="41" s="1"/>
  <c r="B10" i="66" s="1"/>
  <c r="Q91" i="41"/>
  <c r="Q92" i="41" s="1"/>
  <c r="BT89" i="41"/>
  <c r="BQ89" i="41"/>
  <c r="BP89" i="41"/>
  <c r="BO89" i="41"/>
  <c r="BN89" i="41"/>
  <c r="BF89" i="41"/>
  <c r="BF91" i="41" s="1"/>
  <c r="BE89" i="41"/>
  <c r="BE91" i="41" s="1"/>
  <c r="AT89" i="41"/>
  <c r="BS89" i="41" s="1"/>
  <c r="BV88" i="41"/>
  <c r="BU88" i="41"/>
  <c r="AS87" i="41"/>
  <c r="AR87" i="41"/>
  <c r="AQ87" i="41"/>
  <c r="AP87" i="41"/>
  <c r="AO87" i="41"/>
  <c r="AN87" i="41"/>
  <c r="AM87" i="41"/>
  <c r="AL87" i="41"/>
  <c r="AK87" i="41"/>
  <c r="AJ87" i="41"/>
  <c r="AI87" i="41"/>
  <c r="AH87" i="41"/>
  <c r="AG87" i="41"/>
  <c r="AF87" i="41"/>
  <c r="AE87" i="41"/>
  <c r="AD87" i="41"/>
  <c r="AC87" i="41"/>
  <c r="AB87" i="41"/>
  <c r="AA87" i="41"/>
  <c r="Z87" i="41"/>
  <c r="Y87" i="41"/>
  <c r="X87" i="41"/>
  <c r="W87" i="41"/>
  <c r="BT86" i="41"/>
  <c r="BU87" i="41" s="1"/>
  <c r="BS86" i="41"/>
  <c r="BQ86" i="41"/>
  <c r="BP86" i="41"/>
  <c r="BO86" i="41"/>
  <c r="BN86" i="41"/>
  <c r="BN87" i="41" s="1"/>
  <c r="AK85" i="41"/>
  <c r="V82" i="41"/>
  <c r="V83" i="41" s="1"/>
  <c r="Q82" i="41"/>
  <c r="Q84" i="41" s="1"/>
  <c r="P82" i="41"/>
  <c r="O82" i="41"/>
  <c r="N82" i="41"/>
  <c r="N83" i="41" s="1"/>
  <c r="M82" i="41"/>
  <c r="M83" i="41" s="1"/>
  <c r="L82" i="41"/>
  <c r="V81" i="41"/>
  <c r="Q81" i="41"/>
  <c r="P81" i="41"/>
  <c r="V80" i="41"/>
  <c r="Q80" i="41"/>
  <c r="P80" i="41"/>
  <c r="O80" i="41"/>
  <c r="N80" i="41"/>
  <c r="M80" i="41"/>
  <c r="L80" i="41"/>
  <c r="M77" i="41"/>
  <c r="L77" i="41"/>
  <c r="Q76" i="41"/>
  <c r="K76" i="41"/>
  <c r="K77" i="41" s="1"/>
  <c r="J76" i="41"/>
  <c r="J77" i="41" s="1"/>
  <c r="I76" i="41"/>
  <c r="I77" i="41" s="1"/>
  <c r="H76" i="41"/>
  <c r="H77" i="41" s="1"/>
  <c r="G76" i="41"/>
  <c r="G77" i="41" s="1"/>
  <c r="F76" i="41"/>
  <c r="F77" i="41" s="1"/>
  <c r="E76" i="41"/>
  <c r="E77" i="41" s="1"/>
  <c r="D76" i="41"/>
  <c r="D77" i="41" s="1"/>
  <c r="C76" i="41"/>
  <c r="C77" i="41" s="1"/>
  <c r="B76" i="41"/>
  <c r="B77" i="41" s="1"/>
  <c r="BD75" i="41"/>
  <c r="BB75" i="41"/>
  <c r="BU75" i="41" s="1"/>
  <c r="BV166" i="41" s="1"/>
  <c r="AW75" i="41"/>
  <c r="AW112" i="41" s="1"/>
  <c r="AT75" i="41"/>
  <c r="AN75" i="41"/>
  <c r="AJ75" i="41"/>
  <c r="AE75" i="41"/>
  <c r="AF75" i="41" s="1"/>
  <c r="AB75" i="41"/>
  <c r="Z75" i="41"/>
  <c r="BP74" i="41"/>
  <c r="BO74" i="41"/>
  <c r="BN74" i="41"/>
  <c r="BI74" i="41"/>
  <c r="BW74" i="41" s="1"/>
  <c r="BU73" i="41"/>
  <c r="BT73" i="41"/>
  <c r="BR73" i="41"/>
  <c r="BV72" i="41"/>
  <c r="BS72" i="41"/>
  <c r="BI72" i="41"/>
  <c r="BH72" i="41"/>
  <c r="BG72" i="41"/>
  <c r="BF72" i="41"/>
  <c r="BE72" i="41"/>
  <c r="BD72" i="41"/>
  <c r="BC72" i="41"/>
  <c r="BB72" i="41"/>
  <c r="BA72" i="41"/>
  <c r="AZ72" i="41"/>
  <c r="AY72" i="41"/>
  <c r="AX72" i="41"/>
  <c r="AW72" i="41"/>
  <c r="AV72" i="41"/>
  <c r="AU72" i="41"/>
  <c r="AT72" i="41"/>
  <c r="AS72" i="41"/>
  <c r="AR72" i="41"/>
  <c r="AQ72" i="41"/>
  <c r="AP72" i="41"/>
  <c r="AO72" i="41"/>
  <c r="AN72" i="41"/>
  <c r="AM72" i="41"/>
  <c r="AL72" i="41"/>
  <c r="AK72" i="41"/>
  <c r="AJ72" i="41"/>
  <c r="AI72" i="41"/>
  <c r="AH72" i="41"/>
  <c r="AG72" i="41"/>
  <c r="AF72" i="41"/>
  <c r="AE72" i="41"/>
  <c r="AD72" i="41"/>
  <c r="AC72" i="41"/>
  <c r="AB72" i="41"/>
  <c r="AA72" i="41"/>
  <c r="Z72" i="41"/>
  <c r="Y72" i="41"/>
  <c r="X72" i="41"/>
  <c r="W72" i="41"/>
  <c r="V72" i="41"/>
  <c r="U72" i="41"/>
  <c r="T72" i="41"/>
  <c r="S72" i="41"/>
  <c r="R72" i="41"/>
  <c r="BV71" i="41"/>
  <c r="BU71" i="41"/>
  <c r="BS71" i="41"/>
  <c r="BI71" i="41"/>
  <c r="BH71" i="41"/>
  <c r="BL165" i="41" s="1"/>
  <c r="BG71" i="41"/>
  <c r="BK165" i="41" s="1"/>
  <c r="BF71" i="41"/>
  <c r="BE71" i="41"/>
  <c r="BD71" i="41"/>
  <c r="BC71" i="41"/>
  <c r="BA71" i="41"/>
  <c r="AZ71" i="41"/>
  <c r="AY71" i="41"/>
  <c r="AX71" i="41"/>
  <c r="AW71" i="41"/>
  <c r="AV71" i="41"/>
  <c r="AU71" i="41"/>
  <c r="AT71" i="41"/>
  <c r="AS71" i="41"/>
  <c r="AR71" i="41"/>
  <c r="AQ71" i="41"/>
  <c r="AP71" i="41"/>
  <c r="AO71" i="41"/>
  <c r="AN71" i="41"/>
  <c r="AM71" i="41"/>
  <c r="AL71" i="41"/>
  <c r="AK71" i="41"/>
  <c r="AJ71" i="41"/>
  <c r="AI71" i="41"/>
  <c r="AH71" i="41"/>
  <c r="AG71" i="41"/>
  <c r="AF71" i="41"/>
  <c r="AE71" i="41"/>
  <c r="AD71" i="41"/>
  <c r="AC71" i="41"/>
  <c r="AB71" i="41"/>
  <c r="AB144" i="41" s="1"/>
  <c r="AA71" i="41"/>
  <c r="Z71" i="41"/>
  <c r="Y71" i="41"/>
  <c r="X71" i="41"/>
  <c r="W71" i="41"/>
  <c r="V71" i="41"/>
  <c r="U71" i="41"/>
  <c r="U144" i="41" s="1"/>
  <c r="T71" i="41"/>
  <c r="T144" i="41" s="1"/>
  <c r="S71" i="41"/>
  <c r="S144" i="41" s="1"/>
  <c r="R71" i="41"/>
  <c r="P71" i="41"/>
  <c r="O71" i="41"/>
  <c r="O144" i="41" s="1"/>
  <c r="N71" i="41"/>
  <c r="N76" i="41" s="1"/>
  <c r="M71" i="41"/>
  <c r="L71" i="41"/>
  <c r="L144" i="41" s="1"/>
  <c r="BV70" i="41"/>
  <c r="BS70" i="41"/>
  <c r="BI70" i="41"/>
  <c r="BH70" i="41"/>
  <c r="BL164" i="41" s="1"/>
  <c r="BG70" i="41"/>
  <c r="BK164" i="41" s="1"/>
  <c r="BF70" i="41"/>
  <c r="BE70" i="41"/>
  <c r="BD70" i="41"/>
  <c r="BC70" i="41"/>
  <c r="BB70" i="41"/>
  <c r="BA70" i="41"/>
  <c r="AZ70" i="41"/>
  <c r="AY70" i="41"/>
  <c r="AX70" i="41"/>
  <c r="AW70" i="41"/>
  <c r="AV70" i="41"/>
  <c r="AU70" i="41"/>
  <c r="AT70" i="41"/>
  <c r="AS70" i="41"/>
  <c r="AR70" i="41"/>
  <c r="AQ70" i="41"/>
  <c r="AP70" i="41"/>
  <c r="AO70" i="41"/>
  <c r="AN70" i="41"/>
  <c r="AM70" i="41"/>
  <c r="P70" i="41"/>
  <c r="O70" i="41"/>
  <c r="BV69" i="41"/>
  <c r="BS69" i="41"/>
  <c r="BI69" i="41"/>
  <c r="BH69" i="41"/>
  <c r="BL163" i="41" s="1"/>
  <c r="BG69" i="41"/>
  <c r="BK163" i="41" s="1"/>
  <c r="BF69" i="41"/>
  <c r="BJ163" i="41" s="1"/>
  <c r="BE69" i="41"/>
  <c r="BD69" i="41"/>
  <c r="BC69" i="41"/>
  <c r="BB69" i="41"/>
  <c r="BA69" i="41"/>
  <c r="AZ69" i="41"/>
  <c r="AY69" i="41"/>
  <c r="AX69" i="41"/>
  <c r="AW69" i="41"/>
  <c r="AV69" i="41"/>
  <c r="AU69" i="41"/>
  <c r="AT69" i="41"/>
  <c r="AS69" i="41"/>
  <c r="AR69" i="41"/>
  <c r="AQ69" i="41"/>
  <c r="AP69" i="41"/>
  <c r="AO69" i="41"/>
  <c r="AN69" i="41"/>
  <c r="AM69" i="41"/>
  <c r="AL69" i="41"/>
  <c r="AK69" i="41"/>
  <c r="AJ69" i="41"/>
  <c r="AI69" i="41"/>
  <c r="AH69" i="41"/>
  <c r="AG69" i="41"/>
  <c r="AF69" i="41"/>
  <c r="AE69" i="41"/>
  <c r="AD69" i="41"/>
  <c r="AC69" i="41"/>
  <c r="AB69" i="41"/>
  <c r="AA69" i="41"/>
  <c r="Z69" i="41"/>
  <c r="Y69" i="41"/>
  <c r="X69" i="41"/>
  <c r="W69" i="41"/>
  <c r="V69" i="41"/>
  <c r="U69" i="41"/>
  <c r="T69" i="41"/>
  <c r="T142" i="41" s="1"/>
  <c r="S69" i="41"/>
  <c r="S142" i="41" s="1"/>
  <c r="R69" i="41"/>
  <c r="BT65" i="41"/>
  <c r="BR65" i="41"/>
  <c r="BQ65" i="41"/>
  <c r="BP65" i="41"/>
  <c r="BO65" i="41"/>
  <c r="BN65" i="41"/>
  <c r="BT64" i="41"/>
  <c r="BR64" i="41"/>
  <c r="BQ64" i="41"/>
  <c r="BP64" i="41"/>
  <c r="BR63" i="41"/>
  <c r="BQ63" i="41"/>
  <c r="BP63" i="41"/>
  <c r="BT62" i="41"/>
  <c r="BT71" i="41" s="1"/>
  <c r="BR62" i="41"/>
  <c r="BQ62" i="41"/>
  <c r="BP62" i="41"/>
  <c r="BB62" i="41"/>
  <c r="BR61" i="41"/>
  <c r="BQ61" i="41"/>
  <c r="BP61" i="41"/>
  <c r="BT60" i="41"/>
  <c r="BR60" i="41"/>
  <c r="BO60" i="41"/>
  <c r="BN60" i="41"/>
  <c r="AL60" i="41"/>
  <c r="AL70" i="41" s="1"/>
  <c r="AK60" i="41"/>
  <c r="AJ60" i="41"/>
  <c r="AI60" i="41"/>
  <c r="AH60" i="41"/>
  <c r="AH70" i="41" s="1"/>
  <c r="AG60" i="41"/>
  <c r="AF60" i="41"/>
  <c r="AF70" i="41" s="1"/>
  <c r="AE60" i="41"/>
  <c r="AE70" i="41" s="1"/>
  <c r="AD60" i="41"/>
  <c r="AD70" i="41" s="1"/>
  <c r="AC60" i="41"/>
  <c r="AB60" i="41"/>
  <c r="AA60" i="41"/>
  <c r="Z60" i="41"/>
  <c r="Y60" i="41"/>
  <c r="Y70" i="41" s="1"/>
  <c r="X60" i="41"/>
  <c r="W60" i="41"/>
  <c r="V60" i="41"/>
  <c r="V70" i="41" s="1"/>
  <c r="U60" i="41"/>
  <c r="U70" i="41" s="1"/>
  <c r="U143" i="41" s="1"/>
  <c r="E13" i="66" s="1"/>
  <c r="T60" i="41"/>
  <c r="T70" i="41" s="1"/>
  <c r="T143" i="41" s="1"/>
  <c r="D13" i="66" s="1"/>
  <c r="S60" i="41"/>
  <c r="S70" i="41" s="1"/>
  <c r="R60" i="41"/>
  <c r="R70" i="41" s="1"/>
  <c r="R143" i="41" s="1"/>
  <c r="B13" i="66" s="1"/>
  <c r="BQ59" i="41"/>
  <c r="BP59" i="41"/>
  <c r="BQ58" i="41"/>
  <c r="BP58" i="41"/>
  <c r="BG56" i="41"/>
  <c r="BF56" i="41"/>
  <c r="BE56" i="41"/>
  <c r="BD56" i="41"/>
  <c r="BC56" i="41"/>
  <c r="BA53" i="41"/>
  <c r="AZ53" i="41"/>
  <c r="AY53" i="41"/>
  <c r="AX53" i="41"/>
  <c r="AW53" i="41"/>
  <c r="AV53" i="41"/>
  <c r="AU53" i="41"/>
  <c r="AT53" i="41"/>
  <c r="AS53" i="41"/>
  <c r="AR53" i="41"/>
  <c r="AQ53" i="41"/>
  <c r="AP53" i="41"/>
  <c r="AO53" i="41"/>
  <c r="AN53" i="41"/>
  <c r="AM53" i="41"/>
  <c r="AL53" i="41"/>
  <c r="AK53" i="41"/>
  <c r="AJ53" i="41"/>
  <c r="AI53" i="41"/>
  <c r="BV52" i="41"/>
  <c r="BU52" i="41"/>
  <c r="BS52" i="41"/>
  <c r="BO52" i="41"/>
  <c r="BI52" i="41"/>
  <c r="BH52" i="41"/>
  <c r="BG52" i="41"/>
  <c r="BE52" i="41"/>
  <c r="BD52" i="41"/>
  <c r="BC52" i="41"/>
  <c r="BA52" i="41"/>
  <c r="AZ52" i="41"/>
  <c r="AY52" i="41"/>
  <c r="AX52" i="41"/>
  <c r="AW52" i="41"/>
  <c r="AV52" i="41"/>
  <c r="AU52" i="41"/>
  <c r="AT52" i="41"/>
  <c r="AS52" i="41"/>
  <c r="AR52" i="41"/>
  <c r="AQ52" i="41"/>
  <c r="AP52" i="41"/>
  <c r="AO52" i="41"/>
  <c r="AN52" i="41"/>
  <c r="AM52" i="41"/>
  <c r="AL52" i="41"/>
  <c r="AK52" i="41"/>
  <c r="AJ52" i="41"/>
  <c r="AI52" i="41"/>
  <c r="AH52" i="41"/>
  <c r="AG52" i="41"/>
  <c r="AF52" i="41"/>
  <c r="AE52" i="41"/>
  <c r="AD52" i="41"/>
  <c r="AC52" i="41"/>
  <c r="AB52" i="41"/>
  <c r="AA52" i="41"/>
  <c r="Z52" i="41"/>
  <c r="Y52" i="41"/>
  <c r="X52" i="41"/>
  <c r="W52" i="41"/>
  <c r="BV51" i="41"/>
  <c r="BU51" i="41"/>
  <c r="BR51" i="41"/>
  <c r="BO51" i="41"/>
  <c r="BI51" i="41"/>
  <c r="BH51" i="41"/>
  <c r="BG51" i="41"/>
  <c r="BE51" i="41"/>
  <c r="BD51" i="41"/>
  <c r="BC51" i="41"/>
  <c r="BA51" i="41"/>
  <c r="AZ51" i="41"/>
  <c r="AY51" i="41"/>
  <c r="AX51" i="41"/>
  <c r="AW51" i="41"/>
  <c r="AV51" i="41"/>
  <c r="AU51" i="41"/>
  <c r="AT51" i="41"/>
  <c r="AS51" i="41"/>
  <c r="AR51" i="41"/>
  <c r="AQ51" i="41"/>
  <c r="AP51" i="41"/>
  <c r="AO51" i="41"/>
  <c r="AN51" i="41"/>
  <c r="AM51" i="41"/>
  <c r="AL51" i="41"/>
  <c r="AK51" i="41"/>
  <c r="AJ51" i="41"/>
  <c r="AI51" i="41"/>
  <c r="AH51" i="41"/>
  <c r="AG51" i="41"/>
  <c r="AF51" i="41"/>
  <c r="AE51" i="41"/>
  <c r="AD51" i="41"/>
  <c r="AC51" i="41"/>
  <c r="AB51" i="41"/>
  <c r="AA51" i="41"/>
  <c r="Z51" i="41"/>
  <c r="Y51" i="41"/>
  <c r="X51" i="41"/>
  <c r="W51" i="41"/>
  <c r="BU49" i="41"/>
  <c r="BU47" i="41"/>
  <c r="V47" i="41"/>
  <c r="U47" i="41"/>
  <c r="T47" i="41"/>
  <c r="S47" i="41"/>
  <c r="R47" i="41"/>
  <c r="BV46" i="41"/>
  <c r="BS46" i="41"/>
  <c r="BO46" i="41"/>
  <c r="BN46" i="41"/>
  <c r="BI46" i="41"/>
  <c r="BH46" i="41"/>
  <c r="BG46" i="41"/>
  <c r="BF46" i="41"/>
  <c r="BE46" i="41"/>
  <c r="BD46" i="41"/>
  <c r="BC46" i="41"/>
  <c r="BB46" i="41"/>
  <c r="BA46" i="41"/>
  <c r="AZ46" i="41"/>
  <c r="AY46" i="41"/>
  <c r="AX46" i="41"/>
  <c r="AW46" i="41"/>
  <c r="AV46" i="41"/>
  <c r="AU46" i="41"/>
  <c r="AT46" i="41"/>
  <c r="AS46" i="41"/>
  <c r="AR46" i="41"/>
  <c r="AQ46" i="41"/>
  <c r="AP46" i="41"/>
  <c r="AO46" i="41"/>
  <c r="AN46" i="41"/>
  <c r="AM46" i="41"/>
  <c r="AL46" i="41"/>
  <c r="AK46" i="41"/>
  <c r="AJ46" i="41"/>
  <c r="AI46" i="41"/>
  <c r="AH46" i="41"/>
  <c r="AG46" i="41"/>
  <c r="AF46" i="41"/>
  <c r="AE46" i="41"/>
  <c r="AD46" i="41"/>
  <c r="AC46" i="41"/>
  <c r="AB46" i="41"/>
  <c r="AA46" i="41"/>
  <c r="Z46" i="41"/>
  <c r="Y46" i="41"/>
  <c r="X46" i="41"/>
  <c r="W46" i="41"/>
  <c r="BT45" i="41"/>
  <c r="BT46" i="41" s="1"/>
  <c r="BQ45" i="41"/>
  <c r="BP45" i="41"/>
  <c r="BP46" i="41" s="1"/>
  <c r="BU44" i="41"/>
  <c r="V44" i="41"/>
  <c r="U44" i="41"/>
  <c r="T44" i="41"/>
  <c r="S44" i="41"/>
  <c r="R44" i="41"/>
  <c r="BV43" i="41"/>
  <c r="BS43" i="41"/>
  <c r="BO43" i="41"/>
  <c r="BN43" i="41"/>
  <c r="BI43" i="41"/>
  <c r="BH43" i="41"/>
  <c r="BG43" i="41"/>
  <c r="BF43" i="41"/>
  <c r="BE43" i="41"/>
  <c r="BD43" i="41"/>
  <c r="BC43" i="41"/>
  <c r="BB43" i="41"/>
  <c r="BA43" i="41"/>
  <c r="AZ43" i="41"/>
  <c r="AY43" i="41"/>
  <c r="AX43" i="41"/>
  <c r="AW43" i="41"/>
  <c r="AV43" i="41"/>
  <c r="AU43" i="41"/>
  <c r="AT43" i="41"/>
  <c r="AS43" i="41"/>
  <c r="AR43" i="41"/>
  <c r="AQ43" i="41"/>
  <c r="AP43" i="41"/>
  <c r="AO43" i="41"/>
  <c r="AN43" i="41"/>
  <c r="AM43" i="41"/>
  <c r="AL43" i="41"/>
  <c r="AK43" i="41"/>
  <c r="AJ43" i="41"/>
  <c r="AI43" i="41"/>
  <c r="AH43" i="41"/>
  <c r="AG43" i="41"/>
  <c r="AF43" i="41"/>
  <c r="AE43" i="41"/>
  <c r="AD43" i="41"/>
  <c r="AC43" i="41"/>
  <c r="AB43" i="41"/>
  <c r="AA43" i="41"/>
  <c r="Z43" i="41"/>
  <c r="Y43" i="41"/>
  <c r="X43" i="41"/>
  <c r="W43" i="41"/>
  <c r="BT42" i="41"/>
  <c r="BU43" i="41" s="1"/>
  <c r="BQ42" i="41"/>
  <c r="BP42" i="41"/>
  <c r="BP43" i="41" s="1"/>
  <c r="BU41" i="41"/>
  <c r="V41" i="41"/>
  <c r="U41" i="41"/>
  <c r="T41" i="41"/>
  <c r="S41" i="41"/>
  <c r="R41" i="41"/>
  <c r="BV40" i="41"/>
  <c r="BO40" i="41"/>
  <c r="BN40" i="41"/>
  <c r="BI40" i="41"/>
  <c r="BH40" i="41"/>
  <c r="BG40" i="41"/>
  <c r="BF40" i="41"/>
  <c r="BE40" i="41"/>
  <c r="BD40" i="41"/>
  <c r="BC40" i="41"/>
  <c r="BB40" i="41"/>
  <c r="BA40" i="41"/>
  <c r="AZ40" i="41"/>
  <c r="AY40" i="41"/>
  <c r="AX40" i="41"/>
  <c r="AW40" i="41"/>
  <c r="AV40" i="41"/>
  <c r="AU40" i="41"/>
  <c r="AT40" i="41"/>
  <c r="AS40" i="41"/>
  <c r="AR40" i="41"/>
  <c r="AQ40" i="41"/>
  <c r="AP40" i="41"/>
  <c r="AO40" i="41"/>
  <c r="AN40" i="41"/>
  <c r="AM40" i="41"/>
  <c r="AL40" i="41"/>
  <c r="AK40" i="41"/>
  <c r="AJ40" i="41"/>
  <c r="AI40" i="41"/>
  <c r="AH40" i="41"/>
  <c r="AG40" i="41"/>
  <c r="AF40" i="41"/>
  <c r="AE40" i="41"/>
  <c r="AD40" i="41"/>
  <c r="AC40" i="41"/>
  <c r="AB40" i="41"/>
  <c r="AA40" i="41"/>
  <c r="Z40" i="41"/>
  <c r="Y40" i="41"/>
  <c r="X40" i="41"/>
  <c r="W40" i="41"/>
  <c r="BT39" i="41"/>
  <c r="BU40" i="41" s="1"/>
  <c r="BS39" i="41"/>
  <c r="BS51" i="41" s="1"/>
  <c r="BQ39" i="41"/>
  <c r="BR40" i="41" s="1"/>
  <c r="BP39" i="41"/>
  <c r="V36" i="41"/>
  <c r="U36" i="41"/>
  <c r="T36" i="41"/>
  <c r="S36" i="41"/>
  <c r="R36" i="41"/>
  <c r="Q36" i="41"/>
  <c r="P36" i="41"/>
  <c r="AH35" i="41"/>
  <c r="AG35" i="41"/>
  <c r="AG36" i="41" s="1"/>
  <c r="W35" i="41"/>
  <c r="W88" i="41" s="1"/>
  <c r="O35" i="41"/>
  <c r="O109" i="41" s="1"/>
  <c r="N35" i="41"/>
  <c r="M35" i="41"/>
  <c r="L35" i="41"/>
  <c r="L81" i="41" s="1"/>
  <c r="B35" i="41"/>
  <c r="BP34" i="41"/>
  <c r="BO34" i="41"/>
  <c r="BN34" i="41"/>
  <c r="BV33" i="41"/>
  <c r="BV158" i="41" s="1"/>
  <c r="BS33" i="41"/>
  <c r="BI33" i="41"/>
  <c r="BI35" i="41" s="1"/>
  <c r="BI44" i="41" s="1"/>
  <c r="BH33" i="41"/>
  <c r="BH35" i="41" s="1"/>
  <c r="BG33" i="41"/>
  <c r="BE33" i="41"/>
  <c r="BE35" i="41" s="1"/>
  <c r="BD33" i="41"/>
  <c r="BD35" i="41" s="1"/>
  <c r="BC33" i="41"/>
  <c r="BC35" i="41" s="1"/>
  <c r="BB33" i="41"/>
  <c r="BB35" i="41" s="1"/>
  <c r="BA33" i="41"/>
  <c r="BA35" i="41" s="1"/>
  <c r="AZ33" i="41"/>
  <c r="AY33" i="41"/>
  <c r="AY35" i="41" s="1"/>
  <c r="AY44" i="41" s="1"/>
  <c r="AX33" i="41"/>
  <c r="AX35" i="41" s="1"/>
  <c r="AW33" i="41"/>
  <c r="AV33" i="41"/>
  <c r="AV35" i="41" s="1"/>
  <c r="AU33" i="41"/>
  <c r="AT33" i="41"/>
  <c r="AS33" i="41"/>
  <c r="AR33" i="41"/>
  <c r="AR35" i="41" s="1"/>
  <c r="AQ33" i="41"/>
  <c r="AQ35" i="41" s="1"/>
  <c r="AQ47" i="41" s="1"/>
  <c r="AP33" i="41"/>
  <c r="AP35" i="41" s="1"/>
  <c r="AO33" i="41"/>
  <c r="AO35" i="41" s="1"/>
  <c r="AO11" i="41" s="1"/>
  <c r="AN33" i="41"/>
  <c r="AN35" i="41" s="1"/>
  <c r="AM33" i="41"/>
  <c r="AM35" i="41" s="1"/>
  <c r="AM145" i="41" s="1"/>
  <c r="AL33" i="41"/>
  <c r="AL35" i="41" s="1"/>
  <c r="AL49" i="41" s="1"/>
  <c r="AK33" i="41"/>
  <c r="AK35" i="41" s="1"/>
  <c r="AK41" i="41" s="1"/>
  <c r="AJ33" i="41"/>
  <c r="AJ35" i="41" s="1"/>
  <c r="AI33" i="41"/>
  <c r="AF33" i="41"/>
  <c r="AF35" i="41" s="1"/>
  <c r="AE33" i="41"/>
  <c r="AE35" i="41" s="1"/>
  <c r="AD33" i="41"/>
  <c r="AD35" i="41" s="1"/>
  <c r="AC33" i="41"/>
  <c r="AC35" i="41" s="1"/>
  <c r="AC11" i="41" s="1"/>
  <c r="AB33" i="41"/>
  <c r="AB35" i="41" s="1"/>
  <c r="AB36" i="41" s="1"/>
  <c r="AA33" i="41"/>
  <c r="Z33" i="41"/>
  <c r="Y33" i="41"/>
  <c r="X33" i="41"/>
  <c r="X35" i="41" s="1"/>
  <c r="N33" i="41"/>
  <c r="N145" i="41" s="1"/>
  <c r="M33" i="41"/>
  <c r="M145" i="41" s="1"/>
  <c r="L33" i="41"/>
  <c r="L145" i="41" s="1"/>
  <c r="K33" i="41"/>
  <c r="K108" i="41" s="1"/>
  <c r="J33" i="41"/>
  <c r="J108" i="41" s="1"/>
  <c r="I33" i="41"/>
  <c r="I108" i="41" s="1"/>
  <c r="H33" i="41"/>
  <c r="H108" i="41" s="1"/>
  <c r="G33" i="41"/>
  <c r="G108" i="41" s="1"/>
  <c r="F33" i="41"/>
  <c r="F35" i="41" s="1"/>
  <c r="F36" i="41" s="1"/>
  <c r="E33" i="41"/>
  <c r="E35" i="41" s="1"/>
  <c r="D33" i="41"/>
  <c r="D35" i="41" s="1"/>
  <c r="D36" i="41" s="1"/>
  <c r="C33" i="41"/>
  <c r="C35" i="41" s="1"/>
  <c r="B33" i="41"/>
  <c r="BI31" i="41"/>
  <c r="BH31" i="41"/>
  <c r="BG31" i="41"/>
  <c r="BF31" i="41"/>
  <c r="BF33" i="41" s="1"/>
  <c r="BF35" i="41" s="1"/>
  <c r="BT30" i="41"/>
  <c r="BR30" i="41"/>
  <c r="BR10" i="41" s="1"/>
  <c r="BQ30" i="41"/>
  <c r="BQ108" i="41" s="1"/>
  <c r="BP30" i="41"/>
  <c r="BO30" i="41"/>
  <c r="BN30" i="41"/>
  <c r="O29" i="41"/>
  <c r="N29" i="41"/>
  <c r="O26" i="41"/>
  <c r="N26" i="41"/>
  <c r="O25" i="41"/>
  <c r="N25" i="41"/>
  <c r="N245" i="41" s="1"/>
  <c r="BE23" i="41"/>
  <c r="BD23" i="41"/>
  <c r="BV19" i="41"/>
  <c r="BU19" i="41"/>
  <c r="BS19" i="41"/>
  <c r="BI19" i="41"/>
  <c r="BH19" i="41"/>
  <c r="BG19" i="41"/>
  <c r="BE19" i="41"/>
  <c r="BD19" i="41"/>
  <c r="BC19" i="41"/>
  <c r="BA19" i="41"/>
  <c r="AZ19" i="41"/>
  <c r="AY19" i="41"/>
  <c r="AX19" i="41"/>
  <c r="AW19" i="41"/>
  <c r="AV19" i="41"/>
  <c r="AU19" i="41"/>
  <c r="AT19" i="41"/>
  <c r="AS19" i="41"/>
  <c r="AR19" i="41"/>
  <c r="AQ19" i="41"/>
  <c r="AP19" i="41"/>
  <c r="AO19" i="41"/>
  <c r="AN19" i="41"/>
  <c r="AM19" i="41"/>
  <c r="AL19" i="41"/>
  <c r="AK19" i="41"/>
  <c r="AJ19" i="41"/>
  <c r="AI19" i="41"/>
  <c r="AH19" i="41"/>
  <c r="AG19" i="41"/>
  <c r="AF19" i="41"/>
  <c r="AE19" i="41"/>
  <c r="AD19" i="41"/>
  <c r="AC19" i="41"/>
  <c r="AB19" i="41"/>
  <c r="AA19" i="41"/>
  <c r="Z19" i="41"/>
  <c r="Y19" i="41"/>
  <c r="X19" i="41"/>
  <c r="W19" i="41"/>
  <c r="V19" i="41"/>
  <c r="U19" i="41"/>
  <c r="T19" i="41"/>
  <c r="S19" i="41"/>
  <c r="R19" i="41"/>
  <c r="BV18" i="41"/>
  <c r="BO18" i="41"/>
  <c r="BN18" i="41"/>
  <c r="BI18" i="41"/>
  <c r="BH18" i="41"/>
  <c r="BG18" i="41"/>
  <c r="BE18" i="41"/>
  <c r="BD18" i="41"/>
  <c r="BC18" i="41"/>
  <c r="AR18" i="41"/>
  <c r="AQ18" i="41"/>
  <c r="AP18" i="41"/>
  <c r="AO18" i="41"/>
  <c r="AN18" i="41"/>
  <c r="AM18" i="41"/>
  <c r="AL18" i="41"/>
  <c r="AK18" i="41"/>
  <c r="AJ18" i="41"/>
  <c r="AI18" i="41"/>
  <c r="AH18" i="41"/>
  <c r="AG18" i="41"/>
  <c r="AF18" i="41"/>
  <c r="AE18" i="41"/>
  <c r="AD18" i="41"/>
  <c r="AC18" i="41"/>
  <c r="AB18" i="41"/>
  <c r="AA18" i="41"/>
  <c r="Z18" i="41"/>
  <c r="Y18" i="41"/>
  <c r="X18" i="41"/>
  <c r="W18" i="41"/>
  <c r="BT17" i="41"/>
  <c r="BU18" i="41" s="1"/>
  <c r="BR17" i="41"/>
  <c r="BR52" i="41" s="1"/>
  <c r="BQ17" i="41"/>
  <c r="BP17" i="41"/>
  <c r="BP18" i="41" s="1"/>
  <c r="BF17" i="41"/>
  <c r="BB17" i="41"/>
  <c r="BB52" i="41" s="1"/>
  <c r="BV16" i="41"/>
  <c r="BU16" i="41"/>
  <c r="BS16" i="41"/>
  <c r="BR16" i="41"/>
  <c r="BI16" i="41"/>
  <c r="BH16" i="41"/>
  <c r="BG16" i="41"/>
  <c r="BE16" i="41"/>
  <c r="BD16" i="41"/>
  <c r="BC16" i="41"/>
  <c r="BA16" i="41"/>
  <c r="AZ16" i="41"/>
  <c r="AY16" i="41"/>
  <c r="AX16" i="41"/>
  <c r="AW16" i="41"/>
  <c r="AV16" i="41"/>
  <c r="AU16" i="41"/>
  <c r="AT16" i="41"/>
  <c r="AS16" i="41"/>
  <c r="AR16" i="41"/>
  <c r="AQ16" i="41"/>
  <c r="AP16" i="41"/>
  <c r="AO16" i="41"/>
  <c r="AN16" i="41"/>
  <c r="AM16" i="41"/>
  <c r="AL16" i="41"/>
  <c r="AK16" i="41"/>
  <c r="AJ16" i="41"/>
  <c r="AI16" i="41"/>
  <c r="AH16" i="41"/>
  <c r="AG16" i="41"/>
  <c r="AF16" i="41"/>
  <c r="AE16" i="41"/>
  <c r="AD16" i="41"/>
  <c r="AC16" i="41"/>
  <c r="AB16" i="41"/>
  <c r="AA16" i="41"/>
  <c r="Z16" i="41"/>
  <c r="Y16" i="41"/>
  <c r="X16" i="41"/>
  <c r="W16" i="41"/>
  <c r="V16" i="41"/>
  <c r="U16" i="41"/>
  <c r="T16" i="41"/>
  <c r="S16" i="41"/>
  <c r="R16" i="41"/>
  <c r="BV15" i="41"/>
  <c r="BS15" i="41"/>
  <c r="BO15" i="41"/>
  <c r="BN15" i="41"/>
  <c r="BI15" i="41"/>
  <c r="BH15" i="41"/>
  <c r="BG15" i="41"/>
  <c r="BE15" i="41"/>
  <c r="BD15" i="41"/>
  <c r="BC15" i="41"/>
  <c r="AR15" i="41"/>
  <c r="AQ15" i="41"/>
  <c r="AP15" i="41"/>
  <c r="AL15" i="41"/>
  <c r="AK15" i="41"/>
  <c r="AJ15" i="41"/>
  <c r="AI15" i="41"/>
  <c r="AH15" i="41"/>
  <c r="AG15" i="41"/>
  <c r="AF15" i="41"/>
  <c r="AE15" i="41"/>
  <c r="AD15" i="41"/>
  <c r="AC15" i="41"/>
  <c r="AB15" i="41"/>
  <c r="AA15" i="41"/>
  <c r="Z15" i="41"/>
  <c r="Y15" i="41"/>
  <c r="X15" i="41"/>
  <c r="W15" i="41"/>
  <c r="BT14" i="41"/>
  <c r="BQ14" i="41"/>
  <c r="BP14" i="41"/>
  <c r="BP15" i="41" s="1"/>
  <c r="BF14" i="41"/>
  <c r="BF51" i="41" s="1"/>
  <c r="BB14" i="41"/>
  <c r="BB51" i="41" s="1"/>
  <c r="BU11" i="41"/>
  <c r="V11" i="41"/>
  <c r="U11" i="41"/>
  <c r="T11" i="41"/>
  <c r="S11" i="41"/>
  <c r="Q11" i="41"/>
  <c r="BU10" i="41"/>
  <c r="BS10" i="41"/>
  <c r="BI10" i="41"/>
  <c r="BH10" i="41"/>
  <c r="BG10" i="41"/>
  <c r="BE10" i="41"/>
  <c r="BD10" i="41"/>
  <c r="BC10" i="41"/>
  <c r="BA10" i="41"/>
  <c r="AZ10" i="41"/>
  <c r="AY10" i="41"/>
  <c r="AX10" i="41"/>
  <c r="AW10" i="41"/>
  <c r="AV10" i="41"/>
  <c r="AU10" i="41"/>
  <c r="AT10" i="41"/>
  <c r="AS10" i="41"/>
  <c r="AR10" i="41"/>
  <c r="AQ10" i="41"/>
  <c r="AP10" i="41"/>
  <c r="AO10" i="41"/>
  <c r="AN10" i="41"/>
  <c r="AM10" i="41"/>
  <c r="AL10" i="41"/>
  <c r="AK10" i="41"/>
  <c r="AJ10" i="41"/>
  <c r="AI10" i="41"/>
  <c r="AH10" i="41"/>
  <c r="AG10" i="41"/>
  <c r="AF10" i="41"/>
  <c r="AE10" i="41"/>
  <c r="AD10" i="41"/>
  <c r="AC10" i="41"/>
  <c r="AB10" i="41"/>
  <c r="AA10" i="41"/>
  <c r="Z10" i="41"/>
  <c r="Y10" i="41"/>
  <c r="X10" i="41"/>
  <c r="W10" i="41"/>
  <c r="V10" i="41"/>
  <c r="U10" i="41"/>
  <c r="T10" i="41"/>
  <c r="S10" i="41"/>
  <c r="Q10" i="41"/>
  <c r="O10" i="41"/>
  <c r="N10" i="41"/>
  <c r="M10" i="41"/>
  <c r="L10" i="41"/>
  <c r="BI9" i="41"/>
  <c r="BH9" i="41"/>
  <c r="BE9" i="41"/>
  <c r="BD9" i="41"/>
  <c r="BC9" i="41"/>
  <c r="BA9" i="41"/>
  <c r="AZ9" i="41"/>
  <c r="AY9" i="41"/>
  <c r="AX9" i="41"/>
  <c r="AW9" i="41"/>
  <c r="AV9" i="41"/>
  <c r="AU9" i="41"/>
  <c r="AT9" i="41"/>
  <c r="AS9" i="41"/>
  <c r="AR9" i="41"/>
  <c r="AQ9" i="41"/>
  <c r="BV7" i="41"/>
  <c r="BS7" i="41"/>
  <c r="BI7" i="41"/>
  <c r="BH7" i="41"/>
  <c r="AQ5" i="66" s="1"/>
  <c r="BG7" i="41"/>
  <c r="AP5" i="66" s="1"/>
  <c r="BE7" i="41"/>
  <c r="AN5" i="66" s="1"/>
  <c r="BD7" i="41"/>
  <c r="AM5" i="66" s="1"/>
  <c r="BC7" i="41"/>
  <c r="AL5" i="66" s="1"/>
  <c r="BA7" i="41"/>
  <c r="AJ5" i="66" s="1"/>
  <c r="AW7" i="41"/>
  <c r="AF5" i="66" s="1"/>
  <c r="BT6" i="41"/>
  <c r="BT7" i="41" s="1"/>
  <c r="BQ6" i="41"/>
  <c r="BR7" i="41" s="1"/>
  <c r="BP6" i="41"/>
  <c r="BO6" i="41"/>
  <c r="BO16" i="41" s="1"/>
  <c r="BN6" i="41"/>
  <c r="BN259" i="41" s="1"/>
  <c r="BF6" i="41"/>
  <c r="BF9" i="41" s="1"/>
  <c r="BB6" i="41"/>
  <c r="BB9" i="41" s="1"/>
  <c r="P6" i="41"/>
  <c r="P259" i="41" s="1"/>
  <c r="K6" i="41"/>
  <c r="AR14" i="71"/>
  <c r="AQ14" i="71"/>
  <c r="AP14" i="71"/>
  <c r="AO14" i="71"/>
  <c r="AN14" i="71"/>
  <c r="AM14" i="71"/>
  <c r="AL14" i="71"/>
  <c r="AK14" i="71"/>
  <c r="AJ14" i="71"/>
  <c r="AI14" i="71"/>
  <c r="AH14" i="71"/>
  <c r="AR13" i="71"/>
  <c r="AQ13" i="71"/>
  <c r="AP13" i="71"/>
  <c r="AO13" i="71"/>
  <c r="AN13" i="71"/>
  <c r="AM13" i="71"/>
  <c r="AL13" i="71"/>
  <c r="AK13" i="71"/>
  <c r="AJ13" i="71"/>
  <c r="AI13" i="71"/>
  <c r="AH13" i="71"/>
  <c r="AG13" i="71"/>
  <c r="AF13" i="71"/>
  <c r="AE13" i="71"/>
  <c r="AR12" i="71"/>
  <c r="AQ12" i="71"/>
  <c r="AP12" i="71"/>
  <c r="AO12" i="71"/>
  <c r="AN12" i="71"/>
  <c r="AM12" i="71"/>
  <c r="AL12" i="71"/>
  <c r="AK12" i="71"/>
  <c r="AJ12" i="71"/>
  <c r="AI12" i="71"/>
  <c r="AH12" i="71"/>
  <c r="AG12" i="71"/>
  <c r="AF12" i="71"/>
  <c r="AE12" i="71"/>
  <c r="AR11" i="71"/>
  <c r="AQ11" i="71"/>
  <c r="AP11" i="71"/>
  <c r="AO11" i="71"/>
  <c r="AN11" i="71"/>
  <c r="AM11" i="71"/>
  <c r="AL11" i="71"/>
  <c r="AK11" i="71"/>
  <c r="AJ11" i="71"/>
  <c r="AI11" i="71"/>
  <c r="AH11" i="71"/>
  <c r="AR10" i="71"/>
  <c r="AQ10" i="71"/>
  <c r="AP10" i="71"/>
  <c r="AO10" i="71"/>
  <c r="AN10" i="71"/>
  <c r="AM10" i="71"/>
  <c r="AL10" i="71"/>
  <c r="AK10" i="71"/>
  <c r="AJ10" i="71"/>
  <c r="AI10" i="71"/>
  <c r="AH10" i="71"/>
  <c r="AG10" i="71"/>
  <c r="AF10" i="71"/>
  <c r="AE10" i="71"/>
  <c r="AR9" i="71"/>
  <c r="AQ9" i="71"/>
  <c r="AP9" i="71"/>
  <c r="AO9" i="71"/>
  <c r="AN9" i="71"/>
  <c r="AM9" i="71"/>
  <c r="AL9" i="71"/>
  <c r="AK9" i="71"/>
  <c r="AJ9" i="71"/>
  <c r="AI9" i="71"/>
  <c r="AH9" i="71"/>
  <c r="AG9" i="71"/>
  <c r="AF9" i="71"/>
  <c r="AE9" i="71"/>
  <c r="AR8" i="71"/>
  <c r="AQ8" i="71"/>
  <c r="AP8" i="71"/>
  <c r="AO8" i="71"/>
  <c r="AN8" i="71"/>
  <c r="AM8" i="71"/>
  <c r="AL8" i="71"/>
  <c r="AK8" i="71"/>
  <c r="AJ8" i="71"/>
  <c r="AI8" i="71"/>
  <c r="AH8" i="71"/>
  <c r="AG8" i="71"/>
  <c r="AF8" i="71"/>
  <c r="AE8" i="71"/>
  <c r="AR7" i="71"/>
  <c r="AQ7" i="71"/>
  <c r="AP7" i="71"/>
  <c r="AO7" i="71"/>
  <c r="AN7" i="71"/>
  <c r="AM7" i="71"/>
  <c r="AL7" i="71"/>
  <c r="AK7" i="71"/>
  <c r="AJ7" i="71"/>
  <c r="AI7" i="71"/>
  <c r="AH7" i="71"/>
  <c r="AG7" i="71"/>
  <c r="AF7" i="71"/>
  <c r="AE7" i="71"/>
  <c r="AR6" i="71"/>
  <c r="AQ6" i="71"/>
  <c r="AP6" i="71"/>
  <c r="AO6" i="71"/>
  <c r="AN6" i="71"/>
  <c r="AM6" i="71"/>
  <c r="AL6" i="71"/>
  <c r="AK6" i="71"/>
  <c r="AJ6" i="71"/>
  <c r="AI6" i="71"/>
  <c r="AH6" i="71"/>
  <c r="AG6" i="71"/>
  <c r="AF6" i="71"/>
  <c r="AE6" i="71"/>
  <c r="AR5" i="71"/>
  <c r="AQ5" i="71"/>
  <c r="AP5" i="71"/>
  <c r="AO5" i="71"/>
  <c r="AN5" i="71"/>
  <c r="AM5" i="71"/>
  <c r="AL5" i="71"/>
  <c r="AK5" i="71"/>
  <c r="AJ5" i="71"/>
  <c r="AI5" i="71"/>
  <c r="AH5" i="71"/>
  <c r="AG5" i="71"/>
  <c r="AF5" i="71"/>
  <c r="AE5" i="71"/>
  <c r="V296" i="70"/>
  <c r="U296" i="70"/>
  <c r="T296" i="70"/>
  <c r="S296" i="70"/>
  <c r="R296" i="70"/>
  <c r="Q296" i="70"/>
  <c r="P296" i="70"/>
  <c r="O296" i="70"/>
  <c r="N296" i="70"/>
  <c r="M296" i="70"/>
  <c r="L296" i="70"/>
  <c r="K296" i="70"/>
  <c r="J296" i="70"/>
  <c r="I296" i="70"/>
  <c r="H296" i="70"/>
  <c r="G296" i="70"/>
  <c r="F296" i="70"/>
  <c r="E296" i="70"/>
  <c r="D296" i="70"/>
  <c r="C296" i="70"/>
  <c r="B296" i="70"/>
  <c r="M272" i="70"/>
  <c r="V253" i="70"/>
  <c r="U253" i="70"/>
  <c r="T253" i="70"/>
  <c r="S253" i="70"/>
  <c r="R253" i="70"/>
  <c r="Q253" i="70"/>
  <c r="P253" i="70"/>
  <c r="O253" i="70"/>
  <c r="N253" i="70"/>
  <c r="M253" i="70"/>
  <c r="L253" i="70"/>
  <c r="V251" i="70"/>
  <c r="U251" i="70"/>
  <c r="T251" i="70"/>
  <c r="S251" i="70"/>
  <c r="R251" i="70"/>
  <c r="Q251" i="70"/>
  <c r="P251" i="70"/>
  <c r="O251" i="70"/>
  <c r="N251" i="70"/>
  <c r="M251" i="70"/>
  <c r="L251" i="70"/>
  <c r="V249" i="70"/>
  <c r="U249" i="70"/>
  <c r="T249" i="70"/>
  <c r="S249" i="70"/>
  <c r="R249" i="70"/>
  <c r="Q249" i="70"/>
  <c r="P249" i="70"/>
  <c r="O249" i="70"/>
  <c r="N249" i="70"/>
  <c r="M249" i="70"/>
  <c r="L249" i="70"/>
  <c r="X242" i="70"/>
  <c r="W242" i="70"/>
  <c r="V242" i="70"/>
  <c r="U242" i="70"/>
  <c r="U241" i="70" s="1"/>
  <c r="T241" i="70"/>
  <c r="R241" i="70"/>
  <c r="P241" i="70"/>
  <c r="O241" i="70"/>
  <c r="N241" i="70"/>
  <c r="H241" i="70"/>
  <c r="G241" i="70"/>
  <c r="F241" i="70"/>
  <c r="E241" i="70"/>
  <c r="D241" i="70"/>
  <c r="C241" i="70"/>
  <c r="B241" i="70"/>
  <c r="T233" i="70"/>
  <c r="P233" i="70"/>
  <c r="Q233" i="70" s="1"/>
  <c r="L233" i="70"/>
  <c r="M233" i="70" s="1"/>
  <c r="N233" i="70" s="1"/>
  <c r="H233" i="70"/>
  <c r="D233" i="70"/>
  <c r="E233" i="70" s="1"/>
  <c r="F233" i="70" s="1"/>
  <c r="T232" i="70"/>
  <c r="P232" i="70"/>
  <c r="Q232" i="70" s="1"/>
  <c r="L232" i="70"/>
  <c r="M232" i="70" s="1"/>
  <c r="H232" i="70"/>
  <c r="I232" i="70" s="1"/>
  <c r="J232" i="70" s="1"/>
  <c r="D232" i="70"/>
  <c r="E232" i="70" s="1"/>
  <c r="F232" i="70" s="1"/>
  <c r="T231" i="70"/>
  <c r="P231" i="70"/>
  <c r="Q231" i="70" s="1"/>
  <c r="L231" i="70"/>
  <c r="M231" i="70" s="1"/>
  <c r="G231" i="70"/>
  <c r="D231" i="70"/>
  <c r="Q224" i="70"/>
  <c r="AG14" i="71" s="1"/>
  <c r="P224" i="70"/>
  <c r="AF14" i="71" s="1"/>
  <c r="O224" i="70"/>
  <c r="N224" i="70"/>
  <c r="M224" i="70"/>
  <c r="L224" i="70"/>
  <c r="K224" i="70"/>
  <c r="J224" i="70"/>
  <c r="I224" i="70"/>
  <c r="H224" i="70"/>
  <c r="G224" i="70"/>
  <c r="F224" i="70"/>
  <c r="E224" i="70"/>
  <c r="D224" i="70"/>
  <c r="C224" i="70"/>
  <c r="B224" i="70"/>
  <c r="AB223" i="70"/>
  <c r="AB224" i="70" s="1"/>
  <c r="AA223" i="70"/>
  <c r="AA224" i="70" s="1"/>
  <c r="Z223" i="70"/>
  <c r="Z224" i="70" s="1"/>
  <c r="Y223" i="70"/>
  <c r="Y224" i="70" s="1"/>
  <c r="X223" i="70"/>
  <c r="X224" i="70" s="1"/>
  <c r="W223" i="70"/>
  <c r="W224" i="70" s="1"/>
  <c r="V223" i="70"/>
  <c r="V224" i="70" s="1"/>
  <c r="U223" i="70"/>
  <c r="U224" i="70" s="1"/>
  <c r="T223" i="70"/>
  <c r="T224" i="70" s="1"/>
  <c r="S223" i="70"/>
  <c r="S224" i="70" s="1"/>
  <c r="R223" i="70"/>
  <c r="R224" i="70" s="1"/>
  <c r="AB220" i="70"/>
  <c r="AB226" i="70" s="1"/>
  <c r="AA220" i="70"/>
  <c r="AA226" i="70" s="1"/>
  <c r="Z220" i="70"/>
  <c r="Z226" i="70" s="1"/>
  <c r="Y220" i="70"/>
  <c r="Y226" i="70" s="1"/>
  <c r="X220" i="70"/>
  <c r="X226" i="70" s="1"/>
  <c r="W220" i="70"/>
  <c r="W226" i="70" s="1"/>
  <c r="V220" i="70"/>
  <c r="V226" i="70" s="1"/>
  <c r="U220" i="70"/>
  <c r="U226" i="70" s="1"/>
  <c r="T220" i="70"/>
  <c r="T226" i="70" s="1"/>
  <c r="S220" i="70"/>
  <c r="S226" i="70" s="1"/>
  <c r="R220" i="70"/>
  <c r="R226" i="70" s="1"/>
  <c r="Q220" i="70"/>
  <c r="AG11" i="71" s="1"/>
  <c r="P220" i="70"/>
  <c r="O220" i="70"/>
  <c r="N220" i="70"/>
  <c r="N226" i="70" s="1"/>
  <c r="M220" i="70"/>
  <c r="M226" i="70" s="1"/>
  <c r="L220" i="70"/>
  <c r="L226" i="70" s="1"/>
  <c r="K220" i="70"/>
  <c r="K226" i="70" s="1"/>
  <c r="J220" i="70"/>
  <c r="J226" i="70" s="1"/>
  <c r="I220" i="70"/>
  <c r="H220" i="70"/>
  <c r="H226" i="70" s="1"/>
  <c r="G220" i="70"/>
  <c r="G226" i="70" s="1"/>
  <c r="F220" i="70"/>
  <c r="E220" i="70"/>
  <c r="E226" i="70" s="1"/>
  <c r="D220" i="70"/>
  <c r="D226" i="70" s="1"/>
  <c r="C220" i="70"/>
  <c r="C226" i="70" s="1"/>
  <c r="B220" i="70"/>
  <c r="B226" i="70" s="1"/>
  <c r="AB212" i="70"/>
  <c r="AA212" i="70"/>
  <c r="Z212" i="70"/>
  <c r="Y212" i="70"/>
  <c r="X212" i="70"/>
  <c r="W212" i="70"/>
  <c r="V212" i="70"/>
  <c r="U212" i="70"/>
  <c r="T212" i="70"/>
  <c r="S212" i="70"/>
  <c r="R212" i="70"/>
  <c r="Q212" i="70"/>
  <c r="P212" i="70"/>
  <c r="O212" i="70"/>
  <c r="N212" i="70"/>
  <c r="M212" i="70"/>
  <c r="L212" i="70"/>
  <c r="K212" i="70"/>
  <c r="J212" i="70"/>
  <c r="I212" i="70"/>
  <c r="H212" i="70"/>
  <c r="G212" i="70"/>
  <c r="F212" i="70"/>
  <c r="E212" i="70"/>
  <c r="D212" i="70"/>
  <c r="C212" i="70"/>
  <c r="B212" i="70"/>
  <c r="AB202" i="70"/>
  <c r="AA202" i="70"/>
  <c r="Z202" i="70"/>
  <c r="Y202" i="70"/>
  <c r="X202" i="70"/>
  <c r="W202" i="70"/>
  <c r="V202" i="70"/>
  <c r="U202" i="70"/>
  <c r="T202" i="70"/>
  <c r="S202" i="70"/>
  <c r="R202" i="70"/>
  <c r="Q202" i="70"/>
  <c r="P202" i="70"/>
  <c r="O202" i="70"/>
  <c r="N202" i="70"/>
  <c r="M202" i="70"/>
  <c r="L202" i="70"/>
  <c r="K202" i="70"/>
  <c r="J202" i="70"/>
  <c r="I202" i="70"/>
  <c r="H202" i="70"/>
  <c r="G202" i="70"/>
  <c r="F202" i="70"/>
  <c r="E202" i="70"/>
  <c r="D202" i="70"/>
  <c r="C202" i="70"/>
  <c r="B202" i="70"/>
  <c r="AB200" i="70"/>
  <c r="AA200" i="70"/>
  <c r="Z200" i="70"/>
  <c r="Y200" i="70"/>
  <c r="X200" i="70"/>
  <c r="W200" i="70"/>
  <c r="V200" i="70"/>
  <c r="U200" i="70"/>
  <c r="T200" i="70"/>
  <c r="S200" i="70"/>
  <c r="R200" i="70"/>
  <c r="Q200" i="70"/>
  <c r="P200" i="70"/>
  <c r="O200" i="70"/>
  <c r="N200" i="70"/>
  <c r="M200" i="70"/>
  <c r="L200" i="70"/>
  <c r="K200" i="70"/>
  <c r="J200" i="70"/>
  <c r="I200" i="70"/>
  <c r="H200" i="70"/>
  <c r="G200" i="70"/>
  <c r="F200" i="70"/>
  <c r="E200" i="70"/>
  <c r="D200" i="70"/>
  <c r="C200" i="70"/>
  <c r="B200" i="70"/>
  <c r="AB199" i="70"/>
  <c r="AA199" i="70"/>
  <c r="Z199" i="70"/>
  <c r="Y199" i="70"/>
  <c r="X199" i="70"/>
  <c r="W199" i="70"/>
  <c r="V199" i="70"/>
  <c r="U199" i="70"/>
  <c r="T199" i="70"/>
  <c r="S199" i="70"/>
  <c r="R199" i="70"/>
  <c r="Q199" i="70"/>
  <c r="P199" i="70"/>
  <c r="O199" i="70"/>
  <c r="N199" i="70"/>
  <c r="M199" i="70"/>
  <c r="L199" i="70"/>
  <c r="K199" i="70"/>
  <c r="J199" i="70"/>
  <c r="I199" i="70"/>
  <c r="H199" i="70"/>
  <c r="G199" i="70"/>
  <c r="F199" i="70"/>
  <c r="E199" i="70"/>
  <c r="D199" i="70"/>
  <c r="C199" i="70"/>
  <c r="B199" i="70"/>
  <c r="AB198" i="70"/>
  <c r="AA198" i="70"/>
  <c r="Z198" i="70"/>
  <c r="Y198" i="70"/>
  <c r="X198" i="70"/>
  <c r="W198" i="70"/>
  <c r="V198" i="70"/>
  <c r="U198" i="70"/>
  <c r="T198" i="70"/>
  <c r="S198" i="70"/>
  <c r="R198" i="70"/>
  <c r="Q198" i="70"/>
  <c r="P198" i="70"/>
  <c r="O198" i="70"/>
  <c r="N198" i="70"/>
  <c r="M198" i="70"/>
  <c r="L198" i="70"/>
  <c r="K198" i="70"/>
  <c r="J198" i="70"/>
  <c r="I198" i="70"/>
  <c r="H198" i="70"/>
  <c r="G198" i="70"/>
  <c r="F198" i="70"/>
  <c r="E198" i="70"/>
  <c r="D198" i="70"/>
  <c r="C198" i="70"/>
  <c r="B198" i="70"/>
  <c r="AB197" i="70"/>
  <c r="AA197" i="70"/>
  <c r="Z197" i="70"/>
  <c r="Y197" i="70"/>
  <c r="X197" i="70"/>
  <c r="W197" i="70"/>
  <c r="V197" i="70"/>
  <c r="U197" i="70"/>
  <c r="T197" i="70"/>
  <c r="S197" i="70"/>
  <c r="R197" i="70"/>
  <c r="Q197" i="70"/>
  <c r="P197" i="70"/>
  <c r="O197" i="70"/>
  <c r="N197" i="70"/>
  <c r="M197" i="70"/>
  <c r="L197" i="70"/>
  <c r="K197" i="70"/>
  <c r="J197" i="70"/>
  <c r="I197" i="70"/>
  <c r="H197" i="70"/>
  <c r="G197" i="70"/>
  <c r="F197" i="70"/>
  <c r="AB196" i="70"/>
  <c r="AA196" i="70"/>
  <c r="Z196" i="70"/>
  <c r="Y196" i="70"/>
  <c r="X196" i="70"/>
  <c r="W196" i="70"/>
  <c r="V196" i="70"/>
  <c r="U196" i="70"/>
  <c r="T196" i="70"/>
  <c r="S196" i="70"/>
  <c r="R196" i="70"/>
  <c r="Q196" i="70"/>
  <c r="P196" i="70"/>
  <c r="O196" i="70"/>
  <c r="N196" i="70"/>
  <c r="M196" i="70"/>
  <c r="L196" i="70"/>
  <c r="K196" i="70"/>
  <c r="J196" i="70"/>
  <c r="I196" i="70"/>
  <c r="H196" i="70"/>
  <c r="G196" i="70"/>
  <c r="F196" i="70"/>
  <c r="E196" i="70"/>
  <c r="D196" i="70"/>
  <c r="C196" i="70"/>
  <c r="B196" i="70"/>
  <c r="R188" i="70"/>
  <c r="R187" i="70"/>
  <c r="R186" i="70"/>
  <c r="R185" i="70"/>
  <c r="R184" i="70"/>
  <c r="AB170" i="70"/>
  <c r="AA170" i="70"/>
  <c r="Z170" i="70"/>
  <c r="Y170" i="70"/>
  <c r="X170" i="70"/>
  <c r="W170" i="70"/>
  <c r="V170" i="70"/>
  <c r="U170" i="70"/>
  <c r="T170" i="70"/>
  <c r="S170" i="70"/>
  <c r="R170" i="70"/>
  <c r="R171" i="70" s="1"/>
  <c r="Q170" i="70"/>
  <c r="P170" i="70"/>
  <c r="O170" i="70"/>
  <c r="N170" i="70"/>
  <c r="M170" i="70"/>
  <c r="L170" i="70"/>
  <c r="K170" i="70"/>
  <c r="J170" i="70"/>
  <c r="I170" i="70"/>
  <c r="H170" i="70"/>
  <c r="G170" i="70"/>
  <c r="F170" i="70"/>
  <c r="E170" i="70"/>
  <c r="D170" i="70"/>
  <c r="C170" i="70"/>
  <c r="B170" i="70"/>
  <c r="R167" i="70"/>
  <c r="R164" i="70"/>
  <c r="BG163" i="70"/>
  <c r="AB155" i="70"/>
  <c r="AB152" i="70"/>
  <c r="AB153" i="70" s="1"/>
  <c r="AA152" i="70"/>
  <c r="AA153" i="70" s="1"/>
  <c r="Z152" i="70"/>
  <c r="Z153" i="70" s="1"/>
  <c r="Y152" i="70"/>
  <c r="Y153" i="70" s="1"/>
  <c r="X152" i="70"/>
  <c r="X153" i="70" s="1"/>
  <c r="W152" i="70"/>
  <c r="W153" i="70" s="1"/>
  <c r="V152" i="70"/>
  <c r="V153" i="70" s="1"/>
  <c r="U152" i="70"/>
  <c r="T152" i="70"/>
  <c r="T153" i="70" s="1"/>
  <c r="S152" i="70"/>
  <c r="S153" i="70" s="1"/>
  <c r="R152" i="70"/>
  <c r="R153" i="70" s="1"/>
  <c r="Q152" i="70"/>
  <c r="Q153" i="70" s="1"/>
  <c r="P152" i="70"/>
  <c r="P157" i="70" s="1"/>
  <c r="O152" i="70"/>
  <c r="O153" i="70" s="1"/>
  <c r="N152" i="70"/>
  <c r="N153" i="70" s="1"/>
  <c r="M152" i="70"/>
  <c r="M153" i="70" s="1"/>
  <c r="L152" i="70"/>
  <c r="L153" i="70" s="1"/>
  <c r="K152" i="70"/>
  <c r="K153" i="70" s="1"/>
  <c r="J152" i="70"/>
  <c r="J153" i="70" s="1"/>
  <c r="I152" i="70"/>
  <c r="H152" i="70"/>
  <c r="H153" i="70" s="1"/>
  <c r="G152" i="70"/>
  <c r="F152" i="70"/>
  <c r="E152" i="70"/>
  <c r="E153" i="70" s="1"/>
  <c r="D152" i="70"/>
  <c r="D153" i="70" s="1"/>
  <c r="C152" i="70"/>
  <c r="C153" i="70" s="1"/>
  <c r="B152" i="70"/>
  <c r="B153" i="70" s="1"/>
  <c r="V146" i="70"/>
  <c r="U146" i="70"/>
  <c r="T146" i="70"/>
  <c r="S146" i="70"/>
  <c r="R146" i="70"/>
  <c r="U144" i="70"/>
  <c r="T144" i="70"/>
  <c r="S144" i="70"/>
  <c r="AB143" i="70"/>
  <c r="AA143" i="70"/>
  <c r="Z143" i="70"/>
  <c r="Y143" i="70"/>
  <c r="X143" i="70"/>
  <c r="W143" i="70"/>
  <c r="V143" i="70"/>
  <c r="U143" i="70"/>
  <c r="T143" i="70"/>
  <c r="S143" i="70"/>
  <c r="R143" i="70"/>
  <c r="Q143" i="70"/>
  <c r="P143" i="70"/>
  <c r="P144" i="70" s="1"/>
  <c r="O143" i="70"/>
  <c r="N143" i="70"/>
  <c r="N144" i="70" s="1"/>
  <c r="M143" i="70"/>
  <c r="M144" i="70" s="1"/>
  <c r="L143" i="70"/>
  <c r="L144" i="70" s="1"/>
  <c r="K143" i="70"/>
  <c r="K144" i="70" s="1"/>
  <c r="J143" i="70"/>
  <c r="J144" i="70" s="1"/>
  <c r="I143" i="70"/>
  <c r="I144" i="70" s="1"/>
  <c r="H143" i="70"/>
  <c r="H144" i="70" s="1"/>
  <c r="G143" i="70"/>
  <c r="G144" i="70" s="1"/>
  <c r="F143" i="70"/>
  <c r="F144" i="70" s="1"/>
  <c r="U141" i="70"/>
  <c r="T141" i="70"/>
  <c r="S141" i="70"/>
  <c r="N141" i="70"/>
  <c r="M141" i="70"/>
  <c r="L141" i="70"/>
  <c r="K141" i="70"/>
  <c r="J141" i="70"/>
  <c r="I141" i="70"/>
  <c r="H141" i="70"/>
  <c r="G141" i="70"/>
  <c r="F141" i="70"/>
  <c r="P136" i="70"/>
  <c r="BE135" i="70"/>
  <c r="BF137" i="70" s="1"/>
  <c r="AB134" i="70"/>
  <c r="AA134" i="70"/>
  <c r="Z134" i="70"/>
  <c r="AB129" i="70"/>
  <c r="AA129" i="70"/>
  <c r="Z129" i="70"/>
  <c r="Y129" i="70"/>
  <c r="X129" i="70"/>
  <c r="X136" i="70" s="1"/>
  <c r="W129" i="70"/>
  <c r="V129" i="70"/>
  <c r="V136" i="70" s="1"/>
  <c r="U129" i="70"/>
  <c r="U136" i="70" s="1"/>
  <c r="U187" i="70" s="1"/>
  <c r="T129" i="70"/>
  <c r="T136" i="70" s="1"/>
  <c r="S129" i="70"/>
  <c r="S136" i="70" s="1"/>
  <c r="S87" i="70" s="1"/>
  <c r="R129" i="70"/>
  <c r="Q129" i="70"/>
  <c r="O129" i="70"/>
  <c r="O136" i="70" s="1"/>
  <c r="O89" i="70" s="1"/>
  <c r="N129" i="70"/>
  <c r="N136" i="70" s="1"/>
  <c r="M129" i="70"/>
  <c r="L129" i="70"/>
  <c r="K129" i="70"/>
  <c r="J129" i="70"/>
  <c r="I129" i="70"/>
  <c r="I136" i="70" s="1"/>
  <c r="H129" i="70"/>
  <c r="H136" i="70" s="1"/>
  <c r="H88" i="70" s="1"/>
  <c r="G129" i="70"/>
  <c r="G136" i="70" s="1"/>
  <c r="G185" i="70" s="1"/>
  <c r="F129" i="70"/>
  <c r="F136" i="70" s="1"/>
  <c r="F184" i="70" s="1"/>
  <c r="E129" i="70"/>
  <c r="E136" i="70" s="1"/>
  <c r="E184" i="70" s="1"/>
  <c r="D129" i="70"/>
  <c r="D136" i="70" s="1"/>
  <c r="C129" i="70"/>
  <c r="C136" i="70" s="1"/>
  <c r="B129" i="70"/>
  <c r="R120" i="70"/>
  <c r="Z118" i="70"/>
  <c r="Z120" i="70" s="1"/>
  <c r="Y118" i="70"/>
  <c r="Y120" i="70" s="1"/>
  <c r="X118" i="70"/>
  <c r="X120" i="70" s="1"/>
  <c r="W118" i="70"/>
  <c r="W120" i="70" s="1"/>
  <c r="V118" i="70"/>
  <c r="V120" i="70" s="1"/>
  <c r="U118" i="70"/>
  <c r="U120" i="70" s="1"/>
  <c r="T118" i="70"/>
  <c r="T120" i="70" s="1"/>
  <c r="S118" i="70"/>
  <c r="S120" i="70" s="1"/>
  <c r="Z113" i="70"/>
  <c r="Z115" i="70" s="1"/>
  <c r="Y113" i="70"/>
  <c r="Y115" i="70" s="1"/>
  <c r="X113" i="70"/>
  <c r="X115" i="70" s="1"/>
  <c r="W113" i="70"/>
  <c r="W115" i="70" s="1"/>
  <c r="V113" i="70"/>
  <c r="V115" i="70" s="1"/>
  <c r="U113" i="70"/>
  <c r="U115" i="70" s="1"/>
  <c r="T113" i="70"/>
  <c r="T115" i="70" s="1"/>
  <c r="S113" i="70"/>
  <c r="S115" i="70" s="1"/>
  <c r="R113" i="70"/>
  <c r="Q113" i="70"/>
  <c r="P113" i="70"/>
  <c r="Z108" i="70"/>
  <c r="Z110" i="70" s="1"/>
  <c r="Y108" i="70"/>
  <c r="Y110" i="70" s="1"/>
  <c r="X108" i="70"/>
  <c r="X110" i="70" s="1"/>
  <c r="W108" i="70"/>
  <c r="W110" i="70" s="1"/>
  <c r="V108" i="70"/>
  <c r="V110" i="70" s="1"/>
  <c r="U108" i="70"/>
  <c r="U110" i="70" s="1"/>
  <c r="T108" i="70"/>
  <c r="T110" i="70" s="1"/>
  <c r="S108" i="70"/>
  <c r="S110" i="70" s="1"/>
  <c r="R108" i="70"/>
  <c r="R110" i="70" s="1"/>
  <c r="Q108" i="70"/>
  <c r="P108" i="70"/>
  <c r="AB103" i="70"/>
  <c r="AA103" i="70"/>
  <c r="AA144" i="70" s="1"/>
  <c r="Z103" i="70"/>
  <c r="Z144" i="70" s="1"/>
  <c r="Y103" i="70"/>
  <c r="Y144" i="70" s="1"/>
  <c r="X103" i="70"/>
  <c r="X104" i="70" s="1"/>
  <c r="W103" i="70"/>
  <c r="V103" i="70"/>
  <c r="R103" i="70"/>
  <c r="Q103" i="70"/>
  <c r="P103" i="70"/>
  <c r="T104" i="70" s="1"/>
  <c r="O103" i="70"/>
  <c r="U100" i="70"/>
  <c r="T100" i="70"/>
  <c r="Q100" i="70"/>
  <c r="U99" i="70"/>
  <c r="T99" i="70"/>
  <c r="S99" i="70"/>
  <c r="R99" i="70"/>
  <c r="Q99" i="70"/>
  <c r="P99" i="70"/>
  <c r="O99" i="70"/>
  <c r="N99" i="70"/>
  <c r="M99" i="70"/>
  <c r="L99" i="70"/>
  <c r="K99" i="70"/>
  <c r="J99" i="70"/>
  <c r="I99" i="70"/>
  <c r="H99" i="70"/>
  <c r="G99" i="70"/>
  <c r="F99" i="70"/>
  <c r="E99" i="70"/>
  <c r="D99" i="70"/>
  <c r="C99" i="70"/>
  <c r="B99" i="70"/>
  <c r="U98" i="70"/>
  <c r="T98" i="70"/>
  <c r="S98" i="70"/>
  <c r="R98" i="70"/>
  <c r="O98" i="70"/>
  <c r="N98" i="70"/>
  <c r="U97" i="70"/>
  <c r="T97" i="70"/>
  <c r="S97" i="70"/>
  <c r="R97" i="70"/>
  <c r="O97" i="70"/>
  <c r="N97" i="70"/>
  <c r="AB94" i="70"/>
  <c r="AA94" i="70"/>
  <c r="AA100" i="70" s="1"/>
  <c r="Z94" i="70"/>
  <c r="Z100" i="70" s="1"/>
  <c r="Y94" i="70"/>
  <c r="Y100" i="70" s="1"/>
  <c r="X94" i="70"/>
  <c r="X100" i="70" s="1"/>
  <c r="W94" i="70"/>
  <c r="W100" i="70" s="1"/>
  <c r="V94" i="70"/>
  <c r="V100" i="70" s="1"/>
  <c r="AB93" i="70"/>
  <c r="AA93" i="70"/>
  <c r="AA98" i="70" s="1"/>
  <c r="Z93" i="70"/>
  <c r="Z98" i="70" s="1"/>
  <c r="Y93" i="70"/>
  <c r="Y98" i="70" s="1"/>
  <c r="X93" i="70"/>
  <c r="X98" i="70" s="1"/>
  <c r="W93" i="70"/>
  <c r="W98" i="70" s="1"/>
  <c r="V93" i="70"/>
  <c r="V98" i="70" s="1"/>
  <c r="AB92" i="70"/>
  <c r="AA92" i="70"/>
  <c r="Z92" i="70"/>
  <c r="Z97" i="70" s="1"/>
  <c r="Y92" i="70"/>
  <c r="X92" i="70"/>
  <c r="X97" i="70" s="1"/>
  <c r="W92" i="70"/>
  <c r="W97" i="70" s="1"/>
  <c r="V92" i="70"/>
  <c r="U91" i="70"/>
  <c r="R89" i="70"/>
  <c r="R88" i="70"/>
  <c r="R87" i="70"/>
  <c r="G85" i="70"/>
  <c r="AA84" i="70"/>
  <c r="Z84" i="70"/>
  <c r="Y84" i="70"/>
  <c r="X84" i="70"/>
  <c r="W84" i="70"/>
  <c r="V84" i="70"/>
  <c r="U84" i="70"/>
  <c r="T84" i="70"/>
  <c r="S84" i="70"/>
  <c r="R84" i="70"/>
  <c r="Q84" i="70"/>
  <c r="P84" i="70"/>
  <c r="O84" i="70"/>
  <c r="N84" i="70"/>
  <c r="M84" i="70"/>
  <c r="L84" i="70"/>
  <c r="K84" i="70"/>
  <c r="J84" i="70"/>
  <c r="I84" i="70"/>
  <c r="H84" i="70"/>
  <c r="G84" i="70"/>
  <c r="F84" i="70"/>
  <c r="AA80" i="70"/>
  <c r="Z80" i="70"/>
  <c r="Y80" i="70"/>
  <c r="X80" i="70"/>
  <c r="W80" i="70"/>
  <c r="V80" i="70"/>
  <c r="U80" i="70"/>
  <c r="T80" i="70"/>
  <c r="S80" i="70"/>
  <c r="AB77" i="70"/>
  <c r="AA77" i="70"/>
  <c r="Z77" i="70"/>
  <c r="Y77" i="70"/>
  <c r="X77" i="70"/>
  <c r="W77" i="70"/>
  <c r="V77" i="70"/>
  <c r="U77" i="70"/>
  <c r="T77" i="70"/>
  <c r="S77" i="70"/>
  <c r="R77" i="70"/>
  <c r="Q77" i="70"/>
  <c r="P77" i="70"/>
  <c r="O77" i="70"/>
  <c r="N77" i="70"/>
  <c r="M77" i="70"/>
  <c r="L77" i="70"/>
  <c r="K77" i="70"/>
  <c r="J77" i="70"/>
  <c r="I77" i="70"/>
  <c r="H77" i="70"/>
  <c r="G77" i="70"/>
  <c r="F77" i="70"/>
  <c r="BG76" i="70"/>
  <c r="AB74" i="70"/>
  <c r="AA74" i="70"/>
  <c r="Z74" i="70"/>
  <c r="Y74" i="70"/>
  <c r="X74" i="70"/>
  <c r="W74" i="70"/>
  <c r="V74" i="70"/>
  <c r="U74" i="70"/>
  <c r="T74" i="70"/>
  <c r="S74" i="70"/>
  <c r="R74" i="70"/>
  <c r="Q74" i="70"/>
  <c r="P74" i="70"/>
  <c r="O74" i="70"/>
  <c r="N74" i="70"/>
  <c r="M74" i="70"/>
  <c r="L74" i="70"/>
  <c r="K74" i="70"/>
  <c r="J74" i="70"/>
  <c r="I74" i="70"/>
  <c r="H74" i="70"/>
  <c r="G74" i="70"/>
  <c r="F74" i="70"/>
  <c r="R69" i="70"/>
  <c r="Q69" i="70"/>
  <c r="P69" i="70"/>
  <c r="O69" i="70"/>
  <c r="L69" i="70"/>
  <c r="K69" i="70"/>
  <c r="T68" i="70"/>
  <c r="T69" i="70" s="1"/>
  <c r="S68" i="70"/>
  <c r="S69" i="70" s="1"/>
  <c r="AB66" i="70"/>
  <c r="AA66" i="70"/>
  <c r="Z66" i="70"/>
  <c r="Y66" i="70"/>
  <c r="X66" i="70"/>
  <c r="W66" i="70"/>
  <c r="V66" i="70"/>
  <c r="U66" i="70"/>
  <c r="T66" i="70"/>
  <c r="S66" i="70"/>
  <c r="AB65" i="70"/>
  <c r="AA65" i="70"/>
  <c r="Z65" i="70"/>
  <c r="Y65" i="70"/>
  <c r="X65" i="70"/>
  <c r="W65" i="70"/>
  <c r="V65" i="70"/>
  <c r="U65" i="70"/>
  <c r="T65" i="70"/>
  <c r="S65" i="70"/>
  <c r="AB63" i="70"/>
  <c r="AA63" i="70"/>
  <c r="Z63" i="70"/>
  <c r="Y63" i="70"/>
  <c r="X63" i="70"/>
  <c r="W63" i="70"/>
  <c r="V63" i="70"/>
  <c r="U63" i="70"/>
  <c r="T63" i="70"/>
  <c r="S63" i="70"/>
  <c r="AB62" i="70"/>
  <c r="AA62" i="70"/>
  <c r="Z62" i="70"/>
  <c r="Y62" i="70"/>
  <c r="X62" i="70"/>
  <c r="W62" i="70"/>
  <c r="V62" i="70"/>
  <c r="U62" i="70"/>
  <c r="T62" i="70"/>
  <c r="S62" i="70"/>
  <c r="AB60" i="70"/>
  <c r="AA60" i="70"/>
  <c r="Z60" i="70"/>
  <c r="Y60" i="70"/>
  <c r="X60" i="70"/>
  <c r="W60" i="70"/>
  <c r="V60" i="70"/>
  <c r="U60" i="70"/>
  <c r="T60" i="70"/>
  <c r="S60" i="70"/>
  <c r="O60" i="70"/>
  <c r="AB57" i="70"/>
  <c r="AA57" i="70"/>
  <c r="Z57" i="70"/>
  <c r="Y57" i="70"/>
  <c r="X57" i="70"/>
  <c r="W57" i="70"/>
  <c r="V57" i="70"/>
  <c r="U57" i="70"/>
  <c r="T57" i="70"/>
  <c r="S57" i="70"/>
  <c r="AB56" i="70"/>
  <c r="AA56" i="70"/>
  <c r="Z56" i="70"/>
  <c r="Y56" i="70"/>
  <c r="X56" i="70"/>
  <c r="W56" i="70"/>
  <c r="V56" i="70"/>
  <c r="U56" i="70"/>
  <c r="T56" i="70"/>
  <c r="S56" i="70"/>
  <c r="O56" i="70"/>
  <c r="AB48" i="70"/>
  <c r="AB49" i="70" s="1"/>
  <c r="AB50" i="70" s="1"/>
  <c r="AA48" i="70"/>
  <c r="Z48" i="70"/>
  <c r="Y48" i="70"/>
  <c r="X48" i="70"/>
  <c r="W48" i="70"/>
  <c r="V48" i="70"/>
  <c r="U48" i="70"/>
  <c r="T48" i="70"/>
  <c r="S48" i="70"/>
  <c r="R48" i="70"/>
  <c r="Q48" i="70"/>
  <c r="P48" i="70"/>
  <c r="O48" i="70"/>
  <c r="Z43" i="70"/>
  <c r="Z46" i="70" s="1"/>
  <c r="Z51" i="70" s="1"/>
  <c r="Y51" i="70" s="1"/>
  <c r="X51" i="70" s="1"/>
  <c r="W51" i="70" s="1"/>
  <c r="V43" i="70"/>
  <c r="V46" i="70" s="1"/>
  <c r="V51" i="70" s="1"/>
  <c r="U51" i="70" s="1"/>
  <c r="T51" i="70" s="1"/>
  <c r="S51" i="70" s="1"/>
  <c r="R43" i="70"/>
  <c r="R46" i="70" s="1"/>
  <c r="R51" i="70" s="1"/>
  <c r="Q51" i="70" s="1"/>
  <c r="P51" i="70" s="1"/>
  <c r="O51" i="70" s="1"/>
  <c r="AB40" i="70"/>
  <c r="AI28" i="70" s="1"/>
  <c r="Z40" i="70"/>
  <c r="Z41" i="70" s="1"/>
  <c r="X40" i="70"/>
  <c r="AE28" i="70" s="1"/>
  <c r="T40" i="70"/>
  <c r="T41" i="70" s="1"/>
  <c r="S40" i="70"/>
  <c r="S41" i="70" s="1"/>
  <c r="O40" i="70"/>
  <c r="O41" i="70" s="1"/>
  <c r="Z30" i="70"/>
  <c r="X30" i="70"/>
  <c r="W30" i="70"/>
  <c r="V30" i="70"/>
  <c r="U30" i="70"/>
  <c r="T30" i="70"/>
  <c r="N30" i="70"/>
  <c r="M30" i="70"/>
  <c r="L30" i="70"/>
  <c r="K30" i="70"/>
  <c r="J30" i="70"/>
  <c r="I30" i="70"/>
  <c r="H30" i="70"/>
  <c r="G30" i="70"/>
  <c r="F30" i="70"/>
  <c r="Z28" i="70"/>
  <c r="X28" i="70"/>
  <c r="W28" i="70"/>
  <c r="V28" i="70"/>
  <c r="U28" i="70"/>
  <c r="T28" i="70"/>
  <c r="S28" i="70"/>
  <c r="R28" i="70"/>
  <c r="O28" i="70"/>
  <c r="N28" i="70"/>
  <c r="M28" i="70"/>
  <c r="AG27" i="70"/>
  <c r="AE27" i="70"/>
  <c r="Z27" i="70"/>
  <c r="Y27" i="70"/>
  <c r="X27" i="70"/>
  <c r="N27" i="70"/>
  <c r="M27" i="70"/>
  <c r="L27" i="70"/>
  <c r="K27" i="70"/>
  <c r="J27" i="70"/>
  <c r="S26" i="70"/>
  <c r="S30" i="70" s="1"/>
  <c r="R26" i="70"/>
  <c r="R27" i="70" s="1"/>
  <c r="Q26" i="70"/>
  <c r="P26" i="70"/>
  <c r="P27" i="70" s="1"/>
  <c r="O26" i="70"/>
  <c r="Z24" i="70"/>
  <c r="Y24" i="70"/>
  <c r="X24" i="70"/>
  <c r="W24" i="70"/>
  <c r="V24" i="70"/>
  <c r="U24" i="70"/>
  <c r="T24" i="70"/>
  <c r="S24" i="70"/>
  <c r="R24" i="70"/>
  <c r="Q24" i="70"/>
  <c r="P24" i="70"/>
  <c r="O24" i="70"/>
  <c r="N24" i="70"/>
  <c r="M24" i="70"/>
  <c r="Z23" i="70"/>
  <c r="Y23" i="70"/>
  <c r="X23" i="70"/>
  <c r="W23" i="70"/>
  <c r="V23" i="70"/>
  <c r="U23" i="70"/>
  <c r="T23" i="70"/>
  <c r="S23" i="70"/>
  <c r="R23" i="70"/>
  <c r="Q23" i="70"/>
  <c r="Z21" i="70"/>
  <c r="Y21" i="70"/>
  <c r="X21" i="70"/>
  <c r="W21" i="70"/>
  <c r="V21" i="70"/>
  <c r="U21" i="70"/>
  <c r="T21" i="70"/>
  <c r="S21" i="70"/>
  <c r="R21" i="70"/>
  <c r="Q21" i="70"/>
  <c r="Z19" i="70"/>
  <c r="X19" i="70"/>
  <c r="W19" i="70"/>
  <c r="V19" i="70"/>
  <c r="S19" i="70"/>
  <c r="R19" i="70"/>
  <c r="O19" i="70"/>
  <c r="N19" i="70"/>
  <c r="M19" i="70"/>
  <c r="L19" i="70"/>
  <c r="K19" i="70"/>
  <c r="J19" i="70"/>
  <c r="AA18" i="70"/>
  <c r="Y18" i="70"/>
  <c r="Y40" i="70" s="1"/>
  <c r="Q18" i="70"/>
  <c r="Q19" i="70" s="1"/>
  <c r="P18" i="70"/>
  <c r="P28" i="70" s="1"/>
  <c r="E18" i="70"/>
  <c r="I19" i="70" s="1"/>
  <c r="D18" i="70"/>
  <c r="H19" i="70" s="1"/>
  <c r="C18" i="70"/>
  <c r="G19" i="70" s="1"/>
  <c r="B18" i="70"/>
  <c r="F19" i="70" s="1"/>
  <c r="AU17" i="70"/>
  <c r="AT17" i="70"/>
  <c r="AR17" i="70"/>
  <c r="AP17" i="70"/>
  <c r="AO17" i="70"/>
  <c r="AN17" i="70"/>
  <c r="AN18" i="70" s="1"/>
  <c r="AL17" i="70"/>
  <c r="AK17" i="70"/>
  <c r="AJ17" i="70"/>
  <c r="AI17" i="70"/>
  <c r="AH17" i="70"/>
  <c r="AG17" i="70"/>
  <c r="AF17" i="70"/>
  <c r="AE17" i="70"/>
  <c r="AD17" i="70"/>
  <c r="AW15" i="70"/>
  <c r="AV15" i="70"/>
  <c r="AU15" i="70"/>
  <c r="AT15" i="70"/>
  <c r="AS15" i="70"/>
  <c r="AR15" i="70"/>
  <c r="Y10" i="70"/>
  <c r="J158" i="77"/>
  <c r="I158" i="77"/>
  <c r="H158" i="77"/>
  <c r="G158" i="77"/>
  <c r="F158" i="77"/>
  <c r="E158" i="77"/>
  <c r="D158" i="77"/>
  <c r="C158" i="77"/>
  <c r="B158" i="77"/>
  <c r="J152" i="77"/>
  <c r="I152" i="77"/>
  <c r="H152" i="77"/>
  <c r="G152" i="77"/>
  <c r="F152" i="77"/>
  <c r="E152" i="77"/>
  <c r="D152" i="77"/>
  <c r="C152" i="77"/>
  <c r="B152" i="77"/>
  <c r="J146" i="77"/>
  <c r="I146" i="77"/>
  <c r="H146" i="77"/>
  <c r="G146" i="77"/>
  <c r="F146" i="77"/>
  <c r="E146" i="77"/>
  <c r="D146" i="77"/>
  <c r="C146" i="77"/>
  <c r="B146" i="77"/>
  <c r="D142" i="77"/>
  <c r="C142" i="77"/>
  <c r="B142" i="77"/>
  <c r="D138" i="77"/>
  <c r="C138" i="77"/>
  <c r="B138" i="77"/>
  <c r="D134" i="77"/>
  <c r="C134" i="77"/>
  <c r="B134" i="77"/>
  <c r="J128" i="77"/>
  <c r="I128" i="77"/>
  <c r="H128" i="77"/>
  <c r="G128" i="77"/>
  <c r="J127" i="77"/>
  <c r="I127" i="77"/>
  <c r="H127" i="77"/>
  <c r="G127" i="77"/>
  <c r="J122" i="77"/>
  <c r="I122" i="77"/>
  <c r="H122" i="77"/>
  <c r="G122" i="77"/>
  <c r="J121" i="77"/>
  <c r="I121" i="77"/>
  <c r="H121" i="77"/>
  <c r="G121" i="77"/>
  <c r="J116" i="77"/>
  <c r="I116" i="77"/>
  <c r="H116" i="77"/>
  <c r="G116" i="77"/>
  <c r="J115" i="77"/>
  <c r="I115" i="77"/>
  <c r="H115" i="77"/>
  <c r="G115" i="77"/>
  <c r="B112" i="77"/>
  <c r="J109" i="77"/>
  <c r="I109" i="77"/>
  <c r="H109" i="77"/>
  <c r="G109" i="77"/>
  <c r="F109" i="77"/>
  <c r="E109" i="77"/>
  <c r="D109" i="77"/>
  <c r="C109" i="77"/>
  <c r="B109" i="77"/>
  <c r="J108" i="77"/>
  <c r="I108" i="77"/>
  <c r="H108" i="77"/>
  <c r="G108" i="77"/>
  <c r="F108" i="77"/>
  <c r="J107" i="77"/>
  <c r="I107" i="77"/>
  <c r="H107" i="77"/>
  <c r="G107" i="77"/>
  <c r="F107" i="77"/>
  <c r="B162" i="76"/>
  <c r="E146" i="76"/>
  <c r="D146" i="76"/>
  <c r="E134" i="76"/>
  <c r="E141" i="76" s="1"/>
  <c r="D134" i="76"/>
  <c r="D150" i="76" s="1"/>
  <c r="C134" i="76"/>
  <c r="C152" i="76" s="1"/>
  <c r="B134" i="76"/>
  <c r="B150" i="76" s="1"/>
  <c r="E133" i="76"/>
  <c r="D133" i="76"/>
  <c r="C133" i="76"/>
  <c r="E126" i="76"/>
  <c r="E128" i="76" s="1"/>
  <c r="D126" i="76"/>
  <c r="D128" i="76" s="1"/>
  <c r="C126" i="76"/>
  <c r="C128" i="76" s="1"/>
  <c r="B126" i="76"/>
  <c r="F109" i="76"/>
  <c r="F108" i="76"/>
  <c r="F107" i="76"/>
  <c r="E106" i="76"/>
  <c r="D106" i="76"/>
  <c r="D112" i="76" s="1"/>
  <c r="C106" i="76"/>
  <c r="B106" i="76"/>
  <c r="B112" i="76" s="1"/>
  <c r="F94" i="76"/>
  <c r="E94" i="76"/>
  <c r="D94" i="76"/>
  <c r="C94" i="76"/>
  <c r="F90" i="76"/>
  <c r="E90" i="76"/>
  <c r="D90" i="76"/>
  <c r="B90" i="76"/>
  <c r="C84" i="76"/>
  <c r="C90" i="76" s="1"/>
  <c r="C92" i="76" s="1"/>
  <c r="F80" i="76"/>
  <c r="E80" i="76"/>
  <c r="D80" i="76"/>
  <c r="C80" i="76"/>
  <c r="F75" i="76"/>
  <c r="E75" i="76"/>
  <c r="D75" i="76"/>
  <c r="C75" i="76"/>
  <c r="F62" i="76"/>
  <c r="E62" i="76"/>
  <c r="D62" i="76"/>
  <c r="C62" i="76"/>
  <c r="F51" i="76"/>
  <c r="F55" i="76" s="1"/>
  <c r="E51" i="76"/>
  <c r="E55" i="76" s="1"/>
  <c r="D51" i="76"/>
  <c r="D55" i="76" s="1"/>
  <c r="C51" i="76"/>
  <c r="C55" i="76" s="1"/>
  <c r="B51" i="76"/>
  <c r="F34" i="76"/>
  <c r="F31" i="76"/>
  <c r="F28" i="76"/>
  <c r="C25" i="76"/>
  <c r="C26" i="76" s="1"/>
  <c r="B25" i="76"/>
  <c r="B26" i="76" s="1"/>
  <c r="E23" i="76"/>
  <c r="E25" i="76" s="1"/>
  <c r="E26" i="76" s="1"/>
  <c r="D23" i="76"/>
  <c r="D25" i="76" s="1"/>
  <c r="D26" i="76" s="1"/>
  <c r="E21" i="76"/>
  <c r="D21" i="76"/>
  <c r="C21" i="76"/>
  <c r="B21" i="76"/>
  <c r="F20" i="76"/>
  <c r="F19" i="76"/>
  <c r="F18" i="76"/>
  <c r="F9" i="76"/>
  <c r="F6" i="76"/>
  <c r="E6" i="76"/>
  <c r="E32" i="76" s="1"/>
  <c r="D6" i="76"/>
  <c r="D32" i="76" s="1"/>
  <c r="C6" i="76"/>
  <c r="C32" i="76" s="1"/>
  <c r="B6" i="76"/>
  <c r="E5" i="76"/>
  <c r="D5" i="76"/>
  <c r="C5" i="76"/>
  <c r="F4" i="76"/>
  <c r="F5" i="76" s="1"/>
  <c r="U108" i="75"/>
  <c r="T108" i="75"/>
  <c r="S108" i="75"/>
  <c r="R108" i="75"/>
  <c r="Q108" i="75"/>
  <c r="P108" i="75"/>
  <c r="O108" i="75"/>
  <c r="N108" i="75"/>
  <c r="M108" i="75"/>
  <c r="L108" i="75"/>
  <c r="K108" i="75"/>
  <c r="J108" i="75"/>
  <c r="U107" i="75"/>
  <c r="T107" i="75"/>
  <c r="S107" i="75"/>
  <c r="R107" i="75"/>
  <c r="Q107" i="75"/>
  <c r="P107" i="75"/>
  <c r="O107" i="75"/>
  <c r="N107" i="75"/>
  <c r="M107" i="75"/>
  <c r="L107" i="75"/>
  <c r="K107" i="75"/>
  <c r="J107" i="75"/>
  <c r="I107" i="75"/>
  <c r="H107" i="75"/>
  <c r="G107" i="75"/>
  <c r="F107" i="75"/>
  <c r="U106" i="75"/>
  <c r="T106" i="75"/>
  <c r="S106" i="75"/>
  <c r="R106" i="75"/>
  <c r="Q106" i="75"/>
  <c r="P106" i="75"/>
  <c r="O106" i="75"/>
  <c r="N106" i="75"/>
  <c r="M106" i="75"/>
  <c r="L106" i="75"/>
  <c r="K106" i="75"/>
  <c r="J106" i="75"/>
  <c r="I106" i="75"/>
  <c r="H106" i="75"/>
  <c r="G106" i="75"/>
  <c r="F106" i="75"/>
  <c r="Z105" i="75"/>
  <c r="T105" i="75"/>
  <c r="R105" i="75"/>
  <c r="Q105" i="75"/>
  <c r="P105" i="75"/>
  <c r="O105" i="75"/>
  <c r="N105" i="75"/>
  <c r="M105" i="75"/>
  <c r="L105" i="75"/>
  <c r="K105" i="75"/>
  <c r="J105" i="75"/>
  <c r="I105" i="75"/>
  <c r="H105" i="75"/>
  <c r="G105" i="75"/>
  <c r="F105" i="75"/>
  <c r="Z104" i="75"/>
  <c r="U102" i="75"/>
  <c r="T102" i="75"/>
  <c r="S102" i="75"/>
  <c r="R102" i="75"/>
  <c r="Q102" i="75"/>
  <c r="P102" i="75"/>
  <c r="O102" i="75"/>
  <c r="N102" i="75"/>
  <c r="M102" i="75"/>
  <c r="U101" i="75"/>
  <c r="T101" i="75"/>
  <c r="S101" i="75"/>
  <c r="R101" i="75"/>
  <c r="Q101" i="75"/>
  <c r="P101" i="75"/>
  <c r="O101" i="75"/>
  <c r="N101" i="75"/>
  <c r="M101" i="75"/>
  <c r="U100" i="75"/>
  <c r="T100" i="75"/>
  <c r="S100" i="75"/>
  <c r="R100" i="75"/>
  <c r="Q100" i="75"/>
  <c r="P100" i="75"/>
  <c r="O100" i="75"/>
  <c r="N100" i="75"/>
  <c r="M100" i="75"/>
  <c r="U92" i="75"/>
  <c r="U98" i="75" s="1"/>
  <c r="T92" i="75"/>
  <c r="S92" i="75"/>
  <c r="S96" i="75" s="1"/>
  <c r="R92" i="75"/>
  <c r="R94" i="75" s="1"/>
  <c r="Q92" i="75"/>
  <c r="Q96" i="75" s="1"/>
  <c r="P92" i="75"/>
  <c r="O92" i="75"/>
  <c r="N92" i="75"/>
  <c r="M92" i="75"/>
  <c r="M98" i="75" s="1"/>
  <c r="U85" i="75"/>
  <c r="U87" i="75" s="1"/>
  <c r="T85" i="75"/>
  <c r="S85" i="75"/>
  <c r="S89" i="75" s="1"/>
  <c r="R85" i="75"/>
  <c r="R87" i="75" s="1"/>
  <c r="Q85" i="75"/>
  <c r="P85" i="75"/>
  <c r="P87" i="75" s="1"/>
  <c r="O85" i="75"/>
  <c r="O89" i="75" s="1"/>
  <c r="N85" i="75"/>
  <c r="N89" i="75" s="1"/>
  <c r="M85" i="75"/>
  <c r="M87" i="75" s="1"/>
  <c r="U82" i="75"/>
  <c r="J160" i="77" s="1"/>
  <c r="T82" i="75"/>
  <c r="I160" i="77" s="1"/>
  <c r="S82" i="75"/>
  <c r="H160" i="77" s="1"/>
  <c r="R82" i="75"/>
  <c r="G160" i="77" s="1"/>
  <c r="Q82" i="75"/>
  <c r="F160" i="77" s="1"/>
  <c r="P82" i="75"/>
  <c r="E160" i="77" s="1"/>
  <c r="O82" i="75"/>
  <c r="D160" i="77" s="1"/>
  <c r="N82" i="75"/>
  <c r="C160" i="77" s="1"/>
  <c r="M82" i="75"/>
  <c r="B160" i="77" s="1"/>
  <c r="U81" i="75"/>
  <c r="J154" i="77" s="1"/>
  <c r="T81" i="75"/>
  <c r="I154" i="77" s="1"/>
  <c r="S81" i="75"/>
  <c r="H154" i="77" s="1"/>
  <c r="R81" i="75"/>
  <c r="G154" i="77" s="1"/>
  <c r="Q81" i="75"/>
  <c r="F154" i="77" s="1"/>
  <c r="P81" i="75"/>
  <c r="E154" i="77" s="1"/>
  <c r="O81" i="75"/>
  <c r="D154" i="77" s="1"/>
  <c r="N81" i="75"/>
  <c r="C154" i="77" s="1"/>
  <c r="M81" i="75"/>
  <c r="B154" i="77" s="1"/>
  <c r="U80" i="75"/>
  <c r="J148" i="77" s="1"/>
  <c r="T80" i="75"/>
  <c r="I148" i="77" s="1"/>
  <c r="S80" i="75"/>
  <c r="H148" i="77" s="1"/>
  <c r="R80" i="75"/>
  <c r="G148" i="77" s="1"/>
  <c r="Q80" i="75"/>
  <c r="F148" i="77" s="1"/>
  <c r="P80" i="75"/>
  <c r="E148" i="77" s="1"/>
  <c r="O80" i="75"/>
  <c r="D148" i="77" s="1"/>
  <c r="N80" i="75"/>
  <c r="C148" i="77" s="1"/>
  <c r="M80" i="75"/>
  <c r="B148" i="77" s="1"/>
  <c r="U75" i="75"/>
  <c r="T75" i="75"/>
  <c r="S75" i="75"/>
  <c r="R75" i="75"/>
  <c r="Q75" i="75"/>
  <c r="P75" i="75"/>
  <c r="O75" i="75"/>
  <c r="N75" i="75"/>
  <c r="M75" i="75"/>
  <c r="U73" i="75"/>
  <c r="T73" i="75"/>
  <c r="S73" i="75"/>
  <c r="R73" i="75"/>
  <c r="Q73" i="75"/>
  <c r="U70" i="75"/>
  <c r="T70" i="75"/>
  <c r="S70" i="75"/>
  <c r="R70" i="75"/>
  <c r="Q70" i="75"/>
  <c r="Z102" i="75" s="1"/>
  <c r="AB101" i="75" s="1"/>
  <c r="U67" i="75"/>
  <c r="T67" i="75"/>
  <c r="S67" i="75"/>
  <c r="R67" i="75"/>
  <c r="Q67" i="75"/>
  <c r="Z101" i="75" s="1"/>
  <c r="AB100" i="75" s="1"/>
  <c r="U64" i="75"/>
  <c r="U74" i="75" s="1"/>
  <c r="T64" i="75"/>
  <c r="T74" i="75" s="1"/>
  <c r="S64" i="75"/>
  <c r="R64" i="75"/>
  <c r="Q64" i="75"/>
  <c r="P64" i="75"/>
  <c r="P68" i="75" s="1"/>
  <c r="O64" i="75"/>
  <c r="N64" i="75"/>
  <c r="N71" i="75" s="1"/>
  <c r="M64" i="75"/>
  <c r="M74" i="75" s="1"/>
  <c r="U62" i="75"/>
  <c r="T62" i="75"/>
  <c r="S62" i="75"/>
  <c r="R62" i="75"/>
  <c r="Q62" i="75"/>
  <c r="U59" i="75"/>
  <c r="T59" i="75"/>
  <c r="S59" i="75"/>
  <c r="R59" i="75"/>
  <c r="Q59" i="75"/>
  <c r="L58" i="75"/>
  <c r="K58" i="75"/>
  <c r="J58" i="75"/>
  <c r="U56" i="75"/>
  <c r="T56" i="75"/>
  <c r="S56" i="75"/>
  <c r="R56" i="75"/>
  <c r="Q56" i="75"/>
  <c r="L55" i="75"/>
  <c r="K55" i="75"/>
  <c r="J55" i="75"/>
  <c r="U53" i="75"/>
  <c r="U63" i="75" s="1"/>
  <c r="T53" i="75"/>
  <c r="T60" i="75" s="1"/>
  <c r="S53" i="75"/>
  <c r="S63" i="75" s="1"/>
  <c r="R53" i="75"/>
  <c r="R63" i="75" s="1"/>
  <c r="Q53" i="75"/>
  <c r="Q63" i="75" s="1"/>
  <c r="P53" i="75"/>
  <c r="P63" i="75" s="1"/>
  <c r="O53" i="75"/>
  <c r="O63" i="75" s="1"/>
  <c r="N53" i="75"/>
  <c r="N57" i="75" s="1"/>
  <c r="M53" i="75"/>
  <c r="U44" i="75"/>
  <c r="T44" i="75"/>
  <c r="S44" i="75"/>
  <c r="R44" i="75"/>
  <c r="Q44" i="75"/>
  <c r="P44" i="75"/>
  <c r="O44" i="75"/>
  <c r="N44" i="75"/>
  <c r="M44" i="75"/>
  <c r="L44" i="75"/>
  <c r="K44" i="75"/>
  <c r="J44" i="75"/>
  <c r="I44" i="75"/>
  <c r="H44" i="75"/>
  <c r="G44" i="75"/>
  <c r="F44" i="75"/>
  <c r="U43" i="75"/>
  <c r="T43" i="75"/>
  <c r="S43" i="75"/>
  <c r="R43" i="75"/>
  <c r="Q43" i="75"/>
  <c r="P43" i="75"/>
  <c r="U41" i="75"/>
  <c r="T41" i="75"/>
  <c r="S41" i="75"/>
  <c r="R41" i="75"/>
  <c r="Q41" i="75"/>
  <c r="P41" i="75"/>
  <c r="O41" i="75"/>
  <c r="N41" i="75"/>
  <c r="M41" i="75"/>
  <c r="L41" i="75"/>
  <c r="K41" i="75"/>
  <c r="J41" i="75"/>
  <c r="U38" i="75"/>
  <c r="T38" i="75"/>
  <c r="S38" i="75"/>
  <c r="R38" i="75"/>
  <c r="Q38" i="75"/>
  <c r="P38" i="75"/>
  <c r="O38" i="75"/>
  <c r="N38" i="75"/>
  <c r="M38" i="75"/>
  <c r="L38" i="75"/>
  <c r="K38" i="75"/>
  <c r="J38" i="75"/>
  <c r="I38" i="75"/>
  <c r="H38" i="75"/>
  <c r="G38" i="75"/>
  <c r="F38" i="75"/>
  <c r="E38" i="75"/>
  <c r="D38" i="75"/>
  <c r="C38" i="75"/>
  <c r="B38" i="75"/>
  <c r="U35" i="75"/>
  <c r="T35" i="75"/>
  <c r="S35" i="75"/>
  <c r="R35" i="75"/>
  <c r="Q35" i="75"/>
  <c r="P35" i="75"/>
  <c r="O35" i="75"/>
  <c r="N35" i="75"/>
  <c r="M35" i="75"/>
  <c r="L35" i="75"/>
  <c r="K35" i="75"/>
  <c r="J35" i="75"/>
  <c r="I35" i="75"/>
  <c r="H35" i="75"/>
  <c r="G35" i="75"/>
  <c r="F35" i="75"/>
  <c r="E35" i="75"/>
  <c r="D35" i="75"/>
  <c r="C35" i="75"/>
  <c r="B35" i="75"/>
  <c r="U30" i="75"/>
  <c r="U105" i="75" s="1"/>
  <c r="S30" i="75"/>
  <c r="S105" i="75" s="1"/>
  <c r="U29" i="75"/>
  <c r="U31" i="75" s="1"/>
  <c r="T29" i="75"/>
  <c r="T31" i="75" s="1"/>
  <c r="T32" i="75" s="1"/>
  <c r="S29" i="75"/>
  <c r="S31" i="75" s="1"/>
  <c r="R29" i="75"/>
  <c r="Q29" i="75"/>
  <c r="Q31" i="75" s="1"/>
  <c r="Q32" i="75" s="1"/>
  <c r="P29" i="75"/>
  <c r="P31" i="75" s="1"/>
  <c r="P32" i="75" s="1"/>
  <c r="O29" i="75"/>
  <c r="N29" i="75"/>
  <c r="M29" i="75"/>
  <c r="L29" i="75"/>
  <c r="K29" i="75"/>
  <c r="K31" i="75" s="1"/>
  <c r="K32" i="75" s="1"/>
  <c r="J29" i="75"/>
  <c r="J31" i="75" s="1"/>
  <c r="J32" i="75" s="1"/>
  <c r="I29" i="75"/>
  <c r="H29" i="75"/>
  <c r="G29" i="75"/>
  <c r="F29" i="75"/>
  <c r="F31" i="75" s="1"/>
  <c r="F32" i="75" s="1"/>
  <c r="E29" i="75"/>
  <c r="E31" i="75" s="1"/>
  <c r="E32" i="75" s="1"/>
  <c r="D29" i="75"/>
  <c r="D31" i="75" s="1"/>
  <c r="D32" i="75" s="1"/>
  <c r="C29" i="75"/>
  <c r="C31" i="75" s="1"/>
  <c r="C32" i="75" s="1"/>
  <c r="B29" i="75"/>
  <c r="B31" i="75" s="1"/>
  <c r="B32" i="75" s="1"/>
  <c r="U26" i="75"/>
  <c r="T26" i="75"/>
  <c r="S26" i="75"/>
  <c r="R26" i="75"/>
  <c r="Q26" i="75"/>
  <c r="P26" i="75"/>
  <c r="O26" i="75"/>
  <c r="O27" i="75" s="1"/>
  <c r="N26" i="75"/>
  <c r="N27" i="75" s="1"/>
  <c r="M26" i="75"/>
  <c r="M27" i="75" s="1"/>
  <c r="L26" i="75"/>
  <c r="L27" i="75" s="1"/>
  <c r="K26" i="75"/>
  <c r="K27" i="75" s="1"/>
  <c r="J26" i="75"/>
  <c r="J27" i="75" s="1"/>
  <c r="I26" i="75"/>
  <c r="H26" i="75"/>
  <c r="G26" i="75"/>
  <c r="F26" i="75"/>
  <c r="E26" i="75"/>
  <c r="D26" i="75"/>
  <c r="C26" i="75"/>
  <c r="B26" i="75"/>
  <c r="U24" i="75"/>
  <c r="T24" i="75"/>
  <c r="S24" i="75"/>
  <c r="R24" i="75"/>
  <c r="Q24" i="75"/>
  <c r="P24" i="75"/>
  <c r="O24" i="75"/>
  <c r="N24" i="75"/>
  <c r="M24" i="75"/>
  <c r="L24" i="75"/>
  <c r="K24" i="75"/>
  <c r="J24" i="75"/>
  <c r="I24" i="75"/>
  <c r="H24" i="75"/>
  <c r="G24" i="75"/>
  <c r="F24" i="75"/>
  <c r="E24" i="75"/>
  <c r="D24" i="75"/>
  <c r="C24" i="75"/>
  <c r="B24" i="75"/>
  <c r="O15" i="75"/>
  <c r="N15" i="75"/>
  <c r="M15" i="75"/>
  <c r="L15" i="75"/>
  <c r="K15" i="75"/>
  <c r="J15" i="75"/>
  <c r="U14" i="75"/>
  <c r="T14" i="75"/>
  <c r="T15" i="75" s="1"/>
  <c r="S14" i="75"/>
  <c r="R14" i="75"/>
  <c r="Q14" i="75"/>
  <c r="Q15" i="75" s="1"/>
  <c r="P14" i="75"/>
  <c r="P15" i="75" s="1"/>
  <c r="I14" i="75"/>
  <c r="I15" i="75" s="1"/>
  <c r="H14" i="75"/>
  <c r="H15" i="75" s="1"/>
  <c r="G14" i="75"/>
  <c r="G15" i="75" s="1"/>
  <c r="F14" i="75"/>
  <c r="F15" i="75" s="1"/>
  <c r="E14" i="75"/>
  <c r="D14" i="75"/>
  <c r="C14" i="75"/>
  <c r="C15" i="75" s="1"/>
  <c r="B14" i="75"/>
  <c r="B15" i="75" s="1"/>
  <c r="U12" i="75"/>
  <c r="T12" i="75"/>
  <c r="S12" i="75"/>
  <c r="R12" i="75"/>
  <c r="Q12" i="75"/>
  <c r="P12" i="75"/>
  <c r="O12" i="75"/>
  <c r="N12" i="75"/>
  <c r="M12" i="75"/>
  <c r="L12" i="75"/>
  <c r="K12" i="75"/>
  <c r="J12" i="75"/>
  <c r="I12" i="75"/>
  <c r="H12" i="75"/>
  <c r="G12" i="75"/>
  <c r="F12" i="75"/>
  <c r="E12" i="75"/>
  <c r="D12" i="75"/>
  <c r="C12" i="75"/>
  <c r="B12" i="75"/>
  <c r="U10" i="75"/>
  <c r="T10" i="75"/>
  <c r="S10" i="75"/>
  <c r="R10" i="75"/>
  <c r="Q10" i="75"/>
  <c r="P10" i="75"/>
  <c r="O10" i="75"/>
  <c r="O11" i="75" s="1"/>
  <c r="N10" i="75"/>
  <c r="M10" i="75"/>
  <c r="L10" i="75"/>
  <c r="K10" i="75"/>
  <c r="J10" i="75"/>
  <c r="U8" i="75"/>
  <c r="T8" i="75"/>
  <c r="S8" i="75"/>
  <c r="R8" i="75"/>
  <c r="Q8" i="75"/>
  <c r="P8" i="75"/>
  <c r="O8" i="75"/>
  <c r="N8" i="75"/>
  <c r="M8" i="75"/>
  <c r="L8" i="75"/>
  <c r="K8" i="75"/>
  <c r="J8" i="75"/>
  <c r="U7" i="75"/>
  <c r="U19" i="75" s="1"/>
  <c r="T7" i="75"/>
  <c r="T23" i="75" s="1"/>
  <c r="S7" i="75"/>
  <c r="S19" i="75" s="1"/>
  <c r="R7" i="75"/>
  <c r="R21" i="75" s="1"/>
  <c r="Q7" i="75"/>
  <c r="P7" i="75"/>
  <c r="P19" i="75" s="1"/>
  <c r="O7" i="75"/>
  <c r="O21" i="75" s="1"/>
  <c r="N7" i="75"/>
  <c r="N23" i="75" s="1"/>
  <c r="M7" i="75"/>
  <c r="M19" i="75" s="1"/>
  <c r="L7" i="75"/>
  <c r="L19" i="75" s="1"/>
  <c r="K7" i="75"/>
  <c r="J7" i="75"/>
  <c r="J21" i="75" s="1"/>
  <c r="U4" i="75"/>
  <c r="T4" i="75"/>
  <c r="S4" i="75"/>
  <c r="R4" i="75"/>
  <c r="Q4" i="75"/>
  <c r="P4" i="75"/>
  <c r="E107" i="77" s="1"/>
  <c r="O4" i="75"/>
  <c r="D107" i="77" s="1"/>
  <c r="N4" i="75"/>
  <c r="C107" i="77" s="1"/>
  <c r="M4" i="75"/>
  <c r="L4" i="75"/>
  <c r="K4" i="75"/>
  <c r="J4" i="75"/>
  <c r="I4" i="75"/>
  <c r="H4" i="75"/>
  <c r="G4" i="75"/>
  <c r="F4" i="75"/>
  <c r="F95" i="74"/>
  <c r="E95" i="74"/>
  <c r="D95" i="74"/>
  <c r="C95" i="74"/>
  <c r="B95" i="74"/>
  <c r="F85" i="74"/>
  <c r="E85" i="74"/>
  <c r="D85" i="74"/>
  <c r="C85" i="74"/>
  <c r="B85" i="74"/>
  <c r="F84" i="74"/>
  <c r="E84" i="74"/>
  <c r="D84" i="74"/>
  <c r="C84" i="74"/>
  <c r="B84" i="74"/>
  <c r="F83" i="74"/>
  <c r="E83" i="74"/>
  <c r="D83" i="74"/>
  <c r="C83" i="74"/>
  <c r="B83" i="74"/>
  <c r="F73" i="74"/>
  <c r="B73" i="74"/>
  <c r="F72" i="74"/>
  <c r="B72" i="74"/>
  <c r="H60" i="74"/>
  <c r="G46" i="74"/>
  <c r="G51" i="74" s="1"/>
  <c r="F46" i="74"/>
  <c r="F52" i="74" s="1"/>
  <c r="E46" i="74"/>
  <c r="E52" i="74" s="1"/>
  <c r="D46" i="74"/>
  <c r="D52" i="74" s="1"/>
  <c r="C46" i="74"/>
  <c r="C53" i="74" s="1"/>
  <c r="B46" i="74"/>
  <c r="B50" i="74" s="1"/>
  <c r="I33" i="74"/>
  <c r="G33" i="74"/>
  <c r="F33" i="74"/>
  <c r="E33" i="74"/>
  <c r="D33" i="74"/>
  <c r="C33" i="74"/>
  <c r="B33" i="74"/>
  <c r="I32" i="74"/>
  <c r="H32" i="74"/>
  <c r="G32" i="74"/>
  <c r="F32" i="74"/>
  <c r="E32" i="74"/>
  <c r="D32" i="74"/>
  <c r="C32" i="74"/>
  <c r="B32" i="74"/>
  <c r="C33" i="73"/>
  <c r="C31" i="73"/>
  <c r="E24" i="73"/>
  <c r="C23" i="73"/>
  <c r="C14" i="73"/>
  <c r="H11" i="73"/>
  <c r="C11" i="73"/>
  <c r="E9" i="73"/>
  <c r="C9" i="73"/>
  <c r="D7" i="73"/>
  <c r="D14" i="73" s="1"/>
  <c r="D16" i="73" s="1"/>
  <c r="C4" i="73"/>
  <c r="P290" i="72"/>
  <c r="O290" i="72"/>
  <c r="G281" i="72"/>
  <c r="G280" i="72"/>
  <c r="G279" i="72"/>
  <c r="G276" i="72"/>
  <c r="G275" i="72"/>
  <c r="G250" i="72"/>
  <c r="O248" i="72"/>
  <c r="G248" i="72"/>
  <c r="F248" i="72"/>
  <c r="G247" i="72"/>
  <c r="F242" i="72"/>
  <c r="E242" i="72"/>
  <c r="D242" i="72"/>
  <c r="F241" i="72"/>
  <c r="E241" i="72"/>
  <c r="F235" i="72"/>
  <c r="E235" i="72"/>
  <c r="D235" i="72"/>
  <c r="F210" i="72"/>
  <c r="F221" i="72" s="1"/>
  <c r="F227" i="72" s="1"/>
  <c r="F230" i="72" s="1"/>
  <c r="E210" i="72"/>
  <c r="E212" i="72" s="1"/>
  <c r="D210" i="72"/>
  <c r="F202" i="72"/>
  <c r="E202" i="72"/>
  <c r="R199" i="72"/>
  <c r="Q199" i="72"/>
  <c r="P199" i="72"/>
  <c r="O199" i="72"/>
  <c r="N199" i="72"/>
  <c r="M199" i="72"/>
  <c r="K199" i="72"/>
  <c r="J199" i="72"/>
  <c r="R198" i="72"/>
  <c r="Q198" i="72"/>
  <c r="P198" i="72"/>
  <c r="O198" i="72"/>
  <c r="G176" i="72"/>
  <c r="R173" i="72"/>
  <c r="Q173" i="72"/>
  <c r="P173" i="72"/>
  <c r="O173" i="72"/>
  <c r="N173" i="72"/>
  <c r="M173" i="72"/>
  <c r="L173" i="72"/>
  <c r="K173" i="72"/>
  <c r="J173" i="72"/>
  <c r="G173" i="72"/>
  <c r="F173" i="72"/>
  <c r="E173" i="72"/>
  <c r="D173" i="72"/>
  <c r="R172" i="72"/>
  <c r="Q172" i="72"/>
  <c r="P172" i="72"/>
  <c r="O172" i="72"/>
  <c r="G172" i="72"/>
  <c r="F172" i="72"/>
  <c r="E172" i="72"/>
  <c r="R167" i="72"/>
  <c r="Q167" i="72"/>
  <c r="P167" i="72"/>
  <c r="O167" i="72"/>
  <c r="N167" i="72"/>
  <c r="M167" i="72"/>
  <c r="K167" i="72"/>
  <c r="J167" i="72"/>
  <c r="G167" i="72"/>
  <c r="F167" i="72"/>
  <c r="L166" i="72"/>
  <c r="G166" i="72"/>
  <c r="L165" i="72"/>
  <c r="E165" i="72"/>
  <c r="F166" i="72" s="1"/>
  <c r="D165" i="72"/>
  <c r="D54" i="72" s="1"/>
  <c r="R164" i="72"/>
  <c r="H63" i="74" s="1"/>
  <c r="Q164" i="72"/>
  <c r="G63" i="74" s="1"/>
  <c r="P164" i="72"/>
  <c r="F63" i="74" s="1"/>
  <c r="O164" i="72"/>
  <c r="E63" i="74" s="1"/>
  <c r="N164" i="72"/>
  <c r="D63" i="74" s="1"/>
  <c r="M164" i="72"/>
  <c r="C63" i="74" s="1"/>
  <c r="K164" i="72"/>
  <c r="B63" i="74" s="1"/>
  <c r="J164" i="72"/>
  <c r="R159" i="72"/>
  <c r="H62" i="74" s="1"/>
  <c r="Q159" i="72"/>
  <c r="G62" i="74" s="1"/>
  <c r="P159" i="72"/>
  <c r="F62" i="74" s="1"/>
  <c r="O159" i="72"/>
  <c r="E62" i="74" s="1"/>
  <c r="N159" i="72"/>
  <c r="D62" i="74" s="1"/>
  <c r="M159" i="72"/>
  <c r="C62" i="74" s="1"/>
  <c r="K159" i="72"/>
  <c r="B62" i="74" s="1"/>
  <c r="J159" i="72"/>
  <c r="G159" i="72"/>
  <c r="F159" i="72"/>
  <c r="E159" i="72"/>
  <c r="D159" i="72"/>
  <c r="R157" i="72"/>
  <c r="H61" i="74" s="1"/>
  <c r="Q157" i="72"/>
  <c r="G61" i="74" s="1"/>
  <c r="P157" i="72"/>
  <c r="F61" i="74" s="1"/>
  <c r="O157" i="72"/>
  <c r="E61" i="74" s="1"/>
  <c r="N157" i="72"/>
  <c r="D61" i="74" s="1"/>
  <c r="M157" i="72"/>
  <c r="C61" i="74" s="1"/>
  <c r="K157" i="72"/>
  <c r="B61" i="74" s="1"/>
  <c r="J157" i="72"/>
  <c r="G157" i="72"/>
  <c r="F157" i="72"/>
  <c r="E157" i="72"/>
  <c r="D157" i="72"/>
  <c r="R155" i="72"/>
  <c r="Q155" i="72"/>
  <c r="G60" i="74" s="1"/>
  <c r="P155" i="72"/>
  <c r="F60" i="74" s="1"/>
  <c r="O155" i="72"/>
  <c r="E60" i="74" s="1"/>
  <c r="N155" i="72"/>
  <c r="D60" i="74" s="1"/>
  <c r="M155" i="72"/>
  <c r="C60" i="74" s="1"/>
  <c r="K155" i="72"/>
  <c r="B60" i="74" s="1"/>
  <c r="J155" i="72"/>
  <c r="G155" i="72"/>
  <c r="F155" i="72"/>
  <c r="E155" i="72"/>
  <c r="D155" i="72"/>
  <c r="R152" i="72"/>
  <c r="H59" i="74" s="1"/>
  <c r="Q152" i="72"/>
  <c r="G59" i="74" s="1"/>
  <c r="P152" i="72"/>
  <c r="F59" i="74" s="1"/>
  <c r="O152" i="72"/>
  <c r="E59" i="74" s="1"/>
  <c r="N152" i="72"/>
  <c r="D59" i="74" s="1"/>
  <c r="M152" i="72"/>
  <c r="C59" i="74" s="1"/>
  <c r="K152" i="72"/>
  <c r="B59" i="74" s="1"/>
  <c r="J152" i="72"/>
  <c r="R151" i="72"/>
  <c r="Q151" i="72"/>
  <c r="P151" i="72"/>
  <c r="O151" i="72"/>
  <c r="L151" i="72"/>
  <c r="G151" i="72"/>
  <c r="G150" i="72"/>
  <c r="G152" i="72" s="1"/>
  <c r="F150" i="72"/>
  <c r="F152" i="72" s="1"/>
  <c r="E150" i="72"/>
  <c r="E152" i="72" s="1"/>
  <c r="D150" i="72"/>
  <c r="R148" i="72"/>
  <c r="Q148" i="72"/>
  <c r="P148" i="72"/>
  <c r="O148" i="72"/>
  <c r="N148" i="72"/>
  <c r="M148" i="72"/>
  <c r="K148" i="72"/>
  <c r="J148" i="72"/>
  <c r="L147" i="72"/>
  <c r="R146" i="72"/>
  <c r="Q146" i="72"/>
  <c r="P146" i="72"/>
  <c r="N146" i="72"/>
  <c r="M146" i="72"/>
  <c r="K146" i="72"/>
  <c r="L145" i="72"/>
  <c r="R144" i="72"/>
  <c r="Q144" i="72"/>
  <c r="P144" i="72"/>
  <c r="O144" i="72"/>
  <c r="N144" i="72"/>
  <c r="M144" i="72"/>
  <c r="K144" i="72"/>
  <c r="J144" i="72"/>
  <c r="L143" i="72"/>
  <c r="R142" i="72"/>
  <c r="Q142" i="72"/>
  <c r="P142" i="72"/>
  <c r="O142" i="72"/>
  <c r="N142" i="72"/>
  <c r="M142" i="72"/>
  <c r="K142" i="72"/>
  <c r="J142" i="72"/>
  <c r="L141" i="72"/>
  <c r="R140" i="72"/>
  <c r="Q140" i="72"/>
  <c r="P140" i="72"/>
  <c r="O140" i="72"/>
  <c r="N140" i="72"/>
  <c r="M140" i="72"/>
  <c r="K140" i="72"/>
  <c r="J140" i="72"/>
  <c r="L139" i="72"/>
  <c r="R138" i="72"/>
  <c r="Q138" i="72"/>
  <c r="P138" i="72"/>
  <c r="O138" i="72"/>
  <c r="N138" i="72"/>
  <c r="M138" i="72"/>
  <c r="K138" i="72"/>
  <c r="J138" i="72"/>
  <c r="L137" i="72"/>
  <c r="R136" i="72"/>
  <c r="Q136" i="72"/>
  <c r="P136" i="72"/>
  <c r="O136" i="72"/>
  <c r="N136" i="72"/>
  <c r="M136" i="72"/>
  <c r="K136" i="72"/>
  <c r="J136" i="72"/>
  <c r="L135" i="72"/>
  <c r="L150" i="72" s="1"/>
  <c r="L163" i="72" s="1"/>
  <c r="L180" i="72" s="1"/>
  <c r="L192" i="72" s="1"/>
  <c r="L194" i="72" s="1"/>
  <c r="Q133" i="72"/>
  <c r="P133" i="72"/>
  <c r="O133" i="72"/>
  <c r="N133" i="72"/>
  <c r="M133" i="72"/>
  <c r="K133" i="72"/>
  <c r="J133" i="72"/>
  <c r="R132" i="72"/>
  <c r="R133" i="72" s="1"/>
  <c r="L132" i="72"/>
  <c r="R131" i="72"/>
  <c r="Q131" i="72"/>
  <c r="P131" i="72"/>
  <c r="O131" i="72"/>
  <c r="N131" i="72"/>
  <c r="M131" i="72"/>
  <c r="K131" i="72"/>
  <c r="J131" i="72"/>
  <c r="L130" i="72"/>
  <c r="R129" i="72"/>
  <c r="Q129" i="72"/>
  <c r="P129" i="72"/>
  <c r="O129" i="72"/>
  <c r="N129" i="72"/>
  <c r="M129" i="72"/>
  <c r="K129" i="72"/>
  <c r="J129" i="72"/>
  <c r="L128" i="72"/>
  <c r="R127" i="72"/>
  <c r="Q127" i="72"/>
  <c r="P127" i="72"/>
  <c r="O127" i="72"/>
  <c r="F127" i="72"/>
  <c r="E127" i="72"/>
  <c r="L120" i="72"/>
  <c r="F120" i="72"/>
  <c r="Q111" i="72"/>
  <c r="Q113" i="72" s="1"/>
  <c r="F111" i="72"/>
  <c r="F113" i="72" s="1"/>
  <c r="M109" i="72"/>
  <c r="H109" i="72"/>
  <c r="H108" i="72"/>
  <c r="H107" i="72"/>
  <c r="Q104" i="72"/>
  <c r="F104" i="72"/>
  <c r="S102" i="72"/>
  <c r="S111" i="72" s="1"/>
  <c r="S113" i="72" s="1"/>
  <c r="P102" i="72"/>
  <c r="O102" i="72"/>
  <c r="G102" i="72"/>
  <c r="G104" i="72" s="1"/>
  <c r="R100" i="72"/>
  <c r="I69" i="74" s="1"/>
  <c r="Q100" i="72"/>
  <c r="H69" i="74" s="1"/>
  <c r="P100" i="72"/>
  <c r="G69" i="74" s="1"/>
  <c r="O100" i="72"/>
  <c r="F69" i="74" s="1"/>
  <c r="N100" i="72"/>
  <c r="E69" i="74" s="1"/>
  <c r="M100" i="72"/>
  <c r="D69" i="74" s="1"/>
  <c r="L100" i="72"/>
  <c r="K100" i="72"/>
  <c r="C69" i="74" s="1"/>
  <c r="J100" i="72"/>
  <c r="B69" i="74" s="1"/>
  <c r="G100" i="72"/>
  <c r="F100" i="72"/>
  <c r="E100" i="72"/>
  <c r="D100" i="72"/>
  <c r="S99" i="72"/>
  <c r="R99" i="72"/>
  <c r="Q99" i="72"/>
  <c r="P99" i="72"/>
  <c r="O99" i="72"/>
  <c r="G99" i="72"/>
  <c r="F99" i="72"/>
  <c r="E99" i="72"/>
  <c r="H98" i="72"/>
  <c r="H99" i="72" s="1"/>
  <c r="S97" i="72"/>
  <c r="R97" i="72"/>
  <c r="Q97" i="72"/>
  <c r="P97" i="72"/>
  <c r="O97" i="72"/>
  <c r="G97" i="72"/>
  <c r="F97" i="72"/>
  <c r="E97" i="72"/>
  <c r="H96" i="72"/>
  <c r="H97" i="72" s="1"/>
  <c r="O83" i="72"/>
  <c r="M83" i="72"/>
  <c r="K83" i="72"/>
  <c r="J83" i="72"/>
  <c r="G83" i="72"/>
  <c r="O79" i="72"/>
  <c r="J79" i="72"/>
  <c r="Q78" i="72"/>
  <c r="C24" i="73" s="1"/>
  <c r="P78" i="72"/>
  <c r="O78" i="72"/>
  <c r="G78" i="72"/>
  <c r="F78" i="72"/>
  <c r="E78" i="72"/>
  <c r="R77" i="72"/>
  <c r="N77" i="72"/>
  <c r="O72" i="72"/>
  <c r="J72" i="72"/>
  <c r="Q71" i="72"/>
  <c r="C15" i="73" s="1"/>
  <c r="P71" i="72"/>
  <c r="O71" i="72"/>
  <c r="G71" i="72"/>
  <c r="F71" i="72"/>
  <c r="E71" i="72"/>
  <c r="R70" i="72"/>
  <c r="R18" i="72" s="1"/>
  <c r="R20" i="72" s="1"/>
  <c r="N70" i="72"/>
  <c r="O68" i="72"/>
  <c r="J68" i="72"/>
  <c r="Q67" i="72"/>
  <c r="C12" i="73" s="1"/>
  <c r="P67" i="72"/>
  <c r="O67" i="72"/>
  <c r="G67" i="72"/>
  <c r="F67" i="72"/>
  <c r="E67" i="72"/>
  <c r="R66" i="72"/>
  <c r="N66" i="72"/>
  <c r="O64" i="72"/>
  <c r="Q63" i="72"/>
  <c r="Q79" i="72" s="1"/>
  <c r="P63" i="72"/>
  <c r="P72" i="72" s="1"/>
  <c r="M63" i="72"/>
  <c r="M79" i="72" s="1"/>
  <c r="L63" i="72"/>
  <c r="L72" i="72" s="1"/>
  <c r="K63" i="72"/>
  <c r="K68" i="72" s="1"/>
  <c r="G63" i="72"/>
  <c r="G68" i="72" s="1"/>
  <c r="F63" i="72"/>
  <c r="E63" i="72"/>
  <c r="E79" i="72" s="1"/>
  <c r="D63" i="72"/>
  <c r="R60" i="72"/>
  <c r="Q60" i="72"/>
  <c r="P60" i="72"/>
  <c r="O60" i="72"/>
  <c r="M60" i="72"/>
  <c r="K60" i="72"/>
  <c r="J60" i="72"/>
  <c r="G60" i="72"/>
  <c r="R59" i="72"/>
  <c r="Q59" i="72"/>
  <c r="P59" i="72"/>
  <c r="O59" i="72"/>
  <c r="G59" i="72"/>
  <c r="H58" i="72"/>
  <c r="H59" i="72" s="1"/>
  <c r="R56" i="72"/>
  <c r="Q56" i="72"/>
  <c r="P56" i="72"/>
  <c r="O56" i="72"/>
  <c r="M56" i="72"/>
  <c r="K56" i="72"/>
  <c r="J56" i="72"/>
  <c r="G56" i="72"/>
  <c r="Q55" i="72"/>
  <c r="P55" i="72"/>
  <c r="O55" i="72"/>
  <c r="N54" i="72"/>
  <c r="R55" i="72" s="1"/>
  <c r="H54" i="72"/>
  <c r="H55" i="72" s="1"/>
  <c r="F54" i="72"/>
  <c r="G55" i="72" s="1"/>
  <c r="F45" i="72"/>
  <c r="E45" i="72"/>
  <c r="D45" i="72"/>
  <c r="F42" i="72"/>
  <c r="E42" i="72"/>
  <c r="D42" i="72"/>
  <c r="F39" i="72"/>
  <c r="E39" i="72"/>
  <c r="D39" i="72"/>
  <c r="H32" i="72"/>
  <c r="H30" i="72"/>
  <c r="F30" i="72"/>
  <c r="E30" i="72"/>
  <c r="D30" i="72"/>
  <c r="Q28" i="72"/>
  <c r="C10" i="73" s="1"/>
  <c r="P28" i="72"/>
  <c r="O28" i="72"/>
  <c r="N27" i="72"/>
  <c r="S27" i="72" s="1"/>
  <c r="T27" i="72" s="1"/>
  <c r="T28" i="72" s="1"/>
  <c r="H27" i="72"/>
  <c r="H28" i="72" s="1"/>
  <c r="F27" i="72"/>
  <c r="E27" i="72"/>
  <c r="D27" i="72"/>
  <c r="F24" i="72"/>
  <c r="E24" i="72"/>
  <c r="F22" i="72"/>
  <c r="E22" i="72"/>
  <c r="F19" i="72"/>
  <c r="E19" i="72"/>
  <c r="Q18" i="72"/>
  <c r="C7" i="73" s="1"/>
  <c r="C36" i="73" s="1"/>
  <c r="P18" i="72"/>
  <c r="P6" i="72" s="1"/>
  <c r="F16" i="72"/>
  <c r="E16" i="72"/>
  <c r="F14" i="72"/>
  <c r="E14" i="72"/>
  <c r="L11" i="72"/>
  <c r="F11" i="72"/>
  <c r="E11" i="72"/>
  <c r="D11" i="72"/>
  <c r="F7" i="72"/>
  <c r="E7" i="72"/>
  <c r="O6" i="72"/>
  <c r="O85" i="72" s="1"/>
  <c r="R4" i="72"/>
  <c r="Q4" i="72"/>
  <c r="C5" i="73" s="1"/>
  <c r="P4" i="72"/>
  <c r="O4" i="72"/>
  <c r="L3" i="72"/>
  <c r="H3" i="72"/>
  <c r="F3" i="72"/>
  <c r="E3" i="72"/>
  <c r="D3" i="72"/>
  <c r="J11" i="75" l="1"/>
  <c r="S65" i="75"/>
  <c r="AF110" i="62"/>
  <c r="AG127" i="62"/>
  <c r="I166" i="62"/>
  <c r="AH172" i="62"/>
  <c r="D47" i="72"/>
  <c r="L11" i="75"/>
  <c r="AH86" i="62"/>
  <c r="Q105" i="70"/>
  <c r="AE80" i="78"/>
  <c r="AI95" i="78"/>
  <c r="AE82" i="78"/>
  <c r="AI97" i="78"/>
  <c r="D32" i="72"/>
  <c r="D34" i="72" s="1"/>
  <c r="AF319" i="37"/>
  <c r="AG98" i="62"/>
  <c r="P11" i="75"/>
  <c r="AI86" i="62"/>
  <c r="R104" i="62"/>
  <c r="AI116" i="62"/>
  <c r="AH103" i="62"/>
  <c r="AH104" i="62" s="1"/>
  <c r="X104" i="62"/>
  <c r="D104" i="62"/>
  <c r="G153" i="77"/>
  <c r="O18" i="72"/>
  <c r="O86" i="72" s="1"/>
  <c r="W49" i="70"/>
  <c r="W50" i="70" s="1"/>
  <c r="I89" i="9"/>
  <c r="I79" i="9"/>
  <c r="D117" i="62"/>
  <c r="AB122" i="62"/>
  <c r="D78" i="61"/>
  <c r="Z89" i="9"/>
  <c r="D78" i="55"/>
  <c r="D81" i="55" s="1"/>
  <c r="G109" i="62"/>
  <c r="R12" i="61"/>
  <c r="R14" i="61" s="1"/>
  <c r="R17" i="61" s="1"/>
  <c r="G140" i="61"/>
  <c r="G142" i="61" s="1"/>
  <c r="H141" i="61" s="1"/>
  <c r="D111" i="62"/>
  <c r="W116" i="62"/>
  <c r="B154" i="76"/>
  <c r="M98" i="16"/>
  <c r="B12" i="12"/>
  <c r="C154" i="76"/>
  <c r="B58" i="30"/>
  <c r="E78" i="61"/>
  <c r="E102" i="61" s="1"/>
  <c r="F122" i="62"/>
  <c r="X31" i="70"/>
  <c r="F116" i="62"/>
  <c r="U11" i="75"/>
  <c r="N160" i="15"/>
  <c r="S27" i="70"/>
  <c r="BJ165" i="41"/>
  <c r="P13" i="55"/>
  <c r="X10" i="62"/>
  <c r="D44" i="72"/>
  <c r="C36" i="74"/>
  <c r="U32" i="75"/>
  <c r="AD104" i="62"/>
  <c r="AF122" i="62"/>
  <c r="M92" i="55"/>
  <c r="AH126" i="62"/>
  <c r="AC319" i="37"/>
  <c r="Q31" i="55"/>
  <c r="E46" i="72"/>
  <c r="F106" i="76"/>
  <c r="Y85" i="62"/>
  <c r="M160" i="15"/>
  <c r="I29" i="18"/>
  <c r="K11" i="75"/>
  <c r="D15" i="76"/>
  <c r="F32" i="76"/>
  <c r="S78" i="55"/>
  <c r="S81" i="55" s="1"/>
  <c r="P78" i="61"/>
  <c r="U117" i="62"/>
  <c r="AK116" i="62"/>
  <c r="Q6" i="72"/>
  <c r="C6" i="73" s="1"/>
  <c r="C28" i="73" s="1"/>
  <c r="Q27" i="75"/>
  <c r="N74" i="75"/>
  <c r="X171" i="70"/>
  <c r="X157" i="70"/>
  <c r="X158" i="70" s="1"/>
  <c r="R30" i="55"/>
  <c r="AA57" i="58"/>
  <c r="AA58" i="58" s="1"/>
  <c r="P61" i="58"/>
  <c r="AD61" i="58"/>
  <c r="Y65" i="62"/>
  <c r="P52" i="15"/>
  <c r="N52" i="15"/>
  <c r="Y89" i="9"/>
  <c r="X114" i="9"/>
  <c r="AC57" i="58"/>
  <c r="AC58" i="58" s="1"/>
  <c r="Y115" i="62"/>
  <c r="Y116" i="62" s="1"/>
  <c r="C25" i="9"/>
  <c r="N6" i="11"/>
  <c r="N8" i="11" s="1"/>
  <c r="O6" i="11" s="1"/>
  <c r="E36" i="74"/>
  <c r="I149" i="77"/>
  <c r="L31" i="70"/>
  <c r="V19" i="62"/>
  <c r="R26" i="15"/>
  <c r="E27" i="75"/>
  <c r="G88" i="70"/>
  <c r="C25" i="73"/>
  <c r="L109" i="75"/>
  <c r="S100" i="72"/>
  <c r="I27" i="75"/>
  <c r="D63" i="76"/>
  <c r="M31" i="70"/>
  <c r="H107" i="55"/>
  <c r="F140" i="61"/>
  <c r="X148" i="61"/>
  <c r="X150" i="61" s="1"/>
  <c r="X164" i="61" s="1"/>
  <c r="X165" i="61" s="1"/>
  <c r="B140" i="61"/>
  <c r="B141" i="61" s="1"/>
  <c r="AC68" i="15"/>
  <c r="G65" i="62"/>
  <c r="Y99" i="70"/>
  <c r="R157" i="70"/>
  <c r="R160" i="70" s="1"/>
  <c r="C299" i="70"/>
  <c r="Q299" i="70"/>
  <c r="F78" i="61"/>
  <c r="F148" i="61"/>
  <c r="F150" i="61" s="1"/>
  <c r="F164" i="61" s="1"/>
  <c r="F165" i="61" s="1"/>
  <c r="D23" i="62"/>
  <c r="J61" i="58"/>
  <c r="Z50" i="61"/>
  <c r="AE122" i="62"/>
  <c r="M190" i="13"/>
  <c r="AE319" i="37"/>
  <c r="AU231" i="37"/>
  <c r="BW161" i="37"/>
  <c r="R176" i="37"/>
  <c r="R177" i="37" s="1"/>
  <c r="BS124" i="37"/>
  <c r="BW122" i="37"/>
  <c r="BS234" i="37"/>
  <c r="BW169" i="37"/>
  <c r="AU234" i="37"/>
  <c r="BW170" i="37"/>
  <c r="BS165" i="37"/>
  <c r="BW252" i="37"/>
  <c r="BS231" i="37"/>
  <c r="BW160" i="37"/>
  <c r="AU233" i="37"/>
  <c r="S29" i="66" s="1"/>
  <c r="BW167" i="37"/>
  <c r="BW201" i="37"/>
  <c r="BW205" i="37"/>
  <c r="BW202" i="37"/>
  <c r="BU254" i="37"/>
  <c r="AB11" i="37"/>
  <c r="BR257" i="37"/>
  <c r="I340" i="37"/>
  <c r="T88" i="70"/>
  <c r="T186" i="70"/>
  <c r="R27" i="75"/>
  <c r="G277" i="72"/>
  <c r="G283" i="72" s="1"/>
  <c r="F35" i="76"/>
  <c r="K31" i="70"/>
  <c r="R31" i="55"/>
  <c r="I77" i="16"/>
  <c r="I176" i="16"/>
  <c r="AF77" i="61"/>
  <c r="T19" i="62"/>
  <c r="T20" i="62" s="1"/>
  <c r="Z104" i="62"/>
  <c r="L52" i="15"/>
  <c r="B55" i="30"/>
  <c r="C23" i="62"/>
  <c r="N189" i="13"/>
  <c r="F92" i="9"/>
  <c r="N79" i="16"/>
  <c r="AE78" i="61"/>
  <c r="H140" i="15"/>
  <c r="Q86" i="9"/>
  <c r="D299" i="70"/>
  <c r="O98" i="16"/>
  <c r="AD127" i="62"/>
  <c r="K70" i="15"/>
  <c r="J85" i="9"/>
  <c r="C12" i="12"/>
  <c r="AK18" i="70"/>
  <c r="R299" i="70"/>
  <c r="O9" i="75"/>
  <c r="J155" i="77"/>
  <c r="Q65" i="55"/>
  <c r="B274" i="55"/>
  <c r="I8" i="16"/>
  <c r="AE38" i="58"/>
  <c r="AE42" i="58" s="1"/>
  <c r="W78" i="61"/>
  <c r="O79" i="62"/>
  <c r="AD113" i="62"/>
  <c r="T26" i="15"/>
  <c r="M70" i="15"/>
  <c r="Q109" i="75"/>
  <c r="B41" i="30"/>
  <c r="W78" i="58"/>
  <c r="Q19" i="62"/>
  <c r="G9" i="62"/>
  <c r="G10" i="62" s="1"/>
  <c r="G26" i="62"/>
  <c r="G27" i="62" s="1"/>
  <c r="Y87" i="15"/>
  <c r="P87" i="15"/>
  <c r="M182" i="13"/>
  <c r="M186" i="13"/>
  <c r="M39" i="9"/>
  <c r="BH36" i="12" s="1"/>
  <c r="L11" i="12"/>
  <c r="K105" i="16"/>
  <c r="R19" i="62"/>
  <c r="K15" i="15"/>
  <c r="K48" i="15" s="1"/>
  <c r="M168" i="13"/>
  <c r="N39" i="9"/>
  <c r="BI36" i="12" s="1"/>
  <c r="N163" i="9"/>
  <c r="N164" i="9" s="1"/>
  <c r="FA36" i="12" s="1"/>
  <c r="P79" i="72"/>
  <c r="P31" i="55"/>
  <c r="M169" i="16"/>
  <c r="Z78" i="61"/>
  <c r="I67" i="62"/>
  <c r="B12" i="64"/>
  <c r="B17" i="64" s="1"/>
  <c r="L15" i="15"/>
  <c r="L28" i="15" s="1"/>
  <c r="U153" i="15"/>
  <c r="D114" i="9"/>
  <c r="T9" i="75"/>
  <c r="E171" i="70"/>
  <c r="E186" i="70"/>
  <c r="J299" i="70"/>
  <c r="N169" i="16"/>
  <c r="O55" i="58"/>
  <c r="AB57" i="58"/>
  <c r="AB58" i="58" s="1"/>
  <c r="R80" i="58"/>
  <c r="Q12" i="61"/>
  <c r="Q14" i="61" s="1"/>
  <c r="Q17" i="61" s="1"/>
  <c r="M15" i="15"/>
  <c r="M16" i="15" s="1"/>
  <c r="L68" i="15"/>
  <c r="K71" i="15"/>
  <c r="E114" i="9"/>
  <c r="EA36" i="12"/>
  <c r="O19" i="75"/>
  <c r="P27" i="75"/>
  <c r="B137" i="76"/>
  <c r="J147" i="77"/>
  <c r="Z31" i="70"/>
  <c r="P153" i="70"/>
  <c r="K299" i="70"/>
  <c r="R78" i="55"/>
  <c r="R81" i="55" s="1"/>
  <c r="R94" i="55" s="1"/>
  <c r="R95" i="55" s="1"/>
  <c r="E99" i="16"/>
  <c r="C78" i="61"/>
  <c r="C102" i="61" s="1"/>
  <c r="AE15" i="15"/>
  <c r="AE16" i="15" s="1"/>
  <c r="M68" i="15"/>
  <c r="L71" i="15"/>
  <c r="S160" i="15"/>
  <c r="DB12" i="12"/>
  <c r="S25" i="55"/>
  <c r="G147" i="77"/>
  <c r="BT51" i="41"/>
  <c r="I75" i="16"/>
  <c r="G176" i="16"/>
  <c r="G177" i="16" s="1"/>
  <c r="E52" i="15"/>
  <c r="E54" i="72"/>
  <c r="F55" i="72" s="1"/>
  <c r="B111" i="76"/>
  <c r="C137" i="76"/>
  <c r="D83" i="72"/>
  <c r="D111" i="76"/>
  <c r="D141" i="76"/>
  <c r="AF18" i="70"/>
  <c r="U186" i="70"/>
  <c r="AM22" i="66"/>
  <c r="L25" i="55"/>
  <c r="U30" i="55"/>
  <c r="H179" i="16"/>
  <c r="F52" i="15"/>
  <c r="AA68" i="15"/>
  <c r="AL46" i="66"/>
  <c r="U68" i="75"/>
  <c r="BQ11" i="12"/>
  <c r="E32" i="72"/>
  <c r="E34" i="72" s="1"/>
  <c r="G54" i="74"/>
  <c r="O109" i="75"/>
  <c r="D81" i="76"/>
  <c r="D92" i="76" s="1"/>
  <c r="I153" i="77"/>
  <c r="U19" i="70"/>
  <c r="J31" i="70"/>
  <c r="AE29" i="70"/>
  <c r="F157" i="70"/>
  <c r="F158" i="70" s="1"/>
  <c r="H176" i="16"/>
  <c r="R78" i="61"/>
  <c r="C104" i="62"/>
  <c r="D116" i="62"/>
  <c r="Z116" i="62"/>
  <c r="R171" i="13"/>
  <c r="FO16" i="12" s="1"/>
  <c r="N39" i="11"/>
  <c r="T39" i="11" s="1"/>
  <c r="I28" i="61"/>
  <c r="E12" i="61"/>
  <c r="E14" i="61" s="1"/>
  <c r="E18" i="61" s="1"/>
  <c r="E19" i="61" s="1"/>
  <c r="T12" i="61"/>
  <c r="T14" i="61" s="1"/>
  <c r="T18" i="61" s="1"/>
  <c r="T19" i="61" s="1"/>
  <c r="AH12" i="61"/>
  <c r="AH14" i="61" s="1"/>
  <c r="AH18" i="61" s="1"/>
  <c r="AH19" i="61" s="1"/>
  <c r="O57" i="61"/>
  <c r="N185" i="70"/>
  <c r="N89" i="70"/>
  <c r="N87" i="70"/>
  <c r="N188" i="70"/>
  <c r="N167" i="70"/>
  <c r="R13" i="11"/>
  <c r="R11" i="11"/>
  <c r="R4" i="11"/>
  <c r="R5" i="11"/>
  <c r="D186" i="70"/>
  <c r="D167" i="70"/>
  <c r="X24" i="9"/>
  <c r="X39" i="9" s="1"/>
  <c r="N92" i="9"/>
  <c r="I114" i="9"/>
  <c r="Q68" i="72"/>
  <c r="Q72" i="72"/>
  <c r="F76" i="16"/>
  <c r="Z159" i="61"/>
  <c r="Z157" i="61" s="1"/>
  <c r="CD12" i="12"/>
  <c r="J81" i="61"/>
  <c r="I34" i="74"/>
  <c r="O60" i="75"/>
  <c r="R156" i="13"/>
  <c r="DK16" i="12" s="1"/>
  <c r="G286" i="72"/>
  <c r="B49" i="74"/>
  <c r="J9" i="75"/>
  <c r="R19" i="75"/>
  <c r="O57" i="75"/>
  <c r="P60" i="75"/>
  <c r="T76" i="75"/>
  <c r="J149" i="77"/>
  <c r="U94" i="75"/>
  <c r="N31" i="70"/>
  <c r="F153" i="70"/>
  <c r="E78" i="55"/>
  <c r="E122" i="55" s="1"/>
  <c r="P78" i="55"/>
  <c r="P81" i="55" s="1"/>
  <c r="C8" i="57"/>
  <c r="F77" i="16"/>
  <c r="O12" i="58"/>
  <c r="O14" i="58" s="1"/>
  <c r="O77" i="58" s="1"/>
  <c r="AF12" i="61"/>
  <c r="AF14" i="61" s="1"/>
  <c r="AF17" i="61" s="1"/>
  <c r="U28" i="61"/>
  <c r="H28" i="61"/>
  <c r="W69" i="62"/>
  <c r="AD76" i="62"/>
  <c r="M11" i="18"/>
  <c r="S156" i="13"/>
  <c r="DL16" i="12" s="1"/>
  <c r="AE93" i="11"/>
  <c r="U29" i="78"/>
  <c r="AG51" i="66" s="1"/>
  <c r="U92" i="55"/>
  <c r="T33" i="62"/>
  <c r="X33" i="62" s="1"/>
  <c r="F33" i="62" s="1"/>
  <c r="G33" i="62" s="1"/>
  <c r="AE24" i="15"/>
  <c r="AE51" i="15" s="1"/>
  <c r="AE52" i="15" s="1"/>
  <c r="Z79" i="9"/>
  <c r="Y85" i="9"/>
  <c r="Z242" i="55"/>
  <c r="AE12" i="61"/>
  <c r="AE14" i="61" s="1"/>
  <c r="AE17" i="61" s="1"/>
  <c r="X78" i="61"/>
  <c r="E4" i="72"/>
  <c r="G284" i="72"/>
  <c r="C49" i="74"/>
  <c r="M109" i="75"/>
  <c r="P57" i="75"/>
  <c r="T65" i="75"/>
  <c r="P71" i="75"/>
  <c r="Q76" i="75"/>
  <c r="G161" i="77"/>
  <c r="S87" i="75"/>
  <c r="R96" i="75"/>
  <c r="V27" i="70"/>
  <c r="N171" i="70"/>
  <c r="U188" i="70"/>
  <c r="N25" i="55"/>
  <c r="O18" i="16"/>
  <c r="O75" i="16" s="1"/>
  <c r="Z78" i="58"/>
  <c r="D19" i="62"/>
  <c r="AA28" i="62"/>
  <c r="AE76" i="62"/>
  <c r="Z122" i="62"/>
  <c r="AB52" i="15"/>
  <c r="K47" i="15"/>
  <c r="R51" i="15"/>
  <c r="R52" i="15" s="1"/>
  <c r="I69" i="15"/>
  <c r="M71" i="15"/>
  <c r="T11" i="75"/>
  <c r="N60" i="75"/>
  <c r="K95" i="16"/>
  <c r="Z25" i="9"/>
  <c r="Q83" i="72"/>
  <c r="J108" i="72"/>
  <c r="E166" i="72"/>
  <c r="D49" i="74"/>
  <c r="K21" i="75"/>
  <c r="F27" i="75"/>
  <c r="N109" i="75"/>
  <c r="Q57" i="75"/>
  <c r="T71" i="75"/>
  <c r="R76" i="75"/>
  <c r="H161" i="77"/>
  <c r="E63" i="76"/>
  <c r="C150" i="76"/>
  <c r="W27" i="70"/>
  <c r="X41" i="70"/>
  <c r="X49" i="70"/>
  <c r="X50" i="70" s="1"/>
  <c r="Z104" i="70"/>
  <c r="E9" i="69"/>
  <c r="Y29" i="78"/>
  <c r="AK51" i="66" s="1"/>
  <c r="F20" i="16"/>
  <c r="F82" i="16" s="1"/>
  <c r="R40" i="58"/>
  <c r="R82" i="58" s="1"/>
  <c r="Y79" i="58"/>
  <c r="V38" i="58"/>
  <c r="R72" i="58"/>
  <c r="X101" i="61"/>
  <c r="E148" i="61"/>
  <c r="E150" i="61" s="1"/>
  <c r="AG148" i="61"/>
  <c r="AG150" i="61" s="1"/>
  <c r="AG164" i="61" s="1"/>
  <c r="AG166" i="61" s="1"/>
  <c r="AB28" i="62"/>
  <c r="T110" i="62"/>
  <c r="R117" i="62"/>
  <c r="AJ116" i="62"/>
  <c r="V53" i="15"/>
  <c r="J69" i="15"/>
  <c r="L166" i="9"/>
  <c r="FO36" i="12" s="1"/>
  <c r="H25" i="9"/>
  <c r="T68" i="9"/>
  <c r="W101" i="61"/>
  <c r="B36" i="74"/>
  <c r="N231" i="70"/>
  <c r="AJ27" i="66"/>
  <c r="M78" i="55"/>
  <c r="M81" i="55" s="1"/>
  <c r="E11" i="12"/>
  <c r="E28" i="72"/>
  <c r="C32" i="73"/>
  <c r="F36" i="74"/>
  <c r="E50" i="74"/>
  <c r="M11" i="75"/>
  <c r="R23" i="75"/>
  <c r="T57" i="75"/>
  <c r="U71" i="75"/>
  <c r="I161" i="77"/>
  <c r="R89" i="75"/>
  <c r="Q98" i="75"/>
  <c r="B152" i="76"/>
  <c r="AE18" i="70"/>
  <c r="P105" i="70"/>
  <c r="V157" i="70"/>
  <c r="V158" i="70" s="1"/>
  <c r="O25" i="55"/>
  <c r="W78" i="55"/>
  <c r="W122" i="55" s="1"/>
  <c r="F78" i="16"/>
  <c r="C99" i="16"/>
  <c r="J105" i="16"/>
  <c r="AC12" i="61"/>
  <c r="AC14" i="61" s="1"/>
  <c r="AC17" i="61" s="1"/>
  <c r="H57" i="61"/>
  <c r="W57" i="61"/>
  <c r="S78" i="61"/>
  <c r="W148" i="61"/>
  <c r="W150" i="61" s="1"/>
  <c r="AH148" i="61"/>
  <c r="AH150" i="61" s="1"/>
  <c r="AH164" i="61" s="1"/>
  <c r="AH166" i="61" s="1"/>
  <c r="U110" i="62"/>
  <c r="AB47" i="15"/>
  <c r="B52" i="15"/>
  <c r="K69" i="15"/>
  <c r="W71" i="15"/>
  <c r="F32" i="72"/>
  <c r="F34" i="72" s="1"/>
  <c r="C34" i="73"/>
  <c r="D51" i="74"/>
  <c r="B74" i="74"/>
  <c r="S23" i="75"/>
  <c r="H27" i="75"/>
  <c r="B27" i="75"/>
  <c r="U91" i="75"/>
  <c r="R98" i="75"/>
  <c r="F29" i="76"/>
  <c r="D152" i="76"/>
  <c r="H153" i="77"/>
  <c r="W157" i="70"/>
  <c r="W160" i="70" s="1"/>
  <c r="C171" i="70"/>
  <c r="G9" i="69"/>
  <c r="K106" i="55"/>
  <c r="B75" i="16"/>
  <c r="G79" i="16"/>
  <c r="D99" i="16"/>
  <c r="T50" i="61"/>
  <c r="AH50" i="61"/>
  <c r="N50" i="61"/>
  <c r="AB50" i="61"/>
  <c r="I57" i="61"/>
  <c r="I108" i="61" s="1"/>
  <c r="X57" i="61"/>
  <c r="Z88" i="61"/>
  <c r="Z90" i="61" s="1"/>
  <c r="Z101" i="61" s="1"/>
  <c r="W27" i="62"/>
  <c r="O94" i="62"/>
  <c r="T106" i="62"/>
  <c r="T118" i="62"/>
  <c r="AH115" i="62"/>
  <c r="I115" i="62" s="1"/>
  <c r="AC127" i="62"/>
  <c r="E22" i="13"/>
  <c r="E171" i="13" s="1"/>
  <c r="FP10" i="12" s="1"/>
  <c r="C57" i="11"/>
  <c r="G155" i="77"/>
  <c r="J153" i="77"/>
  <c r="C9" i="69"/>
  <c r="K78" i="55"/>
  <c r="K79" i="55" s="1"/>
  <c r="D60" i="55"/>
  <c r="D92" i="55" s="1"/>
  <c r="C274" i="55"/>
  <c r="Q274" i="55"/>
  <c r="F75" i="16"/>
  <c r="F85" i="16"/>
  <c r="AD12" i="61"/>
  <c r="AD14" i="61" s="1"/>
  <c r="AD17" i="61" s="1"/>
  <c r="D140" i="61"/>
  <c r="C110" i="62"/>
  <c r="AE151" i="15"/>
  <c r="E7" i="13"/>
  <c r="T10" i="12" s="1"/>
  <c r="T12" i="12" s="1"/>
  <c r="R168" i="13"/>
  <c r="L71" i="9"/>
  <c r="BN11" i="12"/>
  <c r="G79" i="72"/>
  <c r="E51" i="74"/>
  <c r="R54" i="75"/>
  <c r="K72" i="72"/>
  <c r="K79" i="72"/>
  <c r="K61" i="75"/>
  <c r="O62" i="75" s="1"/>
  <c r="N68" i="75"/>
  <c r="G149" i="77"/>
  <c r="AH18" i="70"/>
  <c r="Z141" i="70"/>
  <c r="J25" i="55"/>
  <c r="R153" i="55"/>
  <c r="N274" i="55"/>
  <c r="F8" i="16"/>
  <c r="E62" i="16"/>
  <c r="L130" i="16"/>
  <c r="B12" i="61"/>
  <c r="B14" i="61" s="1"/>
  <c r="E140" i="61"/>
  <c r="P80" i="62"/>
  <c r="F104" i="62"/>
  <c r="AJ122" i="62"/>
  <c r="U132" i="62"/>
  <c r="I15" i="15"/>
  <c r="I70" i="15"/>
  <c r="V151" i="15"/>
  <c r="D166" i="9"/>
  <c r="FO33" i="12" s="1"/>
  <c r="C140" i="61"/>
  <c r="F57" i="11"/>
  <c r="Z49" i="70"/>
  <c r="Z50" i="70" s="1"/>
  <c r="AG97" i="78"/>
  <c r="E274" i="55"/>
  <c r="S274" i="55"/>
  <c r="B76" i="16"/>
  <c r="J130" i="16"/>
  <c r="F161" i="16"/>
  <c r="X50" i="61"/>
  <c r="AA101" i="61"/>
  <c r="B148" i="61"/>
  <c r="B150" i="61" s="1"/>
  <c r="B164" i="61" s="1"/>
  <c r="W45" i="62"/>
  <c r="AB132" i="62"/>
  <c r="AI179" i="62"/>
  <c r="G115" i="62"/>
  <c r="G116" i="62" s="1"/>
  <c r="D12" i="64"/>
  <c r="D17" i="64" s="1"/>
  <c r="P151" i="15"/>
  <c r="I68" i="15"/>
  <c r="W151" i="15"/>
  <c r="G72" i="72"/>
  <c r="H148" i="61"/>
  <c r="E34" i="74"/>
  <c r="E53" i="74"/>
  <c r="R11" i="75"/>
  <c r="J109" i="75"/>
  <c r="L61" i="75"/>
  <c r="P62" i="75" s="1"/>
  <c r="T68" i="75"/>
  <c r="U171" i="70"/>
  <c r="P68" i="72"/>
  <c r="F54" i="74"/>
  <c r="S9" i="75"/>
  <c r="S11" i="75"/>
  <c r="AA104" i="70"/>
  <c r="AA105" i="70" s="1"/>
  <c r="E299" i="70"/>
  <c r="S299" i="70"/>
  <c r="U94" i="78"/>
  <c r="K109" i="55"/>
  <c r="C76" i="16"/>
  <c r="K130" i="16"/>
  <c r="I37" i="29"/>
  <c r="C113" i="30"/>
  <c r="W77" i="58"/>
  <c r="F38" i="58"/>
  <c r="D12" i="61"/>
  <c r="D14" i="61" s="1"/>
  <c r="D17" i="61" s="1"/>
  <c r="S12" i="61"/>
  <c r="S14" i="61" s="1"/>
  <c r="S17" i="61" s="1"/>
  <c r="AG12" i="61"/>
  <c r="AG14" i="61" s="1"/>
  <c r="AG17" i="61" s="1"/>
  <c r="U12" i="61"/>
  <c r="U14" i="61" s="1"/>
  <c r="U18" i="61" s="1"/>
  <c r="F173" i="61"/>
  <c r="J50" i="61"/>
  <c r="J113" i="61" s="1"/>
  <c r="Y50" i="61"/>
  <c r="V78" i="61"/>
  <c r="AB95" i="61"/>
  <c r="AB99" i="61" s="1"/>
  <c r="Y47" i="62"/>
  <c r="F110" i="62"/>
  <c r="E116" i="62"/>
  <c r="M180" i="13"/>
  <c r="R79" i="9"/>
  <c r="K13" i="12"/>
  <c r="K22" i="13"/>
  <c r="K55" i="13" s="1"/>
  <c r="BW13" i="12" s="1"/>
  <c r="K7" i="13"/>
  <c r="S13" i="12" s="1"/>
  <c r="Q23" i="75"/>
  <c r="Q19" i="75"/>
  <c r="Q21" i="75"/>
  <c r="F79" i="72"/>
  <c r="F64" i="72"/>
  <c r="R67" i="72"/>
  <c r="E72" i="74"/>
  <c r="E73" i="74"/>
  <c r="R102" i="72"/>
  <c r="R111" i="72" s="1"/>
  <c r="R113" i="72" s="1"/>
  <c r="J61" i="75"/>
  <c r="N62" i="75" s="1"/>
  <c r="U153" i="70"/>
  <c r="U157" i="70"/>
  <c r="U158" i="70" s="1"/>
  <c r="F44" i="72"/>
  <c r="F23" i="76"/>
  <c r="R31" i="75"/>
  <c r="R32" i="75" s="1"/>
  <c r="W136" i="70"/>
  <c r="W185" i="70" s="1"/>
  <c r="F56" i="72"/>
  <c r="U21" i="75"/>
  <c r="U9" i="75"/>
  <c r="AU18" i="70"/>
  <c r="Z68" i="55"/>
  <c r="W30" i="55"/>
  <c r="W68" i="55"/>
  <c r="Z65" i="55"/>
  <c r="O109" i="55"/>
  <c r="O108" i="55"/>
  <c r="O238" i="55"/>
  <c r="O85" i="55"/>
  <c r="R141" i="70"/>
  <c r="R104" i="70"/>
  <c r="V188" i="70"/>
  <c r="V88" i="70"/>
  <c r="V65" i="55"/>
  <c r="V30" i="55"/>
  <c r="U109" i="75"/>
  <c r="L68" i="72"/>
  <c r="L79" i="72"/>
  <c r="P83" i="72"/>
  <c r="C34" i="74"/>
  <c r="F51" i="74"/>
  <c r="M57" i="75"/>
  <c r="M63" i="75"/>
  <c r="M68" i="75"/>
  <c r="M71" i="75"/>
  <c r="M91" i="75"/>
  <c r="M89" i="75"/>
  <c r="X91" i="70"/>
  <c r="BF93" i="70" s="1"/>
  <c r="AB91" i="70"/>
  <c r="D157" i="70"/>
  <c r="D201" i="70" s="1"/>
  <c r="H38" i="58"/>
  <c r="D72" i="74"/>
  <c r="O111" i="72"/>
  <c r="S112" i="72" s="1"/>
  <c r="D73" i="74"/>
  <c r="AB19" i="62"/>
  <c r="AF19" i="62" s="1"/>
  <c r="AJ19" i="62" s="1"/>
  <c r="AN19" i="62" s="1"/>
  <c r="AF9" i="62"/>
  <c r="AB10" i="62"/>
  <c r="F43" i="72"/>
  <c r="E44" i="72"/>
  <c r="P111" i="72"/>
  <c r="P113" i="72" s="1"/>
  <c r="S103" i="72"/>
  <c r="V104" i="70"/>
  <c r="V144" i="70"/>
  <c r="V141" i="70"/>
  <c r="I36" i="74"/>
  <c r="J161" i="77"/>
  <c r="Q64" i="72"/>
  <c r="M72" i="72"/>
  <c r="O104" i="72"/>
  <c r="C16" i="73"/>
  <c r="G104" i="75"/>
  <c r="G31" i="75"/>
  <c r="G32" i="75" s="1"/>
  <c r="BG93" i="70"/>
  <c r="O185" i="70"/>
  <c r="O87" i="70"/>
  <c r="G171" i="70"/>
  <c r="W238" i="55"/>
  <c r="W107" i="55"/>
  <c r="W92" i="55"/>
  <c r="R69" i="55"/>
  <c r="R68" i="55"/>
  <c r="AE111" i="15"/>
  <c r="AE160" i="15"/>
  <c r="AE161" i="15" s="1"/>
  <c r="D108" i="16"/>
  <c r="D36" i="16"/>
  <c r="G37" i="29"/>
  <c r="G18" i="29"/>
  <c r="G19" i="29" s="1"/>
  <c r="AG9" i="62"/>
  <c r="AC10" i="62"/>
  <c r="EC16" i="12"/>
  <c r="T168" i="13"/>
  <c r="ES16" i="12" s="1"/>
  <c r="T156" i="13"/>
  <c r="T157" i="13" s="1"/>
  <c r="DU16" i="12" s="1"/>
  <c r="R231" i="70"/>
  <c r="D163" i="72"/>
  <c r="D180" i="72" s="1"/>
  <c r="D192" i="72" s="1"/>
  <c r="D194" i="72" s="1"/>
  <c r="D152" i="72"/>
  <c r="P104" i="72"/>
  <c r="E22" i="73"/>
  <c r="E25" i="73"/>
  <c r="F25" i="76"/>
  <c r="L11" i="69"/>
  <c r="F223" i="72"/>
  <c r="S15" i="75"/>
  <c r="S27" i="75"/>
  <c r="X99" i="70"/>
  <c r="C187" i="70"/>
  <c r="C88" i="70"/>
  <c r="C186" i="70"/>
  <c r="L299" i="70"/>
  <c r="BJ164" i="41"/>
  <c r="F9" i="69"/>
  <c r="J96" i="16"/>
  <c r="K96" i="16"/>
  <c r="H161" i="16"/>
  <c r="H79" i="16"/>
  <c r="H8" i="16"/>
  <c r="Y38" i="58"/>
  <c r="D27" i="11"/>
  <c r="D35" i="11"/>
  <c r="D36" i="11" s="1"/>
  <c r="G64" i="72"/>
  <c r="D53" i="74"/>
  <c r="D50" i="74"/>
  <c r="D54" i="74"/>
  <c r="N11" i="75"/>
  <c r="T19" i="70"/>
  <c r="P40" i="70"/>
  <c r="P41" i="70" s="1"/>
  <c r="Q27" i="70"/>
  <c r="U27" i="70"/>
  <c r="AB144" i="70"/>
  <c r="AB104" i="70"/>
  <c r="AB105" i="70" s="1"/>
  <c r="AB141" i="70"/>
  <c r="F226" i="70"/>
  <c r="F299" i="70"/>
  <c r="F300" i="70" s="1"/>
  <c r="T299" i="70"/>
  <c r="F237" i="55"/>
  <c r="F109" i="55"/>
  <c r="F85" i="55"/>
  <c r="U78" i="55"/>
  <c r="F60" i="72"/>
  <c r="F28" i="72"/>
  <c r="E150" i="76"/>
  <c r="E154" i="76"/>
  <c r="I88" i="70"/>
  <c r="I184" i="70"/>
  <c r="G78" i="55"/>
  <c r="V92" i="55"/>
  <c r="V85" i="55"/>
  <c r="V107" i="55"/>
  <c r="V106" i="55"/>
  <c r="V237" i="55"/>
  <c r="V105" i="55"/>
  <c r="V108" i="55"/>
  <c r="AF104" i="62"/>
  <c r="AJ104" i="62"/>
  <c r="H78" i="55"/>
  <c r="P64" i="72"/>
  <c r="Q11" i="75"/>
  <c r="C27" i="75"/>
  <c r="T87" i="75"/>
  <c r="T91" i="75"/>
  <c r="T89" i="75"/>
  <c r="T98" i="75"/>
  <c r="T96" i="75"/>
  <c r="T94" i="75"/>
  <c r="AS17" i="70"/>
  <c r="AS18" i="70" s="1"/>
  <c r="AB18" i="70"/>
  <c r="AI27" i="70" s="1"/>
  <c r="AI29" i="70" s="1"/>
  <c r="AA19" i="70"/>
  <c r="AH27" i="70"/>
  <c r="G87" i="70"/>
  <c r="G187" i="70"/>
  <c r="G184" i="70"/>
  <c r="P89" i="70"/>
  <c r="P87" i="70"/>
  <c r="V187" i="70"/>
  <c r="I299" i="70"/>
  <c r="I300" i="70" s="1"/>
  <c r="I226" i="70"/>
  <c r="I60" i="55"/>
  <c r="I238" i="55" s="1"/>
  <c r="I78" i="55"/>
  <c r="X60" i="55"/>
  <c r="X109" i="55" s="1"/>
  <c r="X78" i="55"/>
  <c r="G40" i="62"/>
  <c r="F40" i="62" s="1"/>
  <c r="F45" i="62" s="1"/>
  <c r="Z105" i="62"/>
  <c r="F50" i="74"/>
  <c r="F53" i="74"/>
  <c r="F49" i="74"/>
  <c r="N9" i="75"/>
  <c r="N19" i="75"/>
  <c r="S60" i="75"/>
  <c r="S57" i="75"/>
  <c r="S54" i="75"/>
  <c r="S94" i="75"/>
  <c r="S98" i="75"/>
  <c r="F88" i="70"/>
  <c r="F171" i="70"/>
  <c r="F185" i="70"/>
  <c r="F87" i="70"/>
  <c r="F187" i="70"/>
  <c r="E231" i="70"/>
  <c r="F231" i="70" s="1"/>
  <c r="G28" i="72"/>
  <c r="E64" i="72"/>
  <c r="H66" i="72"/>
  <c r="H67" i="72" s="1"/>
  <c r="H70" i="72"/>
  <c r="H71" i="72" s="1"/>
  <c r="C73" i="74"/>
  <c r="G103" i="72"/>
  <c r="G111" i="72"/>
  <c r="G112" i="72" s="1"/>
  <c r="E108" i="77"/>
  <c r="P21" i="75"/>
  <c r="D15" i="75"/>
  <c r="D27" i="75"/>
  <c r="U60" i="75"/>
  <c r="U54" i="75"/>
  <c r="U57" i="75"/>
  <c r="AL18" i="70"/>
  <c r="H89" i="70"/>
  <c r="H164" i="70"/>
  <c r="J60" i="55"/>
  <c r="J78" i="55"/>
  <c r="C108" i="55"/>
  <c r="C236" i="55"/>
  <c r="C238" i="55"/>
  <c r="C105" i="55"/>
  <c r="S80" i="58"/>
  <c r="AE61" i="58"/>
  <c r="AA78" i="58"/>
  <c r="AA61" i="58"/>
  <c r="AA37" i="62"/>
  <c r="AE37" i="62" s="1"/>
  <c r="AE39" i="62" s="1"/>
  <c r="AA30" i="62"/>
  <c r="AA32" i="62" s="1"/>
  <c r="E193" i="13"/>
  <c r="AB78" i="58"/>
  <c r="J57" i="61"/>
  <c r="J108" i="61" s="1"/>
  <c r="Y57" i="61"/>
  <c r="AA57" i="61"/>
  <c r="C76" i="62"/>
  <c r="C80" i="62"/>
  <c r="C112" i="62" s="1"/>
  <c r="C75" i="62"/>
  <c r="C74" i="62"/>
  <c r="O160" i="15"/>
  <c r="L13" i="12"/>
  <c r="L22" i="13"/>
  <c r="L55" i="13" s="1"/>
  <c r="BX13" i="12" s="1"/>
  <c r="L7" i="13"/>
  <c r="T13" i="12" s="1"/>
  <c r="E5" i="17"/>
  <c r="F163" i="72"/>
  <c r="F180" i="72" s="1"/>
  <c r="F192" i="72" s="1"/>
  <c r="D56" i="72"/>
  <c r="E49" i="74"/>
  <c r="B54" i="74"/>
  <c r="L9" i="75"/>
  <c r="P74" i="75"/>
  <c r="H149" i="77"/>
  <c r="I155" i="77"/>
  <c r="U89" i="75"/>
  <c r="M94" i="75"/>
  <c r="J104" i="75"/>
  <c r="D95" i="76"/>
  <c r="D137" i="76"/>
  <c r="D154" i="76"/>
  <c r="AG18" i="70"/>
  <c r="AG28" i="70"/>
  <c r="AG29" i="70" s="1"/>
  <c r="Q30" i="70"/>
  <c r="Q31" i="70" s="1"/>
  <c r="S157" i="70"/>
  <c r="S160" i="70" s="1"/>
  <c r="S173" i="70" s="1"/>
  <c r="S174" i="70" s="1"/>
  <c r="Y141" i="70"/>
  <c r="E187" i="70"/>
  <c r="AS21" i="37"/>
  <c r="T13" i="55"/>
  <c r="P24" i="55"/>
  <c r="P25" i="55" s="1"/>
  <c r="L60" i="55"/>
  <c r="L108" i="55" s="1"/>
  <c r="L78" i="55"/>
  <c r="E60" i="55"/>
  <c r="E236" i="55" s="1"/>
  <c r="X68" i="55"/>
  <c r="E152" i="55"/>
  <c r="F152" i="55" s="1"/>
  <c r="V248" i="55"/>
  <c r="V246" i="55"/>
  <c r="D20" i="16"/>
  <c r="X38" i="58"/>
  <c r="V12" i="61"/>
  <c r="V14" i="61" s="1"/>
  <c r="V18" i="61" s="1"/>
  <c r="Y101" i="61"/>
  <c r="Y102" i="61" s="1"/>
  <c r="D76" i="62"/>
  <c r="D69" i="62"/>
  <c r="D74" i="62"/>
  <c r="K153" i="15"/>
  <c r="H56" i="72"/>
  <c r="R63" i="72"/>
  <c r="R79" i="72" s="1"/>
  <c r="G163" i="72"/>
  <c r="G180" i="72" s="1"/>
  <c r="C13" i="73"/>
  <c r="D36" i="74"/>
  <c r="M9" i="75"/>
  <c r="S21" i="75"/>
  <c r="T27" i="75"/>
  <c r="R91" i="75"/>
  <c r="Q94" i="75"/>
  <c r="F24" i="76"/>
  <c r="F81" i="76"/>
  <c r="F92" i="76" s="1"/>
  <c r="B141" i="76"/>
  <c r="R30" i="70"/>
  <c r="V31" i="70" s="1"/>
  <c r="W99" i="70"/>
  <c r="T157" i="70"/>
  <c r="T201" i="70" s="1"/>
  <c r="O157" i="70"/>
  <c r="O160" i="70" s="1"/>
  <c r="N164" i="70"/>
  <c r="AT21" i="37"/>
  <c r="AK29" i="78"/>
  <c r="AK35" i="78" s="1"/>
  <c r="AK37" i="78" s="1"/>
  <c r="AK69" i="78" s="1"/>
  <c r="U13" i="55"/>
  <c r="Q24" i="55"/>
  <c r="U25" i="55" s="1"/>
  <c r="V78" i="55"/>
  <c r="V79" i="55" s="1"/>
  <c r="K92" i="55"/>
  <c r="K18" i="16"/>
  <c r="K79" i="16" s="1"/>
  <c r="K37" i="29"/>
  <c r="B113" i="30"/>
  <c r="E38" i="58"/>
  <c r="S38" i="58"/>
  <c r="U148" i="61"/>
  <c r="U150" i="61" s="1"/>
  <c r="U164" i="61" s="1"/>
  <c r="U166" i="61" s="1"/>
  <c r="G167" i="61"/>
  <c r="Y60" i="62"/>
  <c r="AC60" i="62"/>
  <c r="H109" i="62"/>
  <c r="H110" i="62" s="1"/>
  <c r="AO131" i="62"/>
  <c r="K131" i="62"/>
  <c r="AE83" i="15"/>
  <c r="I71" i="15"/>
  <c r="I51" i="15"/>
  <c r="I52" i="15" s="1"/>
  <c r="I26" i="15"/>
  <c r="P153" i="15"/>
  <c r="H155" i="77"/>
  <c r="E54" i="74"/>
  <c r="L23" i="75"/>
  <c r="P109" i="75"/>
  <c r="S91" i="75"/>
  <c r="C141" i="76"/>
  <c r="E87" i="70"/>
  <c r="U88" i="70"/>
  <c r="AA141" i="70"/>
  <c r="E185" i="70"/>
  <c r="AK21" i="37"/>
  <c r="I94" i="78"/>
  <c r="M96" i="78"/>
  <c r="R24" i="55"/>
  <c r="R25" i="55" s="1"/>
  <c r="S30" i="55"/>
  <c r="G60" i="55"/>
  <c r="G92" i="55" s="1"/>
  <c r="E18" i="29"/>
  <c r="E19" i="29" s="1"/>
  <c r="V148" i="61"/>
  <c r="V150" i="61" s="1"/>
  <c r="V164" i="61" s="1"/>
  <c r="V166" i="61" s="1"/>
  <c r="H67" i="62"/>
  <c r="C79" i="62"/>
  <c r="C12" i="64"/>
  <c r="C13" i="64" s="1"/>
  <c r="N47" i="15"/>
  <c r="N15" i="15"/>
  <c r="N16" i="15" s="1"/>
  <c r="N71" i="15"/>
  <c r="AD70" i="15"/>
  <c r="AD15" i="15"/>
  <c r="AD28" i="15" s="1"/>
  <c r="AD71" i="15"/>
  <c r="AD68" i="15"/>
  <c r="D171" i="13"/>
  <c r="FO10" i="12" s="1"/>
  <c r="FO12" i="12" s="1"/>
  <c r="D156" i="13"/>
  <c r="DK10" i="12" s="1"/>
  <c r="DK11" i="12" s="1"/>
  <c r="M23" i="75"/>
  <c r="U104" i="75"/>
  <c r="Q40" i="70"/>
  <c r="Q41" i="70" s="1"/>
  <c r="AA91" i="70"/>
  <c r="BO146" i="41"/>
  <c r="E8" i="69"/>
  <c r="AH21" i="37"/>
  <c r="AF57" i="58"/>
  <c r="G38" i="58"/>
  <c r="AC57" i="61"/>
  <c r="U30" i="62"/>
  <c r="U22" i="62" s="1"/>
  <c r="U23" i="62" s="1"/>
  <c r="U19" i="62"/>
  <c r="AH122" i="62"/>
  <c r="C13" i="15"/>
  <c r="C47" i="15" s="1"/>
  <c r="C80" i="15"/>
  <c r="R55" i="13"/>
  <c r="BW16" i="12" s="1"/>
  <c r="AA16" i="12"/>
  <c r="AQ300" i="37"/>
  <c r="AQ316" i="37" s="1"/>
  <c r="Q78" i="55"/>
  <c r="Q81" i="55" s="1"/>
  <c r="E164" i="61"/>
  <c r="E166" i="61" s="1"/>
  <c r="AD129" i="62"/>
  <c r="AD165" i="62"/>
  <c r="V104" i="62"/>
  <c r="R110" i="62"/>
  <c r="C17" i="22"/>
  <c r="DE12" i="12"/>
  <c r="Q9" i="75"/>
  <c r="T63" i="75"/>
  <c r="M96" i="75"/>
  <c r="Q28" i="70"/>
  <c r="G8" i="69"/>
  <c r="C78" i="55"/>
  <c r="R79" i="55"/>
  <c r="G9" i="16"/>
  <c r="G23" i="16"/>
  <c r="G58" i="16"/>
  <c r="B55" i="58"/>
  <c r="B12" i="58"/>
  <c r="B14" i="58" s="1"/>
  <c r="B57" i="58" s="1"/>
  <c r="H161" i="61"/>
  <c r="I160" i="61"/>
  <c r="S110" i="62"/>
  <c r="G144" i="62"/>
  <c r="Q89" i="9"/>
  <c r="BP11" i="12"/>
  <c r="BP12" i="12"/>
  <c r="AO18" i="70"/>
  <c r="X187" i="70"/>
  <c r="X30" i="55"/>
  <c r="O68" i="55"/>
  <c r="D12" i="58"/>
  <c r="D14" i="58" s="1"/>
  <c r="D80" i="58" s="1"/>
  <c r="J77" i="58"/>
  <c r="AE129" i="62"/>
  <c r="AE127" i="62"/>
  <c r="R47" i="15"/>
  <c r="R68" i="15"/>
  <c r="R69" i="15"/>
  <c r="C92" i="55"/>
  <c r="Q92" i="55"/>
  <c r="I58" i="16"/>
  <c r="I9" i="16"/>
  <c r="AC50" i="61"/>
  <c r="AD159" i="61"/>
  <c r="AD157" i="61" s="1"/>
  <c r="H158" i="61"/>
  <c r="H159" i="61" s="1"/>
  <c r="H157" i="61" s="1"/>
  <c r="R80" i="62"/>
  <c r="R118" i="62" s="1"/>
  <c r="R79" i="62"/>
  <c r="EJ12" i="12"/>
  <c r="EJ11" i="12"/>
  <c r="C35" i="74"/>
  <c r="B52" i="74"/>
  <c r="H104" i="75"/>
  <c r="R109" i="75"/>
  <c r="S76" i="75"/>
  <c r="F21" i="76"/>
  <c r="C63" i="76"/>
  <c r="H147" i="77"/>
  <c r="AP18" i="70"/>
  <c r="AJ122" i="37"/>
  <c r="M25" i="55"/>
  <c r="S60" i="55"/>
  <c r="S88" i="55" s="1"/>
  <c r="D274" i="55"/>
  <c r="R274" i="55"/>
  <c r="R275" i="55" s="1"/>
  <c r="N153" i="55"/>
  <c r="I61" i="58"/>
  <c r="Z148" i="61"/>
  <c r="Z150" i="61" s="1"/>
  <c r="Z164" i="61" s="1"/>
  <c r="Z165" i="61" s="1"/>
  <c r="I146" i="61"/>
  <c r="AE158" i="61"/>
  <c r="D10" i="62"/>
  <c r="AA45" i="62"/>
  <c r="AA27" i="62"/>
  <c r="AA19" i="62"/>
  <c r="AE19" i="62" s="1"/>
  <c r="AI19" i="62" s="1"/>
  <c r="AM19" i="62" s="1"/>
  <c r="G55" i="62"/>
  <c r="G68" i="62"/>
  <c r="G76" i="62" s="1"/>
  <c r="S79" i="62"/>
  <c r="S80" i="62"/>
  <c r="S112" i="62" s="1"/>
  <c r="AH76" i="62"/>
  <c r="I70" i="62"/>
  <c r="I82" i="62" s="1"/>
  <c r="I162" i="62" s="1"/>
  <c r="AH82" i="62"/>
  <c r="AH129" i="62" s="1"/>
  <c r="Q117" i="62"/>
  <c r="AE72" i="15"/>
  <c r="AE80" i="15"/>
  <c r="T68" i="15"/>
  <c r="T69" i="15"/>
  <c r="T15" i="15"/>
  <c r="T28" i="15" s="1"/>
  <c r="T30" i="15" s="1"/>
  <c r="T47" i="15"/>
  <c r="J79" i="9"/>
  <c r="R107" i="9"/>
  <c r="R114" i="9" s="1"/>
  <c r="CE11" i="12"/>
  <c r="CE12" i="12"/>
  <c r="I104" i="75"/>
  <c r="S109" i="75"/>
  <c r="T54" i="75"/>
  <c r="R57" i="75"/>
  <c r="U96" i="75"/>
  <c r="I147" i="77"/>
  <c r="G159" i="77"/>
  <c r="I157" i="70"/>
  <c r="AK122" i="37"/>
  <c r="O21" i="55"/>
  <c r="U105" i="55"/>
  <c r="U85" i="55"/>
  <c r="K59" i="16"/>
  <c r="K54" i="16"/>
  <c r="K57" i="16" s="1"/>
  <c r="N98" i="16"/>
  <c r="I179" i="16"/>
  <c r="J78" i="58"/>
  <c r="F28" i="61"/>
  <c r="AI28" i="61"/>
  <c r="AA148" i="61"/>
  <c r="AA150" i="61" s="1"/>
  <c r="AA164" i="61" s="1"/>
  <c r="AJ110" i="62"/>
  <c r="G103" i="62"/>
  <c r="P24" i="9"/>
  <c r="P25" i="9" s="1"/>
  <c r="K70" i="9"/>
  <c r="E47" i="72"/>
  <c r="E15" i="75"/>
  <c r="T19" i="75"/>
  <c r="T109" i="75"/>
  <c r="R60" i="75"/>
  <c r="U76" i="75"/>
  <c r="W91" i="70"/>
  <c r="Z157" i="70"/>
  <c r="Z160" i="70" s="1"/>
  <c r="O299" i="70"/>
  <c r="AA11" i="37"/>
  <c r="AL122" i="37"/>
  <c r="P21" i="55"/>
  <c r="K25" i="55"/>
  <c r="G38" i="16"/>
  <c r="G40" i="16" s="1"/>
  <c r="L59" i="16"/>
  <c r="L54" i="16"/>
  <c r="L61" i="16" s="1"/>
  <c r="K78" i="58"/>
  <c r="C12" i="61"/>
  <c r="C14" i="61" s="1"/>
  <c r="C18" i="61" s="1"/>
  <c r="C19" i="61" s="1"/>
  <c r="G28" i="61"/>
  <c r="AJ28" i="61"/>
  <c r="AA78" i="61"/>
  <c r="AC148" i="61"/>
  <c r="AC19" i="62"/>
  <c r="AG19" i="62" s="1"/>
  <c r="AJ82" i="62"/>
  <c r="AJ168" i="62" s="1"/>
  <c r="AJ71" i="62"/>
  <c r="AJ76" i="62"/>
  <c r="AI127" i="62"/>
  <c r="AA25" i="15"/>
  <c r="AA26" i="15" s="1"/>
  <c r="AA51" i="15"/>
  <c r="AA52" i="15" s="1"/>
  <c r="AB151" i="15"/>
  <c r="S71" i="15"/>
  <c r="M183" i="13"/>
  <c r="Q79" i="9"/>
  <c r="K71" i="9"/>
  <c r="P92" i="55"/>
  <c r="I101" i="16"/>
  <c r="N75" i="16"/>
  <c r="I78" i="16"/>
  <c r="C58" i="30"/>
  <c r="O12" i="61"/>
  <c r="O14" i="61" s="1"/>
  <c r="O28" i="61"/>
  <c r="AC28" i="61"/>
  <c r="W28" i="61"/>
  <c r="J28" i="61"/>
  <c r="Y28" i="61"/>
  <c r="AA28" i="61"/>
  <c r="F50" i="61"/>
  <c r="U50" i="61"/>
  <c r="AI50" i="61"/>
  <c r="O50" i="61"/>
  <c r="B50" i="61"/>
  <c r="Q50" i="61"/>
  <c r="AE50" i="61"/>
  <c r="AH78" i="61"/>
  <c r="I86" i="61"/>
  <c r="J86" i="61" s="1"/>
  <c r="K86" i="61" s="1"/>
  <c r="E10" i="62"/>
  <c r="E19" i="62"/>
  <c r="W30" i="62"/>
  <c r="W32" i="62" s="1"/>
  <c r="S116" i="62"/>
  <c r="W47" i="15"/>
  <c r="K157" i="13"/>
  <c r="DS13" i="12" s="1"/>
  <c r="M71" i="9"/>
  <c r="AA33" i="12"/>
  <c r="O274" i="55"/>
  <c r="J18" i="16"/>
  <c r="J8" i="16" s="1"/>
  <c r="H37" i="29"/>
  <c r="K55" i="58"/>
  <c r="AD79" i="58"/>
  <c r="AB61" i="58"/>
  <c r="G12" i="61"/>
  <c r="G14" i="61" s="1"/>
  <c r="G18" i="61" s="1"/>
  <c r="G19" i="61" s="1"/>
  <c r="AJ12" i="61"/>
  <c r="AJ14" i="61" s="1"/>
  <c r="AJ18" i="61" s="1"/>
  <c r="AJ19" i="61" s="1"/>
  <c r="P12" i="61"/>
  <c r="P14" i="61" s="1"/>
  <c r="P28" i="61"/>
  <c r="AD28" i="61"/>
  <c r="X28" i="61"/>
  <c r="K28" i="61"/>
  <c r="Z28" i="61"/>
  <c r="AB28" i="61"/>
  <c r="R50" i="61"/>
  <c r="AJ57" i="61"/>
  <c r="Y148" i="61"/>
  <c r="Y150" i="61" s="1"/>
  <c r="Y164" i="61" s="1"/>
  <c r="Y165" i="61" s="1"/>
  <c r="F172" i="61"/>
  <c r="F10" i="62"/>
  <c r="F19" i="62"/>
  <c r="Z80" i="62"/>
  <c r="Z112" i="62" s="1"/>
  <c r="Q111" i="62"/>
  <c r="T116" i="62"/>
  <c r="T132" i="62"/>
  <c r="T134" i="62" s="1"/>
  <c r="W87" i="15"/>
  <c r="X47" i="15"/>
  <c r="Y151" i="15"/>
  <c r="N179" i="13"/>
  <c r="N71" i="9"/>
  <c r="D164" i="9"/>
  <c r="EY33" i="12" s="1"/>
  <c r="EH12" i="12"/>
  <c r="F4" i="21"/>
  <c r="G3" i="21" s="1"/>
  <c r="K57" i="61"/>
  <c r="K108" i="61" s="1"/>
  <c r="Z57" i="61"/>
  <c r="AB57" i="61"/>
  <c r="G57" i="61"/>
  <c r="V57" i="61"/>
  <c r="AB77" i="61"/>
  <c r="S101" i="61"/>
  <c r="C148" i="61"/>
  <c r="C150" i="61" s="1"/>
  <c r="C164" i="61" s="1"/>
  <c r="AD148" i="61"/>
  <c r="AD150" i="61" s="1"/>
  <c r="AD164" i="61" s="1"/>
  <c r="AD165" i="61" s="1"/>
  <c r="N79" i="62"/>
  <c r="AL126" i="62"/>
  <c r="AL127" i="62" s="1"/>
  <c r="I154" i="62"/>
  <c r="AE84" i="15"/>
  <c r="M69" i="15"/>
  <c r="Z152" i="15"/>
  <c r="Z153" i="15" s="1"/>
  <c r="B16" i="22"/>
  <c r="G156" i="13"/>
  <c r="G157" i="13" s="1"/>
  <c r="I85" i="9"/>
  <c r="Q95" i="11"/>
  <c r="N57" i="58"/>
  <c r="D148" i="61"/>
  <c r="D150" i="61" s="1"/>
  <c r="D164" i="61" s="1"/>
  <c r="R132" i="62"/>
  <c r="P26" i="15"/>
  <c r="C16" i="22"/>
  <c r="K168" i="13"/>
  <c r="EQ13" i="12" s="1"/>
  <c r="B77" i="16"/>
  <c r="AD80" i="58"/>
  <c r="G55" i="58"/>
  <c r="V28" i="61"/>
  <c r="D102" i="61"/>
  <c r="E27" i="62"/>
  <c r="AF82" i="62"/>
  <c r="AF165" i="62" s="1"/>
  <c r="Y144" i="62"/>
  <c r="W70" i="15"/>
  <c r="I140" i="15"/>
  <c r="Y107" i="9"/>
  <c r="EB16" i="12"/>
  <c r="AB36" i="12"/>
  <c r="I38" i="16"/>
  <c r="I180" i="16" s="1"/>
  <c r="C77" i="16"/>
  <c r="Q80" i="58"/>
  <c r="T38" i="58"/>
  <c r="AI77" i="61"/>
  <c r="X122" i="62"/>
  <c r="W57" i="15"/>
  <c r="Z106" i="15"/>
  <c r="Z111" i="15" s="1"/>
  <c r="J151" i="15"/>
  <c r="AE153" i="15"/>
  <c r="Y79" i="9"/>
  <c r="Q24" i="9"/>
  <c r="Q71" i="9" s="1"/>
  <c r="Q85" i="9"/>
  <c r="R88" i="9"/>
  <c r="F274" i="55"/>
  <c r="N85" i="16"/>
  <c r="D18" i="29"/>
  <c r="D19" i="29" s="1"/>
  <c r="AC78" i="61"/>
  <c r="G148" i="61"/>
  <c r="G150" i="61" s="1"/>
  <c r="G164" i="61" s="1"/>
  <c r="G165" i="61" s="1"/>
  <c r="R10" i="62"/>
  <c r="W15" i="15"/>
  <c r="W53" i="15" s="1"/>
  <c r="M47" i="15"/>
  <c r="X57" i="15"/>
  <c r="W69" i="15"/>
  <c r="AC70" i="15"/>
  <c r="K151" i="15"/>
  <c r="Z157" i="15"/>
  <c r="Z163" i="15" s="1"/>
  <c r="M7" i="13"/>
  <c r="U13" i="12" s="1"/>
  <c r="N156" i="13"/>
  <c r="N157" i="13" s="1"/>
  <c r="AD78" i="61"/>
  <c r="AI99" i="61"/>
  <c r="V10" i="62"/>
  <c r="D28" i="62"/>
  <c r="AA132" i="62"/>
  <c r="AA15" i="15"/>
  <c r="AA16" i="15" s="1"/>
  <c r="X69" i="15"/>
  <c r="K86" i="15"/>
  <c r="I142" i="15"/>
  <c r="M156" i="13"/>
  <c r="DM13" i="12" s="1"/>
  <c r="Y39" i="9"/>
  <c r="L15" i="11"/>
  <c r="L26" i="11" s="1"/>
  <c r="EA13" i="12"/>
  <c r="C41" i="30"/>
  <c r="C55" i="30"/>
  <c r="C10" i="62"/>
  <c r="Z10" i="62"/>
  <c r="T104" i="62"/>
  <c r="K51" i="15"/>
  <c r="AA151" i="15"/>
  <c r="X68" i="15"/>
  <c r="AB69" i="15"/>
  <c r="U151" i="15"/>
  <c r="J153" i="15"/>
  <c r="B17" i="22"/>
  <c r="M22" i="13"/>
  <c r="AC13" i="12" s="1"/>
  <c r="N70" i="9"/>
  <c r="H107" i="9"/>
  <c r="H114" i="9" s="1"/>
  <c r="M15" i="11"/>
  <c r="M26" i="11" s="1"/>
  <c r="R40" i="11"/>
  <c r="R6" i="72"/>
  <c r="R85" i="72" s="1"/>
  <c r="P30" i="70"/>
  <c r="D8" i="57"/>
  <c r="D36" i="72"/>
  <c r="D38" i="72" s="1"/>
  <c r="D41" i="72"/>
  <c r="N91" i="75"/>
  <c r="N87" i="75"/>
  <c r="J136" i="70"/>
  <c r="J157" i="70"/>
  <c r="Y136" i="70"/>
  <c r="Y157" i="70"/>
  <c r="O188" i="70"/>
  <c r="O187" i="70"/>
  <c r="O164" i="70"/>
  <c r="O186" i="70"/>
  <c r="O88" i="70"/>
  <c r="O171" i="70"/>
  <c r="O167" i="70"/>
  <c r="O145" i="70"/>
  <c r="O184" i="70"/>
  <c r="P85" i="72"/>
  <c r="F46" i="72"/>
  <c r="F47" i="72"/>
  <c r="N31" i="75"/>
  <c r="N32" i="75" s="1"/>
  <c r="R104" i="75"/>
  <c r="N104" i="75"/>
  <c r="E111" i="76"/>
  <c r="E112" i="76"/>
  <c r="R71" i="72"/>
  <c r="F36" i="72"/>
  <c r="F41" i="72"/>
  <c r="F40" i="72"/>
  <c r="E83" i="72"/>
  <c r="F14" i="76"/>
  <c r="F15" i="76" s="1"/>
  <c r="R15" i="75"/>
  <c r="L157" i="70"/>
  <c r="L136" i="70"/>
  <c r="L171" i="70" s="1"/>
  <c r="AA136" i="70"/>
  <c r="AA171" i="70" s="1"/>
  <c r="AA157" i="70"/>
  <c r="AA131" i="70"/>
  <c r="S164" i="70"/>
  <c r="S185" i="70"/>
  <c r="S88" i="70"/>
  <c r="S188" i="70"/>
  <c r="S89" i="70"/>
  <c r="S184" i="70"/>
  <c r="S186" i="70"/>
  <c r="S167" i="70"/>
  <c r="S187" i="70"/>
  <c r="F179" i="16"/>
  <c r="F176" i="16"/>
  <c r="I126" i="62"/>
  <c r="AH127" i="62"/>
  <c r="E36" i="72"/>
  <c r="E41" i="72"/>
  <c r="O91" i="75"/>
  <c r="O87" i="75"/>
  <c r="G4" i="72"/>
  <c r="F4" i="72"/>
  <c r="E40" i="72"/>
  <c r="F83" i="72"/>
  <c r="F151" i="72"/>
  <c r="E163" i="72"/>
  <c r="E151" i="72"/>
  <c r="F232" i="72"/>
  <c r="G50" i="74"/>
  <c r="G52" i="74"/>
  <c r="G53" i="74"/>
  <c r="G49" i="74"/>
  <c r="K104" i="75"/>
  <c r="T27" i="70"/>
  <c r="Q104" i="70"/>
  <c r="Q141" i="70"/>
  <c r="U104" i="70"/>
  <c r="M136" i="70"/>
  <c r="M171" i="70" s="1"/>
  <c r="M157" i="70"/>
  <c r="AB136" i="70"/>
  <c r="AB157" i="70"/>
  <c r="AB131" i="70"/>
  <c r="T167" i="70"/>
  <c r="T188" i="70"/>
  <c r="T89" i="70"/>
  <c r="T187" i="70"/>
  <c r="T185" i="70"/>
  <c r="T184" i="70"/>
  <c r="T164" i="70"/>
  <c r="T87" i="70"/>
  <c r="N299" i="70"/>
  <c r="B74" i="62"/>
  <c r="B76" i="62"/>
  <c r="B75" i="62"/>
  <c r="C69" i="62"/>
  <c r="B79" i="62"/>
  <c r="B80" i="62"/>
  <c r="V79" i="62"/>
  <c r="V80" i="62"/>
  <c r="V112" i="62" s="1"/>
  <c r="Z69" i="62"/>
  <c r="V69" i="62"/>
  <c r="AI18" i="70"/>
  <c r="AJ18" i="70"/>
  <c r="T49" i="70"/>
  <c r="T50" i="70" s="1"/>
  <c r="X10" i="70"/>
  <c r="P164" i="70"/>
  <c r="P88" i="70"/>
  <c r="P186" i="70"/>
  <c r="P167" i="70"/>
  <c r="P185" i="70"/>
  <c r="P187" i="70"/>
  <c r="P188" i="70"/>
  <c r="P184" i="70"/>
  <c r="P145" i="70"/>
  <c r="H4" i="72"/>
  <c r="H83" i="72"/>
  <c r="I233" i="70"/>
  <c r="J233" i="70" s="1"/>
  <c r="H177" i="16"/>
  <c r="E15" i="76"/>
  <c r="E35" i="76"/>
  <c r="E29" i="76"/>
  <c r="BR124" i="37"/>
  <c r="BV122" i="37"/>
  <c r="AH202" i="37"/>
  <c r="AH11" i="37"/>
  <c r="J40" i="58"/>
  <c r="J66" i="58"/>
  <c r="J70" i="58"/>
  <c r="J69" i="58"/>
  <c r="M60" i="75"/>
  <c r="N98" i="75"/>
  <c r="N96" i="75"/>
  <c r="N94" i="75"/>
  <c r="Q49" i="70"/>
  <c r="Q50" i="70" s="1"/>
  <c r="Y49" i="70"/>
  <c r="Y50" i="70" s="1"/>
  <c r="U15" i="75"/>
  <c r="U27" i="75"/>
  <c r="V99" i="70"/>
  <c r="V97" i="70"/>
  <c r="V91" i="70"/>
  <c r="X160" i="70"/>
  <c r="O226" i="70"/>
  <c r="AE11" i="71"/>
  <c r="I177" i="16"/>
  <c r="U80" i="58"/>
  <c r="D38" i="58"/>
  <c r="R77" i="58"/>
  <c r="R69" i="58"/>
  <c r="R38" i="58"/>
  <c r="R41" i="58" s="1"/>
  <c r="AF77" i="58"/>
  <c r="AF38" i="58"/>
  <c r="AF42" i="58" s="1"/>
  <c r="O61" i="58"/>
  <c r="AC61" i="58"/>
  <c r="AC78" i="58"/>
  <c r="L79" i="58"/>
  <c r="AA79" i="58"/>
  <c r="D79" i="72"/>
  <c r="D68" i="72"/>
  <c r="D72" i="72"/>
  <c r="O30" i="70"/>
  <c r="O31" i="70" s="1"/>
  <c r="O27" i="70"/>
  <c r="BG141" i="70"/>
  <c r="BG144" i="70"/>
  <c r="W141" i="70"/>
  <c r="W144" i="70"/>
  <c r="W104" i="70"/>
  <c r="P226" i="70"/>
  <c r="AF11" i="71"/>
  <c r="BI119" i="37"/>
  <c r="AW118" i="37"/>
  <c r="BM119" i="37"/>
  <c r="K161" i="16"/>
  <c r="K75" i="16"/>
  <c r="Q54" i="75"/>
  <c r="J19" i="75"/>
  <c r="J23" i="75"/>
  <c r="L31" i="75"/>
  <c r="L32" i="75" s="1"/>
  <c r="L104" i="75"/>
  <c r="O96" i="75"/>
  <c r="O98" i="75"/>
  <c r="O94" i="75"/>
  <c r="Y41" i="70"/>
  <c r="AF28" i="70"/>
  <c r="R49" i="70"/>
  <c r="R50" i="70" s="1"/>
  <c r="N60" i="72"/>
  <c r="H33" i="74"/>
  <c r="N83" i="72"/>
  <c r="N56" i="72"/>
  <c r="D212" i="72"/>
  <c r="D221" i="72"/>
  <c r="G36" i="74"/>
  <c r="G34" i="74"/>
  <c r="K19" i="75"/>
  <c r="D108" i="77"/>
  <c r="K23" i="75"/>
  <c r="K9" i="75"/>
  <c r="M31" i="75"/>
  <c r="M32" i="75" s="1"/>
  <c r="M104" i="75"/>
  <c r="Q104" i="75"/>
  <c r="P96" i="75"/>
  <c r="P98" i="75"/>
  <c r="P94" i="75"/>
  <c r="C112" i="76"/>
  <c r="C111" i="76"/>
  <c r="S49" i="70"/>
  <c r="S50" i="70" s="1"/>
  <c r="T17" i="58"/>
  <c r="T72" i="58" s="1"/>
  <c r="T79" i="58"/>
  <c r="R78" i="72"/>
  <c r="Q65" i="75"/>
  <c r="Q68" i="75"/>
  <c r="Q71" i="75"/>
  <c r="B15" i="76"/>
  <c r="B29" i="76"/>
  <c r="P158" i="70"/>
  <c r="P160" i="70"/>
  <c r="BR322" i="37"/>
  <c r="BV322" i="37"/>
  <c r="N179" i="16"/>
  <c r="N176" i="16"/>
  <c r="E72" i="72"/>
  <c r="E221" i="72"/>
  <c r="C51" i="74"/>
  <c r="C54" i="74"/>
  <c r="S32" i="75"/>
  <c r="O54" i="75"/>
  <c r="R65" i="75"/>
  <c r="R68" i="75"/>
  <c r="R71" i="75"/>
  <c r="R74" i="75"/>
  <c r="C35" i="76"/>
  <c r="C15" i="76"/>
  <c r="C29" i="76"/>
  <c r="E95" i="76"/>
  <c r="O49" i="70"/>
  <c r="O50" i="70" s="1"/>
  <c r="O141" i="70"/>
  <c r="S104" i="70"/>
  <c r="H184" i="70"/>
  <c r="H186" i="70"/>
  <c r="H185" i="70"/>
  <c r="H188" i="70"/>
  <c r="H87" i="70"/>
  <c r="H187" i="70"/>
  <c r="I185" i="70"/>
  <c r="I188" i="70"/>
  <c r="I87" i="70"/>
  <c r="I164" i="70"/>
  <c r="I89" i="70"/>
  <c r="I187" i="70"/>
  <c r="H167" i="70"/>
  <c r="S171" i="70"/>
  <c r="I171" i="70"/>
  <c r="I186" i="70"/>
  <c r="T274" i="55"/>
  <c r="M96" i="16"/>
  <c r="L96" i="16"/>
  <c r="D27" i="62"/>
  <c r="C27" i="62"/>
  <c r="C33" i="62"/>
  <c r="C111" i="62" s="1"/>
  <c r="C19" i="62"/>
  <c r="F72" i="72"/>
  <c r="H100" i="72"/>
  <c r="J109" i="72"/>
  <c r="E10" i="73"/>
  <c r="P54" i="75"/>
  <c r="S68" i="75"/>
  <c r="S71" i="75"/>
  <c r="S74" i="75"/>
  <c r="D29" i="76"/>
  <c r="D35" i="76"/>
  <c r="B32" i="76"/>
  <c r="P49" i="70"/>
  <c r="P50" i="70" s="1"/>
  <c r="P141" i="70"/>
  <c r="P104" i="70"/>
  <c r="Y104" i="70"/>
  <c r="N187" i="70"/>
  <c r="N184" i="70"/>
  <c r="N186" i="70"/>
  <c r="N88" i="70"/>
  <c r="R144" i="70"/>
  <c r="R145" i="70"/>
  <c r="I167" i="70"/>
  <c r="T171" i="70"/>
  <c r="BN205" i="37"/>
  <c r="BN206" i="37" s="1"/>
  <c r="BN201" i="37"/>
  <c r="BT322" i="37"/>
  <c r="AZ323" i="37"/>
  <c r="BD323" i="37" s="1"/>
  <c r="BH323" i="37" s="1"/>
  <c r="BL324" i="37" s="1"/>
  <c r="BL322" i="37"/>
  <c r="BP322" i="37"/>
  <c r="M88" i="55"/>
  <c r="J98" i="16"/>
  <c r="AT232" i="37"/>
  <c r="BV164" i="37"/>
  <c r="AD80" i="78"/>
  <c r="AH95" i="78"/>
  <c r="D94" i="55"/>
  <c r="H274" i="55"/>
  <c r="K98" i="16"/>
  <c r="L98" i="16"/>
  <c r="L18" i="16"/>
  <c r="L179" i="16" s="1"/>
  <c r="T80" i="58"/>
  <c r="C38" i="58"/>
  <c r="Q77" i="58"/>
  <c r="Q69" i="58"/>
  <c r="Q38" i="58"/>
  <c r="Q41" i="58" s="1"/>
  <c r="AE77" i="58"/>
  <c r="N78" i="58"/>
  <c r="N70" i="58"/>
  <c r="N61" i="58"/>
  <c r="K79" i="58"/>
  <c r="Z79" i="58"/>
  <c r="K38" i="58"/>
  <c r="U57" i="58"/>
  <c r="U17" i="58"/>
  <c r="U72" i="58" s="1"/>
  <c r="U210" i="58"/>
  <c r="U211" i="58" s="1"/>
  <c r="U79" i="58"/>
  <c r="E13" i="73"/>
  <c r="Q74" i="75"/>
  <c r="P89" i="75"/>
  <c r="H159" i="77"/>
  <c r="P299" i="70"/>
  <c r="U23" i="75"/>
  <c r="N54" i="75"/>
  <c r="N63" i="75"/>
  <c r="U185" i="70"/>
  <c r="U184" i="70"/>
  <c r="U89" i="70"/>
  <c r="B299" i="70"/>
  <c r="I159" i="77"/>
  <c r="E32" i="73"/>
  <c r="U65" i="75"/>
  <c r="I154" i="55"/>
  <c r="J154" i="55" s="1"/>
  <c r="E7" i="57"/>
  <c r="F8" i="57" s="1"/>
  <c r="V57" i="58"/>
  <c r="V17" i="58"/>
  <c r="V72" i="58" s="1"/>
  <c r="V210" i="58"/>
  <c r="V211" i="58" s="1"/>
  <c r="V77" i="58"/>
  <c r="V79" i="58"/>
  <c r="L17" i="58"/>
  <c r="L70" i="58" s="1"/>
  <c r="L77" i="58"/>
  <c r="Q71" i="58"/>
  <c r="Q66" i="58"/>
  <c r="Q40" i="58"/>
  <c r="Q82" i="58" s="1"/>
  <c r="C29" i="73"/>
  <c r="Q89" i="75"/>
  <c r="Q91" i="75"/>
  <c r="Q87" i="75"/>
  <c r="F111" i="76"/>
  <c r="Y19" i="70"/>
  <c r="AM17" i="70"/>
  <c r="AM18" i="70" s="1"/>
  <c r="AF27" i="70"/>
  <c r="M154" i="55"/>
  <c r="N154" i="55" s="1"/>
  <c r="M17" i="58"/>
  <c r="M70" i="58" s="1"/>
  <c r="M77" i="58"/>
  <c r="W40" i="58"/>
  <c r="W82" i="58" s="1"/>
  <c r="W66" i="58"/>
  <c r="W212" i="58"/>
  <c r="W69" i="58"/>
  <c r="W70" i="58"/>
  <c r="F68" i="72"/>
  <c r="E211" i="72"/>
  <c r="E35" i="74"/>
  <c r="P23" i="75"/>
  <c r="P9" i="75"/>
  <c r="R9" i="75"/>
  <c r="I31" i="75"/>
  <c r="I32" i="75" s="1"/>
  <c r="K109" i="75"/>
  <c r="Q60" i="75"/>
  <c r="F112" i="76"/>
  <c r="J159" i="77"/>
  <c r="AB10" i="70"/>
  <c r="B157" i="70"/>
  <c r="B136" i="70"/>
  <c r="Q157" i="70"/>
  <c r="Q136" i="70"/>
  <c r="Q171" i="70" s="1"/>
  <c r="R233" i="70"/>
  <c r="X210" i="58"/>
  <c r="X211" i="58" s="1"/>
  <c r="X57" i="58"/>
  <c r="X77" i="58"/>
  <c r="N59" i="58"/>
  <c r="N72" i="58"/>
  <c r="N66" i="58"/>
  <c r="N40" i="58"/>
  <c r="X17" i="58"/>
  <c r="X71" i="58" s="1"/>
  <c r="AC18" i="61"/>
  <c r="AC19" i="61" s="1"/>
  <c r="B173" i="61"/>
  <c r="C173" i="61"/>
  <c r="B172" i="61"/>
  <c r="C172" i="61"/>
  <c r="C52" i="74"/>
  <c r="O104" i="75"/>
  <c r="S104" i="75"/>
  <c r="X144" i="70"/>
  <c r="I153" i="70"/>
  <c r="D105" i="55"/>
  <c r="D106" i="55"/>
  <c r="F76" i="55"/>
  <c r="F78" i="55"/>
  <c r="L152" i="72"/>
  <c r="H31" i="75"/>
  <c r="H32" i="75" s="1"/>
  <c r="B35" i="76"/>
  <c r="U87" i="70"/>
  <c r="AA99" i="70"/>
  <c r="AA97" i="70"/>
  <c r="R115" i="70"/>
  <c r="R105" i="70"/>
  <c r="V184" i="70"/>
  <c r="V167" i="70"/>
  <c r="V186" i="70"/>
  <c r="V89" i="70"/>
  <c r="V164" i="70"/>
  <c r="V87" i="70"/>
  <c r="U167" i="70"/>
  <c r="V185" i="70"/>
  <c r="AB19" i="70"/>
  <c r="Z99" i="70"/>
  <c r="D160" i="70"/>
  <c r="E16" i="73"/>
  <c r="G35" i="74"/>
  <c r="T21" i="75"/>
  <c r="G27" i="75"/>
  <c r="O31" i="75"/>
  <c r="O32" i="75" s="1"/>
  <c r="E81" i="76"/>
  <c r="E92" i="76" s="1"/>
  <c r="AR18" i="70"/>
  <c r="C167" i="70"/>
  <c r="C185" i="70"/>
  <c r="C188" i="70"/>
  <c r="C87" i="70"/>
  <c r="F301" i="70"/>
  <c r="C184" i="70"/>
  <c r="C164" i="70"/>
  <c r="C89" i="70"/>
  <c r="E157" i="70"/>
  <c r="U164" i="70"/>
  <c r="D9" i="69"/>
  <c r="D8" i="69"/>
  <c r="P55" i="58"/>
  <c r="P12" i="58"/>
  <c r="P14" i="58" s="1"/>
  <c r="P79" i="58" s="1"/>
  <c r="P104" i="75"/>
  <c r="C157" i="70"/>
  <c r="E43" i="72"/>
  <c r="H60" i="72"/>
  <c r="H77" i="72"/>
  <c r="J107" i="72"/>
  <c r="C72" i="74"/>
  <c r="E19" i="73"/>
  <c r="C50" i="74"/>
  <c r="F104" i="75"/>
  <c r="T104" i="75"/>
  <c r="O74" i="75"/>
  <c r="O71" i="75"/>
  <c r="O68" i="75"/>
  <c r="P91" i="75"/>
  <c r="Y28" i="70"/>
  <c r="Y30" i="70"/>
  <c r="Y31" i="70" s="1"/>
  <c r="E164" i="70"/>
  <c r="E88" i="70"/>
  <c r="E167" i="70"/>
  <c r="E89" i="70"/>
  <c r="E188" i="70"/>
  <c r="D188" i="70"/>
  <c r="D87" i="70"/>
  <c r="D88" i="70"/>
  <c r="D187" i="70"/>
  <c r="D185" i="70"/>
  <c r="D184" i="70"/>
  <c r="D164" i="70"/>
  <c r="D89" i="70"/>
  <c r="G153" i="70"/>
  <c r="G157" i="70"/>
  <c r="P171" i="70"/>
  <c r="D171" i="70"/>
  <c r="M237" i="55"/>
  <c r="M85" i="55"/>
  <c r="M238" i="55"/>
  <c r="M107" i="55"/>
  <c r="M236" i="55"/>
  <c r="M105" i="55"/>
  <c r="M108" i="55"/>
  <c r="M106" i="55"/>
  <c r="M109" i="55"/>
  <c r="F106" i="55"/>
  <c r="F88" i="55"/>
  <c r="F238" i="55"/>
  <c r="F236" i="55"/>
  <c r="F107" i="55"/>
  <c r="F92" i="55"/>
  <c r="F108" i="55"/>
  <c r="F105" i="55"/>
  <c r="C55" i="58"/>
  <c r="C12" i="58"/>
  <c r="C14" i="58" s="1"/>
  <c r="C77" i="58" s="1"/>
  <c r="J66" i="61"/>
  <c r="K66" i="61" s="1"/>
  <c r="E68" i="72"/>
  <c r="F211" i="72"/>
  <c r="E34" i="73"/>
  <c r="M68" i="72"/>
  <c r="N63" i="72"/>
  <c r="N68" i="72" s="1"/>
  <c r="F212" i="72"/>
  <c r="B51" i="74"/>
  <c r="B53" i="74"/>
  <c r="F74" i="74"/>
  <c r="X141" i="70"/>
  <c r="O144" i="70"/>
  <c r="M176" i="16"/>
  <c r="N69" i="58"/>
  <c r="E50" i="61"/>
  <c r="AB86" i="61"/>
  <c r="AB88" i="61" s="1"/>
  <c r="AB90" i="61" s="1"/>
  <c r="G88" i="61"/>
  <c r="G90" i="61" s="1"/>
  <c r="X186" i="70"/>
  <c r="X88" i="70"/>
  <c r="X188" i="70"/>
  <c r="Q226" i="70"/>
  <c r="BY226" i="37"/>
  <c r="BY10" i="37"/>
  <c r="N60" i="55"/>
  <c r="P276" i="55" s="1"/>
  <c r="N78" i="55"/>
  <c r="I274" i="55"/>
  <c r="K23" i="16"/>
  <c r="K9" i="16"/>
  <c r="E12" i="58"/>
  <c r="E14" i="58" s="1"/>
  <c r="E78" i="58" s="1"/>
  <c r="Y57" i="58"/>
  <c r="Y58" i="58" s="1"/>
  <c r="Y210" i="58"/>
  <c r="Y77" i="58"/>
  <c r="Y17" i="58"/>
  <c r="Y72" i="58" s="1"/>
  <c r="AC149" i="61"/>
  <c r="AC88" i="61"/>
  <c r="AC90" i="61" s="1"/>
  <c r="AC101" i="61" s="1"/>
  <c r="L21" i="75"/>
  <c r="F95" i="76"/>
  <c r="H102" i="72"/>
  <c r="M21" i="75"/>
  <c r="O23" i="75"/>
  <c r="F63" i="76"/>
  <c r="P19" i="70"/>
  <c r="X87" i="70"/>
  <c r="F167" i="70"/>
  <c r="F89" i="70"/>
  <c r="F186" i="70"/>
  <c r="H157" i="70"/>
  <c r="X164" i="70"/>
  <c r="H171" i="70"/>
  <c r="V171" i="70"/>
  <c r="F188" i="70"/>
  <c r="H231" i="70"/>
  <c r="N232" i="70"/>
  <c r="G301" i="70"/>
  <c r="G299" i="70"/>
  <c r="G300" i="70" s="1"/>
  <c r="AQ27" i="66"/>
  <c r="U21" i="55"/>
  <c r="H236" i="55"/>
  <c r="H238" i="55"/>
  <c r="H106" i="55"/>
  <c r="H108" i="55"/>
  <c r="H85" i="55"/>
  <c r="H92" i="55"/>
  <c r="H109" i="55"/>
  <c r="H88" i="55"/>
  <c r="J274" i="55"/>
  <c r="J106" i="16"/>
  <c r="J35" i="16"/>
  <c r="J36" i="16" s="1"/>
  <c r="J83" i="16"/>
  <c r="D114" i="30"/>
  <c r="D113" i="30"/>
  <c r="F55" i="58"/>
  <c r="J55" i="58"/>
  <c r="F12" i="58"/>
  <c r="F14" i="58" s="1"/>
  <c r="Z210" i="58"/>
  <c r="Z57" i="58"/>
  <c r="Z58" i="58" s="1"/>
  <c r="Z77" i="58"/>
  <c r="Z17" i="58"/>
  <c r="Z71" i="58" s="1"/>
  <c r="Q72" i="58"/>
  <c r="W31" i="70"/>
  <c r="Y91" i="70"/>
  <c r="G167" i="70"/>
  <c r="G186" i="70"/>
  <c r="G164" i="70"/>
  <c r="X184" i="70"/>
  <c r="G188" i="70"/>
  <c r="H301" i="70"/>
  <c r="H299" i="70"/>
  <c r="H300" i="70" s="1"/>
  <c r="V21" i="55"/>
  <c r="B78" i="55"/>
  <c r="B60" i="55"/>
  <c r="B92" i="55" s="1"/>
  <c r="K107" i="55"/>
  <c r="K236" i="55"/>
  <c r="K108" i="55"/>
  <c r="K85" i="55"/>
  <c r="K238" i="55"/>
  <c r="K105" i="55"/>
  <c r="K237" i="55"/>
  <c r="P274" i="55"/>
  <c r="K274" i="55"/>
  <c r="K106" i="16"/>
  <c r="K83" i="16"/>
  <c r="E114" i="30"/>
  <c r="E113" i="30"/>
  <c r="G12" i="58"/>
  <c r="G14" i="58" s="1"/>
  <c r="G80" i="58" s="1"/>
  <c r="J82" i="61"/>
  <c r="C108" i="77"/>
  <c r="N21" i="75"/>
  <c r="G89" i="70"/>
  <c r="X89" i="70"/>
  <c r="Z91" i="70"/>
  <c r="Y97" i="70"/>
  <c r="F164" i="70"/>
  <c r="R232" i="70"/>
  <c r="I301" i="70"/>
  <c r="AI21" i="37"/>
  <c r="R276" i="55"/>
  <c r="O105" i="55"/>
  <c r="O237" i="55"/>
  <c r="O69" i="55"/>
  <c r="O236" i="55"/>
  <c r="O107" i="55"/>
  <c r="O106" i="55"/>
  <c r="O88" i="55"/>
  <c r="H105" i="55"/>
  <c r="E153" i="55"/>
  <c r="F153" i="55" s="1"/>
  <c r="L274" i="55"/>
  <c r="L55" i="58"/>
  <c r="H55" i="58"/>
  <c r="H12" i="58"/>
  <c r="H14" i="58" s="1"/>
  <c r="L57" i="58" s="1"/>
  <c r="X78" i="58"/>
  <c r="Y166" i="61"/>
  <c r="W164" i="61"/>
  <c r="W166" i="61" s="1"/>
  <c r="D122" i="55"/>
  <c r="P108" i="55"/>
  <c r="P237" i="55"/>
  <c r="P85" i="55"/>
  <c r="P105" i="55"/>
  <c r="P69" i="55"/>
  <c r="P109" i="55"/>
  <c r="P88" i="55"/>
  <c r="P236" i="55"/>
  <c r="P106" i="55"/>
  <c r="P107" i="55"/>
  <c r="I153" i="55"/>
  <c r="J153" i="55" s="1"/>
  <c r="J37" i="29"/>
  <c r="F37" i="29"/>
  <c r="I12" i="58"/>
  <c r="I14" i="58" s="1"/>
  <c r="I79" i="58" s="1"/>
  <c r="M55" i="58"/>
  <c r="I55" i="58"/>
  <c r="AC210" i="58"/>
  <c r="AC17" i="58"/>
  <c r="AC70" i="58" s="1"/>
  <c r="AE80" i="58"/>
  <c r="N77" i="58"/>
  <c r="N38" i="58"/>
  <c r="N41" i="58" s="1"/>
  <c r="AB77" i="58"/>
  <c r="AB38" i="58"/>
  <c r="AB42" i="58" s="1"/>
  <c r="K61" i="58"/>
  <c r="Y61" i="58"/>
  <c r="Y78" i="58"/>
  <c r="W71" i="58"/>
  <c r="W79" i="58"/>
  <c r="W38" i="58"/>
  <c r="W41" i="58" s="1"/>
  <c r="E152" i="76"/>
  <c r="E137" i="76"/>
  <c r="AB99" i="70"/>
  <c r="K136" i="70"/>
  <c r="K157" i="70"/>
  <c r="Z136" i="70"/>
  <c r="X167" i="70"/>
  <c r="X185" i="70"/>
  <c r="P30" i="55"/>
  <c r="P65" i="55"/>
  <c r="T78" i="55"/>
  <c r="X122" i="55" s="1"/>
  <c r="T60" i="55"/>
  <c r="Q237" i="55"/>
  <c r="Q105" i="55"/>
  <c r="Q69" i="55"/>
  <c r="Q236" i="55"/>
  <c r="Q107" i="55"/>
  <c r="Q109" i="55"/>
  <c r="Q88" i="55"/>
  <c r="Q106" i="55"/>
  <c r="Q108" i="55"/>
  <c r="Q85" i="55"/>
  <c r="Q238" i="55"/>
  <c r="AT4" i="78"/>
  <c r="AS4" i="78"/>
  <c r="H58" i="16"/>
  <c r="H9" i="16"/>
  <c r="H38" i="16"/>
  <c r="O167" i="16"/>
  <c r="AF17" i="58"/>
  <c r="AF70" i="58" s="1"/>
  <c r="AF210" i="58"/>
  <c r="B38" i="58"/>
  <c r="P38" i="58"/>
  <c r="AD38" i="58"/>
  <c r="AD42" i="58" s="1"/>
  <c r="AD77" i="58"/>
  <c r="M38" i="58"/>
  <c r="M61" i="58"/>
  <c r="M78" i="58"/>
  <c r="AA38" i="58"/>
  <c r="AA42" i="58" s="1"/>
  <c r="J71" i="58"/>
  <c r="J79" i="58"/>
  <c r="J38" i="58"/>
  <c r="J41" i="58" s="1"/>
  <c r="I178" i="61"/>
  <c r="I177" i="61" s="1"/>
  <c r="U79" i="62"/>
  <c r="U80" i="62"/>
  <c r="AA49" i="70"/>
  <c r="AA50" i="70" s="1"/>
  <c r="H9" i="69"/>
  <c r="AT231" i="37"/>
  <c r="BV161" i="37"/>
  <c r="BJ161" i="37"/>
  <c r="AY323" i="37"/>
  <c r="BC323" i="37" s="1"/>
  <c r="BG323" i="37" s="1"/>
  <c r="BK324" i="37" s="1"/>
  <c r="BS322" i="37"/>
  <c r="BO322" i="37"/>
  <c r="O78" i="55"/>
  <c r="C85" i="55"/>
  <c r="W105" i="55"/>
  <c r="G274" i="55"/>
  <c r="L94" i="16"/>
  <c r="K94" i="16"/>
  <c r="G78" i="16"/>
  <c r="G77" i="16"/>
  <c r="G76" i="16"/>
  <c r="G75" i="16"/>
  <c r="G179" i="16"/>
  <c r="G8" i="16"/>
  <c r="O176" i="16"/>
  <c r="O179" i="16"/>
  <c r="O169" i="16"/>
  <c r="W210" i="58"/>
  <c r="W211" i="58" s="1"/>
  <c r="W57" i="58"/>
  <c r="AF80" i="58"/>
  <c r="O38" i="58"/>
  <c r="AC77" i="58"/>
  <c r="AC38" i="58"/>
  <c r="AC42" i="58" s="1"/>
  <c r="L38" i="58"/>
  <c r="L61" i="58"/>
  <c r="L78" i="58"/>
  <c r="Z38" i="58"/>
  <c r="Z42" i="58" s="1"/>
  <c r="Z61" i="58"/>
  <c r="I38" i="58"/>
  <c r="X79" i="58"/>
  <c r="O20" i="16"/>
  <c r="O78" i="16"/>
  <c r="L106" i="16"/>
  <c r="O101" i="16"/>
  <c r="AA210" i="58"/>
  <c r="AA17" i="58"/>
  <c r="J80" i="58"/>
  <c r="J72" i="58"/>
  <c r="X80" i="58"/>
  <c r="U77" i="58"/>
  <c r="R78" i="58"/>
  <c r="R70" i="58"/>
  <c r="AF78" i="58"/>
  <c r="AF61" i="58"/>
  <c r="K62" i="61"/>
  <c r="K146" i="61" s="1"/>
  <c r="J120" i="61"/>
  <c r="J127" i="61" s="1"/>
  <c r="J146" i="61"/>
  <c r="F8" i="69"/>
  <c r="X172" i="37"/>
  <c r="X190" i="37" s="1"/>
  <c r="Q13" i="55"/>
  <c r="M274" i="55"/>
  <c r="AB210" i="58"/>
  <c r="AB17" i="58"/>
  <c r="U38" i="58"/>
  <c r="G50" i="61"/>
  <c r="V50" i="61"/>
  <c r="AJ50" i="61"/>
  <c r="P50" i="61"/>
  <c r="AD50" i="61"/>
  <c r="U49" i="70"/>
  <c r="U50" i="70" s="1"/>
  <c r="N157" i="70"/>
  <c r="M299" i="70"/>
  <c r="CA44" i="37"/>
  <c r="AQ49" i="66"/>
  <c r="I106" i="55"/>
  <c r="I237" i="55"/>
  <c r="U109" i="55"/>
  <c r="U238" i="55"/>
  <c r="U88" i="55"/>
  <c r="U106" i="55"/>
  <c r="W109" i="55"/>
  <c r="N20" i="16"/>
  <c r="N8" i="16"/>
  <c r="N76" i="16"/>
  <c r="I62" i="16"/>
  <c r="I63" i="16"/>
  <c r="G63" i="16"/>
  <c r="N78" i="16"/>
  <c r="V49" i="70"/>
  <c r="V50" i="70" s="1"/>
  <c r="AD82" i="78"/>
  <c r="AH97" i="78"/>
  <c r="S21" i="55"/>
  <c r="V236" i="55"/>
  <c r="V238" i="55"/>
  <c r="V109" i="55"/>
  <c r="V88" i="55"/>
  <c r="W88" i="55"/>
  <c r="J9" i="16"/>
  <c r="H63" i="16"/>
  <c r="K179" i="16"/>
  <c r="R66" i="58"/>
  <c r="AD210" i="58"/>
  <c r="AD17" i="58"/>
  <c r="AD70" i="58" s="1"/>
  <c r="AD57" i="58"/>
  <c r="AD58" i="58" s="1"/>
  <c r="R79" i="58"/>
  <c r="AE18" i="61"/>
  <c r="AE19" i="61" s="1"/>
  <c r="H67" i="61"/>
  <c r="H78" i="61" s="1"/>
  <c r="AF65" i="61"/>
  <c r="AF67" i="61" s="1"/>
  <c r="CB21" i="37"/>
  <c r="C237" i="55"/>
  <c r="C107" i="55"/>
  <c r="C109" i="55"/>
  <c r="C88" i="55"/>
  <c r="C106" i="55"/>
  <c r="W106" i="55"/>
  <c r="W236" i="55"/>
  <c r="W108" i="55"/>
  <c r="W85" i="55"/>
  <c r="O92" i="55"/>
  <c r="U107" i="55"/>
  <c r="U108" i="55"/>
  <c r="U237" i="55"/>
  <c r="X238" i="55"/>
  <c r="B9" i="57"/>
  <c r="M106" i="16"/>
  <c r="N167" i="16"/>
  <c r="S17" i="58"/>
  <c r="S72" i="58" s="1"/>
  <c r="S79" i="58"/>
  <c r="AE210" i="58"/>
  <c r="AE17" i="58"/>
  <c r="AE57" i="58"/>
  <c r="H61" i="58"/>
  <c r="V61" i="58"/>
  <c r="AA77" i="58"/>
  <c r="AF18" i="61"/>
  <c r="AF19" i="61" s="1"/>
  <c r="BA92" i="41"/>
  <c r="AN21" i="37"/>
  <c r="I29" i="78"/>
  <c r="U51" i="66" s="1"/>
  <c r="AD81" i="78"/>
  <c r="AP50" i="66" s="1"/>
  <c r="AH96" i="78"/>
  <c r="M18" i="16"/>
  <c r="M79" i="16" s="1"/>
  <c r="C75" i="16"/>
  <c r="V80" i="58"/>
  <c r="S77" i="58"/>
  <c r="AD78" i="58"/>
  <c r="M79" i="58"/>
  <c r="AB79" i="58"/>
  <c r="B61" i="58"/>
  <c r="K77" i="58"/>
  <c r="M28" i="61"/>
  <c r="I98" i="61"/>
  <c r="I99" i="61" s="1"/>
  <c r="I101" i="61" s="1"/>
  <c r="AJ99" i="61"/>
  <c r="AJ101" i="61" s="1"/>
  <c r="AC61" i="62"/>
  <c r="AC28" i="62"/>
  <c r="X248" i="55"/>
  <c r="W248" i="55"/>
  <c r="D58" i="30"/>
  <c r="D61" i="30"/>
  <c r="W72" i="58"/>
  <c r="W80" i="58"/>
  <c r="T69" i="58"/>
  <c r="C61" i="58"/>
  <c r="Q78" i="58"/>
  <c r="U61" i="58"/>
  <c r="Q70" i="58"/>
  <c r="AE78" i="58"/>
  <c r="N79" i="58"/>
  <c r="N71" i="58"/>
  <c r="AC79" i="58"/>
  <c r="N28" i="61"/>
  <c r="AB65" i="61"/>
  <c r="AB67" i="61" s="1"/>
  <c r="AB78" i="61" s="1"/>
  <c r="G67" i="61"/>
  <c r="G78" i="61" s="1"/>
  <c r="AD101" i="61"/>
  <c r="J176" i="61"/>
  <c r="J181" i="61" s="1"/>
  <c r="J107" i="61" s="1"/>
  <c r="S205" i="37"/>
  <c r="AG319" i="37"/>
  <c r="BR122" i="37"/>
  <c r="BR156" i="37"/>
  <c r="BV255" i="37" s="1"/>
  <c r="BV252" i="37"/>
  <c r="BR231" i="37"/>
  <c r="BV160" i="37"/>
  <c r="BS160" i="37"/>
  <c r="AC12" i="66"/>
  <c r="Q154" i="55"/>
  <c r="R154" i="55" s="1"/>
  <c r="B20" i="16"/>
  <c r="B42" i="16" s="1"/>
  <c r="C108" i="16"/>
  <c r="E108" i="16"/>
  <c r="L105" i="16"/>
  <c r="J127" i="16"/>
  <c r="J132" i="16" s="1"/>
  <c r="K17" i="58"/>
  <c r="K71" i="58" s="1"/>
  <c r="K80" i="58"/>
  <c r="Y80" i="58"/>
  <c r="E61" i="58"/>
  <c r="S78" i="58"/>
  <c r="AE79" i="58"/>
  <c r="N55" i="58"/>
  <c r="T77" i="58"/>
  <c r="AH17" i="61"/>
  <c r="D173" i="61"/>
  <c r="D172" i="61"/>
  <c r="I147" i="61"/>
  <c r="AF95" i="61"/>
  <c r="AF99" i="61" s="1"/>
  <c r="H99" i="61"/>
  <c r="H101" i="61" s="1"/>
  <c r="AE101" i="61"/>
  <c r="AE148" i="61"/>
  <c r="AE150" i="61" s="1"/>
  <c r="AE164" i="61" s="1"/>
  <c r="T205" i="37"/>
  <c r="AW319" i="37"/>
  <c r="BA319" i="37" s="1"/>
  <c r="BM115" i="37"/>
  <c r="AI122" i="37"/>
  <c r="BR232" i="37"/>
  <c r="BV163" i="37"/>
  <c r="C20" i="16"/>
  <c r="C62" i="16" s="1"/>
  <c r="K35" i="16"/>
  <c r="K36" i="16" s="1"/>
  <c r="K82" i="16"/>
  <c r="K127" i="16"/>
  <c r="D41" i="30"/>
  <c r="F61" i="58"/>
  <c r="F12" i="61"/>
  <c r="F14" i="61" s="1"/>
  <c r="AI12" i="61"/>
  <c r="AI14" i="61" s="1"/>
  <c r="K63" i="61"/>
  <c r="AF148" i="61"/>
  <c r="AN12" i="78"/>
  <c r="H152" i="55"/>
  <c r="I152" i="55" s="1"/>
  <c r="D57" i="16"/>
  <c r="L35" i="16"/>
  <c r="L36" i="16" s="1"/>
  <c r="L127" i="16"/>
  <c r="L132" i="16" s="1"/>
  <c r="M167" i="16"/>
  <c r="D55" i="30"/>
  <c r="G61" i="58"/>
  <c r="U78" i="58"/>
  <c r="C50" i="61"/>
  <c r="AB149" i="61"/>
  <c r="K95" i="61"/>
  <c r="F102" i="61"/>
  <c r="I79" i="16"/>
  <c r="I85" i="16"/>
  <c r="I161" i="16"/>
  <c r="M80" i="58"/>
  <c r="AA80" i="58"/>
  <c r="W61" i="58"/>
  <c r="J12" i="61"/>
  <c r="J14" i="61" s="1"/>
  <c r="Y12" i="61"/>
  <c r="Y14" i="61" s="1"/>
  <c r="D28" i="61"/>
  <c r="S28" i="61"/>
  <c r="AG28" i="61"/>
  <c r="E57" i="61"/>
  <c r="T57" i="61"/>
  <c r="AH57" i="61"/>
  <c r="N57" i="61"/>
  <c r="AG78" i="61"/>
  <c r="AH37" i="62"/>
  <c r="AD39" i="62"/>
  <c r="F79" i="62"/>
  <c r="F76" i="62"/>
  <c r="F74" i="62"/>
  <c r="F80" i="62"/>
  <c r="F92" i="62" s="1"/>
  <c r="F69" i="62"/>
  <c r="F75" i="62"/>
  <c r="AA79" i="62"/>
  <c r="AA69" i="62"/>
  <c r="AA80" i="62"/>
  <c r="AA118" i="62" s="1"/>
  <c r="U104" i="62"/>
  <c r="U105" i="62"/>
  <c r="AJ132" i="62"/>
  <c r="N80" i="58"/>
  <c r="AB80" i="58"/>
  <c r="X61" i="58"/>
  <c r="V78" i="58"/>
  <c r="K12" i="61"/>
  <c r="K14" i="61" s="1"/>
  <c r="Z12" i="61"/>
  <c r="Z14" i="61" s="1"/>
  <c r="E28" i="61"/>
  <c r="T28" i="61"/>
  <c r="AH28" i="61"/>
  <c r="K50" i="61"/>
  <c r="K113" i="61" s="1"/>
  <c r="AI147" i="61"/>
  <c r="AI148" i="61" s="1"/>
  <c r="AI150" i="61" s="1"/>
  <c r="AI164" i="61" s="1"/>
  <c r="I181" i="61"/>
  <c r="I107" i="61" s="1"/>
  <c r="S10" i="62"/>
  <c r="S19" i="62"/>
  <c r="S20" i="62" s="1"/>
  <c r="AM9" i="62"/>
  <c r="AC117" i="62"/>
  <c r="AG116" i="62"/>
  <c r="AC80" i="58"/>
  <c r="M12" i="61"/>
  <c r="M14" i="61" s="1"/>
  <c r="AA12" i="61"/>
  <c r="AA14" i="61" s="1"/>
  <c r="M50" i="61"/>
  <c r="AA50" i="61"/>
  <c r="T78" i="61"/>
  <c r="H142" i="61"/>
  <c r="I141" i="61" s="1"/>
  <c r="AM15" i="62"/>
  <c r="X27" i="62"/>
  <c r="X45" i="62"/>
  <c r="X19" i="62"/>
  <c r="Y55" i="62"/>
  <c r="Y68" i="62"/>
  <c r="Y26" i="62"/>
  <c r="AC55" i="62"/>
  <c r="AD132" i="62"/>
  <c r="AD119" i="62"/>
  <c r="H115" i="62"/>
  <c r="E42" i="16"/>
  <c r="H75" i="16"/>
  <c r="H76" i="16"/>
  <c r="H77" i="16"/>
  <c r="H78" i="16"/>
  <c r="N12" i="61"/>
  <c r="N14" i="61" s="1"/>
  <c r="AB12" i="61"/>
  <c r="AB14" i="61" s="1"/>
  <c r="U78" i="61"/>
  <c r="V101" i="61"/>
  <c r="B33" i="62"/>
  <c r="B117" i="62" s="1"/>
  <c r="B19" i="62"/>
  <c r="G60" i="62"/>
  <c r="AD116" i="62"/>
  <c r="AK122" i="62"/>
  <c r="H12" i="61"/>
  <c r="H14" i="61" s="1"/>
  <c r="W12" i="61"/>
  <c r="W14" i="61" s="1"/>
  <c r="B28" i="61"/>
  <c r="Q28" i="61"/>
  <c r="AE28" i="61"/>
  <c r="H50" i="61"/>
  <c r="W50" i="61"/>
  <c r="B78" i="61"/>
  <c r="B102" i="61" s="1"/>
  <c r="AJ127" i="62"/>
  <c r="I23" i="16"/>
  <c r="D75" i="16"/>
  <c r="D76" i="16"/>
  <c r="D77" i="16"/>
  <c r="H85" i="16"/>
  <c r="L80" i="58"/>
  <c r="Z80" i="58"/>
  <c r="T78" i="58"/>
  <c r="Q79" i="58"/>
  <c r="AF79" i="58"/>
  <c r="I12" i="61"/>
  <c r="I14" i="61" s="1"/>
  <c r="X12" i="61"/>
  <c r="X14" i="61" s="1"/>
  <c r="C28" i="61"/>
  <c r="R28" i="61"/>
  <c r="AF28" i="61"/>
  <c r="I50" i="61"/>
  <c r="I113" i="61" s="1"/>
  <c r="AF50" i="61"/>
  <c r="M57" i="61"/>
  <c r="AJ77" i="61"/>
  <c r="I75" i="61"/>
  <c r="J75" i="61" s="1"/>
  <c r="K75" i="61" s="1"/>
  <c r="E79" i="62"/>
  <c r="E80" i="62"/>
  <c r="E106" i="62" s="1"/>
  <c r="E69" i="62"/>
  <c r="E76" i="62"/>
  <c r="E75" i="62"/>
  <c r="AG99" i="62"/>
  <c r="I103" i="62"/>
  <c r="AI132" i="62"/>
  <c r="AI104" i="62"/>
  <c r="G173" i="61"/>
  <c r="G172" i="61"/>
  <c r="P57" i="61"/>
  <c r="AD57" i="61"/>
  <c r="AB148" i="61"/>
  <c r="R101" i="61"/>
  <c r="AA159" i="61"/>
  <c r="AA157" i="61" s="1"/>
  <c r="S117" i="62"/>
  <c r="S30" i="62"/>
  <c r="H172" i="61"/>
  <c r="I172" i="61" s="1"/>
  <c r="J172" i="61" s="1"/>
  <c r="K172" i="61" s="1"/>
  <c r="H173" i="61"/>
  <c r="I173" i="61" s="1"/>
  <c r="J173" i="61" s="1"/>
  <c r="K173" i="61" s="1"/>
  <c r="B57" i="61"/>
  <c r="Q57" i="61"/>
  <c r="AE57" i="61"/>
  <c r="K64" i="61"/>
  <c r="J72" i="61"/>
  <c r="AG101" i="61"/>
  <c r="J100" i="61"/>
  <c r="K100" i="61" s="1"/>
  <c r="AK76" i="62"/>
  <c r="AK71" i="62"/>
  <c r="AK82" i="62"/>
  <c r="AK113" i="62" s="1"/>
  <c r="C57" i="61"/>
  <c r="R57" i="61"/>
  <c r="AF57" i="61"/>
  <c r="H88" i="61"/>
  <c r="H90" i="61" s="1"/>
  <c r="T101" i="61"/>
  <c r="C141" i="61"/>
  <c r="C142" i="61" s="1"/>
  <c r="D141" i="61" s="1"/>
  <c r="AA34" i="62"/>
  <c r="AA70" i="62"/>
  <c r="AE62" i="62"/>
  <c r="AE48" i="15"/>
  <c r="D50" i="61"/>
  <c r="S50" i="61"/>
  <c r="AG50" i="61"/>
  <c r="D57" i="61"/>
  <c r="S57" i="61"/>
  <c r="AG57" i="61"/>
  <c r="F57" i="61"/>
  <c r="U57" i="61"/>
  <c r="AI57" i="61"/>
  <c r="AJ67" i="61"/>
  <c r="AJ145" i="61"/>
  <c r="AJ148" i="61" s="1"/>
  <c r="AJ150" i="61" s="1"/>
  <c r="AJ164" i="61" s="1"/>
  <c r="AJ166" i="61" s="1"/>
  <c r="AI67" i="61"/>
  <c r="AI88" i="61"/>
  <c r="AI90" i="61" s="1"/>
  <c r="U101" i="61"/>
  <c r="V32" i="62"/>
  <c r="W47" i="62"/>
  <c r="AA38" i="62"/>
  <c r="AB70" i="62"/>
  <c r="AF62" i="62"/>
  <c r="G72" i="15"/>
  <c r="G13" i="15"/>
  <c r="E172" i="61"/>
  <c r="E173" i="61"/>
  <c r="I61" i="61"/>
  <c r="AH101" i="61"/>
  <c r="AB79" i="62"/>
  <c r="AB69" i="62"/>
  <c r="AB80" i="62"/>
  <c r="AB106" i="62" s="1"/>
  <c r="Y121" i="62"/>
  <c r="Y103" i="62"/>
  <c r="C22" i="13"/>
  <c r="C169" i="13" s="1"/>
  <c r="EX10" i="12" s="1"/>
  <c r="J10" i="12"/>
  <c r="C7" i="13"/>
  <c r="R10" i="12" s="1"/>
  <c r="AB16" i="12"/>
  <c r="S169" i="13"/>
  <c r="EZ16" i="12" s="1"/>
  <c r="S171" i="13"/>
  <c r="FP16" i="12" s="1"/>
  <c r="S55" i="13"/>
  <c r="BX16" i="12" s="1"/>
  <c r="S24" i="13"/>
  <c r="P101" i="61"/>
  <c r="AH9" i="62"/>
  <c r="R111" i="62"/>
  <c r="R30" i="62"/>
  <c r="T111" i="15"/>
  <c r="T160" i="15"/>
  <c r="F28" i="62"/>
  <c r="F27" i="62"/>
  <c r="H103" i="62"/>
  <c r="AE104" i="62"/>
  <c r="AE132" i="62"/>
  <c r="AE107" i="62"/>
  <c r="Z110" i="62"/>
  <c r="Z111" i="62"/>
  <c r="B132" i="62"/>
  <c r="C116" i="62"/>
  <c r="W10" i="62"/>
  <c r="AB27" i="62"/>
  <c r="Q132" i="62"/>
  <c r="Q105" i="62"/>
  <c r="AA110" i="62"/>
  <c r="AE110" i="62"/>
  <c r="AA111" i="62"/>
  <c r="G104" i="62"/>
  <c r="H149" i="61"/>
  <c r="AC45" i="62"/>
  <c r="R105" i="62"/>
  <c r="AG132" i="62"/>
  <c r="AG138" i="62" s="1"/>
  <c r="AG139" i="62" s="1"/>
  <c r="AG104" i="62"/>
  <c r="AG107" i="62"/>
  <c r="AF127" i="62"/>
  <c r="Y109" i="62"/>
  <c r="AC110" i="62" s="1"/>
  <c r="H15" i="62"/>
  <c r="AE162" i="62"/>
  <c r="AE168" i="62"/>
  <c r="AE171" i="62"/>
  <c r="AE124" i="62"/>
  <c r="AE165" i="62"/>
  <c r="AE113" i="62"/>
  <c r="S105" i="62"/>
  <c r="S132" i="62"/>
  <c r="S104" i="62"/>
  <c r="AF81" i="61"/>
  <c r="I120" i="61"/>
  <c r="I127" i="61" s="1"/>
  <c r="AA10" i="62"/>
  <c r="AJ15" i="62"/>
  <c r="W80" i="62"/>
  <c r="W106" i="62" s="1"/>
  <c r="W79" i="62"/>
  <c r="O95" i="62"/>
  <c r="W122" i="62"/>
  <c r="AK127" i="62"/>
  <c r="U87" i="15"/>
  <c r="U26" i="15"/>
  <c r="N95" i="62"/>
  <c r="N94" i="62"/>
  <c r="W104" i="62"/>
  <c r="W110" i="62"/>
  <c r="W111" i="62"/>
  <c r="W132" i="62"/>
  <c r="Y10" i="62"/>
  <c r="U10" i="62"/>
  <c r="W19" i="62"/>
  <c r="Z19" i="62"/>
  <c r="Z30" i="62"/>
  <c r="Z27" i="62"/>
  <c r="Z45" i="62"/>
  <c r="O132" i="62"/>
  <c r="O134" i="62" s="1"/>
  <c r="G110" i="62"/>
  <c r="AB110" i="62"/>
  <c r="X110" i="62"/>
  <c r="X111" i="62"/>
  <c r="C132" i="62"/>
  <c r="C134" i="62" s="1"/>
  <c r="S111" i="62"/>
  <c r="AG122" i="62"/>
  <c r="AG124" i="62"/>
  <c r="J87" i="15"/>
  <c r="K87" i="15"/>
  <c r="AD26" i="15"/>
  <c r="AD87" i="15"/>
  <c r="H160" i="15"/>
  <c r="H163" i="15"/>
  <c r="Z117" i="62"/>
  <c r="Z47" i="62"/>
  <c r="G56" i="62"/>
  <c r="G61" i="62" s="1"/>
  <c r="AG94" i="62"/>
  <c r="AG162" i="62"/>
  <c r="AG171" i="62"/>
  <c r="AG168" i="62"/>
  <c r="AG129" i="62"/>
  <c r="AG119" i="62"/>
  <c r="AG165" i="62"/>
  <c r="AG76" i="62"/>
  <c r="D105" i="62"/>
  <c r="D132" i="62"/>
  <c r="I121" i="62"/>
  <c r="AD143" i="62"/>
  <c r="AC144" i="62"/>
  <c r="H172" i="62"/>
  <c r="I177" i="62"/>
  <c r="J177" i="62" s="1"/>
  <c r="AH179" i="62"/>
  <c r="AD31" i="15"/>
  <c r="AD30" i="15"/>
  <c r="AD29" i="15"/>
  <c r="T10" i="62"/>
  <c r="Q80" i="62"/>
  <c r="E104" i="62"/>
  <c r="U111" i="62"/>
  <c r="AK110" i="62"/>
  <c r="AA116" i="62"/>
  <c r="AI122" i="62"/>
  <c r="AB127" i="62"/>
  <c r="E132" i="62"/>
  <c r="I172" i="62"/>
  <c r="AI82" i="62"/>
  <c r="AI107" i="62" s="1"/>
  <c r="AI71" i="62"/>
  <c r="AI76" i="62"/>
  <c r="E110" i="62"/>
  <c r="AB116" i="62"/>
  <c r="J160" i="15"/>
  <c r="J163" i="15"/>
  <c r="AA163" i="15"/>
  <c r="AA160" i="15"/>
  <c r="Z61" i="62"/>
  <c r="AC79" i="62"/>
  <c r="AC80" i="62"/>
  <c r="AH71" i="62"/>
  <c r="V110" i="62"/>
  <c r="F70" i="15"/>
  <c r="F15" i="15"/>
  <c r="F69" i="15"/>
  <c r="F71" i="15"/>
  <c r="F47" i="15"/>
  <c r="F68" i="15"/>
  <c r="AB163" i="15"/>
  <c r="AB160" i="15"/>
  <c r="V27" i="62"/>
  <c r="W105" i="62"/>
  <c r="E32" i="15"/>
  <c r="E33" i="15"/>
  <c r="I86" i="9"/>
  <c r="X80" i="62"/>
  <c r="X69" i="62"/>
  <c r="AD171" i="62"/>
  <c r="AD168" i="62"/>
  <c r="AD107" i="62"/>
  <c r="T79" i="62"/>
  <c r="F132" i="62"/>
  <c r="AA104" i="62"/>
  <c r="AA105" i="62"/>
  <c r="AG113" i="62"/>
  <c r="AG110" i="62"/>
  <c r="G121" i="62"/>
  <c r="G179" i="62"/>
  <c r="B69" i="15"/>
  <c r="B68" i="15"/>
  <c r="B29" i="15"/>
  <c r="B71" i="15"/>
  <c r="B15" i="15"/>
  <c r="B53" i="15" s="1"/>
  <c r="B70" i="15"/>
  <c r="AD16" i="15"/>
  <c r="AD53" i="15"/>
  <c r="AD48" i="15"/>
  <c r="AE85" i="15"/>
  <c r="AE70" i="15"/>
  <c r="AE25" i="15"/>
  <c r="W52" i="15"/>
  <c r="H70" i="62"/>
  <c r="AB104" i="62"/>
  <c r="AB105" i="62"/>
  <c r="AI110" i="62"/>
  <c r="W117" i="62"/>
  <c r="AA122" i="62"/>
  <c r="AD124" i="62"/>
  <c r="I153" i="62"/>
  <c r="J153" i="62" s="1"/>
  <c r="AD162" i="62"/>
  <c r="AD179" i="62"/>
  <c r="AE175" i="62"/>
  <c r="AD86" i="62"/>
  <c r="AD98" i="62" s="1"/>
  <c r="Y52" i="15"/>
  <c r="N132" i="62"/>
  <c r="N134" i="62" s="1"/>
  <c r="AC132" i="62"/>
  <c r="AC105" i="62"/>
  <c r="D110" i="62"/>
  <c r="X117" i="62"/>
  <c r="X116" i="62"/>
  <c r="O47" i="15"/>
  <c r="O57" i="15"/>
  <c r="O69" i="15"/>
  <c r="O71" i="15"/>
  <c r="O15" i="15"/>
  <c r="O53" i="15" s="1"/>
  <c r="O70" i="15"/>
  <c r="O68" i="15"/>
  <c r="AE47" i="15"/>
  <c r="AE68" i="15"/>
  <c r="L168" i="13"/>
  <c r="L156" i="13"/>
  <c r="DL13" i="12" s="1"/>
  <c r="EB13" i="12"/>
  <c r="D80" i="62"/>
  <c r="D106" i="62" s="1"/>
  <c r="D75" i="62"/>
  <c r="T164" i="62"/>
  <c r="T170" i="62"/>
  <c r="T167" i="62"/>
  <c r="T94" i="62"/>
  <c r="T137" i="62" s="1"/>
  <c r="T148" i="62" s="1"/>
  <c r="T152" i="62" s="1"/>
  <c r="T155" i="62" s="1"/>
  <c r="T156" i="62" s="1"/>
  <c r="T112" i="62"/>
  <c r="T95" i="62"/>
  <c r="V132" i="62"/>
  <c r="AK104" i="62"/>
  <c r="AK132" i="62"/>
  <c r="V116" i="62"/>
  <c r="AF132" i="62"/>
  <c r="AF116" i="62"/>
  <c r="R116" i="62"/>
  <c r="G126" i="62"/>
  <c r="J154" i="62"/>
  <c r="AO154" i="62" s="1"/>
  <c r="K154" i="62"/>
  <c r="AN176" i="62"/>
  <c r="AM126" i="62"/>
  <c r="AM127" i="62" s="1"/>
  <c r="B47" i="15"/>
  <c r="D11" i="12"/>
  <c r="D12" i="12"/>
  <c r="AB26" i="15"/>
  <c r="AB87" i="15"/>
  <c r="R160" i="15"/>
  <c r="Z23" i="15"/>
  <c r="Z25" i="15" s="1"/>
  <c r="Z87" i="15" s="1"/>
  <c r="V25" i="15"/>
  <c r="V28" i="15" s="1"/>
  <c r="P132" i="62"/>
  <c r="AD110" i="62"/>
  <c r="U116" i="62"/>
  <c r="H121" i="62"/>
  <c r="AD122" i="62"/>
  <c r="AO146" i="62"/>
  <c r="X87" i="15"/>
  <c r="K146" i="62"/>
  <c r="AA47" i="15"/>
  <c r="AA70" i="15"/>
  <c r="AA69" i="15"/>
  <c r="AA71" i="15"/>
  <c r="F163" i="15"/>
  <c r="F160" i="15"/>
  <c r="U163" i="15"/>
  <c r="U160" i="15"/>
  <c r="G85" i="62"/>
  <c r="G86" i="62"/>
  <c r="AE119" i="62"/>
  <c r="AE116" i="62"/>
  <c r="H126" i="62"/>
  <c r="Z132" i="62"/>
  <c r="AJ179" i="62"/>
  <c r="AK175" i="62"/>
  <c r="I175" i="62" s="1"/>
  <c r="AJ86" i="62"/>
  <c r="S69" i="15"/>
  <c r="S57" i="15"/>
  <c r="S70" i="15"/>
  <c r="S15" i="15"/>
  <c r="S47" i="15"/>
  <c r="K28" i="15"/>
  <c r="K16" i="15"/>
  <c r="K17" i="18"/>
  <c r="K15" i="18"/>
  <c r="EQ16" i="12"/>
  <c r="R169" i="13"/>
  <c r="EY16" i="12" s="1"/>
  <c r="U70" i="15"/>
  <c r="U15" i="15"/>
  <c r="U68" i="15"/>
  <c r="U69" i="15"/>
  <c r="U57" i="15"/>
  <c r="U47" i="15"/>
  <c r="L48" i="15"/>
  <c r="S26" i="15"/>
  <c r="S51" i="15"/>
  <c r="M16" i="18"/>
  <c r="X28" i="18"/>
  <c r="E55" i="13"/>
  <c r="BX10" i="12" s="1"/>
  <c r="CW11" i="12"/>
  <c r="CW12" i="12"/>
  <c r="E50" i="9"/>
  <c r="BX33" i="12" s="1"/>
  <c r="AB33" i="12"/>
  <c r="Y69" i="9"/>
  <c r="Y25" i="9"/>
  <c r="AC33" i="12"/>
  <c r="F50" i="9"/>
  <c r="BY33" i="12" s="1"/>
  <c r="F164" i="9"/>
  <c r="FA33" i="12" s="1"/>
  <c r="F166" i="9"/>
  <c r="FQ33" i="12" s="1"/>
  <c r="J95" i="11"/>
  <c r="J15" i="11"/>
  <c r="C8" i="64"/>
  <c r="C10" i="64"/>
  <c r="P86" i="15"/>
  <c r="U86" i="15"/>
  <c r="U71" i="15"/>
  <c r="U51" i="15"/>
  <c r="W163" i="15"/>
  <c r="W160" i="15"/>
  <c r="W30" i="11"/>
  <c r="D8" i="64"/>
  <c r="E8" i="64" s="1"/>
  <c r="J15" i="15"/>
  <c r="J47" i="15"/>
  <c r="Y71" i="15"/>
  <c r="Y15" i="15"/>
  <c r="Y68" i="15"/>
  <c r="Y47" i="15"/>
  <c r="Y69" i="15"/>
  <c r="Y57" i="15"/>
  <c r="X86" i="15"/>
  <c r="X71" i="15"/>
  <c r="X26" i="15"/>
  <c r="X51" i="15"/>
  <c r="Z24" i="15"/>
  <c r="J68" i="15"/>
  <c r="G172" i="62"/>
  <c r="AE69" i="15"/>
  <c r="J86" i="15"/>
  <c r="J71" i="15"/>
  <c r="J51" i="15"/>
  <c r="K26" i="15"/>
  <c r="AC87" i="15"/>
  <c r="AC26" i="15"/>
  <c r="M52" i="15"/>
  <c r="AC86" i="15"/>
  <c r="L160" i="15"/>
  <c r="T20" i="18"/>
  <c r="S22" i="18"/>
  <c r="E166" i="9"/>
  <c r="FP33" i="12" s="1"/>
  <c r="H13" i="15"/>
  <c r="H72" i="15"/>
  <c r="P68" i="15"/>
  <c r="P57" i="15"/>
  <c r="C87" i="15"/>
  <c r="D87" i="15"/>
  <c r="C26" i="15"/>
  <c r="AB68" i="15"/>
  <c r="I160" i="15"/>
  <c r="AC163" i="15"/>
  <c r="AC160" i="15"/>
  <c r="Z80" i="15"/>
  <c r="Z13" i="15"/>
  <c r="Z68" i="15" s="1"/>
  <c r="Z72" i="15"/>
  <c r="V48" i="15"/>
  <c r="O52" i="15"/>
  <c r="P160" i="15"/>
  <c r="P163" i="15"/>
  <c r="AD163" i="15"/>
  <c r="AD160" i="15"/>
  <c r="AE163" i="15"/>
  <c r="AJ36" i="12"/>
  <c r="R24" i="9"/>
  <c r="R70" i="9" s="1"/>
  <c r="Z71" i="11"/>
  <c r="CN12" i="12"/>
  <c r="CN11" i="12"/>
  <c r="R70" i="15"/>
  <c r="R57" i="15"/>
  <c r="J26" i="15"/>
  <c r="H142" i="15"/>
  <c r="AA10" i="12"/>
  <c r="D55" i="13"/>
  <c r="BW10" i="12" s="1"/>
  <c r="D44" i="13"/>
  <c r="R86" i="9"/>
  <c r="W5" i="11"/>
  <c r="CO12" i="12"/>
  <c r="CO11" i="12"/>
  <c r="X132" i="62"/>
  <c r="AH109" i="62"/>
  <c r="AC15" i="15"/>
  <c r="P47" i="15"/>
  <c r="F44" i="13"/>
  <c r="AC10" i="12"/>
  <c r="F24" i="13"/>
  <c r="F55" i="13"/>
  <c r="BY10" i="12" s="1"/>
  <c r="T25" i="9"/>
  <c r="T39" i="9"/>
  <c r="W49" i="11"/>
  <c r="T73" i="11"/>
  <c r="N76" i="11"/>
  <c r="EI12" i="12"/>
  <c r="EI11" i="12"/>
  <c r="Y172" i="62"/>
  <c r="D10" i="64"/>
  <c r="E10" i="64" s="1"/>
  <c r="L57" i="15"/>
  <c r="L47" i="15"/>
  <c r="L69" i="15"/>
  <c r="AB71" i="15"/>
  <c r="AB15" i="15"/>
  <c r="Y160" i="15"/>
  <c r="K4" i="18"/>
  <c r="K11" i="18"/>
  <c r="M29" i="18"/>
  <c r="M7" i="18" s="1"/>
  <c r="M13" i="18" s="1"/>
  <c r="AC47" i="15"/>
  <c r="AC69" i="15"/>
  <c r="P15" i="15"/>
  <c r="AC52" i="15"/>
  <c r="I53" i="15"/>
  <c r="P71" i="15"/>
  <c r="D24" i="13"/>
  <c r="D80" i="15"/>
  <c r="D13" i="15"/>
  <c r="D52" i="15" s="1"/>
  <c r="N68" i="15"/>
  <c r="N57" i="15"/>
  <c r="N69" i="15"/>
  <c r="AD47" i="15"/>
  <c r="AD52" i="15"/>
  <c r="R15" i="15"/>
  <c r="P69" i="15"/>
  <c r="AB70" i="15"/>
  <c r="R71" i="15"/>
  <c r="G160" i="15"/>
  <c r="G163" i="15"/>
  <c r="T75" i="11"/>
  <c r="DM10" i="12"/>
  <c r="F157" i="13"/>
  <c r="DU10" i="12" s="1"/>
  <c r="EB10" i="12"/>
  <c r="E156" i="13"/>
  <c r="EP10" i="12"/>
  <c r="F71" i="9"/>
  <c r="F70" i="9"/>
  <c r="AK33" i="12"/>
  <c r="F39" i="9"/>
  <c r="BI33" i="12" s="1"/>
  <c r="K114" i="9"/>
  <c r="P107" i="9"/>
  <c r="P114" i="9" s="1"/>
  <c r="F171" i="13"/>
  <c r="FQ10" i="12" s="1"/>
  <c r="EC10" i="12"/>
  <c r="D169" i="13"/>
  <c r="EY10" i="12" s="1"/>
  <c r="EQ10" i="12"/>
  <c r="M187" i="13"/>
  <c r="Q107" i="9"/>
  <c r="Q114" i="9" s="1"/>
  <c r="L114" i="9"/>
  <c r="ER33" i="12"/>
  <c r="E164" i="9"/>
  <c r="EZ33" i="12" s="1"/>
  <c r="C95" i="11"/>
  <c r="C15" i="11"/>
  <c r="Z51" i="11"/>
  <c r="E169" i="13"/>
  <c r="EZ10" i="12" s="1"/>
  <c r="ER10" i="12"/>
  <c r="F15" i="11"/>
  <c r="F95" i="11"/>
  <c r="W22" i="11"/>
  <c r="Z33" i="11"/>
  <c r="K29" i="18"/>
  <c r="K10" i="12"/>
  <c r="D7" i="13"/>
  <c r="S10" i="12" s="1"/>
  <c r="AC16" i="12"/>
  <c r="T55" i="13"/>
  <c r="BY16" i="12" s="1"/>
  <c r="F168" i="13"/>
  <c r="X68" i="9"/>
  <c r="M92" i="9"/>
  <c r="M152" i="9" s="1"/>
  <c r="DT36" i="12" s="1"/>
  <c r="P164" i="9"/>
  <c r="P165" i="9"/>
  <c r="AF93" i="11"/>
  <c r="W93" i="11"/>
  <c r="K160" i="15"/>
  <c r="M10" i="12"/>
  <c r="F7" i="13"/>
  <c r="U10" i="12" s="1"/>
  <c r="E180" i="13"/>
  <c r="R24" i="13"/>
  <c r="ES13" i="12"/>
  <c r="H70" i="9"/>
  <c r="M5" i="12"/>
  <c r="T4" i="11"/>
  <c r="W13" i="11"/>
  <c r="D67" i="11"/>
  <c r="D57" i="11"/>
  <c r="G76" i="11"/>
  <c r="L6" i="12" s="1"/>
  <c r="L12" i="12" s="1"/>
  <c r="D95" i="11"/>
  <c r="CG12" i="12"/>
  <c r="CG11" i="12"/>
  <c r="T57" i="15"/>
  <c r="T70" i="15"/>
  <c r="X151" i="15"/>
  <c r="T24" i="13"/>
  <c r="EA16" i="12"/>
  <c r="J86" i="9"/>
  <c r="C165" i="9"/>
  <c r="W40" i="11"/>
  <c r="X160" i="15"/>
  <c r="AA13" i="12"/>
  <c r="DZ10" i="12"/>
  <c r="C156" i="13"/>
  <c r="C171" i="13"/>
  <c r="FN10" i="12" s="1"/>
  <c r="AI33" i="12"/>
  <c r="D36" i="9"/>
  <c r="I36" i="9" s="1"/>
  <c r="D71" i="9"/>
  <c r="I24" i="9"/>
  <c r="D70" i="9"/>
  <c r="Y71" i="9"/>
  <c r="D16" i="11"/>
  <c r="W47" i="11"/>
  <c r="L24" i="13"/>
  <c r="L44" i="13"/>
  <c r="EA10" i="12"/>
  <c r="T171" i="13"/>
  <c r="FQ16" i="12" s="1"/>
  <c r="E71" i="9"/>
  <c r="E70" i="9"/>
  <c r="E38" i="9"/>
  <c r="J24" i="9"/>
  <c r="AJ33" i="12"/>
  <c r="Y88" i="9"/>
  <c r="N50" i="9"/>
  <c r="BY36" i="12" s="1"/>
  <c r="J114" i="9"/>
  <c r="CU36" i="12"/>
  <c r="L163" i="9"/>
  <c r="DL36" i="12"/>
  <c r="W7" i="11"/>
  <c r="W21" i="11"/>
  <c r="Z41" i="11"/>
  <c r="X15" i="15"/>
  <c r="B32" i="15"/>
  <c r="AI36" i="12"/>
  <c r="L39" i="9"/>
  <c r="BG36" i="12" s="1"/>
  <c r="ES36" i="12"/>
  <c r="N165" i="9"/>
  <c r="FI36" i="12" s="1"/>
  <c r="G6" i="11"/>
  <c r="R7" i="11"/>
  <c r="T31" i="11"/>
  <c r="G52" i="11"/>
  <c r="CF11" i="12"/>
  <c r="CF12" i="12"/>
  <c r="T71" i="15"/>
  <c r="T51" i="15"/>
  <c r="Y86" i="15"/>
  <c r="AS36" i="12"/>
  <c r="Y84" i="9"/>
  <c r="Y68" i="9"/>
  <c r="E15" i="11"/>
  <c r="E95" i="11"/>
  <c r="Z24" i="11"/>
  <c r="N52" i="11"/>
  <c r="K95" i="11"/>
  <c r="K15" i="11"/>
  <c r="CV11" i="12"/>
  <c r="CV12" i="12"/>
  <c r="AA36" i="12"/>
  <c r="L50" i="9"/>
  <c r="BW36" i="12" s="1"/>
  <c r="C71" i="9"/>
  <c r="C70" i="9"/>
  <c r="C39" i="9"/>
  <c r="C36" i="9"/>
  <c r="H36" i="9" s="1"/>
  <c r="R85" i="9"/>
  <c r="R33" i="11"/>
  <c r="R39" i="11"/>
  <c r="R41" i="11"/>
  <c r="R32" i="11"/>
  <c r="R23" i="11"/>
  <c r="R30" i="11"/>
  <c r="R8" i="11"/>
  <c r="R21" i="11"/>
  <c r="R24" i="11"/>
  <c r="R12" i="11"/>
  <c r="R20" i="11"/>
  <c r="R6" i="11"/>
  <c r="Q15" i="11"/>
  <c r="R19" i="11"/>
  <c r="CL11" i="12"/>
  <c r="CL12" i="12"/>
  <c r="K25" i="9"/>
  <c r="BV202" i="37"/>
  <c r="BV201" i="37"/>
  <c r="BV257" i="37"/>
  <c r="BV205" i="37"/>
  <c r="CU11" i="12"/>
  <c r="CU12" i="12"/>
  <c r="X69" i="9"/>
  <c r="H39" i="9"/>
  <c r="H71" i="9"/>
  <c r="M163" i="9"/>
  <c r="M167" i="9"/>
  <c r="FX36" i="12" s="1"/>
  <c r="EB36" i="12"/>
  <c r="M166" i="9"/>
  <c r="FP36" i="12" s="1"/>
  <c r="DC12" i="12"/>
  <c r="DC11" i="12"/>
  <c r="CT12" i="12"/>
  <c r="V163" i="15"/>
  <c r="V160" i="15"/>
  <c r="EC36" i="12"/>
  <c r="N167" i="9"/>
  <c r="FY36" i="12" s="1"/>
  <c r="N166" i="9"/>
  <c r="FQ36" i="12" s="1"/>
  <c r="N151" i="9"/>
  <c r="I88" i="9"/>
  <c r="EK12" i="12"/>
  <c r="E57" i="11"/>
  <c r="BO12" i="12"/>
  <c r="T114" i="9"/>
  <c r="W23" i="11"/>
  <c r="DD11" i="12"/>
  <c r="CM11" i="12"/>
  <c r="BU228" i="37"/>
  <c r="BK77" i="41"/>
  <c r="BU221" i="41"/>
  <c r="BT225" i="41"/>
  <c r="BK79" i="41"/>
  <c r="BT221" i="41"/>
  <c r="BJ53" i="41"/>
  <c r="BK53" i="41"/>
  <c r="BN265" i="41"/>
  <c r="BN267" i="41"/>
  <c r="BE288" i="41"/>
  <c r="AE11" i="37"/>
  <c r="AG11" i="37"/>
  <c r="CA10" i="37"/>
  <c r="AY156" i="37"/>
  <c r="AY255" i="37" s="1"/>
  <c r="BU322" i="37"/>
  <c r="BU167" i="37"/>
  <c r="Z54" i="37"/>
  <c r="Z219" i="37" s="1"/>
  <c r="CF122" i="37"/>
  <c r="BY324" i="37"/>
  <c r="CH122" i="37"/>
  <c r="AJ21" i="37"/>
  <c r="AW126" i="37"/>
  <c r="CC156" i="37"/>
  <c r="CC173" i="37" s="1"/>
  <c r="BA329" i="37"/>
  <c r="CD156" i="37"/>
  <c r="CD173" i="37" s="1"/>
  <c r="BS169" i="37"/>
  <c r="AW21" i="37"/>
  <c r="AV21" i="37"/>
  <c r="AP300" i="37"/>
  <c r="AP319" i="37" s="1"/>
  <c r="CH252" i="37"/>
  <c r="CA18" i="37"/>
  <c r="AL21" i="37"/>
  <c r="AP21" i="37"/>
  <c r="AM126" i="37"/>
  <c r="BT255" i="37"/>
  <c r="AL301" i="37"/>
  <c r="AN126" i="37"/>
  <c r="BP163" i="37"/>
  <c r="CE156" i="37"/>
  <c r="AA254" i="37"/>
  <c r="Y338" i="37"/>
  <c r="I11" i="78"/>
  <c r="U13" i="78" s="1"/>
  <c r="AS16" i="78"/>
  <c r="AO46" i="66"/>
  <c r="AL12" i="78"/>
  <c r="AM12" i="78"/>
  <c r="AO12" i="78"/>
  <c r="J29" i="78"/>
  <c r="V51" i="66" s="1"/>
  <c r="V29" i="78"/>
  <c r="AH51" i="66" s="1"/>
  <c r="AL29" i="78"/>
  <c r="AL35" i="78" s="1"/>
  <c r="AL37" i="78" s="1"/>
  <c r="AL69" i="78" s="1"/>
  <c r="B29" i="78"/>
  <c r="B35" i="78" s="1"/>
  <c r="B37" i="78" s="1"/>
  <c r="B69" i="78" s="1"/>
  <c r="N29" i="78"/>
  <c r="N35" i="78" s="1"/>
  <c r="N37" i="78" s="1"/>
  <c r="Z29" i="78"/>
  <c r="AL51" i="66" s="1"/>
  <c r="AS69" i="78"/>
  <c r="K7" i="78"/>
  <c r="AM96" i="78"/>
  <c r="AM95" i="78"/>
  <c r="AF64" i="78"/>
  <c r="AF66" i="78" s="1"/>
  <c r="AF67" i="78" s="1"/>
  <c r="K97" i="78"/>
  <c r="W97" i="78"/>
  <c r="Y96" i="78"/>
  <c r="D29" i="78"/>
  <c r="D35" i="78" s="1"/>
  <c r="D37" i="78" s="1"/>
  <c r="D69" i="78" s="1"/>
  <c r="P29" i="78"/>
  <c r="AB51" i="66" s="1"/>
  <c r="AB29" i="78"/>
  <c r="AN51" i="66" s="1"/>
  <c r="AP46" i="66"/>
  <c r="AI49" i="66"/>
  <c r="AU13" i="78"/>
  <c r="AO96" i="78"/>
  <c r="AM94" i="78"/>
  <c r="AH45" i="66"/>
  <c r="AQ7" i="78"/>
  <c r="M64" i="78"/>
  <c r="M66" i="78" s="1"/>
  <c r="M67" i="78" s="1"/>
  <c r="AS97" i="78"/>
  <c r="AC5" i="78"/>
  <c r="V70" i="78"/>
  <c r="B64" i="78"/>
  <c r="B66" i="78" s="1"/>
  <c r="B67" i="78" s="1"/>
  <c r="N64" i="78"/>
  <c r="N66" i="78" s="1"/>
  <c r="N67" i="78" s="1"/>
  <c r="Z64" i="78"/>
  <c r="Z66" i="78" s="1"/>
  <c r="Z67" i="78" s="1"/>
  <c r="Q97" i="78"/>
  <c r="Q82" i="78"/>
  <c r="L4" i="78"/>
  <c r="X49" i="66" s="1"/>
  <c r="K95" i="78"/>
  <c r="W95" i="78"/>
  <c r="G64" i="78"/>
  <c r="G66" i="78" s="1"/>
  <c r="G67" i="78" s="1"/>
  <c r="S96" i="78"/>
  <c r="AE64" i="78"/>
  <c r="AE66" i="78" s="1"/>
  <c r="AE67" i="78" s="1"/>
  <c r="AP49" i="66"/>
  <c r="O4" i="78"/>
  <c r="F29" i="78"/>
  <c r="R51" i="66" s="1"/>
  <c r="R29" i="78"/>
  <c r="AD51" i="66" s="1"/>
  <c r="AD29" i="78"/>
  <c r="AD30" i="78" s="1"/>
  <c r="L95" i="78"/>
  <c r="X95" i="78"/>
  <c r="H96" i="78"/>
  <c r="T96" i="78"/>
  <c r="AF96" i="78"/>
  <c r="AU131" i="78"/>
  <c r="AJ49" i="66"/>
  <c r="S29" i="78"/>
  <c r="AE51" i="66" s="1"/>
  <c r="M95" i="78"/>
  <c r="Y95" i="78"/>
  <c r="I96" i="78"/>
  <c r="U96" i="78"/>
  <c r="AR56" i="78"/>
  <c r="AT69" i="78"/>
  <c r="F64" i="78"/>
  <c r="F66" i="78" s="1"/>
  <c r="F67" i="78" s="1"/>
  <c r="R64" i="78"/>
  <c r="R66" i="78" s="1"/>
  <c r="R67" i="78" s="1"/>
  <c r="AD64" i="78"/>
  <c r="AD66" i="78" s="1"/>
  <c r="AD67" i="78" s="1"/>
  <c r="AL96" i="78"/>
  <c r="R94" i="78"/>
  <c r="AQ46" i="66"/>
  <c r="BW72" i="41"/>
  <c r="BJ76" i="41"/>
  <c r="BJ79" i="41" s="1"/>
  <c r="BS223" i="41"/>
  <c r="BW91" i="41"/>
  <c r="BP10" i="41"/>
  <c r="AH92" i="41"/>
  <c r="AA12" i="66"/>
  <c r="AB12" i="66"/>
  <c r="BW40" i="41"/>
  <c r="BJ113" i="41"/>
  <c r="BT96" i="41"/>
  <c r="AH76" i="41"/>
  <c r="AH79" i="41" s="1"/>
  <c r="AV76" i="41"/>
  <c r="AV77" i="41" s="1"/>
  <c r="BW70" i="41"/>
  <c r="BW164" i="41" s="1"/>
  <c r="BW71" i="41"/>
  <c r="BW165" i="41" s="1"/>
  <c r="BN221" i="41"/>
  <c r="BF18" i="41"/>
  <c r="BW88" i="41"/>
  <c r="BJ146" i="41"/>
  <c r="BJ41" i="41"/>
  <c r="BJ109" i="41"/>
  <c r="BJ137" i="41"/>
  <c r="BJ136" i="41"/>
  <c r="BJ135" i="41"/>
  <c r="BJ49" i="41"/>
  <c r="BJ47" i="41"/>
  <c r="BJ114" i="41"/>
  <c r="BJ44" i="41"/>
  <c r="BJ92" i="41"/>
  <c r="AW165" i="41"/>
  <c r="V84" i="41"/>
  <c r="BJ15" i="41"/>
  <c r="AP76" i="41"/>
  <c r="AP79" i="41" s="1"/>
  <c r="BV165" i="41"/>
  <c r="BU91" i="41"/>
  <c r="BU92" i="41" s="1"/>
  <c r="BP221" i="41"/>
  <c r="BF15" i="41"/>
  <c r="AI163" i="41"/>
  <c r="BG163" i="41"/>
  <c r="BP223" i="41"/>
  <c r="AL238" i="41"/>
  <c r="AX240" i="41" s="1"/>
  <c r="BV91" i="41"/>
  <c r="BJ143" i="41"/>
  <c r="BB11" i="41"/>
  <c r="BR225" i="41"/>
  <c r="BJ144" i="41"/>
  <c r="BO69" i="41"/>
  <c r="BO142" i="41" s="1"/>
  <c r="Z6" i="66"/>
  <c r="AA6" i="66"/>
  <c r="BF49" i="41"/>
  <c r="W11" i="41"/>
  <c r="BH113" i="41"/>
  <c r="BO199" i="41"/>
  <c r="BU225" i="41"/>
  <c r="BO235" i="41"/>
  <c r="Q266" i="41"/>
  <c r="BJ16" i="41"/>
  <c r="AH11" i="41"/>
  <c r="BP16" i="41"/>
  <c r="W36" i="41"/>
  <c r="AX76" i="41"/>
  <c r="AR113" i="41"/>
  <c r="BJ18" i="41"/>
  <c r="BO10" i="41"/>
  <c r="AK11" i="41"/>
  <c r="W49" i="41"/>
  <c r="AM76" i="41"/>
  <c r="AM77" i="41" s="1"/>
  <c r="AR165" i="41"/>
  <c r="BJ7" i="41"/>
  <c r="BJ19" i="41"/>
  <c r="BO221" i="41"/>
  <c r="BP236" i="41"/>
  <c r="V235" i="41"/>
  <c r="Z12" i="66"/>
  <c r="BJ138" i="41"/>
  <c r="BO19" i="41"/>
  <c r="AO113" i="41"/>
  <c r="BI11" i="41"/>
  <c r="BP91" i="41"/>
  <c r="BJ9" i="41"/>
  <c r="BW112" i="41"/>
  <c r="BJ139" i="41"/>
  <c r="BU15" i="41"/>
  <c r="BV35" i="41"/>
  <c r="BV135" i="41" s="1"/>
  <c r="BN71" i="41"/>
  <c r="BN165" i="41" s="1"/>
  <c r="BQ72" i="41"/>
  <c r="BT72" i="41"/>
  <c r="I113" i="41"/>
  <c r="BN225" i="41"/>
  <c r="BV113" i="41"/>
  <c r="BJ140" i="41"/>
  <c r="BW166" i="41"/>
  <c r="O11" i="41"/>
  <c r="BU70" i="41"/>
  <c r="BV164" i="41" s="1"/>
  <c r="AH109" i="41"/>
  <c r="BJ142" i="41"/>
  <c r="BQ52" i="41"/>
  <c r="BD76" i="41"/>
  <c r="BD77" i="41" s="1"/>
  <c r="BO72" i="41"/>
  <c r="BR72" i="41"/>
  <c r="BU72" i="41"/>
  <c r="BQ91" i="41"/>
  <c r="BQ223" i="41"/>
  <c r="AC223" i="41"/>
  <c r="AC6" i="66"/>
  <c r="BW33" i="41"/>
  <c r="BW43" i="41"/>
  <c r="BW52" i="41"/>
  <c r="BN91" i="41"/>
  <c r="BW87" i="41"/>
  <c r="BR234" i="41"/>
  <c r="BW46" i="41"/>
  <c r="BW69" i="41"/>
  <c r="BJ145" i="41"/>
  <c r="BT198" i="41"/>
  <c r="BO236" i="41"/>
  <c r="U275" i="41"/>
  <c r="Z275" i="41"/>
  <c r="Z276" i="41" s="1"/>
  <c r="AT204" i="41"/>
  <c r="BS204" i="41" s="1"/>
  <c r="BC92" i="41"/>
  <c r="BC44" i="41"/>
  <c r="BC49" i="41"/>
  <c r="BC47" i="41"/>
  <c r="BC11" i="41"/>
  <c r="AC92" i="41"/>
  <c r="L10" i="66" s="1"/>
  <c r="AD36" i="41"/>
  <c r="AD11" i="41"/>
  <c r="AD44" i="41"/>
  <c r="AR47" i="41"/>
  <c r="AR137" i="41"/>
  <c r="AR49" i="41"/>
  <c r="BH41" i="41"/>
  <c r="BH44" i="41"/>
  <c r="AJ41" i="41"/>
  <c r="AJ11" i="41"/>
  <c r="S143" i="41"/>
  <c r="C13" i="66" s="1"/>
  <c r="S76" i="41"/>
  <c r="S79" i="41" s="1"/>
  <c r="S81" i="41" s="1"/>
  <c r="C36" i="41"/>
  <c r="C79" i="41"/>
  <c r="C98" i="41" s="1"/>
  <c r="C101" i="41" s="1"/>
  <c r="C104" i="41" s="1"/>
  <c r="X109" i="41"/>
  <c r="X36" i="41"/>
  <c r="X41" i="41"/>
  <c r="X11" i="41"/>
  <c r="X44" i="41"/>
  <c r="AX49" i="41"/>
  <c r="AX47" i="41"/>
  <c r="BN10" i="41"/>
  <c r="BN19" i="41"/>
  <c r="M36" i="41"/>
  <c r="BF52" i="41"/>
  <c r="BS76" i="41"/>
  <c r="BS77" i="41" s="1"/>
  <c r="AY109" i="41"/>
  <c r="AR144" i="41"/>
  <c r="BR223" i="41"/>
  <c r="BO225" i="41"/>
  <c r="V275" i="41"/>
  <c r="V276" i="41" s="1"/>
  <c r="W275" i="41"/>
  <c r="W276" i="41" s="1"/>
  <c r="AB6" i="66"/>
  <c r="BP19" i="41"/>
  <c r="AH49" i="41"/>
  <c r="AJ166" i="41"/>
  <c r="BT223" i="41"/>
  <c r="BQ225" i="41"/>
  <c r="Q245" i="41"/>
  <c r="BD288" i="41"/>
  <c r="BQ10" i="41"/>
  <c r="AC278" i="41"/>
  <c r="BC164" i="41"/>
  <c r="AK75" i="41"/>
  <c r="L109" i="41"/>
  <c r="BU223" i="41"/>
  <c r="AU240" i="41"/>
  <c r="M275" i="41"/>
  <c r="M277" i="41" s="1"/>
  <c r="AD6" i="66"/>
  <c r="AD12" i="66"/>
  <c r="BS18" i="41"/>
  <c r="W41" i="41"/>
  <c r="AH44" i="41"/>
  <c r="P113" i="41"/>
  <c r="O165" i="41"/>
  <c r="F275" i="41"/>
  <c r="BP198" i="41"/>
  <c r="AY240" i="41"/>
  <c r="P266" i="41"/>
  <c r="AE6" i="66"/>
  <c r="AE12" i="66"/>
  <c r="BB10" i="41"/>
  <c r="BB160" i="41"/>
  <c r="AK44" i="41"/>
  <c r="W47" i="41"/>
  <c r="BC53" i="41"/>
  <c r="BP72" i="41"/>
  <c r="Q83" i="41"/>
  <c r="T113" i="41"/>
  <c r="AZ240" i="41"/>
  <c r="M278" i="41"/>
  <c r="AF6" i="66"/>
  <c r="AF12" i="66"/>
  <c r="BQ16" i="41"/>
  <c r="AO44" i="41"/>
  <c r="AG47" i="41"/>
  <c r="BP52" i="41"/>
  <c r="BD53" i="41"/>
  <c r="AH88" i="41"/>
  <c r="Q10" i="66" s="1"/>
  <c r="AO146" i="41"/>
  <c r="H275" i="41"/>
  <c r="BQ221" i="41"/>
  <c r="O278" i="41"/>
  <c r="AG6" i="66"/>
  <c r="L11" i="41"/>
  <c r="BT16" i="41"/>
  <c r="BQ19" i="41"/>
  <c r="BT10" i="41"/>
  <c r="AR160" i="41"/>
  <c r="AY41" i="41"/>
  <c r="AH47" i="41"/>
  <c r="AG135" i="41"/>
  <c r="BG76" i="41"/>
  <c r="BK167" i="41" s="1"/>
  <c r="BB112" i="41"/>
  <c r="BB114" i="41" s="1"/>
  <c r="J275" i="41"/>
  <c r="V236" i="41"/>
  <c r="M268" i="41"/>
  <c r="P278" i="41"/>
  <c r="AH6" i="66"/>
  <c r="AH12" i="66"/>
  <c r="AS160" i="41"/>
  <c r="H35" i="41"/>
  <c r="H36" i="41" s="1"/>
  <c r="BS40" i="41"/>
  <c r="BI41" i="41"/>
  <c r="AR92" i="41"/>
  <c r="U114" i="41"/>
  <c r="Z201" i="41"/>
  <c r="BR221" i="41"/>
  <c r="AI6" i="66"/>
  <c r="AI12" i="66"/>
  <c r="P11" i="41"/>
  <c r="I35" i="41"/>
  <c r="I79" i="41" s="1"/>
  <c r="I98" i="41" s="1"/>
  <c r="I101" i="41" s="1"/>
  <c r="I104" i="41" s="1"/>
  <c r="BT40" i="41"/>
  <c r="BS96" i="41"/>
  <c r="O275" i="41"/>
  <c r="O277" i="41" s="1"/>
  <c r="BN197" i="41"/>
  <c r="BN275" i="41" s="1"/>
  <c r="Y198" i="41"/>
  <c r="BS221" i="41"/>
  <c r="BO223" i="41"/>
  <c r="BR236" i="41"/>
  <c r="V279" i="41"/>
  <c r="AJ6" i="66"/>
  <c r="AJ12" i="66"/>
  <c r="J35" i="41"/>
  <c r="BP51" i="41"/>
  <c r="BU46" i="41"/>
  <c r="BQ234" i="41"/>
  <c r="BQ236" i="41" s="1"/>
  <c r="AE7" i="66"/>
  <c r="AV146" i="41"/>
  <c r="AV145" i="41"/>
  <c r="AV140" i="41"/>
  <c r="AV139" i="41"/>
  <c r="AV138" i="41"/>
  <c r="AV137" i="41"/>
  <c r="AV136" i="41"/>
  <c r="AV135" i="41"/>
  <c r="AV114" i="41"/>
  <c r="AV49" i="41"/>
  <c r="AV47" i="41"/>
  <c r="AV109" i="41"/>
  <c r="AV88" i="41"/>
  <c r="AE10" i="66" s="1"/>
  <c r="AV44" i="41"/>
  <c r="AV41" i="41"/>
  <c r="AV11" i="41"/>
  <c r="AV92" i="41"/>
  <c r="AL164" i="41"/>
  <c r="AL143" i="41"/>
  <c r="U13" i="66" s="1"/>
  <c r="BT165" i="41"/>
  <c r="BD146" i="41"/>
  <c r="AM7" i="66"/>
  <c r="BD109" i="41"/>
  <c r="BD137" i="41"/>
  <c r="BD140" i="41"/>
  <c r="BD135" i="41"/>
  <c r="BD44" i="41"/>
  <c r="BD138" i="41"/>
  <c r="BD136" i="41"/>
  <c r="BD139" i="41"/>
  <c r="BD49" i="41"/>
  <c r="BD92" i="41"/>
  <c r="BD41" i="41"/>
  <c r="BD47" i="41"/>
  <c r="BD11" i="41"/>
  <c r="N7" i="66"/>
  <c r="AE140" i="41"/>
  <c r="AE139" i="41"/>
  <c r="AE138" i="41"/>
  <c r="AE137" i="41"/>
  <c r="AE136" i="41"/>
  <c r="AE134" i="41"/>
  <c r="AE133" i="41"/>
  <c r="AE41" i="41"/>
  <c r="AE88" i="41"/>
  <c r="N10" i="66" s="1"/>
  <c r="BP35" i="41"/>
  <c r="BP88" i="41" s="1"/>
  <c r="AE92" i="41"/>
  <c r="AE109" i="41"/>
  <c r="AE47" i="41"/>
  <c r="AE49" i="41"/>
  <c r="AE36" i="41"/>
  <c r="AE11" i="41"/>
  <c r="AE44" i="41"/>
  <c r="AN7" i="66"/>
  <c r="BE145" i="41"/>
  <c r="BE146" i="41"/>
  <c r="BE109" i="41"/>
  <c r="BE135" i="41"/>
  <c r="BE114" i="41"/>
  <c r="BE136" i="41"/>
  <c r="BE44" i="41"/>
  <c r="BE138" i="41"/>
  <c r="BE139" i="41"/>
  <c r="BE137" i="41"/>
  <c r="BE49" i="41"/>
  <c r="BE140" i="41"/>
  <c r="BE47" i="41"/>
  <c r="BE11" i="41"/>
  <c r="BE41" i="41"/>
  <c r="E36" i="41"/>
  <c r="E79" i="41"/>
  <c r="O7" i="66"/>
  <c r="AF134" i="41"/>
  <c r="AF133" i="41"/>
  <c r="AF138" i="41"/>
  <c r="AF137" i="41"/>
  <c r="AF139" i="41"/>
  <c r="AF88" i="41"/>
  <c r="O10" i="66" s="1"/>
  <c r="AF44" i="41"/>
  <c r="AF140" i="41"/>
  <c r="AF135" i="41"/>
  <c r="AF136" i="41"/>
  <c r="AF36" i="41"/>
  <c r="AF109" i="41"/>
  <c r="AF41" i="41"/>
  <c r="AF49" i="41"/>
  <c r="AF92" i="41"/>
  <c r="AF47" i="41"/>
  <c r="AF11" i="41"/>
  <c r="AN140" i="41"/>
  <c r="AN139" i="41"/>
  <c r="AN138" i="41"/>
  <c r="AN137" i="41"/>
  <c r="AN136" i="41"/>
  <c r="AN135" i="41"/>
  <c r="AN109" i="41"/>
  <c r="AN88" i="41"/>
  <c r="W10" i="66" s="1"/>
  <c r="W7" i="66"/>
  <c r="AN92" i="41"/>
  <c r="AN41" i="41"/>
  <c r="AN11" i="41"/>
  <c r="AN49" i="41"/>
  <c r="AN47" i="41"/>
  <c r="AN44" i="41"/>
  <c r="AL76" i="41"/>
  <c r="AL79" i="41" s="1"/>
  <c r="BF7" i="41"/>
  <c r="AO5" i="66" s="1"/>
  <c r="AT160" i="41"/>
  <c r="AT35" i="41"/>
  <c r="BP33" i="41"/>
  <c r="Y7" i="66"/>
  <c r="AP140" i="41"/>
  <c r="AP139" i="41"/>
  <c r="AP138" i="41"/>
  <c r="AP137" i="41"/>
  <c r="AP136" i="41"/>
  <c r="AP135" i="41"/>
  <c r="AP146" i="41"/>
  <c r="AP92" i="41"/>
  <c r="AP49" i="41"/>
  <c r="AP47" i="41"/>
  <c r="AR163" i="41"/>
  <c r="AR142" i="41"/>
  <c r="AF143" i="41"/>
  <c r="O13" i="66" s="1"/>
  <c r="AQ146" i="41"/>
  <c r="Z7" i="66"/>
  <c r="AQ140" i="41"/>
  <c r="AQ139" i="41"/>
  <c r="AQ138" i="41"/>
  <c r="AQ137" i="41"/>
  <c r="AQ136" i="41"/>
  <c r="AQ135" i="41"/>
  <c r="AQ145" i="41"/>
  <c r="AQ88" i="41"/>
  <c r="Z10" i="66" s="1"/>
  <c r="AQ92" i="41"/>
  <c r="AQ41" i="41"/>
  <c r="AQ109" i="41"/>
  <c r="Q165" i="41"/>
  <c r="P165" i="41"/>
  <c r="P144" i="41"/>
  <c r="AO165" i="41"/>
  <c r="AO144" i="41"/>
  <c r="O83" i="41"/>
  <c r="O84" i="41"/>
  <c r="BP87" i="41"/>
  <c r="BQ87" i="41"/>
  <c r="AQ11" i="41"/>
  <c r="AA145" i="41"/>
  <c r="BO33" i="41"/>
  <c r="BO145" i="41" s="1"/>
  <c r="AR146" i="41"/>
  <c r="AA7" i="66"/>
  <c r="AR145" i="41"/>
  <c r="AR136" i="41"/>
  <c r="AR140" i="41"/>
  <c r="AR139" i="41"/>
  <c r="AR109" i="41"/>
  <c r="AR135" i="41"/>
  <c r="AR44" i="41"/>
  <c r="AR138" i="41"/>
  <c r="AR88" i="41"/>
  <c r="AA10" i="66" s="1"/>
  <c r="L36" i="41"/>
  <c r="W135" i="41"/>
  <c r="W70" i="41"/>
  <c r="V163" i="41"/>
  <c r="V142" i="41"/>
  <c r="AH163" i="41"/>
  <c r="AH142" i="41"/>
  <c r="BF163" i="41"/>
  <c r="BF142" i="41"/>
  <c r="BF76" i="41"/>
  <c r="BF79" i="41" s="1"/>
  <c r="D79" i="41"/>
  <c r="AW113" i="41"/>
  <c r="BO156" i="41"/>
  <c r="BB7" i="41"/>
  <c r="AK5" i="66" s="1"/>
  <c r="AR11" i="41"/>
  <c r="BQ15" i="41"/>
  <c r="BF19" i="41"/>
  <c r="BT33" i="41"/>
  <c r="K35" i="41"/>
  <c r="AS35" i="41"/>
  <c r="AS144" i="41" s="1"/>
  <c r="AL41" i="41"/>
  <c r="AJ44" i="41"/>
  <c r="BA44" i="41"/>
  <c r="AB49" i="41"/>
  <c r="AX164" i="41"/>
  <c r="AX143" i="41"/>
  <c r="AG13" i="66" s="1"/>
  <c r="P76" i="41"/>
  <c r="Q167" i="41" s="1"/>
  <c r="F79" i="41"/>
  <c r="BS87" i="41"/>
  <c r="AA113" i="41"/>
  <c r="AB136" i="41"/>
  <c r="AF163" i="41"/>
  <c r="AF142" i="41"/>
  <c r="AF76" i="41"/>
  <c r="BV76" i="41"/>
  <c r="BG164" i="41"/>
  <c r="BF16" i="41"/>
  <c r="BT19" i="41"/>
  <c r="BR33" i="41"/>
  <c r="L7" i="66"/>
  <c r="AC140" i="41"/>
  <c r="AC139" i="41"/>
  <c r="AC138" i="41"/>
  <c r="AC137" i="41"/>
  <c r="AC136" i="41"/>
  <c r="AC133" i="41"/>
  <c r="AC109" i="41"/>
  <c r="AC88" i="41"/>
  <c r="AC134" i="41"/>
  <c r="AC36" i="41"/>
  <c r="AC41" i="41"/>
  <c r="AC49" i="41"/>
  <c r="AC47" i="41"/>
  <c r="BB41" i="41"/>
  <c r="AG70" i="41"/>
  <c r="BP70" i="41" s="1"/>
  <c r="AC165" i="41"/>
  <c r="AC144" i="41"/>
  <c r="BA165" i="41"/>
  <c r="BA144" i="41"/>
  <c r="BD166" i="41"/>
  <c r="BD112" i="41"/>
  <c r="BH166" i="41"/>
  <c r="BD145" i="41"/>
  <c r="BU7" i="41"/>
  <c r="M7" i="66"/>
  <c r="AD134" i="41"/>
  <c r="AD133" i="41"/>
  <c r="AD140" i="41"/>
  <c r="AD139" i="41"/>
  <c r="AD92" i="41"/>
  <c r="M10" i="66" s="1"/>
  <c r="AD138" i="41"/>
  <c r="AD137" i="41"/>
  <c r="AD88" i="41"/>
  <c r="AD109" i="41"/>
  <c r="AD49" i="41"/>
  <c r="AD47" i="41"/>
  <c r="AD136" i="41"/>
  <c r="AI70" i="41"/>
  <c r="AT163" i="41"/>
  <c r="AT76" i="41"/>
  <c r="AH164" i="41"/>
  <c r="AH143" i="41"/>
  <c r="Q13" i="66" s="1"/>
  <c r="N167" i="41"/>
  <c r="N77" i="41"/>
  <c r="P83" i="41"/>
  <c r="P84" i="41"/>
  <c r="P10" i="41"/>
  <c r="AG11" i="41"/>
  <c r="BB15" i="41"/>
  <c r="BR15" i="41"/>
  <c r="AQ160" i="41"/>
  <c r="BR35" i="41"/>
  <c r="BR136" i="41" s="1"/>
  <c r="AM41" i="41"/>
  <c r="BB44" i="41"/>
  <c r="BH76" i="41"/>
  <c r="BL167" i="41" s="1"/>
  <c r="AY164" i="41"/>
  <c r="AF112" i="41"/>
  <c r="AF166" i="41"/>
  <c r="AF145" i="41"/>
  <c r="AG75" i="41"/>
  <c r="AG136" i="41"/>
  <c r="O245" i="41"/>
  <c r="O151" i="41"/>
  <c r="AF278" i="41"/>
  <c r="BN156" i="41"/>
  <c r="BN146" i="41"/>
  <c r="K7" i="66"/>
  <c r="AB133" i="41"/>
  <c r="AB109" i="41"/>
  <c r="AB88" i="41"/>
  <c r="AB92" i="41"/>
  <c r="K10" i="66" s="1"/>
  <c r="AB140" i="41"/>
  <c r="AB139" i="41"/>
  <c r="AB134" i="41"/>
  <c r="AB138" i="41"/>
  <c r="AB137" i="41"/>
  <c r="AB41" i="41"/>
  <c r="AZ160" i="41"/>
  <c r="AZ113" i="41"/>
  <c r="AZ35" i="41"/>
  <c r="AZ114" i="41" s="1"/>
  <c r="BN16" i="41"/>
  <c r="BQ18" i="41"/>
  <c r="M109" i="41"/>
  <c r="M81" i="41"/>
  <c r="AG7" i="66"/>
  <c r="AX140" i="41"/>
  <c r="AX139" i="41"/>
  <c r="AX138" i="41"/>
  <c r="AX137" i="41"/>
  <c r="AX136" i="41"/>
  <c r="AX135" i="41"/>
  <c r="AX109" i="41"/>
  <c r="AX88" i="41"/>
  <c r="AG10" i="66" s="1"/>
  <c r="AX146" i="41"/>
  <c r="AX44" i="41"/>
  <c r="BP40" i="41"/>
  <c r="AM44" i="41"/>
  <c r="BR46" i="41"/>
  <c r="BQ46" i="41"/>
  <c r="AL47" i="41"/>
  <c r="Z70" i="41"/>
  <c r="Z76" i="41" s="1"/>
  <c r="AL135" i="41"/>
  <c r="Y142" i="41"/>
  <c r="Y163" i="41"/>
  <c r="Y76" i="41"/>
  <c r="AK163" i="41"/>
  <c r="AK142" i="41"/>
  <c r="AW163" i="41"/>
  <c r="AW76" i="41"/>
  <c r="BI163" i="41"/>
  <c r="BI142" i="41"/>
  <c r="BI76" i="41"/>
  <c r="BI79" i="41" s="1"/>
  <c r="AN143" i="41"/>
  <c r="W13" i="66" s="1"/>
  <c r="BR70" i="41"/>
  <c r="AZ164" i="41"/>
  <c r="BF144" i="41"/>
  <c r="AJ7" i="66"/>
  <c r="BA146" i="41"/>
  <c r="BA145" i="41"/>
  <c r="BA140" i="41"/>
  <c r="BA139" i="41"/>
  <c r="BA138" i="41"/>
  <c r="BA137" i="41"/>
  <c r="BA136" i="41"/>
  <c r="BA135" i="41"/>
  <c r="BA109" i="41"/>
  <c r="BA88" i="41"/>
  <c r="AJ10" i="66" s="1"/>
  <c r="BA41" i="41"/>
  <c r="BA49" i="41"/>
  <c r="BA47" i="41"/>
  <c r="AY163" i="41"/>
  <c r="AY142" i="41"/>
  <c r="BU69" i="41"/>
  <c r="BV163" i="41" s="1"/>
  <c r="BH144" i="41"/>
  <c r="BH165" i="41"/>
  <c r="BA11" i="41"/>
  <c r="AQ7" i="66"/>
  <c r="BH146" i="41"/>
  <c r="BH140" i="41"/>
  <c r="BH139" i="41"/>
  <c r="BH138" i="41"/>
  <c r="BH137" i="41"/>
  <c r="BH136" i="41"/>
  <c r="BH135" i="41"/>
  <c r="BH114" i="41"/>
  <c r="BH145" i="41"/>
  <c r="BH92" i="41"/>
  <c r="BH49" i="41"/>
  <c r="BH47" i="41"/>
  <c r="BH109" i="41"/>
  <c r="BD163" i="41"/>
  <c r="BD142" i="41"/>
  <c r="AU164" i="41"/>
  <c r="AB166" i="41"/>
  <c r="AB145" i="41"/>
  <c r="AB112" i="41"/>
  <c r="AP11" i="41"/>
  <c r="AC75" i="41"/>
  <c r="AD75" i="41" s="1"/>
  <c r="P7" i="66"/>
  <c r="AG133" i="41"/>
  <c r="AG134" i="41"/>
  <c r="AG109" i="41"/>
  <c r="AG88" i="41"/>
  <c r="P10" i="66" s="1"/>
  <c r="AG140" i="41"/>
  <c r="AG139" i="41"/>
  <c r="AG137" i="41"/>
  <c r="AG44" i="41"/>
  <c r="AG92" i="41"/>
  <c r="BS35" i="41"/>
  <c r="BS88" i="41" s="1"/>
  <c r="AP41" i="41"/>
  <c r="BF47" i="41"/>
  <c r="AK4" i="66"/>
  <c r="AK6" i="66" s="1"/>
  <c r="BB53" i="41"/>
  <c r="BH11" i="41"/>
  <c r="BT15" i="41"/>
  <c r="BB18" i="41"/>
  <c r="BR18" i="41"/>
  <c r="N81" i="41"/>
  <c r="N36" i="41"/>
  <c r="N84" i="41"/>
  <c r="N109" i="41"/>
  <c r="AY146" i="41"/>
  <c r="AH7" i="66"/>
  <c r="AY145" i="41"/>
  <c r="AY140" i="41"/>
  <c r="AY139" i="41"/>
  <c r="AY138" i="41"/>
  <c r="AY137" i="41"/>
  <c r="AY136" i="41"/>
  <c r="AY135" i="41"/>
  <c r="AY114" i="41"/>
  <c r="AY49" i="41"/>
  <c r="AY47" i="41"/>
  <c r="AY88" i="41"/>
  <c r="AH10" i="66" s="1"/>
  <c r="AY92" i="41"/>
  <c r="BQ40" i="41"/>
  <c r="AR41" i="41"/>
  <c r="BF44" i="41"/>
  <c r="AG49" i="41"/>
  <c r="Z163" i="41"/>
  <c r="Z142" i="41"/>
  <c r="AL163" i="41"/>
  <c r="AL142" i="41"/>
  <c r="AX163" i="41"/>
  <c r="AX142" i="41"/>
  <c r="BN69" i="41"/>
  <c r="BT70" i="41"/>
  <c r="V144" i="41"/>
  <c r="V165" i="41"/>
  <c r="AH144" i="41"/>
  <c r="AH165" i="41"/>
  <c r="AT165" i="41"/>
  <c r="BG165" i="41"/>
  <c r="T76" i="41"/>
  <c r="AR76" i="41"/>
  <c r="BF92" i="41"/>
  <c r="BC143" i="41"/>
  <c r="AL13" i="66" s="1"/>
  <c r="AO4" i="66"/>
  <c r="BI53" i="41"/>
  <c r="BH53" i="41"/>
  <c r="S7" i="66"/>
  <c r="AJ140" i="41"/>
  <c r="AJ139" i="41"/>
  <c r="AJ138" i="41"/>
  <c r="AJ137" i="41"/>
  <c r="AJ136" i="41"/>
  <c r="AJ134" i="41"/>
  <c r="AJ146" i="41"/>
  <c r="AJ109" i="41"/>
  <c r="AJ88" i="41"/>
  <c r="S10" i="66" s="1"/>
  <c r="AJ92" i="41"/>
  <c r="AJ49" i="41"/>
  <c r="AJ47" i="41"/>
  <c r="AB135" i="41"/>
  <c r="AB70" i="41"/>
  <c r="AB76" i="41" s="1"/>
  <c r="AA163" i="41"/>
  <c r="AA142" i="41"/>
  <c r="V164" i="41"/>
  <c r="V143" i="41"/>
  <c r="AI165" i="41"/>
  <c r="BQ71" i="41"/>
  <c r="V76" i="41"/>
  <c r="AL202" i="41"/>
  <c r="BQ202" i="41" s="1"/>
  <c r="BQ201" i="41"/>
  <c r="BT18" i="41"/>
  <c r="BG35" i="41"/>
  <c r="BG113" i="41"/>
  <c r="AM146" i="41"/>
  <c r="V7" i="66"/>
  <c r="AM114" i="41"/>
  <c r="AM138" i="41"/>
  <c r="AM137" i="41"/>
  <c r="AM88" i="41"/>
  <c r="V10" i="66" s="1"/>
  <c r="AM136" i="41"/>
  <c r="AM49" i="41"/>
  <c r="AM47" i="41"/>
  <c r="AM92" i="41"/>
  <c r="AM140" i="41"/>
  <c r="AM135" i="41"/>
  <c r="AM109" i="41"/>
  <c r="BC146" i="41"/>
  <c r="AL7" i="66"/>
  <c r="BC140" i="41"/>
  <c r="BC139" i="41"/>
  <c r="BC138" i="41"/>
  <c r="BC137" i="41"/>
  <c r="BC136" i="41"/>
  <c r="BC135" i="41"/>
  <c r="BC109" i="41"/>
  <c r="BC88" i="41"/>
  <c r="AL10" i="66" s="1"/>
  <c r="BC145" i="41"/>
  <c r="BC41" i="41"/>
  <c r="BQ51" i="41"/>
  <c r="AD41" i="41"/>
  <c r="BR43" i="41"/>
  <c r="AQ44" i="41"/>
  <c r="BT52" i="41"/>
  <c r="BE53" i="41"/>
  <c r="AD135" i="41"/>
  <c r="BQ60" i="41"/>
  <c r="AI67" i="41"/>
  <c r="AC163" i="41"/>
  <c r="AC142" i="41"/>
  <c r="AO163" i="41"/>
  <c r="AO142" i="41"/>
  <c r="AO76" i="41"/>
  <c r="BA163" i="41"/>
  <c r="BA142" i="41"/>
  <c r="BQ69" i="41"/>
  <c r="AA70" i="41"/>
  <c r="AA76" i="41" s="1"/>
  <c r="AR143" i="41"/>
  <c r="AA13" i="66" s="1"/>
  <c r="AR164" i="41"/>
  <c r="BD164" i="41"/>
  <c r="BD143" i="41"/>
  <c r="AM13" i="66" s="1"/>
  <c r="Y165" i="41"/>
  <c r="Y144" i="41"/>
  <c r="AK165" i="41"/>
  <c r="AK144" i="41"/>
  <c r="AT112" i="41"/>
  <c r="AY76" i="41"/>
  <c r="AP88" i="41"/>
  <c r="Y10" i="66" s="1"/>
  <c r="F113" i="41"/>
  <c r="S114" i="41"/>
  <c r="S113" i="41"/>
  <c r="AM163" i="41"/>
  <c r="AM142" i="41"/>
  <c r="BR69" i="41"/>
  <c r="BS163" i="41" s="1"/>
  <c r="AU165" i="41"/>
  <c r="AI113" i="41"/>
  <c r="BQ33" i="41"/>
  <c r="BU160" i="41" s="1"/>
  <c r="AI35" i="41"/>
  <c r="AI144" i="41" s="1"/>
  <c r="AU160" i="41"/>
  <c r="AU113" i="41"/>
  <c r="AU35" i="41"/>
  <c r="AU143" i="41" s="1"/>
  <c r="AD13" i="66" s="1"/>
  <c r="B79" i="41"/>
  <c r="B36" i="41"/>
  <c r="AL133" i="41"/>
  <c r="U7" i="66"/>
  <c r="AL140" i="41"/>
  <c r="AL139" i="41"/>
  <c r="AL138" i="41"/>
  <c r="AL137" i="41"/>
  <c r="AL136" i="41"/>
  <c r="AL146" i="41"/>
  <c r="AL134" i="41"/>
  <c r="AL109" i="41"/>
  <c r="AL88" i="41"/>
  <c r="U10" i="66" s="1"/>
  <c r="AL44" i="41"/>
  <c r="AK7" i="66"/>
  <c r="BB146" i="41"/>
  <c r="BB140" i="41"/>
  <c r="BB139" i="41"/>
  <c r="BB92" i="41"/>
  <c r="BB136" i="41"/>
  <c r="BB135" i="41"/>
  <c r="BB109" i="41"/>
  <c r="BB88" i="41"/>
  <c r="AK10" i="66" s="1"/>
  <c r="BB138" i="41"/>
  <c r="BB49" i="41"/>
  <c r="BB47" i="41"/>
  <c r="BQ43" i="41"/>
  <c r="AP44" i="41"/>
  <c r="AC135" i="41"/>
  <c r="AC70" i="41"/>
  <c r="BP60" i="41"/>
  <c r="AB163" i="41"/>
  <c r="AB142" i="41"/>
  <c r="AN142" i="41"/>
  <c r="AN163" i="41"/>
  <c r="AN76" i="41"/>
  <c r="AZ163" i="41"/>
  <c r="BP69" i="41"/>
  <c r="Y164" i="41"/>
  <c r="AQ164" i="41"/>
  <c r="AQ143" i="41"/>
  <c r="Z13" i="66" s="1"/>
  <c r="X144" i="41"/>
  <c r="X165" i="41"/>
  <c r="AJ144" i="41"/>
  <c r="AJ165" i="41"/>
  <c r="AV144" i="41"/>
  <c r="AV165" i="41"/>
  <c r="BI165" i="41"/>
  <c r="BI144" i="41"/>
  <c r="AX11" i="41"/>
  <c r="BB16" i="41"/>
  <c r="O152" i="41"/>
  <c r="AV160" i="41"/>
  <c r="AV113" i="41"/>
  <c r="G7" i="66"/>
  <c r="X140" i="41"/>
  <c r="X139" i="41"/>
  <c r="X138" i="41"/>
  <c r="X137" i="41"/>
  <c r="X136" i="41"/>
  <c r="X88" i="41"/>
  <c r="X92" i="41"/>
  <c r="G10" i="66" s="1"/>
  <c r="X133" i="41"/>
  <c r="X49" i="41"/>
  <c r="X47" i="41"/>
  <c r="X114" i="41"/>
  <c r="X134" i="41"/>
  <c r="N11" i="41"/>
  <c r="AM11" i="41"/>
  <c r="AY11" i="41"/>
  <c r="T7" i="66"/>
  <c r="AK134" i="41"/>
  <c r="AK140" i="41"/>
  <c r="AK139" i="41"/>
  <c r="AK138" i="41"/>
  <c r="AK137" i="41"/>
  <c r="AK136" i="41"/>
  <c r="AK146" i="41"/>
  <c r="AK109" i="41"/>
  <c r="AK88" i="41"/>
  <c r="T10" i="66" s="1"/>
  <c r="AK49" i="41"/>
  <c r="AK47" i="41"/>
  <c r="AK133" i="41"/>
  <c r="AW160" i="41"/>
  <c r="AW35" i="41"/>
  <c r="AW92" i="41" s="1"/>
  <c r="BI145" i="41"/>
  <c r="BI146" i="41"/>
  <c r="BI140" i="41"/>
  <c r="BI139" i="41"/>
  <c r="BI138" i="41"/>
  <c r="BI137" i="41"/>
  <c r="BI136" i="41"/>
  <c r="BI135" i="41"/>
  <c r="BI109" i="41"/>
  <c r="BI49" i="41"/>
  <c r="BI47" i="41"/>
  <c r="Z35" i="41"/>
  <c r="Z92" i="41" s="1"/>
  <c r="I10" i="66" s="1"/>
  <c r="AB44" i="41"/>
  <c r="BF53" i="41"/>
  <c r="R76" i="41"/>
  <c r="AD143" i="41"/>
  <c r="M13" i="66" s="1"/>
  <c r="AS164" i="41"/>
  <c r="BE143" i="41"/>
  <c r="AN13" i="66" s="1"/>
  <c r="BE164" i="41"/>
  <c r="M165" i="41"/>
  <c r="M144" i="41"/>
  <c r="Z165" i="41"/>
  <c r="Z144" i="41"/>
  <c r="AL165" i="41"/>
  <c r="AL144" i="41"/>
  <c r="AX165" i="41"/>
  <c r="AX144" i="41"/>
  <c r="BR71" i="41"/>
  <c r="AW166" i="41"/>
  <c r="BA166" i="41"/>
  <c r="AZ76" i="41"/>
  <c r="L84" i="41"/>
  <c r="F108" i="41"/>
  <c r="AJ133" i="41"/>
  <c r="AG138" i="41"/>
  <c r="M11" i="41"/>
  <c r="AL11" i="41"/>
  <c r="AB11" i="41"/>
  <c r="BB19" i="41"/>
  <c r="BR19" i="41"/>
  <c r="O155" i="41"/>
  <c r="X145" i="41"/>
  <c r="X113" i="41"/>
  <c r="AX160" i="41"/>
  <c r="BN33" i="41"/>
  <c r="BN145" i="41" s="1"/>
  <c r="G35" i="41"/>
  <c r="AA35" i="41"/>
  <c r="AA114" i="41" s="1"/>
  <c r="X7" i="66"/>
  <c r="AO145" i="41"/>
  <c r="AO140" i="41"/>
  <c r="AO139" i="41"/>
  <c r="AO138" i="41"/>
  <c r="AO137" i="41"/>
  <c r="AO136" i="41"/>
  <c r="AO135" i="41"/>
  <c r="AO109" i="41"/>
  <c r="AO88" i="41"/>
  <c r="X10" i="66" s="1"/>
  <c r="AO41" i="41"/>
  <c r="AO49" i="41"/>
  <c r="AO47" i="41"/>
  <c r="AG41" i="41"/>
  <c r="AX41" i="41"/>
  <c r="BT43" i="41"/>
  <c r="AC44" i="41"/>
  <c r="AB47" i="41"/>
  <c r="AQ49" i="41"/>
  <c r="BG53" i="41"/>
  <c r="BT69" i="41"/>
  <c r="AE143" i="41"/>
  <c r="N13" i="66" s="1"/>
  <c r="AE76" i="41"/>
  <c r="AE79" i="41" s="1"/>
  <c r="AT164" i="41"/>
  <c r="BF164" i="41"/>
  <c r="BF143" i="41"/>
  <c r="AO13" i="66" s="1"/>
  <c r="AX75" i="41"/>
  <c r="BB166" i="41" s="1"/>
  <c r="AD76" i="41"/>
  <c r="BA76" i="41"/>
  <c r="AR114" i="41"/>
  <c r="AM139" i="41"/>
  <c r="AO7" i="66"/>
  <c r="BF140" i="41"/>
  <c r="BF139" i="41"/>
  <c r="BF138" i="41"/>
  <c r="BF137" i="41"/>
  <c r="BF136" i="41"/>
  <c r="BF135" i="41"/>
  <c r="BF145" i="41"/>
  <c r="BF146" i="41"/>
  <c r="BF88" i="41"/>
  <c r="AO10" i="66" s="1"/>
  <c r="BF41" i="41"/>
  <c r="BF109" i="41"/>
  <c r="W165" i="41"/>
  <c r="W144" i="41"/>
  <c r="X135" i="41"/>
  <c r="AJ135" i="41"/>
  <c r="BB137" i="41"/>
  <c r="W163" i="41"/>
  <c r="W142" i="41"/>
  <c r="AU163" i="41"/>
  <c r="O164" i="41"/>
  <c r="O143" i="41"/>
  <c r="AF165" i="41"/>
  <c r="AF144" i="41"/>
  <c r="BD165" i="41"/>
  <c r="BD144" i="41"/>
  <c r="BU165" i="41"/>
  <c r="BU144" i="41"/>
  <c r="AR166" i="41"/>
  <c r="AN166" i="41"/>
  <c r="AN112" i="41"/>
  <c r="AN145" i="41"/>
  <c r="Q77" i="41"/>
  <c r="M84" i="41"/>
  <c r="BT87" i="41"/>
  <c r="BE92" i="41"/>
  <c r="AH41" i="41"/>
  <c r="AK135" i="41"/>
  <c r="AK70" i="41"/>
  <c r="AK76" i="41" s="1"/>
  <c r="X142" i="41"/>
  <c r="X163" i="41"/>
  <c r="AJ142" i="41"/>
  <c r="AJ163" i="41"/>
  <c r="AV142" i="41"/>
  <c r="BH142" i="41"/>
  <c r="BH163" i="41"/>
  <c r="Q164" i="41"/>
  <c r="P143" i="41"/>
  <c r="P164" i="41"/>
  <c r="AP164" i="41"/>
  <c r="AP143" i="41"/>
  <c r="Y13" i="66" s="1"/>
  <c r="BB164" i="41"/>
  <c r="BB143" i="41"/>
  <c r="AK13" i="66" s="1"/>
  <c r="AG165" i="41"/>
  <c r="AG144" i="41"/>
  <c r="AS165" i="41"/>
  <c r="BE165" i="41"/>
  <c r="BE144" i="41"/>
  <c r="Z166" i="41"/>
  <c r="Z145" i="41"/>
  <c r="Z112" i="41"/>
  <c r="AP75" i="41"/>
  <c r="AT166" i="41" s="1"/>
  <c r="AU76" i="41"/>
  <c r="AT91" i="41"/>
  <c r="AT92" i="41" s="1"/>
  <c r="J113" i="41"/>
  <c r="W113" i="41"/>
  <c r="W114" i="41"/>
  <c r="AL92" i="41"/>
  <c r="AX92" i="41"/>
  <c r="AV163" i="41"/>
  <c r="O114" i="41"/>
  <c r="Q7" i="66"/>
  <c r="AH140" i="41"/>
  <c r="AH139" i="41"/>
  <c r="AH138" i="41"/>
  <c r="AH137" i="41"/>
  <c r="AH136" i="41"/>
  <c r="AH134" i="41"/>
  <c r="AH133" i="41"/>
  <c r="AH146" i="41"/>
  <c r="AE135" i="41"/>
  <c r="AD163" i="41"/>
  <c r="AP163" i="41"/>
  <c r="AP142" i="41"/>
  <c r="BB163" i="41"/>
  <c r="BB142" i="41"/>
  <c r="AV164" i="41"/>
  <c r="BH164" i="41"/>
  <c r="BP71" i="41"/>
  <c r="BN72" i="41"/>
  <c r="BT91" i="41"/>
  <c r="AV143" i="41"/>
  <c r="AE13" i="66" s="1"/>
  <c r="Y113" i="41"/>
  <c r="Y145" i="41"/>
  <c r="AY160" i="41"/>
  <c r="F7" i="66"/>
  <c r="W133" i="41"/>
  <c r="W134" i="41"/>
  <c r="W140" i="41"/>
  <c r="W139" i="41"/>
  <c r="W138" i="41"/>
  <c r="W137" i="41"/>
  <c r="W136" i="41"/>
  <c r="W109" i="41"/>
  <c r="O36" i="41"/>
  <c r="AE163" i="41"/>
  <c r="AE142" i="41"/>
  <c r="AQ142" i="41"/>
  <c r="AQ163" i="41"/>
  <c r="BC163" i="41"/>
  <c r="BC142" i="41"/>
  <c r="X70" i="41"/>
  <c r="AJ70" i="41"/>
  <c r="AN164" i="41" s="1"/>
  <c r="AN165" i="41"/>
  <c r="AN144" i="41"/>
  <c r="AZ165" i="41"/>
  <c r="BC76" i="41"/>
  <c r="O81" i="41"/>
  <c r="BO87" i="41"/>
  <c r="BO91" i="41"/>
  <c r="AO92" i="41"/>
  <c r="BC114" i="41"/>
  <c r="BC113" i="41"/>
  <c r="AD142" i="41"/>
  <c r="BA160" i="41"/>
  <c r="BA113" i="41"/>
  <c r="Y35" i="41"/>
  <c r="Y143" i="41" s="1"/>
  <c r="H13" i="66" s="1"/>
  <c r="W44" i="41"/>
  <c r="AH135" i="41"/>
  <c r="U142" i="41"/>
  <c r="U76" i="41"/>
  <c r="AG142" i="41"/>
  <c r="AG163" i="41"/>
  <c r="AS163" i="41"/>
  <c r="AS76" i="41"/>
  <c r="BE142" i="41"/>
  <c r="BE163" i="41"/>
  <c r="BE76" i="41"/>
  <c r="BE79" i="41" s="1"/>
  <c r="AM143" i="41"/>
  <c r="V13" i="66" s="1"/>
  <c r="AY143" i="41"/>
  <c r="AH13" i="66" s="1"/>
  <c r="AD165" i="41"/>
  <c r="AD144" i="41"/>
  <c r="AP165" i="41"/>
  <c r="AP144" i="41"/>
  <c r="BB71" i="41"/>
  <c r="BF165" i="41" s="1"/>
  <c r="BU145" i="41"/>
  <c r="O76" i="41"/>
  <c r="AQ76" i="41"/>
  <c r="BR87" i="41"/>
  <c r="AQ114" i="41"/>
  <c r="AQ113" i="41"/>
  <c r="BH143" i="41"/>
  <c r="AQ13" i="66" s="1"/>
  <c r="AB165" i="41"/>
  <c r="AI225" i="41"/>
  <c r="AM225" i="41"/>
  <c r="G113" i="41"/>
  <c r="AM113" i="41"/>
  <c r="H113" i="41"/>
  <c r="AW164" i="41"/>
  <c r="BI143" i="41"/>
  <c r="BI164" i="41"/>
  <c r="N165" i="41"/>
  <c r="N144" i="41"/>
  <c r="AA165" i="41"/>
  <c r="AA144" i="41"/>
  <c r="AM144" i="41"/>
  <c r="AM165" i="41"/>
  <c r="AY165" i="41"/>
  <c r="AY144" i="41"/>
  <c r="BO71" i="41"/>
  <c r="AE166" i="41"/>
  <c r="AE145" i="41"/>
  <c r="AI166" i="41"/>
  <c r="AE112" i="41"/>
  <c r="BB145" i="41"/>
  <c r="BF166" i="41"/>
  <c r="W92" i="41"/>
  <c r="F10" i="66" s="1"/>
  <c r="M114" i="41"/>
  <c r="M113" i="41"/>
  <c r="N113" i="41"/>
  <c r="BI113" i="41"/>
  <c r="BI114" i="41"/>
  <c r="N114" i="41"/>
  <c r="AK92" i="41"/>
  <c r="BI92" i="41"/>
  <c r="AO143" i="41"/>
  <c r="X13" i="66" s="1"/>
  <c r="BA143" i="41"/>
  <c r="AJ13" i="66" s="1"/>
  <c r="BA164" i="41"/>
  <c r="AE144" i="41"/>
  <c r="AE165" i="41"/>
  <c r="AQ144" i="41"/>
  <c r="AQ165" i="41"/>
  <c r="BC144" i="41"/>
  <c r="BC165" i="41"/>
  <c r="AJ145" i="41"/>
  <c r="AJ112" i="41"/>
  <c r="BR91" i="41"/>
  <c r="Q113" i="41"/>
  <c r="Q114" i="41"/>
  <c r="AY113" i="41"/>
  <c r="BO197" i="41"/>
  <c r="AD198" i="41"/>
  <c r="BE113" i="41"/>
  <c r="V266" i="41"/>
  <c r="V268" i="41"/>
  <c r="AL204" i="41"/>
  <c r="BQ204" i="41" s="1"/>
  <c r="BQ198" i="41"/>
  <c r="BU234" i="41"/>
  <c r="AS113" i="41"/>
  <c r="BF114" i="41"/>
  <c r="BF113" i="41"/>
  <c r="AG275" i="41"/>
  <c r="BO272" i="41"/>
  <c r="BO267" i="41"/>
  <c r="BO265" i="41"/>
  <c r="AP204" i="41"/>
  <c r="BR204" i="41" s="1"/>
  <c r="BR198" i="41"/>
  <c r="BS225" i="41"/>
  <c r="N266" i="41"/>
  <c r="V114" i="41"/>
  <c r="V113" i="41"/>
  <c r="AN146" i="41"/>
  <c r="Z278" i="41"/>
  <c r="K113" i="41"/>
  <c r="BN223" i="41"/>
  <c r="O11" i="66"/>
  <c r="BP235" i="41"/>
  <c r="BB315" i="41"/>
  <c r="AO114" i="41"/>
  <c r="BA114" i="41"/>
  <c r="AB275" i="41"/>
  <c r="BP201" i="41"/>
  <c r="AH202" i="41"/>
  <c r="BP202" i="41" s="1"/>
  <c r="N268" i="41"/>
  <c r="O268" i="41"/>
  <c r="BF315" i="41"/>
  <c r="G275" i="41"/>
  <c r="P268" i="41"/>
  <c r="S275" i="41"/>
  <c r="Q268" i="41"/>
  <c r="T275" i="41"/>
  <c r="K275" i="41"/>
  <c r="BT234" i="41"/>
  <c r="AR240" i="41"/>
  <c r="M266" i="41"/>
  <c r="AG12" i="66"/>
  <c r="Z204" i="41"/>
  <c r="BN198" i="41"/>
  <c r="BN204" i="41" s="1"/>
  <c r="BP225" i="41"/>
  <c r="O266" i="41"/>
  <c r="X275" i="41"/>
  <c r="Y278" i="41"/>
  <c r="Y275" i="41"/>
  <c r="AD202" i="41"/>
  <c r="BO202" i="41" s="1"/>
  <c r="BO201" i="41"/>
  <c r="N279" i="41"/>
  <c r="N278" i="41"/>
  <c r="N275" i="41"/>
  <c r="AA278" i="41"/>
  <c r="AA275" i="41"/>
  <c r="AK12" i="66"/>
  <c r="L275" i="41"/>
  <c r="AB278" i="41"/>
  <c r="Q279" i="41"/>
  <c r="BN235" i="41"/>
  <c r="BA240" i="41"/>
  <c r="AD278" i="41"/>
  <c r="P275" i="41"/>
  <c r="AC275" i="41"/>
  <c r="Q275" i="41"/>
  <c r="AD275" i="41"/>
  <c r="AG278" i="41"/>
  <c r="AS240" i="41"/>
  <c r="AE275" i="41"/>
  <c r="V278" i="41"/>
  <c r="AF275" i="41"/>
  <c r="W278" i="41"/>
  <c r="X278" i="41"/>
  <c r="AU69" i="78"/>
  <c r="AU29" i="78"/>
  <c r="AU30" i="78" s="1"/>
  <c r="AG64" i="78"/>
  <c r="AG66" i="78" s="1"/>
  <c r="AG67" i="78" s="1"/>
  <c r="AG29" i="78"/>
  <c r="AG35" i="78" s="1"/>
  <c r="AG37" i="78" s="1"/>
  <c r="AG70" i="78" s="1"/>
  <c r="AE19" i="78"/>
  <c r="H64" i="78"/>
  <c r="H66" i="78" s="1"/>
  <c r="H67" i="78" s="1"/>
  <c r="T64" i="78"/>
  <c r="T66" i="78" s="1"/>
  <c r="T67" i="78" s="1"/>
  <c r="AS80" i="78"/>
  <c r="AN96" i="78"/>
  <c r="AM97" i="78"/>
  <c r="K82" i="78"/>
  <c r="L94" i="78"/>
  <c r="AD96" i="78"/>
  <c r="AV130" i="78"/>
  <c r="AR4" i="78"/>
  <c r="AP29" i="78"/>
  <c r="AP30" i="78" s="1"/>
  <c r="AE29" i="78"/>
  <c r="AE35" i="78" s="1"/>
  <c r="AE37" i="78" s="1"/>
  <c r="AE70" i="78" s="1"/>
  <c r="AP45" i="78"/>
  <c r="J94" i="78"/>
  <c r="V94" i="78"/>
  <c r="AL94" i="78"/>
  <c r="M97" i="78"/>
  <c r="Y97" i="78"/>
  <c r="J64" i="78"/>
  <c r="J66" i="78" s="1"/>
  <c r="J67" i="78" s="1"/>
  <c r="W82" i="78"/>
  <c r="AT85" i="78"/>
  <c r="X94" i="78"/>
  <c r="AO29" i="78"/>
  <c r="AO35" i="78" s="1"/>
  <c r="AO37" i="78" s="1"/>
  <c r="AO69" i="78" s="1"/>
  <c r="K94" i="78"/>
  <c r="W94" i="78"/>
  <c r="F97" i="78"/>
  <c r="R97" i="78"/>
  <c r="AD97" i="78"/>
  <c r="AC82" i="78"/>
  <c r="AD94" i="78"/>
  <c r="AG19" i="78"/>
  <c r="AT29" i="78"/>
  <c r="AT30" i="78" s="1"/>
  <c r="AN94" i="78"/>
  <c r="P96" i="78"/>
  <c r="AB96" i="78"/>
  <c r="AR82" i="78"/>
  <c r="V64" i="78"/>
  <c r="V66" i="78" s="1"/>
  <c r="V67" i="78" s="1"/>
  <c r="AR73" i="78"/>
  <c r="B79" i="78"/>
  <c r="AM82" i="78"/>
  <c r="AO94" i="78"/>
  <c r="U46" i="66"/>
  <c r="E29" i="78"/>
  <c r="E35" i="78" s="1"/>
  <c r="E37" i="78" s="1"/>
  <c r="E69" i="78" s="1"/>
  <c r="Q29" i="78"/>
  <c r="AC51" i="66" s="1"/>
  <c r="AC29" i="78"/>
  <c r="D19" i="78"/>
  <c r="M94" i="78"/>
  <c r="Y94" i="78"/>
  <c r="I95" i="78"/>
  <c r="U95" i="78"/>
  <c r="Y64" i="78"/>
  <c r="Y66" i="78" s="1"/>
  <c r="Y67" i="78" s="1"/>
  <c r="H79" i="78"/>
  <c r="AS82" i="78"/>
  <c r="F95" i="78"/>
  <c r="AA46" i="66"/>
  <c r="I4" i="78"/>
  <c r="U49" i="66" s="1"/>
  <c r="AS9" i="78"/>
  <c r="G19" i="78"/>
  <c r="AL64" i="78"/>
  <c r="AL66" i="78" s="1"/>
  <c r="AL67" i="78" s="1"/>
  <c r="T70" i="78"/>
  <c r="N79" i="78"/>
  <c r="R95" i="78"/>
  <c r="AU94" i="78"/>
  <c r="L7" i="78"/>
  <c r="M19" i="78"/>
  <c r="AO64" i="78"/>
  <c r="AO66" i="78" s="1"/>
  <c r="AO67" i="78" s="1"/>
  <c r="T79" i="78"/>
  <c r="AS86" i="78"/>
  <c r="AD95" i="78"/>
  <c r="AG46" i="66"/>
  <c r="AU12" i="78"/>
  <c r="AU95" i="78"/>
  <c r="M4" i="78"/>
  <c r="Y49" i="66" s="1"/>
  <c r="AS5" i="78"/>
  <c r="L11" i="78"/>
  <c r="AP12" i="78"/>
  <c r="H29" i="78"/>
  <c r="T51" i="66" s="1"/>
  <c r="T29" i="78"/>
  <c r="AF51" i="66" s="1"/>
  <c r="AF29" i="78"/>
  <c r="AF35" i="78" s="1"/>
  <c r="AF37" i="78" s="1"/>
  <c r="AF70" i="78" s="1"/>
  <c r="G29" i="78"/>
  <c r="G35" i="78" s="1"/>
  <c r="G37" i="78" s="1"/>
  <c r="AR69" i="78"/>
  <c r="D64" i="78"/>
  <c r="D66" i="78" s="1"/>
  <c r="D67" i="78" s="1"/>
  <c r="P64" i="78"/>
  <c r="P66" i="78" s="1"/>
  <c r="P67" i="78" s="1"/>
  <c r="AB64" i="78"/>
  <c r="AB66" i="78" s="1"/>
  <c r="AB67" i="78" s="1"/>
  <c r="AO95" i="78"/>
  <c r="S69" i="78"/>
  <c r="AS74" i="78"/>
  <c r="Z79" i="78"/>
  <c r="F96" i="78"/>
  <c r="AN46" i="66"/>
  <c r="AO97" i="78"/>
  <c r="AS11" i="78"/>
  <c r="AT12" i="78" s="1"/>
  <c r="S19" i="78"/>
  <c r="M29" i="78"/>
  <c r="Y51" i="66" s="1"/>
  <c r="E64" i="78"/>
  <c r="E66" i="78" s="1"/>
  <c r="E67" i="78" s="1"/>
  <c r="Q64" i="78"/>
  <c r="Q66" i="78" s="1"/>
  <c r="Q67" i="78" s="1"/>
  <c r="AC64" i="78"/>
  <c r="AC66" i="78" s="1"/>
  <c r="AC67" i="78" s="1"/>
  <c r="L97" i="78"/>
  <c r="X97" i="78"/>
  <c r="V69" i="78"/>
  <c r="AF79" i="78"/>
  <c r="AB81" i="78"/>
  <c r="AN50" i="66" s="1"/>
  <c r="L96" i="78"/>
  <c r="AM46" i="66"/>
  <c r="U48" i="66"/>
  <c r="AK49" i="66" s="1"/>
  <c r="AN49" i="66"/>
  <c r="AU61" i="78"/>
  <c r="AU97" i="78"/>
  <c r="AT13" i="78"/>
  <c r="Y19" i="78"/>
  <c r="J96" i="78"/>
  <c r="V96" i="78"/>
  <c r="AL81" i="78"/>
  <c r="R96" i="78"/>
  <c r="AO49" i="66"/>
  <c r="AG96" i="78"/>
  <c r="O10" i="78"/>
  <c r="K29" i="78"/>
  <c r="W51" i="66" s="1"/>
  <c r="W29" i="78"/>
  <c r="AI51" i="66" s="1"/>
  <c r="AM29" i="78"/>
  <c r="AM35" i="78" s="1"/>
  <c r="AM37" i="78" s="1"/>
  <c r="AM69" i="78" s="1"/>
  <c r="G94" i="78"/>
  <c r="S94" i="78"/>
  <c r="AE94" i="78"/>
  <c r="O95" i="78"/>
  <c r="AA95" i="78"/>
  <c r="AR80" i="78"/>
  <c r="K96" i="78"/>
  <c r="W96" i="78"/>
  <c r="I80" i="78"/>
  <c r="F94" i="78"/>
  <c r="X96" i="78"/>
  <c r="AV129" i="78"/>
  <c r="AL49" i="66"/>
  <c r="AS27" i="78"/>
  <c r="AS75" i="78"/>
  <c r="AT90" i="78"/>
  <c r="AS90" i="78"/>
  <c r="AP97" i="78"/>
  <c r="AP82" i="78"/>
  <c r="O103" i="66"/>
  <c r="O50" i="66"/>
  <c r="AA103" i="66"/>
  <c r="AA50" i="66"/>
  <c r="Z50" i="66"/>
  <c r="Z103" i="66"/>
  <c r="Q103" i="66"/>
  <c r="Q50" i="66"/>
  <c r="AC103" i="66"/>
  <c r="AC50" i="66"/>
  <c r="N50" i="66"/>
  <c r="N103" i="66"/>
  <c r="R103" i="66"/>
  <c r="R50" i="66"/>
  <c r="AD103" i="66"/>
  <c r="AD50" i="66"/>
  <c r="J11" i="78"/>
  <c r="M10" i="78"/>
  <c r="J9" i="78"/>
  <c r="L10" i="78"/>
  <c r="J7" i="78"/>
  <c r="AQ95" i="78"/>
  <c r="AP94" i="78"/>
  <c r="AP79" i="78"/>
  <c r="AP96" i="78"/>
  <c r="AP81" i="78"/>
  <c r="AQ5" i="78"/>
  <c r="AQ4" i="78"/>
  <c r="L29" i="78"/>
  <c r="L19" i="78"/>
  <c r="X29" i="78"/>
  <c r="AJ51" i="66" s="1"/>
  <c r="X19" i="78"/>
  <c r="AN29" i="78"/>
  <c r="AN35" i="78" s="1"/>
  <c r="AN37" i="78" s="1"/>
  <c r="AN69" i="78" s="1"/>
  <c r="AN19" i="78"/>
  <c r="AP95" i="78"/>
  <c r="AP80" i="78"/>
  <c r="X50" i="66"/>
  <c r="X103" i="66"/>
  <c r="K4" i="78"/>
  <c r="W49" i="66" s="1"/>
  <c r="AR5" i="78"/>
  <c r="AQ9" i="78"/>
  <c r="N10" i="78"/>
  <c r="K11" i="78"/>
  <c r="W13" i="78"/>
  <c r="C19" i="78"/>
  <c r="O19" i="78"/>
  <c r="AA19" i="78"/>
  <c r="AQ19" i="78"/>
  <c r="C29" i="78"/>
  <c r="C35" i="78" s="1"/>
  <c r="C37" i="78" s="1"/>
  <c r="C69" i="78" s="1"/>
  <c r="O29" i="78"/>
  <c r="AA29" i="78"/>
  <c r="AM51" i="66" s="1"/>
  <c r="AQ29" i="78"/>
  <c r="AP63" i="78"/>
  <c r="AP64" i="78" s="1"/>
  <c r="AP66" i="78" s="1"/>
  <c r="AP67" i="78" s="1"/>
  <c r="I64" i="78"/>
  <c r="I66" i="78" s="1"/>
  <c r="I67" i="78" s="1"/>
  <c r="U64" i="78"/>
  <c r="U66" i="78" s="1"/>
  <c r="U67" i="78" s="1"/>
  <c r="AK64" i="78"/>
  <c r="AK66" i="78" s="1"/>
  <c r="AK67" i="78" s="1"/>
  <c r="D79" i="78"/>
  <c r="P79" i="78"/>
  <c r="AB79" i="78"/>
  <c r="AR79" i="78"/>
  <c r="K80" i="78"/>
  <c r="W80" i="78"/>
  <c r="AM80" i="78"/>
  <c r="M82" i="78"/>
  <c r="Y82" i="78"/>
  <c r="N94" i="78"/>
  <c r="Z94" i="78"/>
  <c r="AQ94" i="78"/>
  <c r="N95" i="78"/>
  <c r="Z95" i="78"/>
  <c r="N96" i="78"/>
  <c r="Z96" i="78"/>
  <c r="AQ96" i="78"/>
  <c r="N97" i="78"/>
  <c r="Z97" i="78"/>
  <c r="AQ97" i="78"/>
  <c r="X45" i="66"/>
  <c r="AJ45" i="66"/>
  <c r="W46" i="66"/>
  <c r="AI46" i="66"/>
  <c r="AG81" i="78"/>
  <c r="AR9" i="78"/>
  <c r="AR61" i="78"/>
  <c r="AR64" i="78" s="1"/>
  <c r="E79" i="78"/>
  <c r="Q79" i="78"/>
  <c r="AC79" i="78"/>
  <c r="AS79" i="78"/>
  <c r="L80" i="78"/>
  <c r="X80" i="78"/>
  <c r="AN80" i="78"/>
  <c r="G81" i="78"/>
  <c r="S81" i="78"/>
  <c r="AE50" i="66" s="1"/>
  <c r="AE81" i="78"/>
  <c r="AQ50" i="66" s="1"/>
  <c r="B82" i="78"/>
  <c r="N82" i="78"/>
  <c r="Z82" i="78"/>
  <c r="O94" i="78"/>
  <c r="AA94" i="78"/>
  <c r="AR94" i="78"/>
  <c r="AR95" i="78"/>
  <c r="O96" i="78"/>
  <c r="AA96" i="78"/>
  <c r="O97" i="78"/>
  <c r="AA97" i="78"/>
  <c r="AR97" i="78"/>
  <c r="AV127" i="78"/>
  <c r="Y45" i="66"/>
  <c r="AK45" i="66"/>
  <c r="P50" i="66"/>
  <c r="AB50" i="66"/>
  <c r="T5" i="78"/>
  <c r="AF49" i="66" s="1"/>
  <c r="Y8" i="78"/>
  <c r="AQ11" i="78"/>
  <c r="E19" i="78"/>
  <c r="Q19" i="78"/>
  <c r="AC19" i="78"/>
  <c r="AS61" i="78"/>
  <c r="AS64" i="78" s="1"/>
  <c r="K64" i="78"/>
  <c r="K66" i="78" s="1"/>
  <c r="K67" i="78" s="1"/>
  <c r="W64" i="78"/>
  <c r="W66" i="78" s="1"/>
  <c r="W67" i="78" s="1"/>
  <c r="AM64" i="78"/>
  <c r="AM66" i="78" s="1"/>
  <c r="AM67" i="78" s="1"/>
  <c r="AR75" i="78"/>
  <c r="F79" i="78"/>
  <c r="R79" i="78"/>
  <c r="AD79" i="78"/>
  <c r="AT79" i="78"/>
  <c r="M80" i="78"/>
  <c r="Y80" i="78"/>
  <c r="H81" i="78"/>
  <c r="T81" i="78"/>
  <c r="AF50" i="66" s="1"/>
  <c r="AF81" i="78"/>
  <c r="AR85" i="78"/>
  <c r="P94" i="78"/>
  <c r="AB94" i="78"/>
  <c r="AS94" i="78"/>
  <c r="P95" i="78"/>
  <c r="AB95" i="78"/>
  <c r="AS95" i="78"/>
  <c r="P97" i="78"/>
  <c r="AB97" i="78"/>
  <c r="AV128" i="78"/>
  <c r="Z45" i="66"/>
  <c r="S64" i="78"/>
  <c r="S66" i="78" s="1"/>
  <c r="S67" i="78" s="1"/>
  <c r="N4" i="78"/>
  <c r="U5" i="78"/>
  <c r="AG49" i="66" s="1"/>
  <c r="M7" i="78"/>
  <c r="AR11" i="78"/>
  <c r="AR16" i="78"/>
  <c r="F19" i="78"/>
  <c r="R19" i="78"/>
  <c r="AD19" i="78"/>
  <c r="AT19" i="78"/>
  <c r="AT61" i="78"/>
  <c r="L64" i="78"/>
  <c r="L66" i="78" s="1"/>
  <c r="L67" i="78" s="1"/>
  <c r="X64" i="78"/>
  <c r="X66" i="78" s="1"/>
  <c r="X67" i="78" s="1"/>
  <c r="AN64" i="78"/>
  <c r="AN66" i="78" s="1"/>
  <c r="AN67" i="78" s="1"/>
  <c r="G79" i="78"/>
  <c r="S79" i="78"/>
  <c r="AE79" i="78"/>
  <c r="I81" i="78"/>
  <c r="U81" i="78"/>
  <c r="AG50" i="66" s="1"/>
  <c r="AS85" i="78"/>
  <c r="Q94" i="78"/>
  <c r="AC94" i="78"/>
  <c r="AT94" i="78"/>
  <c r="Q95" i="78"/>
  <c r="AC95" i="78"/>
  <c r="AT95" i="78"/>
  <c r="Q96" i="78"/>
  <c r="AC96" i="78"/>
  <c r="AC97" i="78"/>
  <c r="AT97" i="78"/>
  <c r="V103" i="66"/>
  <c r="X5" i="78"/>
  <c r="O7" i="78"/>
  <c r="AR7" i="78"/>
  <c r="AT16" i="78"/>
  <c r="H19" i="78"/>
  <c r="T19" i="78"/>
  <c r="AF19" i="78"/>
  <c r="AS73" i="78"/>
  <c r="I79" i="78"/>
  <c r="U79" i="78"/>
  <c r="K81" i="78"/>
  <c r="W81" i="78"/>
  <c r="AI50" i="66" s="1"/>
  <c r="AM81" i="78"/>
  <c r="G95" i="78"/>
  <c r="S95" i="78"/>
  <c r="AE95" i="78"/>
  <c r="G96" i="78"/>
  <c r="AE96" i="78"/>
  <c r="G97" i="78"/>
  <c r="S97" i="78"/>
  <c r="AE97" i="78"/>
  <c r="AC45" i="66"/>
  <c r="AC8" i="78"/>
  <c r="I9" i="78"/>
  <c r="I19" i="78"/>
  <c r="U19" i="78"/>
  <c r="AK19" i="78"/>
  <c r="C64" i="78"/>
  <c r="C66" i="78" s="1"/>
  <c r="C67" i="78" s="1"/>
  <c r="O64" i="78"/>
  <c r="O66" i="78" s="1"/>
  <c r="O67" i="78" s="1"/>
  <c r="AA64" i="78"/>
  <c r="AA66" i="78" s="1"/>
  <c r="AA67" i="78" s="1"/>
  <c r="AQ64" i="78"/>
  <c r="AQ66" i="78" s="1"/>
  <c r="AQ67" i="78" s="1"/>
  <c r="Y70" i="78"/>
  <c r="J79" i="78"/>
  <c r="V79" i="78"/>
  <c r="AL79" i="78"/>
  <c r="AN81" i="78"/>
  <c r="H94" i="78"/>
  <c r="T94" i="78"/>
  <c r="AF94" i="78"/>
  <c r="H95" i="78"/>
  <c r="T95" i="78"/>
  <c r="AF95" i="78"/>
  <c r="H97" i="78"/>
  <c r="T97" i="78"/>
  <c r="AF97" i="78"/>
  <c r="R45" i="66"/>
  <c r="AD45" i="66"/>
  <c r="AM49" i="66"/>
  <c r="I10" i="78"/>
  <c r="J19" i="78"/>
  <c r="V19" i="78"/>
  <c r="AL19" i="78"/>
  <c r="AR76" i="78"/>
  <c r="K79" i="78"/>
  <c r="W79" i="78"/>
  <c r="AM79" i="78"/>
  <c r="M81" i="78"/>
  <c r="Y81" i="78"/>
  <c r="AK50" i="66" s="1"/>
  <c r="AO81" i="78"/>
  <c r="H82" i="78"/>
  <c r="T82" i="78"/>
  <c r="AL95" i="78"/>
  <c r="I97" i="78"/>
  <c r="U97" i="78"/>
  <c r="AL97" i="78"/>
  <c r="S45" i="66"/>
  <c r="AE45" i="66"/>
  <c r="AG94" i="78"/>
  <c r="J10" i="78"/>
  <c r="AR18" i="78"/>
  <c r="K19" i="78"/>
  <c r="W19" i="78"/>
  <c r="AM19" i="78"/>
  <c r="AS76" i="78"/>
  <c r="AN79" i="78"/>
  <c r="J95" i="78"/>
  <c r="V95" i="78"/>
  <c r="J97" i="78"/>
  <c r="V97" i="78"/>
  <c r="T45" i="66"/>
  <c r="AF45" i="66"/>
  <c r="AG95" i="78"/>
  <c r="H4" i="78"/>
  <c r="T49" i="66" s="1"/>
  <c r="AB5" i="78"/>
  <c r="K10" i="78"/>
  <c r="H11" i="78"/>
  <c r="AS18" i="78"/>
  <c r="AR74" i="78"/>
  <c r="M79" i="78"/>
  <c r="Y79" i="78"/>
  <c r="AR86" i="78"/>
  <c r="AN95" i="78"/>
  <c r="AN97" i="78"/>
  <c r="V45" i="66"/>
  <c r="J4" i="78"/>
  <c r="V49" i="66" s="1"/>
  <c r="I7" i="78"/>
  <c r="B19" i="78"/>
  <c r="N19" i="78"/>
  <c r="Z19" i="78"/>
  <c r="AP19" i="78"/>
  <c r="CE93" i="37"/>
  <c r="BU170" i="37"/>
  <c r="BY21" i="37"/>
  <c r="BP143" i="37"/>
  <c r="BP202" i="37" s="1"/>
  <c r="G255" i="37"/>
  <c r="CF254" i="37"/>
  <c r="CF190" i="37"/>
  <c r="BU122" i="37"/>
  <c r="CH273" i="37"/>
  <c r="AM21" i="37"/>
  <c r="BZ21" i="37"/>
  <c r="CA47" i="37"/>
  <c r="AH118" i="37"/>
  <c r="W172" i="37"/>
  <c r="W175" i="37" s="1"/>
  <c r="AQ255" i="37"/>
  <c r="BO305" i="37"/>
  <c r="BD143" i="37"/>
  <c r="BD144" i="37" s="1"/>
  <c r="CD38" i="37"/>
  <c r="BN156" i="37"/>
  <c r="BN255" i="37" s="1"/>
  <c r="AT313" i="37"/>
  <c r="AW313" i="37"/>
  <c r="BN322" i="37"/>
  <c r="BY339" i="37"/>
  <c r="AB351" i="37"/>
  <c r="AQ21" i="37"/>
  <c r="BY42" i="37"/>
  <c r="BZ43" i="37" s="1"/>
  <c r="BY68" i="37"/>
  <c r="AJ126" i="37"/>
  <c r="AX156" i="37"/>
  <c r="BB255" i="37" s="1"/>
  <c r="BS156" i="37"/>
  <c r="BY203" i="37"/>
  <c r="AU313" i="37"/>
  <c r="AG316" i="37"/>
  <c r="CH124" i="37"/>
  <c r="AR21" i="37"/>
  <c r="BZ57" i="37"/>
  <c r="CA244" i="37" s="1"/>
  <c r="BZ68" i="37"/>
  <c r="CE114" i="37"/>
  <c r="BP124" i="37"/>
  <c r="AK126" i="37"/>
  <c r="AR126" i="37"/>
  <c r="CA203" i="37"/>
  <c r="BY312" i="37"/>
  <c r="BU234" i="37"/>
  <c r="CH308" i="37"/>
  <c r="AL126" i="37"/>
  <c r="AS126" i="37"/>
  <c r="BM255" i="37"/>
  <c r="Z254" i="37"/>
  <c r="BC174" i="37"/>
  <c r="AA30" i="66" s="1"/>
  <c r="CE190" i="37"/>
  <c r="AG313" i="37"/>
  <c r="CH226" i="37"/>
  <c r="BO255" i="37"/>
  <c r="BD255" i="37"/>
  <c r="CE273" i="37"/>
  <c r="AC300" i="37"/>
  <c r="BA323" i="37"/>
  <c r="BE323" i="37" s="1"/>
  <c r="BI323" i="37" s="1"/>
  <c r="BM324" i="37" s="1"/>
  <c r="BU115" i="37"/>
  <c r="CH156" i="37"/>
  <c r="AH126" i="37"/>
  <c r="BM170" i="37"/>
  <c r="E178" i="37"/>
  <c r="BU161" i="37"/>
  <c r="AJ43" i="37"/>
  <c r="BZ117" i="37"/>
  <c r="CA118" i="37" s="1"/>
  <c r="BH255" i="37"/>
  <c r="O159" i="37"/>
  <c r="BT170" i="37"/>
  <c r="BK194" i="37"/>
  <c r="BK197" i="37" s="1"/>
  <c r="BU119" i="37"/>
  <c r="AL22" i="66"/>
  <c r="AB27" i="66"/>
  <c r="AQ19" i="66"/>
  <c r="CH174" i="37"/>
  <c r="AI27" i="66"/>
  <c r="BU156" i="37"/>
  <c r="BU252" i="37"/>
  <c r="BU163" i="37"/>
  <c r="BU164" i="37"/>
  <c r="CH178" i="37"/>
  <c r="CH177" i="37"/>
  <c r="CH144" i="37"/>
  <c r="CH175" i="37"/>
  <c r="CH11" i="37"/>
  <c r="CH254" i="37"/>
  <c r="CH228" i="37"/>
  <c r="CH194" i="37"/>
  <c r="CH197" i="37" s="1"/>
  <c r="AH19" i="66"/>
  <c r="AN22" i="66"/>
  <c r="AK27" i="66"/>
  <c r="AC22" i="66"/>
  <c r="AO22" i="66"/>
  <c r="Z27" i="66"/>
  <c r="AL27" i="66"/>
  <c r="AJ19" i="66"/>
  <c r="AP22" i="66"/>
  <c r="AA27" i="66"/>
  <c r="AM27" i="66"/>
  <c r="AK19" i="66"/>
  <c r="AQ22" i="66"/>
  <c r="Z19" i="66"/>
  <c r="AL19" i="66"/>
  <c r="AC27" i="66"/>
  <c r="AB19" i="66"/>
  <c r="AE27" i="66"/>
  <c r="BU143" i="37"/>
  <c r="BU226" i="37"/>
  <c r="BU123" i="37"/>
  <c r="BU169" i="37"/>
  <c r="BU231" i="37"/>
  <c r="BU160" i="37"/>
  <c r="AA201" i="37"/>
  <c r="AA200" i="37"/>
  <c r="CE6" i="37"/>
  <c r="CE8" i="37"/>
  <c r="CA26" i="37"/>
  <c r="BY58" i="37"/>
  <c r="CE72" i="37"/>
  <c r="AR122" i="37"/>
  <c r="BP123" i="37"/>
  <c r="AA144" i="37"/>
  <c r="BP255" i="37"/>
  <c r="CA153" i="37"/>
  <c r="CA156" i="37" s="1"/>
  <c r="CA255" i="37" s="1"/>
  <c r="CA233" i="37"/>
  <c r="BO167" i="37"/>
  <c r="BI174" i="37"/>
  <c r="AG30" i="66" s="1"/>
  <c r="X11" i="37"/>
  <c r="BY46" i="37"/>
  <c r="CB49" i="37"/>
  <c r="Y239" i="37"/>
  <c r="CA78" i="37"/>
  <c r="BA118" i="37"/>
  <c r="BQ123" i="37"/>
  <c r="S143" i="37"/>
  <c r="S175" i="37" s="1"/>
  <c r="AB144" i="37"/>
  <c r="AK255" i="37"/>
  <c r="BA255" i="37"/>
  <c r="BP161" i="37"/>
  <c r="CF174" i="37"/>
  <c r="AA177" i="37"/>
  <c r="AB256" i="37"/>
  <c r="AQ206" i="37"/>
  <c r="X144" i="37"/>
  <c r="AI43" i="37"/>
  <c r="AH44" i="37"/>
  <c r="BZ46" i="37"/>
  <c r="Z53" i="37"/>
  <c r="Z239" i="37" s="1"/>
  <c r="CC98" i="37"/>
  <c r="BI115" i="37"/>
  <c r="AH122" i="37"/>
  <c r="AV122" i="37"/>
  <c r="BS122" i="37"/>
  <c r="BR123" i="37"/>
  <c r="AI126" i="37"/>
  <c r="AR143" i="37"/>
  <c r="AR144" i="37" s="1"/>
  <c r="AE144" i="37"/>
  <c r="AD176" i="37"/>
  <c r="C24" i="66" s="1"/>
  <c r="AU177" i="37"/>
  <c r="S25" i="66" s="1"/>
  <c r="AT205" i="37"/>
  <c r="AT206" i="37" s="1"/>
  <c r="AD22" i="66"/>
  <c r="BT165" i="37"/>
  <c r="BT233" i="37" s="1"/>
  <c r="Z11" i="37"/>
  <c r="AU21" i="37"/>
  <c r="CA46" i="37"/>
  <c r="BH178" i="37"/>
  <c r="CE116" i="37"/>
  <c r="BA122" i="37"/>
  <c r="AX143" i="37"/>
  <c r="AX178" i="37" s="1"/>
  <c r="AH144" i="37"/>
  <c r="BI160" i="37"/>
  <c r="Z175" i="37"/>
  <c r="Z177" i="37" s="1"/>
  <c r="AN206" i="37"/>
  <c r="AE22" i="66"/>
  <c r="H255" i="37"/>
  <c r="CC308" i="37"/>
  <c r="AX313" i="37"/>
  <c r="X347" i="37"/>
  <c r="X348" i="37" s="1"/>
  <c r="AA19" i="66"/>
  <c r="AM19" i="66"/>
  <c r="AF22" i="66"/>
  <c r="AN27" i="66"/>
  <c r="BJ143" i="37"/>
  <c r="I255" i="37"/>
  <c r="AM301" i="37"/>
  <c r="AN19" i="66"/>
  <c r="AG22" i="66"/>
  <c r="AO27" i="66"/>
  <c r="CA73" i="37"/>
  <c r="BT163" i="37"/>
  <c r="AG175" i="37"/>
  <c r="BC176" i="37"/>
  <c r="BC177" i="37" s="1"/>
  <c r="AA25" i="66" s="1"/>
  <c r="BD194" i="37"/>
  <c r="BD197" i="37" s="1"/>
  <c r="BD205" i="37" s="1"/>
  <c r="AN301" i="37"/>
  <c r="BM322" i="37"/>
  <c r="AC19" i="66"/>
  <c r="AH22" i="66"/>
  <c r="AD27" i="66"/>
  <c r="AP27" i="66"/>
  <c r="BZ53" i="37"/>
  <c r="CA240" i="37" s="1"/>
  <c r="AP255" i="37"/>
  <c r="AJ174" i="37"/>
  <c r="B177" i="37"/>
  <c r="CF273" i="37"/>
  <c r="BZ312" i="37"/>
  <c r="AZ329" i="37"/>
  <c r="AD19" i="66"/>
  <c r="AP19" i="66"/>
  <c r="BA114" i="37"/>
  <c r="BM164" i="37"/>
  <c r="AQ174" i="37"/>
  <c r="AG202" i="37"/>
  <c r="R206" i="37"/>
  <c r="CD298" i="37"/>
  <c r="CD302" i="37" s="1"/>
  <c r="AT316" i="37"/>
  <c r="AE19" i="66"/>
  <c r="AJ22" i="66"/>
  <c r="AF27" i="66"/>
  <c r="BP164" i="37"/>
  <c r="BK170" i="37"/>
  <c r="AU316" i="37"/>
  <c r="CC329" i="37"/>
  <c r="AB338" i="37"/>
  <c r="BY337" i="37"/>
  <c r="AD347" i="37"/>
  <c r="AF19" i="66"/>
  <c r="AK22" i="66"/>
  <c r="AG27" i="66"/>
  <c r="CC95" i="37"/>
  <c r="AN122" i="37"/>
  <c r="CE10" i="37"/>
  <c r="AO21" i="37"/>
  <c r="CD95" i="37"/>
  <c r="BQ115" i="37"/>
  <c r="AO122" i="37"/>
  <c r="AP126" i="37"/>
  <c r="AI57" i="37"/>
  <c r="AI244" i="37" s="1"/>
  <c r="AL241" i="37"/>
  <c r="AJ114" i="37"/>
  <c r="AW114" i="37"/>
  <c r="AP122" i="37"/>
  <c r="Y254" i="37"/>
  <c r="AV255" i="37"/>
  <c r="BI163" i="37"/>
  <c r="BK167" i="37"/>
  <c r="AW174" i="37"/>
  <c r="U30" i="66" s="1"/>
  <c r="AP301" i="37"/>
  <c r="AE347" i="37"/>
  <c r="AG19" i="66"/>
  <c r="Z22" i="66"/>
  <c r="AH27" i="66"/>
  <c r="AK114" i="37"/>
  <c r="AQ122" i="37"/>
  <c r="BY194" i="37"/>
  <c r="AQ301" i="37"/>
  <c r="AX323" i="37"/>
  <c r="AF347" i="37"/>
  <c r="AA22" i="66"/>
  <c r="CA68" i="37"/>
  <c r="CF176" i="37"/>
  <c r="CF177" i="37" s="1"/>
  <c r="AI19" i="66"/>
  <c r="AB22" i="66"/>
  <c r="CB15" i="37"/>
  <c r="AJ202" i="37"/>
  <c r="AJ175" i="37"/>
  <c r="AJ144" i="37"/>
  <c r="BI175" i="37"/>
  <c r="BI144" i="37"/>
  <c r="CB228" i="37"/>
  <c r="CB143" i="37"/>
  <c r="AD175" i="37"/>
  <c r="AD144" i="37"/>
  <c r="CF175" i="37"/>
  <c r="CF144" i="37"/>
  <c r="G24" i="66"/>
  <c r="AI178" i="37"/>
  <c r="R173" i="37"/>
  <c r="U24" i="66"/>
  <c r="AW177" i="37"/>
  <c r="U25" i="66" s="1"/>
  <c r="F221" i="37"/>
  <c r="F229" i="37"/>
  <c r="F227" i="37"/>
  <c r="F62" i="37"/>
  <c r="F177" i="37" s="1"/>
  <c r="C249" i="37"/>
  <c r="C227" i="37"/>
  <c r="C226" i="37"/>
  <c r="C225" i="37"/>
  <c r="C201" i="37"/>
  <c r="C229" i="37"/>
  <c r="C228" i="37"/>
  <c r="C206" i="37"/>
  <c r="C143" i="37"/>
  <c r="C207" i="37" s="1"/>
  <c r="C174" i="37"/>
  <c r="AK202" i="37"/>
  <c r="AK175" i="37"/>
  <c r="CC144" i="37"/>
  <c r="AD319" i="37"/>
  <c r="AI114" i="37"/>
  <c r="AF175" i="37"/>
  <c r="AF144" i="37"/>
  <c r="AK11" i="37"/>
  <c r="CA30" i="37"/>
  <c r="Q176" i="37"/>
  <c r="Q173" i="37"/>
  <c r="Q144" i="37"/>
  <c r="AY228" i="37"/>
  <c r="AY143" i="37"/>
  <c r="AY178" i="37" s="1"/>
  <c r="AY174" i="37"/>
  <c r="W30" i="66" s="1"/>
  <c r="BK228" i="37"/>
  <c r="BK143" i="37"/>
  <c r="BK178" i="37" s="1"/>
  <c r="BK174" i="37"/>
  <c r="AI30" i="66" s="1"/>
  <c r="CD144" i="37"/>
  <c r="CA74" i="37"/>
  <c r="I24" i="66"/>
  <c r="AK178" i="37"/>
  <c r="AK177" i="37"/>
  <c r="I25" i="66" s="1"/>
  <c r="CG177" i="37"/>
  <c r="AJ178" i="37"/>
  <c r="H24" i="66"/>
  <c r="AJ177" i="37"/>
  <c r="H25" i="66" s="1"/>
  <c r="AI177" i="37"/>
  <c r="G25" i="66" s="1"/>
  <c r="BA257" i="37"/>
  <c r="BA205" i="37"/>
  <c r="BA202" i="37"/>
  <c r="BA201" i="37"/>
  <c r="AU232" i="37"/>
  <c r="BK164" i="37"/>
  <c r="BS232" i="37"/>
  <c r="BS163" i="37"/>
  <c r="BS164" i="37"/>
  <c r="CC11" i="37"/>
  <c r="R178" i="37"/>
  <c r="AT244" i="37"/>
  <c r="AP223" i="37"/>
  <c r="AP244" i="37"/>
  <c r="BA144" i="37"/>
  <c r="BA175" i="37"/>
  <c r="BM202" i="37"/>
  <c r="BM144" i="37"/>
  <c r="BM175" i="37"/>
  <c r="CA85" i="37"/>
  <c r="CB84" i="37"/>
  <c r="CA84" i="37"/>
  <c r="CA88" i="37"/>
  <c r="AL143" i="37"/>
  <c r="R144" i="37"/>
  <c r="BA254" i="37"/>
  <c r="BA228" i="37"/>
  <c r="BA176" i="37"/>
  <c r="BQ254" i="37"/>
  <c r="BQ228" i="37"/>
  <c r="BQ176" i="37"/>
  <c r="C177" i="37"/>
  <c r="BG194" i="37"/>
  <c r="BG197" i="37" s="1"/>
  <c r="BG203" i="37"/>
  <c r="AI220" i="37"/>
  <c r="AI241" i="37"/>
  <c r="CA69" i="37"/>
  <c r="CF126" i="37"/>
  <c r="CE127" i="37"/>
  <c r="CE126" i="37"/>
  <c r="AK44" i="37"/>
  <c r="AO43" i="37"/>
  <c r="AH219" i="37"/>
  <c r="BY53" i="37"/>
  <c r="AH57" i="37"/>
  <c r="AL244" i="37" s="1"/>
  <c r="BB144" i="37"/>
  <c r="BB175" i="37"/>
  <c r="AM122" i="37"/>
  <c r="V175" i="37"/>
  <c r="V177" i="37" s="1"/>
  <c r="CG252" i="37"/>
  <c r="CG226" i="37"/>
  <c r="CG156" i="37"/>
  <c r="Z24" i="66"/>
  <c r="BB178" i="37"/>
  <c r="BB177" i="37"/>
  <c r="Z25" i="66" s="1"/>
  <c r="AG24" i="66"/>
  <c r="BI178" i="37"/>
  <c r="BI177" i="37"/>
  <c r="AG25" i="66" s="1"/>
  <c r="CA256" i="37"/>
  <c r="CA176" i="37"/>
  <c r="O24" i="66"/>
  <c r="AQ177" i="37"/>
  <c r="O25" i="66" s="1"/>
  <c r="BQ205" i="37"/>
  <c r="BQ201" i="37"/>
  <c r="BQ257" i="37"/>
  <c r="AS205" i="37"/>
  <c r="AS257" i="37"/>
  <c r="AS201" i="37"/>
  <c r="U175" i="37"/>
  <c r="U172" i="37"/>
  <c r="U144" i="37"/>
  <c r="BC175" i="37"/>
  <c r="BC144" i="37"/>
  <c r="BO173" i="37"/>
  <c r="BO144" i="37"/>
  <c r="BC11" i="37"/>
  <c r="CA16" i="37"/>
  <c r="BZ49" i="37"/>
  <c r="BZ50" i="37"/>
  <c r="CA50" i="37"/>
  <c r="CA220" i="37"/>
  <c r="CA219" i="37"/>
  <c r="CA229" i="37"/>
  <c r="CA182" i="37"/>
  <c r="CA223" i="37"/>
  <c r="CA96" i="37"/>
  <c r="CA62" i="37"/>
  <c r="CA143" i="37" s="1"/>
  <c r="CA175" i="37" s="1"/>
  <c r="CA93" i="37"/>
  <c r="CA79" i="37"/>
  <c r="BT124" i="37"/>
  <c r="BT122" i="37"/>
  <c r="BT123" i="37"/>
  <c r="AB24" i="66"/>
  <c r="BD177" i="37"/>
  <c r="AB25" i="66" s="1"/>
  <c r="W227" i="37"/>
  <c r="W144" i="37"/>
  <c r="AS228" i="37"/>
  <c r="AS174" i="37"/>
  <c r="AS143" i="37"/>
  <c r="AS202" i="37" s="1"/>
  <c r="AS177" i="37"/>
  <c r="Q25" i="66" s="1"/>
  <c r="BE173" i="37"/>
  <c r="BE144" i="37"/>
  <c r="BQ174" i="37"/>
  <c r="AO30" i="66" s="1"/>
  <c r="BQ143" i="37"/>
  <c r="Y172" i="37"/>
  <c r="Y351" i="37" s="1"/>
  <c r="Y144" i="37"/>
  <c r="AW231" i="37"/>
  <c r="BM161" i="37"/>
  <c r="BT231" i="37"/>
  <c r="BT161" i="37"/>
  <c r="BT160" i="37"/>
  <c r="AU257" i="37"/>
  <c r="AU205" i="37"/>
  <c r="AU201" i="37"/>
  <c r="F10" i="37"/>
  <c r="AF11" i="37"/>
  <c r="BE11" i="37"/>
  <c r="CA19" i="37"/>
  <c r="CA24" i="37"/>
  <c r="CB23" i="37"/>
  <c r="CA23" i="37"/>
  <c r="AB240" i="37"/>
  <c r="AB219" i="37"/>
  <c r="BF144" i="37"/>
  <c r="BF173" i="37"/>
  <c r="BR202" i="37"/>
  <c r="BR144" i="37"/>
  <c r="CA99" i="37"/>
  <c r="AO126" i="37"/>
  <c r="BO164" i="37"/>
  <c r="AT234" i="37"/>
  <c r="BJ170" i="37"/>
  <c r="BR234" i="37"/>
  <c r="BR169" i="37"/>
  <c r="BR170" i="37"/>
  <c r="F220" i="37"/>
  <c r="G10" i="37"/>
  <c r="AK43" i="37"/>
  <c r="AJ244" i="37"/>
  <c r="AJ223" i="37"/>
  <c r="BS144" i="37"/>
  <c r="AK144" i="37"/>
  <c r="AJ255" i="37"/>
  <c r="AF228" i="37"/>
  <c r="AF176" i="37"/>
  <c r="BG254" i="37"/>
  <c r="BK254" i="37"/>
  <c r="BG228" i="37"/>
  <c r="BG176" i="37"/>
  <c r="CC254" i="37"/>
  <c r="CC228" i="37"/>
  <c r="BI161" i="37"/>
  <c r="BN166" i="37"/>
  <c r="H10" i="37"/>
  <c r="AA218" i="37"/>
  <c r="AN240" i="37"/>
  <c r="AN219" i="37"/>
  <c r="AI202" i="37"/>
  <c r="AI175" i="37"/>
  <c r="AI144" i="37"/>
  <c r="BH175" i="37"/>
  <c r="BH144" i="37"/>
  <c r="BT173" i="37"/>
  <c r="BT144" i="37"/>
  <c r="AH319" i="37"/>
  <c r="AH114" i="37"/>
  <c r="AL114" i="37"/>
  <c r="AS122" i="37"/>
  <c r="AQ126" i="37"/>
  <c r="AU126" i="37"/>
  <c r="BQ252" i="37"/>
  <c r="BQ226" i="37"/>
  <c r="BQ165" i="37"/>
  <c r="BU166" i="37" s="1"/>
  <c r="BQ156" i="37"/>
  <c r="BQ255" i="37" s="1"/>
  <c r="AB254" i="37"/>
  <c r="F24" i="66"/>
  <c r="AH177" i="37"/>
  <c r="F25" i="66" s="1"/>
  <c r="AH178" i="37"/>
  <c r="AF24" i="66"/>
  <c r="BH177" i="37"/>
  <c r="AF25" i="66" s="1"/>
  <c r="AT233" i="37"/>
  <c r="R29" i="66" s="1"/>
  <c r="BJ167" i="37"/>
  <c r="CA186" i="37"/>
  <c r="CC38" i="37"/>
  <c r="AM240" i="37"/>
  <c r="AM219" i="37"/>
  <c r="AN241" i="37"/>
  <c r="AN220" i="37"/>
  <c r="AB243" i="37"/>
  <c r="AB222" i="37"/>
  <c r="E245" i="37"/>
  <c r="D245" i="37"/>
  <c r="D331" i="37"/>
  <c r="D220" i="37"/>
  <c r="D219" i="37"/>
  <c r="B227" i="37"/>
  <c r="B226" i="37"/>
  <c r="B225" i="37"/>
  <c r="B201" i="37"/>
  <c r="B229" i="37"/>
  <c r="BY117" i="37"/>
  <c r="BY118" i="37" s="1"/>
  <c r="BZ125" i="37"/>
  <c r="AQ143" i="37"/>
  <c r="AQ178" i="37" s="1"/>
  <c r="CF252" i="37"/>
  <c r="CF226" i="37"/>
  <c r="AN255" i="37"/>
  <c r="AP254" i="37"/>
  <c r="AL254" i="37"/>
  <c r="AL228" i="37"/>
  <c r="AL205" i="37"/>
  <c r="BP254" i="37"/>
  <c r="BP228" i="37"/>
  <c r="AI174" i="37"/>
  <c r="AV174" i="37"/>
  <c r="T30" i="66" s="1"/>
  <c r="BH174" i="37"/>
  <c r="AF30" i="66" s="1"/>
  <c r="N24" i="66"/>
  <c r="AZ257" i="37"/>
  <c r="AZ201" i="37"/>
  <c r="AZ205" i="37"/>
  <c r="Q206" i="37"/>
  <c r="AB239" i="37"/>
  <c r="AB218" i="37"/>
  <c r="AT241" i="37"/>
  <c r="AP241" i="37"/>
  <c r="AP220" i="37"/>
  <c r="AQ223" i="37"/>
  <c r="AQ244" i="37"/>
  <c r="G245" i="37"/>
  <c r="G221" i="37"/>
  <c r="G229" i="37"/>
  <c r="G227" i="37"/>
  <c r="G220" i="37"/>
  <c r="D62" i="37"/>
  <c r="D177" i="37" s="1"/>
  <c r="CB67" i="37"/>
  <c r="CA87" i="37"/>
  <c r="BN122" i="37"/>
  <c r="CE124" i="37"/>
  <c r="T143" i="37"/>
  <c r="CG143" i="37"/>
  <c r="CG178" i="37" s="1"/>
  <c r="CB251" i="37"/>
  <c r="CA251" i="37"/>
  <c r="CA225" i="37"/>
  <c r="AI253" i="37"/>
  <c r="AD227" i="37"/>
  <c r="AD156" i="37"/>
  <c r="AI255" i="37" s="1"/>
  <c r="CF156" i="37"/>
  <c r="BB254" i="37"/>
  <c r="BB228" i="37"/>
  <c r="BR254" i="37"/>
  <c r="BR228" i="37"/>
  <c r="BO170" i="37"/>
  <c r="AK174" i="37"/>
  <c r="AX174" i="37"/>
  <c r="V30" i="66" s="1"/>
  <c r="AE176" i="37"/>
  <c r="P24" i="66"/>
  <c r="BP176" i="37"/>
  <c r="AB177" i="37"/>
  <c r="AV177" i="37"/>
  <c r="T25" i="66" s="1"/>
  <c r="U205" i="37"/>
  <c r="AL220" i="37"/>
  <c r="CA27" i="37"/>
  <c r="CB29" i="37"/>
  <c r="AM43" i="37"/>
  <c r="AP240" i="37"/>
  <c r="AT240" i="37"/>
  <c r="AP219" i="37"/>
  <c r="AQ241" i="37"/>
  <c r="AQ220" i="37"/>
  <c r="AR244" i="37"/>
  <c r="AR223" i="37"/>
  <c r="H245" i="37"/>
  <c r="H229" i="37"/>
  <c r="H227" i="37"/>
  <c r="H220" i="37"/>
  <c r="Z244" i="37"/>
  <c r="Y244" i="37"/>
  <c r="Y227" i="37"/>
  <c r="BY82" i="37"/>
  <c r="CB87" i="37"/>
  <c r="CC92" i="37"/>
  <c r="CE96" i="37"/>
  <c r="BQ119" i="37"/>
  <c r="AW122" i="37"/>
  <c r="BS123" i="37"/>
  <c r="AT143" i="37"/>
  <c r="BM252" i="37"/>
  <c r="BM226" i="37"/>
  <c r="CB253" i="37"/>
  <c r="CA253" i="37"/>
  <c r="CA227" i="37"/>
  <c r="AR255" i="37"/>
  <c r="BS254" i="37"/>
  <c r="BS228" i="37"/>
  <c r="BK161" i="37"/>
  <c r="CA232" i="37"/>
  <c r="BQ164" i="37"/>
  <c r="BP170" i="37"/>
  <c r="CB194" i="37"/>
  <c r="BL201" i="37"/>
  <c r="BL205" i="37"/>
  <c r="AG206" i="37"/>
  <c r="AG207" i="37"/>
  <c r="AN43" i="37"/>
  <c r="AQ240" i="37"/>
  <c r="AQ219" i="37"/>
  <c r="AR241" i="37"/>
  <c r="AR220" i="37"/>
  <c r="AG244" i="37"/>
  <c r="AG223" i="37"/>
  <c r="I229" i="37"/>
  <c r="I245" i="37"/>
  <c r="I227" i="37"/>
  <c r="I220" i="37"/>
  <c r="I221" i="37"/>
  <c r="G62" i="37"/>
  <c r="G206" i="37" s="1"/>
  <c r="CD92" i="37"/>
  <c r="CE120" i="37"/>
  <c r="CG124" i="37"/>
  <c r="B143" i="37"/>
  <c r="AU143" i="37"/>
  <c r="BG143" i="37"/>
  <c r="BN252" i="37"/>
  <c r="BN226" i="37"/>
  <c r="BE255" i="37"/>
  <c r="BD254" i="37"/>
  <c r="BD228" i="37"/>
  <c r="BT228" i="37"/>
  <c r="BT254" i="37"/>
  <c r="BQ163" i="37"/>
  <c r="BR164" i="37"/>
  <c r="CA234" i="37"/>
  <c r="BP169" i="37"/>
  <c r="BQ170" i="37"/>
  <c r="Z174" i="37"/>
  <c r="AM174" i="37"/>
  <c r="AZ174" i="37"/>
  <c r="X30" i="66" s="1"/>
  <c r="BL174" i="37"/>
  <c r="AJ30" i="66" s="1"/>
  <c r="R24" i="66"/>
  <c r="AT177" i="37"/>
  <c r="R25" i="66" s="1"/>
  <c r="AG178" i="37"/>
  <c r="AJ257" i="37"/>
  <c r="AE205" i="37"/>
  <c r="AE202" i="37"/>
  <c r="AE201" i="37"/>
  <c r="AR205" i="37"/>
  <c r="AR257" i="37"/>
  <c r="CB197" i="37"/>
  <c r="CA197" i="37"/>
  <c r="AR201" i="37"/>
  <c r="BI202" i="37"/>
  <c r="BI201" i="37"/>
  <c r="BI205" i="37"/>
  <c r="BM205" i="37"/>
  <c r="AA204" i="37"/>
  <c r="AM206" i="37"/>
  <c r="AA256" i="37"/>
  <c r="CA43" i="37"/>
  <c r="BY50" i="37"/>
  <c r="AR53" i="37"/>
  <c r="AG220" i="37"/>
  <c r="AG241" i="37"/>
  <c r="BY54" i="37"/>
  <c r="BY232" i="37"/>
  <c r="BY234" i="37"/>
  <c r="BY201" i="37"/>
  <c r="BY231" i="37"/>
  <c r="BY227" i="37"/>
  <c r="BY233" i="37"/>
  <c r="BY229" i="37"/>
  <c r="H62" i="37"/>
  <c r="H206" i="37" s="1"/>
  <c r="BY62" i="37"/>
  <c r="BY228" i="37" s="1"/>
  <c r="CE67" i="37"/>
  <c r="CE68" i="37"/>
  <c r="BY73" i="37"/>
  <c r="CA82" i="37"/>
  <c r="CE118" i="37"/>
  <c r="BQ122" i="37"/>
  <c r="BN124" i="37"/>
  <c r="AV143" i="37"/>
  <c r="AV202" i="37" s="1"/>
  <c r="V144" i="37"/>
  <c r="BO252" i="37"/>
  <c r="BO226" i="37"/>
  <c r="AG255" i="37"/>
  <c r="AT156" i="37"/>
  <c r="AT255" i="37" s="1"/>
  <c r="BF255" i="37"/>
  <c r="BE254" i="37"/>
  <c r="BE228" i="37"/>
  <c r="BY254" i="37"/>
  <c r="BY205" i="37"/>
  <c r="BR163" i="37"/>
  <c r="CE233" i="37"/>
  <c r="BQ169" i="37"/>
  <c r="AN174" i="37"/>
  <c r="BA174" i="37"/>
  <c r="Y30" i="66" s="1"/>
  <c r="BM174" i="37"/>
  <c r="AK30" i="66" s="1"/>
  <c r="BY182" i="37"/>
  <c r="BB194" i="37"/>
  <c r="BB197" i="37" s="1"/>
  <c r="BB203" i="37"/>
  <c r="BC257" i="37"/>
  <c r="BC205" i="37"/>
  <c r="BC202" i="37"/>
  <c r="BC201" i="37"/>
  <c r="AK257" i="37"/>
  <c r="AF205" i="37"/>
  <c r="AF202" i="37"/>
  <c r="AF201" i="37"/>
  <c r="B206" i="37"/>
  <c r="H221" i="37"/>
  <c r="BY225" i="37"/>
  <c r="AG240" i="37"/>
  <c r="AG219" i="37"/>
  <c r="BZ54" i="37"/>
  <c r="CA241" i="37" s="1"/>
  <c r="BZ232" i="37"/>
  <c r="BZ234" i="37"/>
  <c r="BZ233" i="37"/>
  <c r="BZ231" i="37"/>
  <c r="I62" i="37"/>
  <c r="BZ73" i="37"/>
  <c r="BI123" i="37"/>
  <c r="AW143" i="37"/>
  <c r="AW178" i="37" s="1"/>
  <c r="BP252" i="37"/>
  <c r="BP226" i="37"/>
  <c r="BY153" i="37"/>
  <c r="BY156" i="37" s="1"/>
  <c r="BY255" i="37" s="1"/>
  <c r="AU255" i="37"/>
  <c r="BG255" i="37"/>
  <c r="BF254" i="37"/>
  <c r="BJ254" i="37"/>
  <c r="BF228" i="37"/>
  <c r="CB254" i="37"/>
  <c r="CA254" i="37"/>
  <c r="BO161" i="37"/>
  <c r="BT164" i="37"/>
  <c r="BM165" i="37"/>
  <c r="CF165" i="37"/>
  <c r="CF233" i="37" s="1"/>
  <c r="BS170" i="37"/>
  <c r="V172" i="37"/>
  <c r="V190" i="37" s="1"/>
  <c r="V193" i="37" s="1"/>
  <c r="V196" i="37" s="1"/>
  <c r="BB174" i="37"/>
  <c r="Z30" i="66" s="1"/>
  <c r="BZ182" i="37"/>
  <c r="BY186" i="37"/>
  <c r="BY257" i="37"/>
  <c r="AG257" i="37"/>
  <c r="AG201" i="37"/>
  <c r="Y218" i="37"/>
  <c r="CC34" i="37"/>
  <c r="CC35" i="37"/>
  <c r="AI240" i="37"/>
  <c r="AI219" i="37"/>
  <c r="AJ241" i="37"/>
  <c r="AJ220" i="37"/>
  <c r="X243" i="37"/>
  <c r="X222" i="37"/>
  <c r="AK244" i="37"/>
  <c r="AK223" i="37"/>
  <c r="CG247" i="37"/>
  <c r="CE247" i="37"/>
  <c r="CF245" i="37"/>
  <c r="CE245" i="37"/>
  <c r="CE232" i="37"/>
  <c r="CE234" i="37"/>
  <c r="CE227" i="37"/>
  <c r="CE229" i="37"/>
  <c r="CE226" i="37"/>
  <c r="CE225" i="37"/>
  <c r="CB72" i="37"/>
  <c r="BY85" i="37"/>
  <c r="BY88" i="37"/>
  <c r="CD98" i="37"/>
  <c r="BY113" i="37"/>
  <c r="BE115" i="37"/>
  <c r="BY121" i="37"/>
  <c r="BY122" i="37" s="1"/>
  <c r="AM143" i="37"/>
  <c r="AM207" i="37" s="1"/>
  <c r="BR226" i="37"/>
  <c r="BR252" i="37"/>
  <c r="AW255" i="37"/>
  <c r="BI255" i="37"/>
  <c r="AH228" i="37"/>
  <c r="AH205" i="37"/>
  <c r="BL254" i="37"/>
  <c r="BH228" i="37"/>
  <c r="BH254" i="37"/>
  <c r="CD254" i="37"/>
  <c r="CD228" i="37"/>
  <c r="CA231" i="37"/>
  <c r="BP160" i="37"/>
  <c r="BQ161" i="37"/>
  <c r="BI164" i="37"/>
  <c r="BP165" i="37"/>
  <c r="BI166" i="37"/>
  <c r="BI167" i="37"/>
  <c r="BT169" i="37"/>
  <c r="AH175" i="37"/>
  <c r="V24" i="66"/>
  <c r="AX177" i="37"/>
  <c r="V25" i="66" s="1"/>
  <c r="AN177" i="37"/>
  <c r="L25" i="66" s="1"/>
  <c r="AV257" i="37"/>
  <c r="AV205" i="37"/>
  <c r="AI257" i="37"/>
  <c r="AD205" i="37"/>
  <c r="AD202" i="37"/>
  <c r="AD201" i="37"/>
  <c r="AA219" i="37"/>
  <c r="AJ240" i="37"/>
  <c r="AJ219" i="37"/>
  <c r="X240" i="37"/>
  <c r="X219" i="37"/>
  <c r="AK241" i="37"/>
  <c r="AK220" i="37"/>
  <c r="Y243" i="37"/>
  <c r="Y222" i="37"/>
  <c r="AL223" i="37"/>
  <c r="CA81" i="37"/>
  <c r="BZ85" i="37"/>
  <c r="BZ88" i="37"/>
  <c r="BZ113" i="37"/>
  <c r="BZ121" i="37"/>
  <c r="AN143" i="37"/>
  <c r="AN207" i="37" s="1"/>
  <c r="AZ143" i="37"/>
  <c r="AZ178" i="37" s="1"/>
  <c r="BL143" i="37"/>
  <c r="BL178" i="37" s="1"/>
  <c r="BS226" i="37"/>
  <c r="BS252" i="37"/>
  <c r="X254" i="37"/>
  <c r="BJ255" i="37"/>
  <c r="AM254" i="37"/>
  <c r="AI228" i="37"/>
  <c r="AI205" i="37"/>
  <c r="AI254" i="37"/>
  <c r="BI228" i="37"/>
  <c r="BI254" i="37"/>
  <c r="CE254" i="37"/>
  <c r="BQ160" i="37"/>
  <c r="BR161" i="37"/>
  <c r="BJ164" i="37"/>
  <c r="BI169" i="37"/>
  <c r="BI170" i="37"/>
  <c r="AL176" i="37"/>
  <c r="W24" i="66"/>
  <c r="AY177" i="37"/>
  <c r="W25" i="66" s="1"/>
  <c r="AI24" i="66"/>
  <c r="BK177" i="37"/>
  <c r="AI25" i="66" s="1"/>
  <c r="AP177" i="37"/>
  <c r="N25" i="66" s="1"/>
  <c r="AW257" i="37"/>
  <c r="AW201" i="37"/>
  <c r="AW205" i="37"/>
  <c r="BC228" i="37"/>
  <c r="CE34" i="37"/>
  <c r="CE35" i="37"/>
  <c r="CA49" i="37"/>
  <c r="X239" i="37"/>
  <c r="X218" i="37"/>
  <c r="AK240" i="37"/>
  <c r="AK219" i="37"/>
  <c r="Y219" i="37"/>
  <c r="Y240" i="37"/>
  <c r="Z57" i="37"/>
  <c r="AA243" i="37" s="1"/>
  <c r="AM223" i="37"/>
  <c r="B331" i="37"/>
  <c r="B220" i="37"/>
  <c r="B219" i="37"/>
  <c r="AP228" i="37"/>
  <c r="AP206" i="37"/>
  <c r="CE62" i="37"/>
  <c r="CE177" i="37" s="1"/>
  <c r="BY79" i="37"/>
  <c r="BT252" i="37"/>
  <c r="BT226" i="37"/>
  <c r="AL255" i="37"/>
  <c r="BK255" i="37"/>
  <c r="AN254" i="37"/>
  <c r="AJ228" i="37"/>
  <c r="AJ205" i="37"/>
  <c r="AJ254" i="37"/>
  <c r="BM254" i="37"/>
  <c r="BM228" i="37"/>
  <c r="BR160" i="37"/>
  <c r="BS161" i="37"/>
  <c r="BR165" i="37"/>
  <c r="BV166" i="37" s="1"/>
  <c r="Z168" i="37"/>
  <c r="AT174" i="37"/>
  <c r="R30" i="66" s="1"/>
  <c r="K24" i="66"/>
  <c r="AM177" i="37"/>
  <c r="K25" i="66" s="1"/>
  <c r="X24" i="66"/>
  <c r="AZ177" i="37"/>
  <c r="X25" i="66" s="1"/>
  <c r="AJ24" i="66"/>
  <c r="BL177" i="37"/>
  <c r="AJ25" i="66" s="1"/>
  <c r="CE182" i="37"/>
  <c r="CE186" i="37"/>
  <c r="AX257" i="37"/>
  <c r="AX201" i="37"/>
  <c r="AX205" i="37"/>
  <c r="BR205" i="37"/>
  <c r="B228" i="37"/>
  <c r="BO228" i="37"/>
  <c r="CA300" i="37"/>
  <c r="CB301" i="37"/>
  <c r="CA301" i="37"/>
  <c r="AV313" i="37"/>
  <c r="AV319" i="37"/>
  <c r="AV316" i="37"/>
  <c r="AL240" i="37"/>
  <c r="AL219" i="37"/>
  <c r="AM241" i="37"/>
  <c r="AM220" i="37"/>
  <c r="AA222" i="37"/>
  <c r="AN244" i="37"/>
  <c r="AN223" i="37"/>
  <c r="C245" i="37"/>
  <c r="C331" i="37"/>
  <c r="C220" i="37"/>
  <c r="C219" i="37"/>
  <c r="CE73" i="37"/>
  <c r="BZ79" i="37"/>
  <c r="CE99" i="37"/>
  <c r="BY125" i="37"/>
  <c r="BY126" i="37" s="1"/>
  <c r="AP143" i="37"/>
  <c r="AP207" i="37" s="1"/>
  <c r="BN143" i="37"/>
  <c r="CB252" i="37"/>
  <c r="CA252" i="37"/>
  <c r="CA226" i="37"/>
  <c r="AM255" i="37"/>
  <c r="AZ255" i="37"/>
  <c r="BL255" i="37"/>
  <c r="AK254" i="37"/>
  <c r="AK228" i="37"/>
  <c r="AK205" i="37"/>
  <c r="CG254" i="37"/>
  <c r="CG228" i="37"/>
  <c r="B174" i="37"/>
  <c r="AU174" i="37"/>
  <c r="S30" i="66" s="1"/>
  <c r="BM176" i="37"/>
  <c r="AR177" i="37"/>
  <c r="P25" i="66" s="1"/>
  <c r="BP257" i="37"/>
  <c r="BP205" i="37"/>
  <c r="BP201" i="37"/>
  <c r="CF205" i="37"/>
  <c r="CF202" i="37"/>
  <c r="CF201" i="37"/>
  <c r="AY257" i="37"/>
  <c r="AY201" i="37"/>
  <c r="AY205" i="37"/>
  <c r="CF228" i="37"/>
  <c r="AA350" i="37"/>
  <c r="AA351" i="37"/>
  <c r="AA347" i="37"/>
  <c r="AN351" i="37"/>
  <c r="AN347" i="37"/>
  <c r="AB201" i="37"/>
  <c r="AB204" i="37"/>
  <c r="CD329" i="37"/>
  <c r="X340" i="37"/>
  <c r="BC203" i="37"/>
  <c r="E206" i="37"/>
  <c r="Y340" i="37"/>
  <c r="BP203" i="37"/>
  <c r="AR316" i="37"/>
  <c r="AR313" i="37"/>
  <c r="H350" i="37"/>
  <c r="H347" i="37"/>
  <c r="BQ203" i="37"/>
  <c r="AS316" i="37"/>
  <c r="AS313" i="37"/>
  <c r="AS319" i="37"/>
  <c r="BY316" i="37"/>
  <c r="I350" i="37"/>
  <c r="I347" i="37"/>
  <c r="BY347" i="37"/>
  <c r="AT201" i="37"/>
  <c r="BR201" i="37"/>
  <c r="AB340" i="37"/>
  <c r="H338" i="37"/>
  <c r="E340" i="37"/>
  <c r="AO19" i="66"/>
  <c r="I338" i="37"/>
  <c r="BM257" i="37"/>
  <c r="X338" i="37"/>
  <c r="J348" i="37"/>
  <c r="J349" i="37"/>
  <c r="AI22" i="66"/>
  <c r="BH191" i="37"/>
  <c r="CA194" i="37"/>
  <c r="AD316" i="37"/>
  <c r="C26" i="66"/>
  <c r="AD313" i="37"/>
  <c r="AD300" i="37"/>
  <c r="H340" i="37"/>
  <c r="AX319" i="37"/>
  <c r="AT321" i="37"/>
  <c r="Y347" i="37"/>
  <c r="Z201" i="37"/>
  <c r="Z204" i="37"/>
  <c r="AY319" i="37"/>
  <c r="AU321" i="37"/>
  <c r="BY313" i="37"/>
  <c r="J340" i="37"/>
  <c r="Z347" i="37"/>
  <c r="AM347" i="37"/>
  <c r="J350" i="37"/>
  <c r="AM350" i="37"/>
  <c r="AR351" i="37"/>
  <c r="AW278" i="37"/>
  <c r="CB278" i="37" s="1"/>
  <c r="AR301" i="37"/>
  <c r="CA312" i="37"/>
  <c r="AB347" i="37"/>
  <c r="AP347" i="37"/>
  <c r="Y350" i="37"/>
  <c r="AP350" i="37"/>
  <c r="AG351" i="37"/>
  <c r="J26" i="66"/>
  <c r="AK278" i="37"/>
  <c r="AE300" i="37"/>
  <c r="AS301" i="37"/>
  <c r="CC301" i="37"/>
  <c r="CB312" i="37"/>
  <c r="BY315" i="37"/>
  <c r="AX327" i="37"/>
  <c r="AQ347" i="37"/>
  <c r="Z350" i="37"/>
  <c r="AQ350" i="37"/>
  <c r="AH351" i="37"/>
  <c r="K26" i="66"/>
  <c r="AF300" i="37"/>
  <c r="CD301" i="37"/>
  <c r="AC313" i="37"/>
  <c r="BZ315" i="37"/>
  <c r="AR347" i="37"/>
  <c r="AI351" i="37"/>
  <c r="L26" i="66"/>
  <c r="AG300" i="37"/>
  <c r="CB313" i="37"/>
  <c r="CA315" i="37"/>
  <c r="AJ351" i="37"/>
  <c r="BA278" i="37"/>
  <c r="CC278" i="37" s="1"/>
  <c r="AN300" i="37"/>
  <c r="AV301" i="37"/>
  <c r="AE313" i="37"/>
  <c r="CB315" i="37"/>
  <c r="AG347" i="37"/>
  <c r="AK351" i="37"/>
  <c r="BY351" i="37" s="1"/>
  <c r="B26" i="66"/>
  <c r="AW301" i="37"/>
  <c r="AF313" i="37"/>
  <c r="AH347" i="37"/>
  <c r="AL351" i="37"/>
  <c r="CA273" i="37"/>
  <c r="AI347" i="37"/>
  <c r="J351" i="37"/>
  <c r="D26" i="66"/>
  <c r="AJ347" i="37"/>
  <c r="E26" i="66"/>
  <c r="BE278" i="37"/>
  <c r="CD278" i="37" s="1"/>
  <c r="CB319" i="37"/>
  <c r="AK347" i="37"/>
  <c r="AL347" i="37"/>
  <c r="AH165" i="61"/>
  <c r="L88" i="55" l="1"/>
  <c r="Z166" i="61"/>
  <c r="D238" i="55"/>
  <c r="M79" i="55"/>
  <c r="O76" i="16"/>
  <c r="O8" i="16"/>
  <c r="D13" i="64"/>
  <c r="D82" i="55"/>
  <c r="O77" i="16"/>
  <c r="R18" i="61"/>
  <c r="R19" i="61" s="1"/>
  <c r="U160" i="70"/>
  <c r="U173" i="70" s="1"/>
  <c r="U174" i="70" s="1"/>
  <c r="J300" i="70"/>
  <c r="Y117" i="62"/>
  <c r="AH119" i="62"/>
  <c r="F201" i="70"/>
  <c r="AH171" i="62"/>
  <c r="K24" i="13"/>
  <c r="FO11" i="12"/>
  <c r="K122" i="55"/>
  <c r="E44" i="13"/>
  <c r="I71" i="62"/>
  <c r="R102" i="61"/>
  <c r="L106" i="55"/>
  <c r="O78" i="58"/>
  <c r="E24" i="13"/>
  <c r="AJ10" i="12" s="1"/>
  <c r="AR10" i="12" s="1"/>
  <c r="O79" i="58"/>
  <c r="L236" i="55"/>
  <c r="T11" i="12"/>
  <c r="AB10" i="12"/>
  <c r="AJ17" i="61"/>
  <c r="G113" i="72"/>
  <c r="K81" i="55"/>
  <c r="K82" i="55" s="1"/>
  <c r="K77" i="16"/>
  <c r="O80" i="58"/>
  <c r="G45" i="62"/>
  <c r="I236" i="55"/>
  <c r="G69" i="62"/>
  <c r="G19" i="62"/>
  <c r="Z95" i="62"/>
  <c r="Z97" i="62" s="1"/>
  <c r="AB35" i="70"/>
  <c r="Z164" i="62"/>
  <c r="T16" i="15"/>
  <c r="N53" i="15"/>
  <c r="P134" i="62"/>
  <c r="AI37" i="62"/>
  <c r="AM37" i="62" s="1"/>
  <c r="AH168" i="62"/>
  <c r="M171" i="13"/>
  <c r="FQ13" i="12" s="1"/>
  <c r="M48" i="15"/>
  <c r="AA102" i="61"/>
  <c r="T111" i="62"/>
  <c r="M28" i="15"/>
  <c r="E56" i="72"/>
  <c r="M55" i="13"/>
  <c r="BY13" i="12" s="1"/>
  <c r="M24" i="13"/>
  <c r="AK13" i="12" s="1"/>
  <c r="AS13" i="12" s="1"/>
  <c r="C17" i="64"/>
  <c r="AF78" i="61"/>
  <c r="AB101" i="61"/>
  <c r="E55" i="72"/>
  <c r="AG165" i="61"/>
  <c r="R53" i="15"/>
  <c r="F37" i="62"/>
  <c r="AB128" i="62"/>
  <c r="M16" i="11"/>
  <c r="G88" i="55"/>
  <c r="R158" i="70"/>
  <c r="D74" i="74"/>
  <c r="L16" i="11"/>
  <c r="AE102" i="61"/>
  <c r="F30" i="62"/>
  <c r="F32" i="62" s="1"/>
  <c r="T169" i="13"/>
  <c r="FA16" i="12" s="1"/>
  <c r="AQ33" i="12"/>
  <c r="H18" i="72"/>
  <c r="M122" i="55"/>
  <c r="V165" i="61"/>
  <c r="E118" i="62"/>
  <c r="AE53" i="15"/>
  <c r="J75" i="16"/>
  <c r="R122" i="55"/>
  <c r="P35" i="78"/>
  <c r="P37" i="78" s="1"/>
  <c r="AI78" i="61"/>
  <c r="C94" i="62"/>
  <c r="C137" i="62" s="1"/>
  <c r="C148" i="62" s="1"/>
  <c r="C152" i="62" s="1"/>
  <c r="C155" i="62" s="1"/>
  <c r="C156" i="62" s="1"/>
  <c r="AE71" i="15"/>
  <c r="G178" i="16"/>
  <c r="D20" i="62"/>
  <c r="AH132" i="62"/>
  <c r="C81" i="62"/>
  <c r="AI129" i="62"/>
  <c r="C52" i="15"/>
  <c r="AA47" i="62"/>
  <c r="AH116" i="62"/>
  <c r="X173" i="37"/>
  <c r="C68" i="15"/>
  <c r="AA39" i="62"/>
  <c r="S106" i="62"/>
  <c r="X88" i="55"/>
  <c r="L53" i="15"/>
  <c r="AA136" i="62"/>
  <c r="X106" i="55"/>
  <c r="G109" i="55"/>
  <c r="G111" i="62"/>
  <c r="S157" i="13"/>
  <c r="DT16" i="12" s="1"/>
  <c r="CE255" i="37"/>
  <c r="C71" i="15"/>
  <c r="L16" i="15"/>
  <c r="C106" i="62"/>
  <c r="V201" i="70"/>
  <c r="G285" i="72"/>
  <c r="V134" i="62"/>
  <c r="C118" i="62"/>
  <c r="V19" i="61"/>
  <c r="V30" i="61"/>
  <c r="S237" i="55"/>
  <c r="AK166" i="41"/>
  <c r="R71" i="9"/>
  <c r="AH162" i="62"/>
  <c r="S106" i="55"/>
  <c r="O201" i="70"/>
  <c r="H82" i="62"/>
  <c r="H165" i="62" s="1"/>
  <c r="O158" i="70"/>
  <c r="G164" i="72"/>
  <c r="X174" i="37"/>
  <c r="T48" i="15"/>
  <c r="S236" i="55"/>
  <c r="U165" i="61"/>
  <c r="R104" i="72"/>
  <c r="W102" i="61"/>
  <c r="S238" i="55"/>
  <c r="Q85" i="72"/>
  <c r="BP139" i="41"/>
  <c r="AO166" i="41"/>
  <c r="AH107" i="62"/>
  <c r="X351" i="37"/>
  <c r="C32" i="15"/>
  <c r="U69" i="58"/>
  <c r="V160" i="70"/>
  <c r="M169" i="13"/>
  <c r="FA13" i="12" s="1"/>
  <c r="R82" i="55"/>
  <c r="S276" i="55"/>
  <c r="X85" i="55"/>
  <c r="I122" i="55"/>
  <c r="C95" i="62"/>
  <c r="C138" i="62" s="1"/>
  <c r="C139" i="62" s="1"/>
  <c r="J78" i="16"/>
  <c r="D49" i="72"/>
  <c r="D51" i="72" s="1"/>
  <c r="H9" i="62"/>
  <c r="I9" i="62" s="1"/>
  <c r="AD29" i="61"/>
  <c r="AD36" i="61" s="1"/>
  <c r="AD39" i="61" s="1"/>
  <c r="AD42" i="61" s="1"/>
  <c r="AF129" i="62"/>
  <c r="AH98" i="62"/>
  <c r="S92" i="55"/>
  <c r="E81" i="55"/>
  <c r="V17" i="61"/>
  <c r="V29" i="61" s="1"/>
  <c r="V36" i="61" s="1"/>
  <c r="V39" i="61" s="1"/>
  <c r="V42" i="61" s="1"/>
  <c r="V162" i="61" s="1"/>
  <c r="V163" i="61" s="1"/>
  <c r="F35" i="78"/>
  <c r="F37" i="78" s="1"/>
  <c r="F70" i="78" s="1"/>
  <c r="AE28" i="15"/>
  <c r="AE162" i="15" s="1"/>
  <c r="B134" i="62"/>
  <c r="AH83" i="62"/>
  <c r="E79" i="55"/>
  <c r="E33" i="72"/>
  <c r="AH94" i="62"/>
  <c r="AH137" i="62" s="1"/>
  <c r="AH148" i="62" s="1"/>
  <c r="AH152" i="62" s="1"/>
  <c r="AH155" i="62" s="1"/>
  <c r="AH156" i="62" s="1"/>
  <c r="K57" i="58"/>
  <c r="E171" i="61"/>
  <c r="S79" i="55"/>
  <c r="E20" i="62"/>
  <c r="AH124" i="62"/>
  <c r="AH165" i="62"/>
  <c r="S85" i="55"/>
  <c r="X102" i="61"/>
  <c r="G41" i="16"/>
  <c r="G43" i="16" s="1"/>
  <c r="X25" i="9"/>
  <c r="Q79" i="55"/>
  <c r="E109" i="55"/>
  <c r="S134" i="62"/>
  <c r="F117" i="62"/>
  <c r="AR19" i="70"/>
  <c r="G79" i="62"/>
  <c r="Z161" i="62"/>
  <c r="Z123" i="62"/>
  <c r="S94" i="62"/>
  <c r="S137" i="62" s="1"/>
  <c r="S148" i="62" s="1"/>
  <c r="S152" i="62" s="1"/>
  <c r="S155" i="62" s="1"/>
  <c r="S156" i="62" s="1"/>
  <c r="S167" i="62"/>
  <c r="AA46" i="62"/>
  <c r="G166" i="61"/>
  <c r="AF171" i="62"/>
  <c r="C17" i="61"/>
  <c r="C29" i="61" s="1"/>
  <c r="C36" i="61" s="1"/>
  <c r="C39" i="61" s="1"/>
  <c r="C42" i="61" s="1"/>
  <c r="C43" i="61" s="1"/>
  <c r="C162" i="61" s="1"/>
  <c r="C163" i="61" s="1"/>
  <c r="G122" i="55"/>
  <c r="F111" i="62"/>
  <c r="X30" i="62"/>
  <c r="X22" i="62" s="1"/>
  <c r="X23" i="62" s="1"/>
  <c r="AA22" i="62"/>
  <c r="AE22" i="62" s="1"/>
  <c r="AF168" i="62"/>
  <c r="U35" i="78"/>
  <c r="U37" i="78" s="1"/>
  <c r="U69" i="78" s="1"/>
  <c r="BS143" i="41"/>
  <c r="F166" i="61"/>
  <c r="P78" i="58"/>
  <c r="G180" i="16"/>
  <c r="F105" i="62"/>
  <c r="N137" i="62"/>
  <c r="N148" i="62" s="1"/>
  <c r="N152" i="62" s="1"/>
  <c r="N155" i="62" s="1"/>
  <c r="N156" i="62" s="1"/>
  <c r="P102" i="61"/>
  <c r="AG76" i="41"/>
  <c r="AK167" i="41" s="1"/>
  <c r="E123" i="62"/>
  <c r="G74" i="62"/>
  <c r="W79" i="55"/>
  <c r="H178" i="16"/>
  <c r="Q122" i="55"/>
  <c r="E108" i="55"/>
  <c r="S18" i="61"/>
  <c r="S19" i="61" s="1"/>
  <c r="AA41" i="70"/>
  <c r="AA40" i="70" s="1"/>
  <c r="M110" i="16"/>
  <c r="S102" i="61"/>
  <c r="AC29" i="61"/>
  <c r="AC36" i="61" s="1"/>
  <c r="AC39" i="61" s="1"/>
  <c r="AC42" i="61" s="1"/>
  <c r="AC162" i="61" s="1"/>
  <c r="AC163" i="61" s="1"/>
  <c r="W201" i="70"/>
  <c r="K276" i="55"/>
  <c r="V20" i="62"/>
  <c r="AB13" i="12"/>
  <c r="K44" i="13"/>
  <c r="Z118" i="62"/>
  <c r="X20" i="62"/>
  <c r="AC116" i="62"/>
  <c r="G39" i="16"/>
  <c r="L105" i="55"/>
  <c r="S161" i="70"/>
  <c r="AD18" i="61"/>
  <c r="AD19" i="61" s="1"/>
  <c r="DM16" i="12"/>
  <c r="M53" i="15"/>
  <c r="E112" i="62"/>
  <c r="AA20" i="62"/>
  <c r="Z170" i="62"/>
  <c r="G80" i="62"/>
  <c r="G170" i="62" s="1"/>
  <c r="X108" i="55"/>
  <c r="S105" i="55"/>
  <c r="F160" i="70"/>
  <c r="F173" i="70" s="1"/>
  <c r="F174" i="70" s="1"/>
  <c r="J79" i="16"/>
  <c r="F20" i="62"/>
  <c r="U20" i="62"/>
  <c r="W165" i="61"/>
  <c r="BN236" i="41"/>
  <c r="G132" i="62"/>
  <c r="S170" i="62"/>
  <c r="G75" i="62"/>
  <c r="P77" i="58"/>
  <c r="G81" i="55"/>
  <c r="G82" i="55" s="1"/>
  <c r="D164" i="72"/>
  <c r="K171" i="13"/>
  <c r="FO13" i="12" s="1"/>
  <c r="I201" i="70"/>
  <c r="L171" i="13"/>
  <c r="FP13" i="12" s="1"/>
  <c r="S164" i="62"/>
  <c r="AF162" i="62"/>
  <c r="I92" i="55"/>
  <c r="BS233" i="37"/>
  <c r="AQ29" i="66" s="1"/>
  <c r="BW166" i="37"/>
  <c r="BS166" i="37"/>
  <c r="BS167" i="37"/>
  <c r="AQ319" i="37"/>
  <c r="BS255" i="37"/>
  <c r="BW255" i="37"/>
  <c r="BW207" i="37"/>
  <c r="BW206" i="37"/>
  <c r="AR202" i="37"/>
  <c r="AQ313" i="37"/>
  <c r="E88" i="55"/>
  <c r="D236" i="55"/>
  <c r="W164" i="70"/>
  <c r="X201" i="70"/>
  <c r="AA53" i="15"/>
  <c r="J79" i="55"/>
  <c r="I171" i="62"/>
  <c r="C178" i="37"/>
  <c r="B33" i="15"/>
  <c r="R31" i="70"/>
  <c r="C117" i="62"/>
  <c r="C29" i="15"/>
  <c r="AI124" i="62"/>
  <c r="D109" i="55"/>
  <c r="U201" i="70"/>
  <c r="D95" i="55"/>
  <c r="I119" i="62"/>
  <c r="D88" i="55"/>
  <c r="G105" i="62"/>
  <c r="H168" i="61"/>
  <c r="F22" i="16"/>
  <c r="F63" i="16" s="1"/>
  <c r="BB113" i="41"/>
  <c r="AP316" i="37"/>
  <c r="BD178" i="37"/>
  <c r="D43" i="11"/>
  <c r="D44" i="11" s="1"/>
  <c r="AB102" i="61"/>
  <c r="G276" i="55"/>
  <c r="T158" i="70"/>
  <c r="X166" i="61"/>
  <c r="BC255" i="37"/>
  <c r="BR92" i="41"/>
  <c r="H150" i="61"/>
  <c r="H164" i="61" s="1"/>
  <c r="H165" i="61" s="1"/>
  <c r="Q18" i="61"/>
  <c r="Q19" i="61" s="1"/>
  <c r="T17" i="61"/>
  <c r="T29" i="61" s="1"/>
  <c r="T36" i="61" s="1"/>
  <c r="T39" i="61" s="1"/>
  <c r="T42" i="61" s="1"/>
  <c r="T43" i="61" s="1"/>
  <c r="L237" i="55"/>
  <c r="D18" i="61"/>
  <c r="D19" i="61" s="1"/>
  <c r="P79" i="55"/>
  <c r="D77" i="58"/>
  <c r="R20" i="62"/>
  <c r="T117" i="62"/>
  <c r="W81" i="55"/>
  <c r="W94" i="55" s="1"/>
  <c r="W95" i="55" s="1"/>
  <c r="I160" i="70"/>
  <c r="I161" i="70" s="1"/>
  <c r="K53" i="15"/>
  <c r="C171" i="61"/>
  <c r="Z102" i="61"/>
  <c r="AX202" i="37"/>
  <c r="T29" i="15"/>
  <c r="DK12" i="12"/>
  <c r="V40" i="62"/>
  <c r="Z41" i="62" s="1"/>
  <c r="H167" i="61"/>
  <c r="G17" i="61"/>
  <c r="G29" i="61" s="1"/>
  <c r="G36" i="61" s="1"/>
  <c r="G39" i="61" s="1"/>
  <c r="G42" i="61" s="1"/>
  <c r="G43" i="61" s="1"/>
  <c r="G162" i="61" s="1"/>
  <c r="G163" i="61" s="1"/>
  <c r="J85" i="55"/>
  <c r="M275" i="55"/>
  <c r="E92" i="55"/>
  <c r="I39" i="16"/>
  <c r="I88" i="61"/>
  <c r="I90" i="61" s="1"/>
  <c r="E17" i="61"/>
  <c r="E29" i="61" s="1"/>
  <c r="E36" i="61" s="1"/>
  <c r="E39" i="61" s="1"/>
  <c r="E42" i="61" s="1"/>
  <c r="E43" i="61" s="1"/>
  <c r="E162" i="61" s="1"/>
  <c r="E163" i="61" s="1"/>
  <c r="I178" i="16"/>
  <c r="X79" i="55"/>
  <c r="T31" i="15"/>
  <c r="T32" i="15" s="1"/>
  <c r="K169" i="13"/>
  <c r="EY13" i="12" s="1"/>
  <c r="E33" i="62"/>
  <c r="E105" i="62" s="1"/>
  <c r="AH102" i="61"/>
  <c r="J108" i="55"/>
  <c r="U134" i="62"/>
  <c r="I41" i="16"/>
  <c r="I43" i="16" s="1"/>
  <c r="J276" i="55"/>
  <c r="F33" i="72"/>
  <c r="T25" i="55"/>
  <c r="AW321" i="37"/>
  <c r="Z160" i="15"/>
  <c r="Z161" i="15" s="1"/>
  <c r="R157" i="13"/>
  <c r="DS16" i="12" s="1"/>
  <c r="D35" i="62"/>
  <c r="J106" i="55"/>
  <c r="G108" i="55"/>
  <c r="L275" i="55"/>
  <c r="J275" i="55"/>
  <c r="H6" i="72"/>
  <c r="J96" i="61"/>
  <c r="K96" i="61" s="1"/>
  <c r="J237" i="55"/>
  <c r="D142" i="61"/>
  <c r="E141" i="61" s="1"/>
  <c r="E142" i="61" s="1"/>
  <c r="F141" i="61" s="1"/>
  <c r="F142" i="61" s="1"/>
  <c r="AF107" i="62"/>
  <c r="J109" i="55"/>
  <c r="G106" i="55"/>
  <c r="M276" i="55"/>
  <c r="D108" i="55"/>
  <c r="E74" i="74"/>
  <c r="D79" i="55"/>
  <c r="K275" i="55"/>
  <c r="E105" i="55"/>
  <c r="D107" i="55"/>
  <c r="I158" i="70"/>
  <c r="AD102" i="61"/>
  <c r="AA31" i="62"/>
  <c r="B18" i="61"/>
  <c r="B19" i="61" s="1"/>
  <c r="D171" i="61"/>
  <c r="B17" i="61"/>
  <c r="B29" i="61" s="1"/>
  <c r="B36" i="61" s="1"/>
  <c r="B39" i="61" s="1"/>
  <c r="B42" i="61" s="1"/>
  <c r="AJ29" i="61"/>
  <c r="AJ36" i="61" s="1"/>
  <c r="AJ39" i="61" s="1"/>
  <c r="AJ42" i="61" s="1"/>
  <c r="AJ162" i="61" s="1"/>
  <c r="AJ163" i="61" s="1"/>
  <c r="B171" i="61"/>
  <c r="AG18" i="61"/>
  <c r="AG19" i="61" s="1"/>
  <c r="U17" i="61"/>
  <c r="U29" i="61" s="1"/>
  <c r="U36" i="61" s="1"/>
  <c r="U39" i="61" s="1"/>
  <c r="U42" i="61" s="1"/>
  <c r="U43" i="61" s="1"/>
  <c r="U19" i="61"/>
  <c r="U30" i="61"/>
  <c r="O12" i="11"/>
  <c r="C15" i="15"/>
  <c r="C30" i="15" s="1"/>
  <c r="I116" i="62"/>
  <c r="B118" i="62"/>
  <c r="Z167" i="62"/>
  <c r="AY202" i="37"/>
  <c r="AM244" i="37"/>
  <c r="W190" i="37"/>
  <c r="W202" i="37" s="1"/>
  <c r="Q70" i="9"/>
  <c r="AR36" i="12"/>
  <c r="C72" i="15"/>
  <c r="C70" i="15"/>
  <c r="T105" i="62"/>
  <c r="Z106" i="62"/>
  <c r="AF119" i="62"/>
  <c r="E92" i="62"/>
  <c r="AI101" i="61"/>
  <c r="AI102" i="61" s="1"/>
  <c r="Z94" i="62"/>
  <c r="Z137" i="62" s="1"/>
  <c r="K72" i="61"/>
  <c r="AB150" i="61"/>
  <c r="AB164" i="61" s="1"/>
  <c r="AB165" i="61" s="1"/>
  <c r="V102" i="61"/>
  <c r="G275" i="55"/>
  <c r="I40" i="16"/>
  <c r="Y211" i="58"/>
  <c r="V25" i="55"/>
  <c r="E107" i="55"/>
  <c r="AD166" i="61"/>
  <c r="Q25" i="55"/>
  <c r="K76" i="16"/>
  <c r="O17" i="58"/>
  <c r="O59" i="58" s="1"/>
  <c r="S118" i="62"/>
  <c r="S275" i="55"/>
  <c r="D157" i="13"/>
  <c r="DS10" i="12" s="1"/>
  <c r="X37" i="62"/>
  <c r="I28" i="15"/>
  <c r="I48" i="15"/>
  <c r="I16" i="15"/>
  <c r="AK129" i="62"/>
  <c r="R301" i="70"/>
  <c r="G102" i="61"/>
  <c r="E238" i="55"/>
  <c r="B17" i="58"/>
  <c r="B59" i="58" s="1"/>
  <c r="AK107" i="62"/>
  <c r="F112" i="62"/>
  <c r="AC102" i="61"/>
  <c r="P95" i="62"/>
  <c r="P97" i="62" s="1"/>
  <c r="P94" i="62"/>
  <c r="P137" i="62" s="1"/>
  <c r="P148" i="62" s="1"/>
  <c r="P152" i="62" s="1"/>
  <c r="P155" i="62" s="1"/>
  <c r="P156" i="62" s="1"/>
  <c r="Z70" i="58"/>
  <c r="Z176" i="37"/>
  <c r="P275" i="55"/>
  <c r="S300" i="70"/>
  <c r="F276" i="55"/>
  <c r="J149" i="61"/>
  <c r="K81" i="61"/>
  <c r="K149" i="61" s="1"/>
  <c r="AB33" i="62"/>
  <c r="AB37" i="62" s="1"/>
  <c r="I158" i="61"/>
  <c r="J158" i="61" s="1"/>
  <c r="G85" i="55"/>
  <c r="I275" i="55"/>
  <c r="Q301" i="70"/>
  <c r="H276" i="55"/>
  <c r="O113" i="72"/>
  <c r="F275" i="55"/>
  <c r="I231" i="70"/>
  <c r="J231" i="70" s="1"/>
  <c r="H275" i="55"/>
  <c r="K58" i="16"/>
  <c r="F84" i="16"/>
  <c r="D237" i="55"/>
  <c r="D85" i="55"/>
  <c r="S158" i="70"/>
  <c r="O57" i="58"/>
  <c r="F81" i="16"/>
  <c r="O79" i="16"/>
  <c r="O85" i="16"/>
  <c r="I35" i="78"/>
  <c r="I37" i="78" s="1"/>
  <c r="I69" i="78" s="1"/>
  <c r="B77" i="58"/>
  <c r="B80" i="58"/>
  <c r="AT207" i="37"/>
  <c r="S51" i="66"/>
  <c r="B79" i="58"/>
  <c r="AB11" i="70"/>
  <c r="D78" i="58"/>
  <c r="J38" i="16"/>
  <c r="J39" i="16" s="1"/>
  <c r="K7" i="18"/>
  <c r="K13" i="18" s="1"/>
  <c r="K19" i="18" s="1"/>
  <c r="AR178" i="37"/>
  <c r="CH255" i="37"/>
  <c r="AS13" i="78"/>
  <c r="G34" i="62"/>
  <c r="B78" i="58"/>
  <c r="AD211" i="58"/>
  <c r="G238" i="55"/>
  <c r="AF211" i="58"/>
  <c r="AC150" i="61"/>
  <c r="AC164" i="61" s="1"/>
  <c r="AC165" i="61" s="1"/>
  <c r="E106" i="55"/>
  <c r="L77" i="16"/>
  <c r="D79" i="58"/>
  <c r="P70" i="9"/>
  <c r="F62" i="16"/>
  <c r="F57" i="16"/>
  <c r="L122" i="55"/>
  <c r="S80" i="41"/>
  <c r="AF30" i="78"/>
  <c r="AG137" i="62"/>
  <c r="AG148" i="62" s="1"/>
  <c r="AG152" i="62" s="1"/>
  <c r="AG155" i="62" s="1"/>
  <c r="AG156" i="62" s="1"/>
  <c r="AB20" i="62"/>
  <c r="K147" i="61"/>
  <c r="D17" i="58"/>
  <c r="D59" i="58" s="1"/>
  <c r="I276" i="55"/>
  <c r="F83" i="16"/>
  <c r="S69" i="58"/>
  <c r="CC255" i="37"/>
  <c r="S98" i="41"/>
  <c r="S110" i="41" s="1"/>
  <c r="C69" i="15"/>
  <c r="J115" i="61"/>
  <c r="X255" i="37"/>
  <c r="H79" i="58"/>
  <c r="D57" i="58"/>
  <c r="S201" i="70"/>
  <c r="F26" i="76"/>
  <c r="D85" i="16"/>
  <c r="D22" i="16"/>
  <c r="D83" i="16"/>
  <c r="D81" i="16"/>
  <c r="D82" i="16"/>
  <c r="BY44" i="37"/>
  <c r="AR33" i="12"/>
  <c r="M44" i="13"/>
  <c r="AB123" i="62"/>
  <c r="D39" i="16"/>
  <c r="K301" i="70"/>
  <c r="J176" i="16"/>
  <c r="W186" i="70"/>
  <c r="T160" i="70"/>
  <c r="T161" i="70" s="1"/>
  <c r="K78" i="16"/>
  <c r="W158" i="70"/>
  <c r="K61" i="16"/>
  <c r="K63" i="16" s="1"/>
  <c r="U31" i="70"/>
  <c r="W48" i="15"/>
  <c r="W28" i="15"/>
  <c r="W16" i="15"/>
  <c r="S161" i="62"/>
  <c r="S95" i="62"/>
  <c r="AV17" i="70"/>
  <c r="AV18" i="70" s="1"/>
  <c r="AV19" i="70" s="1"/>
  <c r="AW202" i="37"/>
  <c r="AG102" i="61"/>
  <c r="L301" i="70"/>
  <c r="AD69" i="58"/>
  <c r="W167" i="70"/>
  <c r="R83" i="72"/>
  <c r="H63" i="72"/>
  <c r="H79" i="72" s="1"/>
  <c r="H79" i="55"/>
  <c r="H81" i="55"/>
  <c r="J122" i="55"/>
  <c r="K101" i="16"/>
  <c r="O17" i="61"/>
  <c r="O29" i="61" s="1"/>
  <c r="O36" i="61" s="1"/>
  <c r="O39" i="61" s="1"/>
  <c r="O42" i="61" s="1"/>
  <c r="O43" i="61" s="1"/>
  <c r="O18" i="61"/>
  <c r="C122" i="55"/>
  <c r="C81" i="55"/>
  <c r="C79" i="55"/>
  <c r="X236" i="55"/>
  <c r="X105" i="55"/>
  <c r="X107" i="55"/>
  <c r="X237" i="55"/>
  <c r="X92" i="55"/>
  <c r="AT18" i="70"/>
  <c r="AT19" i="70" s="1"/>
  <c r="R68" i="72"/>
  <c r="AJ98" i="62"/>
  <c r="AJ99" i="62" s="1"/>
  <c r="D42" i="16"/>
  <c r="E276" i="55"/>
  <c r="X81" i="55"/>
  <c r="X82" i="55" s="1"/>
  <c r="D158" i="70"/>
  <c r="J81" i="55"/>
  <c r="J94" i="55" s="1"/>
  <c r="J95" i="55" s="1"/>
  <c r="R134" i="62"/>
  <c r="N28" i="15"/>
  <c r="N48" i="15"/>
  <c r="G2" i="21"/>
  <c r="I79" i="55"/>
  <c r="I81" i="55"/>
  <c r="AS19" i="70"/>
  <c r="AG26" i="62"/>
  <c r="X175" i="37"/>
  <c r="X177" i="37" s="1"/>
  <c r="AA123" i="62"/>
  <c r="AJ83" i="62"/>
  <c r="E77" i="58"/>
  <c r="H122" i="55"/>
  <c r="I109" i="16"/>
  <c r="AC30" i="61"/>
  <c r="BF94" i="70"/>
  <c r="K85" i="16"/>
  <c r="AF124" i="62"/>
  <c r="AF113" i="62"/>
  <c r="E237" i="55"/>
  <c r="E85" i="55"/>
  <c r="I105" i="55"/>
  <c r="I109" i="55"/>
  <c r="I108" i="55"/>
  <c r="I88" i="55"/>
  <c r="I85" i="55"/>
  <c r="I107" i="55"/>
  <c r="U122" i="55"/>
  <c r="U81" i="55"/>
  <c r="U79" i="55"/>
  <c r="W188" i="70"/>
  <c r="W187" i="70"/>
  <c r="W88" i="70"/>
  <c r="BS173" i="37"/>
  <c r="AP51" i="66"/>
  <c r="V277" i="41"/>
  <c r="K52" i="15"/>
  <c r="E117" i="62"/>
  <c r="C78" i="58"/>
  <c r="J179" i="16"/>
  <c r="F164" i="72"/>
  <c r="AA165" i="61"/>
  <c r="AA166" i="61"/>
  <c r="AJ113" i="62"/>
  <c r="I161" i="61"/>
  <c r="J160" i="61"/>
  <c r="L109" i="55"/>
  <c r="L107" i="55"/>
  <c r="L92" i="55"/>
  <c r="J236" i="55"/>
  <c r="J88" i="55"/>
  <c r="J238" i="55"/>
  <c r="J105" i="55"/>
  <c r="J107" i="55"/>
  <c r="R106" i="62"/>
  <c r="R95" i="62"/>
  <c r="R94" i="62"/>
  <c r="R137" i="62" s="1"/>
  <c r="R148" i="62" s="1"/>
  <c r="R152" i="62" s="1"/>
  <c r="R155" i="62" s="1"/>
  <c r="R156" i="62" s="1"/>
  <c r="AA240" i="37"/>
  <c r="R35" i="78"/>
  <c r="R37" i="78" s="1"/>
  <c r="R70" i="78" s="1"/>
  <c r="CD255" i="37"/>
  <c r="AA28" i="15"/>
  <c r="AA31" i="15" s="1"/>
  <c r="AJ129" i="62"/>
  <c r="E165" i="61"/>
  <c r="N101" i="16"/>
  <c r="AB211" i="58"/>
  <c r="E80" i="58"/>
  <c r="S109" i="55"/>
  <c r="L238" i="55"/>
  <c r="BF92" i="70"/>
  <c r="J85" i="16"/>
  <c r="K8" i="16"/>
  <c r="AU19" i="70"/>
  <c r="F49" i="72"/>
  <c r="G20" i="62"/>
  <c r="AF26" i="62"/>
  <c r="AJ9" i="62"/>
  <c r="BR173" i="37"/>
  <c r="BV256" i="37" s="1"/>
  <c r="S82" i="41"/>
  <c r="S84" i="41" s="1"/>
  <c r="AB118" i="62"/>
  <c r="AA48" i="15"/>
  <c r="D62" i="16"/>
  <c r="S107" i="55"/>
  <c r="L276" i="55"/>
  <c r="M179" i="16"/>
  <c r="L85" i="55"/>
  <c r="J76" i="16"/>
  <c r="P122" i="55"/>
  <c r="BF157" i="70"/>
  <c r="Z201" i="70"/>
  <c r="AF158" i="61"/>
  <c r="AE159" i="61"/>
  <c r="AE157" i="61" s="1"/>
  <c r="V81" i="55"/>
  <c r="V122" i="55"/>
  <c r="AJ124" i="62"/>
  <c r="U32" i="62"/>
  <c r="M71" i="58"/>
  <c r="J77" i="16"/>
  <c r="W59" i="58"/>
  <c r="W60" i="58" s="1"/>
  <c r="J101" i="16"/>
  <c r="L79" i="55"/>
  <c r="L110" i="16"/>
  <c r="AJ119" i="62"/>
  <c r="AJ162" i="62"/>
  <c r="L81" i="55"/>
  <c r="L94" i="55" s="1"/>
  <c r="L95" i="55" s="1"/>
  <c r="R72" i="72"/>
  <c r="J92" i="55"/>
  <c r="M184" i="13"/>
  <c r="N183" i="13"/>
  <c r="R112" i="62"/>
  <c r="G237" i="55"/>
  <c r="G107" i="55"/>
  <c r="G105" i="55"/>
  <c r="G236" i="55"/>
  <c r="W171" i="70"/>
  <c r="Z240" i="37"/>
  <c r="S144" i="37"/>
  <c r="S172" i="37"/>
  <c r="S174" i="37" s="1"/>
  <c r="BR146" i="41"/>
  <c r="T102" i="61"/>
  <c r="C74" i="74"/>
  <c r="W184" i="70"/>
  <c r="J161" i="16"/>
  <c r="BD257" i="37"/>
  <c r="CF255" i="37"/>
  <c r="BC178" i="37"/>
  <c r="AM79" i="41"/>
  <c r="AM82" i="41" s="1"/>
  <c r="AJ165" i="62"/>
  <c r="L79" i="16"/>
  <c r="M300" i="70"/>
  <c r="N275" i="55"/>
  <c r="AA211" i="58"/>
  <c r="S108" i="55"/>
  <c r="AC211" i="58"/>
  <c r="W89" i="70"/>
  <c r="M157" i="13"/>
  <c r="DU13" i="12" s="1"/>
  <c r="P17" i="61"/>
  <c r="P29" i="61" s="1"/>
  <c r="P36" i="61" s="1"/>
  <c r="P39" i="61" s="1"/>
  <c r="P42" i="61" s="1"/>
  <c r="P43" i="61" s="1"/>
  <c r="P18" i="61"/>
  <c r="G79" i="55"/>
  <c r="AK145" i="41"/>
  <c r="O11" i="11"/>
  <c r="AJ171" i="62"/>
  <c r="E134" i="62"/>
  <c r="AJ107" i="62"/>
  <c r="D84" i="16"/>
  <c r="G171" i="61"/>
  <c r="I115" i="61"/>
  <c r="W87" i="70"/>
  <c r="Q300" i="70"/>
  <c r="P71" i="9"/>
  <c r="W46" i="62"/>
  <c r="W22" i="62"/>
  <c r="G72" i="74"/>
  <c r="G73" i="74"/>
  <c r="G133" i="62"/>
  <c r="W83" i="58"/>
  <c r="W216" i="58"/>
  <c r="W217" i="58" s="1"/>
  <c r="W73" i="58"/>
  <c r="AI166" i="61"/>
  <c r="AI165" i="61"/>
  <c r="J83" i="58"/>
  <c r="J73" i="58"/>
  <c r="N73" i="58"/>
  <c r="N83" i="58"/>
  <c r="V161" i="15"/>
  <c r="K16" i="11"/>
  <c r="K26" i="11"/>
  <c r="E26" i="11"/>
  <c r="E16" i="11"/>
  <c r="W31" i="11"/>
  <c r="J71" i="9"/>
  <c r="J70" i="9"/>
  <c r="F16" i="11"/>
  <c r="F26" i="11"/>
  <c r="X133" i="62"/>
  <c r="X134" i="62"/>
  <c r="G127" i="62"/>
  <c r="AJ94" i="62"/>
  <c r="AJ137" i="62" s="1"/>
  <c r="AJ148" i="62" s="1"/>
  <c r="AJ152" i="62" s="1"/>
  <c r="AJ155" i="62" s="1"/>
  <c r="AJ156" i="62" s="1"/>
  <c r="I124" i="62"/>
  <c r="I122" i="62"/>
  <c r="G117" i="62"/>
  <c r="AL9" i="62"/>
  <c r="I107" i="62"/>
  <c r="I104" i="62"/>
  <c r="X18" i="61"/>
  <c r="X17" i="61"/>
  <c r="X29" i="61" s="1"/>
  <c r="X36" i="61" s="1"/>
  <c r="X39" i="61" s="1"/>
  <c r="X42" i="61" s="1"/>
  <c r="AE30" i="61"/>
  <c r="AE29" i="61"/>
  <c r="AE36" i="61" s="1"/>
  <c r="AE39" i="61" s="1"/>
  <c r="AE42" i="61" s="1"/>
  <c r="U102" i="61"/>
  <c r="T30" i="61"/>
  <c r="AL37" i="62"/>
  <c r="AH39" i="62"/>
  <c r="J18" i="61"/>
  <c r="J17" i="61"/>
  <c r="J29" i="61" s="1"/>
  <c r="J36" i="61" s="1"/>
  <c r="J39" i="61" s="1"/>
  <c r="R73" i="58"/>
  <c r="R83" i="58"/>
  <c r="AD162" i="61"/>
  <c r="AD163" i="61" s="1"/>
  <c r="AD43" i="61"/>
  <c r="BD202" i="37"/>
  <c r="AA239" i="37"/>
  <c r="BV207" i="37"/>
  <c r="BV206" i="37"/>
  <c r="Q26" i="11"/>
  <c r="Q16" i="11"/>
  <c r="R15" i="11"/>
  <c r="E39" i="9"/>
  <c r="BH33" i="12" s="1"/>
  <c r="AZ33" i="12"/>
  <c r="J38" i="9"/>
  <c r="E88" i="9"/>
  <c r="F88" i="9"/>
  <c r="X161" i="15"/>
  <c r="AI16" i="12"/>
  <c r="AQ16" i="12" s="1"/>
  <c r="R43" i="13"/>
  <c r="R44" i="13" s="1"/>
  <c r="R40" i="13"/>
  <c r="ES10" i="12"/>
  <c r="F169" i="13"/>
  <c r="FA10" i="12" s="1"/>
  <c r="M188" i="13"/>
  <c r="N187" i="13"/>
  <c r="G161" i="15"/>
  <c r="AI10" i="12"/>
  <c r="D40" i="13"/>
  <c r="P161" i="15"/>
  <c r="AO153" i="62"/>
  <c r="K153" i="62"/>
  <c r="AA161" i="15"/>
  <c r="W133" i="62"/>
  <c r="W134" i="62"/>
  <c r="W95" i="62"/>
  <c r="W167" i="62"/>
  <c r="W94" i="62"/>
  <c r="W137" i="62" s="1"/>
  <c r="W148" i="62" s="1"/>
  <c r="W152" i="62" s="1"/>
  <c r="W155" i="62" s="1"/>
  <c r="W156" i="62" s="1"/>
  <c r="W164" i="62"/>
  <c r="W161" i="62"/>
  <c r="W170" i="62"/>
  <c r="W118" i="62"/>
  <c r="F47" i="62"/>
  <c r="F39" i="62"/>
  <c r="AJ165" i="61"/>
  <c r="I18" i="61"/>
  <c r="I17" i="61"/>
  <c r="I29" i="61" s="1"/>
  <c r="I36" i="61" s="1"/>
  <c r="I39" i="61" s="1"/>
  <c r="Q29" i="61"/>
  <c r="Q36" i="61" s="1"/>
  <c r="Q39" i="61" s="1"/>
  <c r="Q42" i="61" s="1"/>
  <c r="Q43" i="61" s="1"/>
  <c r="AF140" i="62"/>
  <c r="AD133" i="62"/>
  <c r="AD135" i="62"/>
  <c r="E30" i="61"/>
  <c r="AA164" i="62"/>
  <c r="AA161" i="62"/>
  <c r="AA95" i="62"/>
  <c r="AA170" i="62"/>
  <c r="AA167" i="62"/>
  <c r="AA128" i="62"/>
  <c r="AA94" i="62"/>
  <c r="AA137" i="62" s="1"/>
  <c r="AA148" i="62" s="1"/>
  <c r="AA152" i="62" s="1"/>
  <c r="AA155" i="62" s="1"/>
  <c r="AA106" i="62"/>
  <c r="AA81" i="62"/>
  <c r="AI18" i="61"/>
  <c r="AI17" i="61"/>
  <c r="AI29" i="61" s="1"/>
  <c r="AI36" i="61" s="1"/>
  <c r="AI39" i="61" s="1"/>
  <c r="AI42" i="61" s="1"/>
  <c r="M8" i="16"/>
  <c r="M101" i="16"/>
  <c r="M76" i="16"/>
  <c r="M77" i="16"/>
  <c r="M20" i="16"/>
  <c r="M78" i="16"/>
  <c r="M85" i="16"/>
  <c r="M75" i="16"/>
  <c r="T106" i="55"/>
  <c r="T109" i="55"/>
  <c r="T88" i="55"/>
  <c r="T85" i="55"/>
  <c r="T237" i="55"/>
  <c r="T108" i="55"/>
  <c r="T107" i="55"/>
  <c r="T238" i="55"/>
  <c r="T236" i="55"/>
  <c r="T105" i="55"/>
  <c r="J88" i="61"/>
  <c r="J90" i="61" s="1"/>
  <c r="K82" i="61"/>
  <c r="C57" i="58"/>
  <c r="C17" i="58"/>
  <c r="B164" i="70"/>
  <c r="B185" i="70"/>
  <c r="B188" i="70"/>
  <c r="E300" i="70"/>
  <c r="B184" i="70"/>
  <c r="B89" i="70"/>
  <c r="B167" i="70"/>
  <c r="B186" i="70"/>
  <c r="B87" i="70"/>
  <c r="B187" i="70"/>
  <c r="B88" i="70"/>
  <c r="E301" i="70"/>
  <c r="E222" i="72"/>
  <c r="E227" i="72"/>
  <c r="E230" i="72" s="1"/>
  <c r="E223" i="72"/>
  <c r="AA193" i="70"/>
  <c r="AA194" i="70" s="1"/>
  <c r="AA186" i="70"/>
  <c r="AA89" i="70"/>
  <c r="AA137" i="70"/>
  <c r="AA188" i="70"/>
  <c r="AA184" i="70"/>
  <c r="AA164" i="70"/>
  <c r="AA88" i="70"/>
  <c r="AA167" i="70"/>
  <c r="AA185" i="70"/>
  <c r="AA87" i="70"/>
  <c r="AA187" i="70"/>
  <c r="F37" i="72"/>
  <c r="F38" i="72"/>
  <c r="T79" i="55"/>
  <c r="T81" i="55"/>
  <c r="T122" i="55"/>
  <c r="C80" i="58"/>
  <c r="Z211" i="58"/>
  <c r="K38" i="16"/>
  <c r="H78" i="72"/>
  <c r="B158" i="70"/>
  <c r="B201" i="70"/>
  <c r="B160" i="70"/>
  <c r="E275" i="55"/>
  <c r="P301" i="70"/>
  <c r="H36" i="74"/>
  <c r="I35" i="74"/>
  <c r="W173" i="70"/>
  <c r="W174" i="70" s="1"/>
  <c r="W161" i="70"/>
  <c r="L185" i="70"/>
  <c r="L188" i="70"/>
  <c r="L187" i="70"/>
  <c r="L184" i="70"/>
  <c r="L167" i="70"/>
  <c r="L87" i="70"/>
  <c r="L186" i="70"/>
  <c r="L89" i="70"/>
  <c r="L164" i="70"/>
  <c r="L88" i="70"/>
  <c r="Z40" i="11"/>
  <c r="EX12" i="12"/>
  <c r="EX11" i="12"/>
  <c r="G122" i="62"/>
  <c r="AD138" i="62"/>
  <c r="AD139" i="62" s="1"/>
  <c r="AD99" i="62"/>
  <c r="AF212" i="58"/>
  <c r="AF66" i="58"/>
  <c r="AF59" i="58"/>
  <c r="AF71" i="58"/>
  <c r="AF40" i="58"/>
  <c r="AF82" i="58" s="1"/>
  <c r="AF41" i="58"/>
  <c r="E94" i="55"/>
  <c r="E95" i="55" s="1"/>
  <c r="E82" i="55"/>
  <c r="F57" i="58"/>
  <c r="F17" i="58"/>
  <c r="F79" i="58"/>
  <c r="F77" i="58"/>
  <c r="G201" i="70"/>
  <c r="G160" i="70"/>
  <c r="G158" i="70"/>
  <c r="P300" i="70"/>
  <c r="T275" i="55"/>
  <c r="L160" i="70"/>
  <c r="L201" i="70"/>
  <c r="L158" i="70"/>
  <c r="F194" i="72"/>
  <c r="Z21" i="11"/>
  <c r="U11" i="12"/>
  <c r="U12" i="12"/>
  <c r="EZ12" i="12"/>
  <c r="EZ11" i="12"/>
  <c r="EQ11" i="12"/>
  <c r="EQ12" i="12"/>
  <c r="J175" i="62"/>
  <c r="I179" i="62"/>
  <c r="AC134" i="62"/>
  <c r="AJ16" i="12"/>
  <c r="AR16" i="12" s="1"/>
  <c r="S43" i="13"/>
  <c r="S44" i="13" s="1"/>
  <c r="S40" i="13"/>
  <c r="W18" i="61"/>
  <c r="W17" i="61"/>
  <c r="W29" i="61" s="1"/>
  <c r="W36" i="61" s="1"/>
  <c r="W39" i="61" s="1"/>
  <c r="W42" i="61" s="1"/>
  <c r="N17" i="61"/>
  <c r="N29" i="61" s="1"/>
  <c r="N36" i="61" s="1"/>
  <c r="N39" i="61" s="1"/>
  <c r="N42" i="61" s="1"/>
  <c r="N43" i="61" s="1"/>
  <c r="N18" i="61"/>
  <c r="N19" i="61" s="1"/>
  <c r="K18" i="61"/>
  <c r="K17" i="61"/>
  <c r="K29" i="61" s="1"/>
  <c r="K36" i="61" s="1"/>
  <c r="K39" i="61" s="1"/>
  <c r="AE212" i="58"/>
  <c r="AE59" i="58"/>
  <c r="AE40" i="58"/>
  <c r="AE82" i="58" s="1"/>
  <c r="AE66" i="58"/>
  <c r="AE71" i="58"/>
  <c r="AE41" i="58"/>
  <c r="U167" i="62"/>
  <c r="U170" i="62"/>
  <c r="U118" i="62"/>
  <c r="U161" i="62"/>
  <c r="U164" i="62"/>
  <c r="U95" i="62"/>
  <c r="U94" i="62"/>
  <c r="U137" i="62" s="1"/>
  <c r="U148" i="62" s="1"/>
  <c r="U152" i="62" s="1"/>
  <c r="U155" i="62" s="1"/>
  <c r="U156" i="62" s="1"/>
  <c r="AC40" i="58"/>
  <c r="AC82" i="58" s="1"/>
  <c r="AC41" i="58"/>
  <c r="AC66" i="58"/>
  <c r="AC72" i="58"/>
  <c r="AC59" i="58"/>
  <c r="AC60" i="58" s="1"/>
  <c r="AC212" i="58"/>
  <c r="AC71" i="58"/>
  <c r="AT240" i="41"/>
  <c r="BS144" i="41"/>
  <c r="AV79" i="41"/>
  <c r="AV82" i="41" s="1"/>
  <c r="I39" i="9"/>
  <c r="I71" i="9"/>
  <c r="G78" i="11"/>
  <c r="S11" i="12"/>
  <c r="S12" i="12"/>
  <c r="EY12" i="12"/>
  <c r="EY11" i="12"/>
  <c r="EP11" i="12"/>
  <c r="EP12" i="12"/>
  <c r="Z5" i="11"/>
  <c r="J16" i="11"/>
  <c r="J26" i="11"/>
  <c r="BX12" i="12"/>
  <c r="BX11" i="12"/>
  <c r="U48" i="15"/>
  <c r="U16" i="15"/>
  <c r="U28" i="15"/>
  <c r="U162" i="15" s="1"/>
  <c r="AL175" i="62"/>
  <c r="AK179" i="62"/>
  <c r="AK86" i="62"/>
  <c r="I86" i="62" s="1"/>
  <c r="M27" i="11"/>
  <c r="M35" i="11"/>
  <c r="AF135" i="62"/>
  <c r="AF133" i="62"/>
  <c r="AE87" i="15"/>
  <c r="AE26" i="15"/>
  <c r="D134" i="62"/>
  <c r="W112" i="62"/>
  <c r="AN15" i="62"/>
  <c r="AB133" i="62"/>
  <c r="H113" i="62"/>
  <c r="O137" i="62"/>
  <c r="O148" i="62" s="1"/>
  <c r="O152" i="62" s="1"/>
  <c r="O155" i="62" s="1"/>
  <c r="O156" i="62" s="1"/>
  <c r="C79" i="58"/>
  <c r="H18" i="61"/>
  <c r="H17" i="61"/>
  <c r="H29" i="61" s="1"/>
  <c r="H36" i="61" s="1"/>
  <c r="H39" i="61" s="1"/>
  <c r="H42" i="61" s="1"/>
  <c r="H43" i="61" s="1"/>
  <c r="H162" i="61" s="1"/>
  <c r="H163" i="61" s="1"/>
  <c r="H102" i="61"/>
  <c r="AE211" i="58"/>
  <c r="J57" i="58"/>
  <c r="AF72" i="58"/>
  <c r="AA134" i="62"/>
  <c r="H158" i="70"/>
  <c r="H201" i="70"/>
  <c r="H160" i="70"/>
  <c r="T92" i="55"/>
  <c r="Q73" i="58"/>
  <c r="Q83" i="58"/>
  <c r="K171" i="70"/>
  <c r="T276" i="55"/>
  <c r="T41" i="58"/>
  <c r="T66" i="58"/>
  <c r="T70" i="58"/>
  <c r="T40" i="58"/>
  <c r="T82" i="58" s="1"/>
  <c r="T71" i="58"/>
  <c r="Q275" i="55"/>
  <c r="AB158" i="70"/>
  <c r="AB160" i="70"/>
  <c r="AB201" i="70"/>
  <c r="E37" i="72"/>
  <c r="E38" i="72"/>
  <c r="O28" i="15"/>
  <c r="O16" i="15"/>
  <c r="O48" i="15"/>
  <c r="Z7" i="11"/>
  <c r="K161" i="15"/>
  <c r="K162" i="15"/>
  <c r="K12" i="12"/>
  <c r="K11" i="12"/>
  <c r="FP12" i="12"/>
  <c r="FP11" i="12"/>
  <c r="R28" i="15"/>
  <c r="R48" i="15"/>
  <c r="R16" i="15"/>
  <c r="N78" i="11"/>
  <c r="O76" i="11" s="1"/>
  <c r="T76" i="11"/>
  <c r="N6" i="12" s="1"/>
  <c r="N12" i="12" s="1"/>
  <c r="M6" i="12"/>
  <c r="M12" i="12" s="1"/>
  <c r="U161" i="15"/>
  <c r="N300" i="70"/>
  <c r="AB187" i="70"/>
  <c r="AB184" i="70"/>
  <c r="AB167" i="70"/>
  <c r="AB164" i="70"/>
  <c r="AB87" i="70"/>
  <c r="AB193" i="70"/>
  <c r="AB194" i="70" s="1"/>
  <c r="AB188" i="70"/>
  <c r="AB88" i="70"/>
  <c r="AB89" i="70"/>
  <c r="AB137" i="70"/>
  <c r="AB185" i="70"/>
  <c r="AB186" i="70"/>
  <c r="S31" i="70"/>
  <c r="F16" i="15"/>
  <c r="F48" i="15"/>
  <c r="F28" i="15"/>
  <c r="F162" i="15" s="1"/>
  <c r="F53" i="15"/>
  <c r="AD32" i="15"/>
  <c r="AD33" i="15"/>
  <c r="F18" i="61"/>
  <c r="F17" i="61"/>
  <c r="F29" i="61" s="1"/>
  <c r="F36" i="61" s="1"/>
  <c r="F39" i="61" s="1"/>
  <c r="F42" i="61" s="1"/>
  <c r="F43" i="61" s="1"/>
  <c r="F162" i="61" s="1"/>
  <c r="F163" i="61" s="1"/>
  <c r="AG62" i="62"/>
  <c r="AC70" i="62"/>
  <c r="AB59" i="58"/>
  <c r="AB60" i="58" s="1"/>
  <c r="AB72" i="58"/>
  <c r="AB66" i="58"/>
  <c r="AB40" i="58"/>
  <c r="AB82" i="58" s="1"/>
  <c r="AB41" i="58"/>
  <c r="AB212" i="58"/>
  <c r="AA40" i="58"/>
  <c r="AA82" i="58" s="1"/>
  <c r="AA69" i="58"/>
  <c r="AA59" i="58"/>
  <c r="AA60" i="58" s="1"/>
  <c r="AA72" i="58"/>
  <c r="AA66" i="58"/>
  <c r="AA41" i="58"/>
  <c r="AA212" i="58"/>
  <c r="L35" i="11"/>
  <c r="L27" i="11"/>
  <c r="EC11" i="12"/>
  <c r="EC12" i="12"/>
  <c r="V88" i="15"/>
  <c r="V29" i="15"/>
  <c r="V31" i="15"/>
  <c r="V30" i="15"/>
  <c r="W161" i="15"/>
  <c r="AC5" i="12"/>
  <c r="AC11" i="12" s="1"/>
  <c r="O8" i="11"/>
  <c r="N15" i="11"/>
  <c r="O7" i="11"/>
  <c r="O40" i="11"/>
  <c r="O23" i="11"/>
  <c r="O13" i="11"/>
  <c r="O41" i="11"/>
  <c r="O30" i="11"/>
  <c r="O4" i="11"/>
  <c r="O5" i="11"/>
  <c r="O24" i="11"/>
  <c r="J161" i="15"/>
  <c r="G69" i="15"/>
  <c r="G71" i="15"/>
  <c r="G70" i="15"/>
  <c r="G47" i="15"/>
  <c r="G15" i="15"/>
  <c r="G68" i="15"/>
  <c r="AA82" i="62"/>
  <c r="AA74" i="62"/>
  <c r="AA75" i="62"/>
  <c r="AA42" i="62"/>
  <c r="AA76" i="62"/>
  <c r="Y19" i="62"/>
  <c r="Y45" i="62"/>
  <c r="Y30" i="62"/>
  <c r="Y27" i="62"/>
  <c r="AA17" i="61"/>
  <c r="AA29" i="61" s="1"/>
  <c r="AA36" i="61" s="1"/>
  <c r="AA39" i="61" s="1"/>
  <c r="AA42" i="61" s="1"/>
  <c r="AA18" i="61"/>
  <c r="K176" i="16"/>
  <c r="K132" i="16"/>
  <c r="N81" i="16"/>
  <c r="N22" i="16"/>
  <c r="N82" i="16"/>
  <c r="N83" i="16"/>
  <c r="N84" i="16"/>
  <c r="N57" i="16"/>
  <c r="N62" i="16"/>
  <c r="Q82" i="55"/>
  <c r="Q94" i="55"/>
  <c r="Q95" i="55" s="1"/>
  <c r="M177" i="16"/>
  <c r="C158" i="70"/>
  <c r="C201" i="70"/>
  <c r="C160" i="70"/>
  <c r="BG167" i="41"/>
  <c r="O20" i="11"/>
  <c r="T52" i="15"/>
  <c r="T53" i="15"/>
  <c r="AQ36" i="12"/>
  <c r="EA11" i="12"/>
  <c r="EA12" i="12"/>
  <c r="Z93" i="11"/>
  <c r="AH93" i="11" s="1"/>
  <c r="AG93" i="11"/>
  <c r="FQ11" i="12"/>
  <c r="FQ12" i="12"/>
  <c r="W73" i="11"/>
  <c r="Y28" i="15"/>
  <c r="Y48" i="15"/>
  <c r="Y16" i="15"/>
  <c r="AB140" i="62"/>
  <c r="Z134" i="62"/>
  <c r="Z133" i="62"/>
  <c r="V87" i="15"/>
  <c r="V26" i="15"/>
  <c r="AA87" i="15"/>
  <c r="U112" i="62"/>
  <c r="K177" i="62"/>
  <c r="K126" i="62" s="1"/>
  <c r="J126" i="62"/>
  <c r="AJ78" i="61"/>
  <c r="AJ102" i="61" s="1"/>
  <c r="F78" i="58"/>
  <c r="Y80" i="62"/>
  <c r="Y123" i="62" s="1"/>
  <c r="Y79" i="62"/>
  <c r="AC69" i="62"/>
  <c r="Y69" i="62"/>
  <c r="M17" i="61"/>
  <c r="M29" i="61" s="1"/>
  <c r="M36" i="61" s="1"/>
  <c r="M39" i="61" s="1"/>
  <c r="M42" i="61" s="1"/>
  <c r="M43" i="61" s="1"/>
  <c r="M18" i="61"/>
  <c r="M19" i="61" s="1"/>
  <c r="AI26" i="62"/>
  <c r="F164" i="62"/>
  <c r="F167" i="62"/>
  <c r="F161" i="62"/>
  <c r="F123" i="62"/>
  <c r="F95" i="62"/>
  <c r="F94" i="62"/>
  <c r="F137" i="62" s="1"/>
  <c r="F148" i="62" s="1"/>
  <c r="F152" i="62" s="1"/>
  <c r="F155" i="62" s="1"/>
  <c r="F156" i="62" s="1"/>
  <c r="F118" i="62"/>
  <c r="F81" i="62"/>
  <c r="F89" i="62"/>
  <c r="F170" i="62"/>
  <c r="K72" i="58"/>
  <c r="S66" i="58"/>
  <c r="S41" i="58"/>
  <c r="S40" i="58"/>
  <c r="S82" i="58" s="1"/>
  <c r="S70" i="58"/>
  <c r="S71" i="58"/>
  <c r="K120" i="61"/>
  <c r="K127" i="61" s="1"/>
  <c r="L176" i="16"/>
  <c r="AA133" i="62"/>
  <c r="K70" i="58"/>
  <c r="N122" i="55"/>
  <c r="N81" i="55"/>
  <c r="N79" i="55"/>
  <c r="E158" i="70"/>
  <c r="E201" i="70"/>
  <c r="E160" i="70"/>
  <c r="AB171" i="70"/>
  <c r="X41" i="58"/>
  <c r="X212" i="58"/>
  <c r="X40" i="58"/>
  <c r="X82" i="58" s="1"/>
  <c r="X59" i="58"/>
  <c r="X60" i="58" s="1"/>
  <c r="X66" i="58"/>
  <c r="X69" i="58"/>
  <c r="X70" i="58"/>
  <c r="N177" i="16"/>
  <c r="M201" i="70"/>
  <c r="M158" i="70"/>
  <c r="M160" i="70"/>
  <c r="I127" i="62"/>
  <c r="Y158" i="70"/>
  <c r="Y160" i="70"/>
  <c r="Y201" i="70"/>
  <c r="N54" i="11"/>
  <c r="O52" i="11" s="1"/>
  <c r="T52" i="11"/>
  <c r="O33" i="11"/>
  <c r="DL10" i="12"/>
  <c r="E157" i="13"/>
  <c r="DT10" i="12" s="1"/>
  <c r="Y161" i="15"/>
  <c r="Z57" i="15"/>
  <c r="Z15" i="15"/>
  <c r="Z47" i="15"/>
  <c r="Z70" i="15"/>
  <c r="Z69" i="15"/>
  <c r="AM26" i="62"/>
  <c r="I77" i="61"/>
  <c r="I57" i="58"/>
  <c r="I17" i="58"/>
  <c r="M59" i="58" s="1"/>
  <c r="I78" i="58"/>
  <c r="I80" i="58"/>
  <c r="I77" i="58"/>
  <c r="Y212" i="58"/>
  <c r="Y40" i="58"/>
  <c r="Y82" i="58" s="1"/>
  <c r="Y69" i="58"/>
  <c r="Y66" i="58"/>
  <c r="Y70" i="58"/>
  <c r="Y59" i="58"/>
  <c r="Y60" i="58" s="1"/>
  <c r="Y41" i="58"/>
  <c r="N107" i="55"/>
  <c r="N237" i="55"/>
  <c r="N105" i="55"/>
  <c r="N236" i="55"/>
  <c r="N106" i="55"/>
  <c r="N108" i="55"/>
  <c r="N109" i="55"/>
  <c r="Q276" i="55"/>
  <c r="N85" i="55"/>
  <c r="N88" i="55"/>
  <c r="N238" i="55"/>
  <c r="O275" i="55"/>
  <c r="P82" i="55"/>
  <c r="P94" i="55"/>
  <c r="P95" i="55" s="1"/>
  <c r="M186" i="70"/>
  <c r="M187" i="70"/>
  <c r="M184" i="70"/>
  <c r="M88" i="70"/>
  <c r="M188" i="70"/>
  <c r="M164" i="70"/>
  <c r="M87" i="70"/>
  <c r="M185" i="70"/>
  <c r="M167" i="70"/>
  <c r="M89" i="70"/>
  <c r="Y184" i="70"/>
  <c r="Y187" i="70"/>
  <c r="Y186" i="70"/>
  <c r="Y188" i="70"/>
  <c r="Y185" i="70"/>
  <c r="Y89" i="70"/>
  <c r="Y164" i="70"/>
  <c r="Y87" i="70"/>
  <c r="Y88" i="70"/>
  <c r="Y167" i="70"/>
  <c r="Y171" i="70"/>
  <c r="H127" i="62"/>
  <c r="H129" i="62"/>
  <c r="AW320" i="37"/>
  <c r="AI92" i="41"/>
  <c r="BN144" i="41"/>
  <c r="EQ36" i="12"/>
  <c r="L165" i="9"/>
  <c r="FG36" i="12" s="1"/>
  <c r="L164" i="9"/>
  <c r="EY36" i="12" s="1"/>
  <c r="AJ13" i="12"/>
  <c r="L40" i="13"/>
  <c r="FN12" i="12"/>
  <c r="FN11" i="12"/>
  <c r="Z13" i="11"/>
  <c r="O22" i="11"/>
  <c r="O39" i="11"/>
  <c r="EB11" i="12"/>
  <c r="EB12" i="12"/>
  <c r="AB48" i="15"/>
  <c r="AB16" i="15"/>
  <c r="AB28" i="15"/>
  <c r="AB53" i="15"/>
  <c r="Z49" i="11"/>
  <c r="BW12" i="12"/>
  <c r="BW11" i="12"/>
  <c r="M17" i="18"/>
  <c r="M19" i="18" s="1"/>
  <c r="M15" i="18"/>
  <c r="F161" i="15"/>
  <c r="Y53" i="15"/>
  <c r="X170" i="62"/>
  <c r="X161" i="62"/>
  <c r="X95" i="62"/>
  <c r="X167" i="62"/>
  <c r="X164" i="62"/>
  <c r="X106" i="62"/>
  <c r="X123" i="62"/>
  <c r="X118" i="62"/>
  <c r="X94" i="62"/>
  <c r="X137" i="62" s="1"/>
  <c r="X148" i="62" s="1"/>
  <c r="X152" i="62" s="1"/>
  <c r="X155" i="62" s="1"/>
  <c r="X156" i="62" s="1"/>
  <c r="X112" i="62"/>
  <c r="AB161" i="15"/>
  <c r="G52" i="15"/>
  <c r="AI168" i="62"/>
  <c r="AI162" i="62"/>
  <c r="AI165" i="62"/>
  <c r="AI98" i="62"/>
  <c r="AI83" i="62"/>
  <c r="AI171" i="62"/>
  <c r="AI119" i="62"/>
  <c r="AI94" i="62"/>
  <c r="AI137" i="62" s="1"/>
  <c r="AI148" i="62" s="1"/>
  <c r="AI152" i="62" s="1"/>
  <c r="AI155" i="62" s="1"/>
  <c r="AI156" i="62" s="1"/>
  <c r="AI113" i="62"/>
  <c r="H162" i="62"/>
  <c r="AF88" i="61"/>
  <c r="AF90" i="61" s="1"/>
  <c r="AF101" i="61" s="1"/>
  <c r="AF149" i="61"/>
  <c r="AF150" i="61" s="1"/>
  <c r="AF164" i="61" s="1"/>
  <c r="AG135" i="62"/>
  <c r="AG133" i="62"/>
  <c r="AA112" i="62"/>
  <c r="AE136" i="62"/>
  <c r="AE133" i="62"/>
  <c r="AE135" i="62"/>
  <c r="R12" i="12"/>
  <c r="R11" i="12"/>
  <c r="AB161" i="62"/>
  <c r="AB164" i="62"/>
  <c r="AB170" i="62"/>
  <c r="AB94" i="62"/>
  <c r="AB137" i="62" s="1"/>
  <c r="AB148" i="62" s="1"/>
  <c r="AB152" i="62" s="1"/>
  <c r="AB155" i="62" s="1"/>
  <c r="AB81" i="62"/>
  <c r="AB167" i="62"/>
  <c r="AB95" i="62"/>
  <c r="AB134" i="62"/>
  <c r="AB76" i="62"/>
  <c r="AB75" i="62"/>
  <c r="AF71" i="62"/>
  <c r="AB42" i="62"/>
  <c r="AB82" i="62"/>
  <c r="AB74" i="62"/>
  <c r="I165" i="62"/>
  <c r="I168" i="62"/>
  <c r="I83" i="62"/>
  <c r="I94" i="62"/>
  <c r="E101" i="16"/>
  <c r="C101" i="16"/>
  <c r="C84" i="16"/>
  <c r="C39" i="16"/>
  <c r="C85" i="16"/>
  <c r="C57" i="16"/>
  <c r="C83" i="16"/>
  <c r="C22" i="16"/>
  <c r="C82" i="16"/>
  <c r="C81" i="16"/>
  <c r="K40" i="58"/>
  <c r="K66" i="58"/>
  <c r="K41" i="58"/>
  <c r="K69" i="58"/>
  <c r="N92" i="55"/>
  <c r="N158" i="70"/>
  <c r="N201" i="70"/>
  <c r="N160" i="70"/>
  <c r="O81" i="55"/>
  <c r="O79" i="55"/>
  <c r="O122" i="55"/>
  <c r="J177" i="61"/>
  <c r="J178" i="61" s="1"/>
  <c r="J71" i="61" s="1"/>
  <c r="J77" i="61" s="1"/>
  <c r="C97" i="62"/>
  <c r="AB69" i="58"/>
  <c r="H57" i="58"/>
  <c r="H17" i="58"/>
  <c r="H78" i="58"/>
  <c r="H80" i="58"/>
  <c r="H77" i="58"/>
  <c r="B108" i="55"/>
  <c r="B237" i="55"/>
  <c r="B85" i="55"/>
  <c r="B107" i="55"/>
  <c r="B238" i="55"/>
  <c r="B105" i="55"/>
  <c r="B236" i="55"/>
  <c r="B88" i="55"/>
  <c r="B106" i="55"/>
  <c r="B109" i="55"/>
  <c r="L59" i="58"/>
  <c r="L40" i="58"/>
  <c r="L72" i="58"/>
  <c r="L66" i="58"/>
  <c r="L41" i="58"/>
  <c r="L69" i="58"/>
  <c r="AB70" i="58"/>
  <c r="F80" i="58"/>
  <c r="D223" i="72"/>
  <c r="D227" i="72"/>
  <c r="D230" i="72" s="1"/>
  <c r="O161" i="70"/>
  <c r="O173" i="70"/>
  <c r="O174" i="70" s="1"/>
  <c r="AF69" i="58"/>
  <c r="V161" i="70"/>
  <c r="V173" i="70"/>
  <c r="V174" i="70" s="1"/>
  <c r="E180" i="72"/>
  <c r="E192" i="72" s="1"/>
  <c r="F193" i="72" s="1"/>
  <c r="E49" i="72"/>
  <c r="E164" i="72"/>
  <c r="J201" i="70"/>
  <c r="J158" i="70"/>
  <c r="J160" i="70"/>
  <c r="E161" i="62"/>
  <c r="E95" i="62"/>
  <c r="E164" i="62"/>
  <c r="E170" i="62"/>
  <c r="E94" i="62"/>
  <c r="E137" i="62" s="1"/>
  <c r="E148" i="62" s="1"/>
  <c r="E152" i="62" s="1"/>
  <c r="E155" i="62" s="1"/>
  <c r="E156" i="62" s="1"/>
  <c r="E167" i="62"/>
  <c r="E89" i="62"/>
  <c r="E81" i="62"/>
  <c r="J152" i="55"/>
  <c r="AB71" i="58"/>
  <c r="Y71" i="58"/>
  <c r="H40" i="16"/>
  <c r="H41" i="16"/>
  <c r="H109" i="16"/>
  <c r="H39" i="16"/>
  <c r="H180" i="16"/>
  <c r="B122" i="55"/>
  <c r="B79" i="55"/>
  <c r="B81" i="55"/>
  <c r="C42" i="16"/>
  <c r="M82" i="55"/>
  <c r="M94" i="55"/>
  <c r="M95" i="55" s="1"/>
  <c r="J186" i="70"/>
  <c r="J88" i="70"/>
  <c r="J187" i="70"/>
  <c r="J87" i="70"/>
  <c r="M301" i="70"/>
  <c r="J188" i="70"/>
  <c r="J185" i="70"/>
  <c r="J171" i="70"/>
  <c r="J89" i="70"/>
  <c r="J167" i="70"/>
  <c r="J301" i="70"/>
  <c r="J164" i="70"/>
  <c r="J184" i="70"/>
  <c r="Z51" i="66"/>
  <c r="Z23" i="11"/>
  <c r="N5" i="12"/>
  <c r="N11" i="12" s="1"/>
  <c r="T6" i="11"/>
  <c r="W4" i="11"/>
  <c r="W39" i="11"/>
  <c r="AX167" i="41"/>
  <c r="DM36" i="12"/>
  <c r="N152" i="9"/>
  <c r="DU36" i="12" s="1"/>
  <c r="X16" i="15"/>
  <c r="X28" i="15"/>
  <c r="X48" i="15"/>
  <c r="AK16" i="12"/>
  <c r="AS16" i="12" s="1"/>
  <c r="T40" i="13"/>
  <c r="T43" i="13"/>
  <c r="T44" i="13" s="1"/>
  <c r="M11" i="12"/>
  <c r="O19" i="11"/>
  <c r="Z22" i="11"/>
  <c r="DM12" i="12"/>
  <c r="DM11" i="12"/>
  <c r="P28" i="15"/>
  <c r="P162" i="15" s="1"/>
  <c r="P48" i="15"/>
  <c r="P16" i="15"/>
  <c r="J53" i="15"/>
  <c r="J52" i="15"/>
  <c r="U53" i="15"/>
  <c r="U52" i="15"/>
  <c r="S52" i="15"/>
  <c r="S53" i="15"/>
  <c r="K164" i="15"/>
  <c r="K31" i="15"/>
  <c r="K29" i="15"/>
  <c r="K30" i="15"/>
  <c r="AK133" i="62"/>
  <c r="AK135" i="62"/>
  <c r="AD94" i="62"/>
  <c r="I70" i="9"/>
  <c r="AC167" i="62"/>
  <c r="AC161" i="62"/>
  <c r="AC164" i="62"/>
  <c r="AC170" i="62"/>
  <c r="AC95" i="62"/>
  <c r="AC112" i="62"/>
  <c r="AC123" i="62"/>
  <c r="AC128" i="62"/>
  <c r="AC106" i="62"/>
  <c r="AC94" i="62"/>
  <c r="AC137" i="62" s="1"/>
  <c r="AC148" i="62" s="1"/>
  <c r="AC152" i="62" s="1"/>
  <c r="AC155" i="62" s="1"/>
  <c r="Q94" i="62"/>
  <c r="Q137" i="62" s="1"/>
  <c r="Q148" i="62" s="1"/>
  <c r="Q152" i="62" s="1"/>
  <c r="Q155" i="62" s="1"/>
  <c r="Q156" i="62" s="1"/>
  <c r="Q95" i="62"/>
  <c r="H161" i="15"/>
  <c r="Z20" i="62"/>
  <c r="AD19" i="62"/>
  <c r="I15" i="62"/>
  <c r="H16" i="62"/>
  <c r="H132" i="62"/>
  <c r="H104" i="62"/>
  <c r="H107" i="62"/>
  <c r="R32" i="62"/>
  <c r="R22" i="62"/>
  <c r="V23" i="62" s="1"/>
  <c r="V31" i="62"/>
  <c r="Z10" i="12"/>
  <c r="C24" i="13"/>
  <c r="C55" i="13"/>
  <c r="BV10" i="12" s="1"/>
  <c r="C44" i="13"/>
  <c r="AK165" i="62"/>
  <c r="AK171" i="62"/>
  <c r="AK162" i="62"/>
  <c r="AL162" i="62" s="1"/>
  <c r="AK168" i="62"/>
  <c r="AL168" i="62" s="1"/>
  <c r="AK119" i="62"/>
  <c r="AK83" i="62"/>
  <c r="AK124" i="62"/>
  <c r="AG29" i="61"/>
  <c r="AG36" i="61" s="1"/>
  <c r="AG39" i="61" s="1"/>
  <c r="AG42" i="61" s="1"/>
  <c r="AE70" i="58"/>
  <c r="S94" i="55"/>
  <c r="S95" i="55" s="1"/>
  <c r="S82" i="55"/>
  <c r="P80" i="58"/>
  <c r="P57" i="58"/>
  <c r="P17" i="58"/>
  <c r="O276" i="55"/>
  <c r="F79" i="55"/>
  <c r="F122" i="55"/>
  <c r="F81" i="55"/>
  <c r="U212" i="58"/>
  <c r="U59" i="58"/>
  <c r="U60" i="58" s="1"/>
  <c r="U66" i="58"/>
  <c r="U41" i="58"/>
  <c r="U70" i="58"/>
  <c r="U40" i="58"/>
  <c r="U82" i="58" s="1"/>
  <c r="U71" i="58"/>
  <c r="Z161" i="70"/>
  <c r="Z173" i="70"/>
  <c r="Z174" i="70" s="1"/>
  <c r="V164" i="62"/>
  <c r="V170" i="62"/>
  <c r="V167" i="62"/>
  <c r="V95" i="62"/>
  <c r="V161" i="62"/>
  <c r="V123" i="62"/>
  <c r="V106" i="62"/>
  <c r="V118" i="62"/>
  <c r="V94" i="62"/>
  <c r="V137" i="62" s="1"/>
  <c r="V148" i="62" s="1"/>
  <c r="V152" i="62" s="1"/>
  <c r="V155" i="62" s="1"/>
  <c r="V156" i="62" s="1"/>
  <c r="Z81" i="62"/>
  <c r="R300" i="70"/>
  <c r="Z47" i="11"/>
  <c r="DZ12" i="12"/>
  <c r="DZ11" i="12"/>
  <c r="I109" i="62"/>
  <c r="AH110" i="62"/>
  <c r="AH113" i="62"/>
  <c r="Z71" i="15"/>
  <c r="Z26" i="15"/>
  <c r="Z51" i="15"/>
  <c r="Z86" i="15"/>
  <c r="AE86" i="15"/>
  <c r="M31" i="15"/>
  <c r="M29" i="15"/>
  <c r="M30" i="15"/>
  <c r="AC118" i="62"/>
  <c r="AJ133" i="62"/>
  <c r="AJ135" i="62"/>
  <c r="O62" i="16"/>
  <c r="O82" i="16"/>
  <c r="O84" i="16"/>
  <c r="O81" i="16"/>
  <c r="O22" i="16"/>
  <c r="O83" i="16"/>
  <c r="O57" i="16"/>
  <c r="Z185" i="70"/>
  <c r="Z188" i="70"/>
  <c r="Z184" i="70"/>
  <c r="Z164" i="70"/>
  <c r="Z87" i="70"/>
  <c r="Z137" i="70"/>
  <c r="Z88" i="70"/>
  <c r="Z167" i="70"/>
  <c r="Z89" i="70"/>
  <c r="Z171" i="70"/>
  <c r="Z187" i="70"/>
  <c r="Z158" i="70"/>
  <c r="Z186" i="70"/>
  <c r="E57" i="58"/>
  <c r="E17" i="58"/>
  <c r="E79" i="58"/>
  <c r="D173" i="70"/>
  <c r="D174" i="70" s="1"/>
  <c r="D161" i="70"/>
  <c r="F222" i="72"/>
  <c r="C20" i="62"/>
  <c r="AA71" i="58"/>
  <c r="O301" i="70"/>
  <c r="F177" i="16"/>
  <c r="N72" i="72"/>
  <c r="ER13" i="12"/>
  <c r="L169" i="13"/>
  <c r="EZ13" i="12" s="1"/>
  <c r="I142" i="61"/>
  <c r="I145" i="61"/>
  <c r="I148" i="61" s="1"/>
  <c r="I150" i="61" s="1"/>
  <c r="I67" i="61"/>
  <c r="AB17" i="61"/>
  <c r="AB29" i="61" s="1"/>
  <c r="AB36" i="61" s="1"/>
  <c r="AB39" i="61" s="1"/>
  <c r="AB42" i="61" s="1"/>
  <c r="AB18" i="61"/>
  <c r="Z18" i="61"/>
  <c r="Z17" i="61"/>
  <c r="Z29" i="61" s="1"/>
  <c r="Z36" i="61" s="1"/>
  <c r="Z39" i="61" s="1"/>
  <c r="Z42" i="61" s="1"/>
  <c r="AE166" i="61"/>
  <c r="AE165" i="61"/>
  <c r="AC13" i="78"/>
  <c r="AS92" i="41"/>
  <c r="BJ77" i="41"/>
  <c r="AP313" i="37"/>
  <c r="BP144" i="37"/>
  <c r="ER36" i="12"/>
  <c r="M165" i="9"/>
  <c r="FH36" i="12" s="1"/>
  <c r="M164" i="9"/>
  <c r="EZ36" i="12" s="1"/>
  <c r="DJ10" i="12"/>
  <c r="C157" i="13"/>
  <c r="DR10" i="12" s="1"/>
  <c r="C26" i="11"/>
  <c r="C16" i="11"/>
  <c r="DU11" i="12"/>
  <c r="DU12" i="12"/>
  <c r="AC16" i="15"/>
  <c r="AC48" i="15"/>
  <c r="AC28" i="15"/>
  <c r="AC53" i="15"/>
  <c r="AA12" i="12"/>
  <c r="AA11" i="12"/>
  <c r="J16" i="15"/>
  <c r="J48" i="15"/>
  <c r="J28" i="15"/>
  <c r="J162" i="15" s="1"/>
  <c r="L31" i="15"/>
  <c r="L29" i="15"/>
  <c r="L30" i="15"/>
  <c r="H124" i="62"/>
  <c r="H122" i="62"/>
  <c r="Z46" i="62"/>
  <c r="Z22" i="62"/>
  <c r="Z31" i="62"/>
  <c r="Z32" i="62"/>
  <c r="AH135" i="62"/>
  <c r="AH133" i="62"/>
  <c r="E35" i="62"/>
  <c r="J12" i="12"/>
  <c r="J11" i="12"/>
  <c r="Z218" i="37"/>
  <c r="X349" i="37"/>
  <c r="AV178" i="37"/>
  <c r="BY43" i="37"/>
  <c r="W174" i="37"/>
  <c r="D72" i="15"/>
  <c r="D68" i="15"/>
  <c r="D69" i="15"/>
  <c r="D70" i="15"/>
  <c r="D71" i="15"/>
  <c r="D15" i="15"/>
  <c r="D32" i="15"/>
  <c r="D47" i="15"/>
  <c r="D29" i="15"/>
  <c r="BY11" i="12"/>
  <c r="BY12" i="12"/>
  <c r="H68" i="15"/>
  <c r="H70" i="15"/>
  <c r="H71" i="15"/>
  <c r="H15" i="15"/>
  <c r="H69" i="15"/>
  <c r="H47" i="15"/>
  <c r="H52" i="15"/>
  <c r="AO176" i="62"/>
  <c r="AN126" i="62"/>
  <c r="AN127" i="62" s="1"/>
  <c r="D94" i="62"/>
  <c r="D137" i="62" s="1"/>
  <c r="D148" i="62" s="1"/>
  <c r="D152" i="62" s="1"/>
  <c r="D155" i="62" s="1"/>
  <c r="D156" i="62" s="1"/>
  <c r="D118" i="62"/>
  <c r="D95" i="62"/>
  <c r="D112" i="62"/>
  <c r="D81" i="62"/>
  <c r="D89" i="62"/>
  <c r="B30" i="15"/>
  <c r="B16" i="15"/>
  <c r="AD144" i="62"/>
  <c r="AE143" i="62"/>
  <c r="D92" i="62"/>
  <c r="N138" i="62"/>
  <c r="N139" i="62" s="1"/>
  <c r="N97" i="62"/>
  <c r="AC27" i="62"/>
  <c r="Y104" i="62"/>
  <c r="Y132" i="62"/>
  <c r="AC104" i="62"/>
  <c r="Y105" i="62"/>
  <c r="AF30" i="61"/>
  <c r="AF29" i="61"/>
  <c r="AF36" i="61" s="1"/>
  <c r="AF39" i="61" s="1"/>
  <c r="AF42" i="61" s="1"/>
  <c r="S29" i="61"/>
  <c r="S36" i="61" s="1"/>
  <c r="S39" i="61" s="1"/>
  <c r="S42" i="61" s="1"/>
  <c r="S43" i="61" s="1"/>
  <c r="K176" i="61"/>
  <c r="K181" i="61" s="1"/>
  <c r="K107" i="61" s="1"/>
  <c r="BR255" i="37"/>
  <c r="W173" i="37"/>
  <c r="J35" i="78"/>
  <c r="J37" i="78" s="1"/>
  <c r="J69" i="78" s="1"/>
  <c r="BS142" i="41"/>
  <c r="AX79" i="41"/>
  <c r="AX80" i="41" s="1"/>
  <c r="AG14" i="66" s="1"/>
  <c r="G54" i="11"/>
  <c r="W75" i="11"/>
  <c r="AK10" i="12"/>
  <c r="AS10" i="12" s="1"/>
  <c r="F40" i="13"/>
  <c r="AD161" i="15"/>
  <c r="AC161" i="15"/>
  <c r="X52" i="15"/>
  <c r="X53" i="15"/>
  <c r="F8" i="64"/>
  <c r="G8" i="64" s="1"/>
  <c r="H8" i="64" s="1"/>
  <c r="I8" i="64" s="1"/>
  <c r="J8" i="64" s="1"/>
  <c r="K8" i="64" s="1"/>
  <c r="L8" i="64" s="1"/>
  <c r="M8" i="64" s="1"/>
  <c r="E7" i="64"/>
  <c r="E9" i="64" s="1"/>
  <c r="S48" i="15"/>
  <c r="S28" i="15"/>
  <c r="S16" i="15"/>
  <c r="AF175" i="62"/>
  <c r="AE86" i="62"/>
  <c r="AE179" i="62"/>
  <c r="F106" i="62"/>
  <c r="AE26" i="62"/>
  <c r="W20" i="62"/>
  <c r="W123" i="62"/>
  <c r="F171" i="61"/>
  <c r="R30" i="61"/>
  <c r="R29" i="61"/>
  <c r="R36" i="61" s="1"/>
  <c r="R39" i="61" s="1"/>
  <c r="R42" i="61" s="1"/>
  <c r="R43" i="61" s="1"/>
  <c r="B111" i="62"/>
  <c r="B105" i="62"/>
  <c r="U106" i="62"/>
  <c r="D29" i="61"/>
  <c r="D36" i="61" s="1"/>
  <c r="D39" i="61" s="1"/>
  <c r="D42" i="61" s="1"/>
  <c r="D43" i="61" s="1"/>
  <c r="D162" i="61" s="1"/>
  <c r="D163" i="61" s="1"/>
  <c r="J147" i="61"/>
  <c r="AD212" i="58"/>
  <c r="AD59" i="58"/>
  <c r="AD60" i="58" s="1"/>
  <c r="AD40" i="58"/>
  <c r="AD82" i="58" s="1"/>
  <c r="AD72" i="58"/>
  <c r="AD66" i="58"/>
  <c r="AD41" i="58"/>
  <c r="AD71" i="58"/>
  <c r="X72" i="58"/>
  <c r="O177" i="16"/>
  <c r="K201" i="70"/>
  <c r="K158" i="70"/>
  <c r="K160" i="70"/>
  <c r="S122" i="55"/>
  <c r="N276" i="55"/>
  <c r="M57" i="58"/>
  <c r="V212" i="58"/>
  <c r="V66" i="58"/>
  <c r="V41" i="58"/>
  <c r="V70" i="58"/>
  <c r="V40" i="58"/>
  <c r="V82" i="58" s="1"/>
  <c r="V69" i="58"/>
  <c r="V59" i="58"/>
  <c r="V60" i="58" s="1"/>
  <c r="V71" i="58"/>
  <c r="AE69" i="58"/>
  <c r="L161" i="16"/>
  <c r="L85" i="16"/>
  <c r="L20" i="16"/>
  <c r="L62" i="16" s="1"/>
  <c r="L101" i="16"/>
  <c r="L76" i="16"/>
  <c r="L75" i="16"/>
  <c r="L78" i="16"/>
  <c r="L8" i="16"/>
  <c r="C105" i="62"/>
  <c r="C35" i="62"/>
  <c r="R201" i="70"/>
  <c r="P161" i="70"/>
  <c r="P173" i="70"/>
  <c r="P174" i="70" s="1"/>
  <c r="B94" i="62"/>
  <c r="B137" i="62" s="1"/>
  <c r="B148" i="62" s="1"/>
  <c r="B152" i="62" s="1"/>
  <c r="B155" i="62" s="1"/>
  <c r="B156" i="62" s="1"/>
  <c r="B95" i="62"/>
  <c r="B106" i="62"/>
  <c r="B112" i="62"/>
  <c r="T31" i="70"/>
  <c r="P31" i="70"/>
  <c r="O21" i="11"/>
  <c r="O31" i="11"/>
  <c r="AS33" i="12"/>
  <c r="F10" i="64"/>
  <c r="AB112" i="62"/>
  <c r="P53" i="15"/>
  <c r="AE71" i="62"/>
  <c r="F134" i="62"/>
  <c r="F133" i="62"/>
  <c r="Z70" i="62"/>
  <c r="Z34" i="62"/>
  <c r="AD62" i="62"/>
  <c r="O97" i="62"/>
  <c r="O138" i="62"/>
  <c r="O139" i="62" s="1"/>
  <c r="Y111" i="62"/>
  <c r="Y110" i="62"/>
  <c r="Q134" i="62"/>
  <c r="Y122" i="62"/>
  <c r="AC122" i="62"/>
  <c r="S32" i="62"/>
  <c r="S22" i="62"/>
  <c r="W31" i="62"/>
  <c r="AI135" i="62"/>
  <c r="AI133" i="62"/>
  <c r="C30" i="61"/>
  <c r="H116" i="62"/>
  <c r="H119" i="62"/>
  <c r="AH30" i="61"/>
  <c r="AH29" i="61"/>
  <c r="AH36" i="61" s="1"/>
  <c r="AH39" i="61" s="1"/>
  <c r="AH42" i="61" s="1"/>
  <c r="Y18" i="61"/>
  <c r="Y17" i="61"/>
  <c r="Y29" i="61" s="1"/>
  <c r="Y36" i="61" s="1"/>
  <c r="Y39" i="61" s="1"/>
  <c r="Y42" i="61" s="1"/>
  <c r="AJ30" i="61"/>
  <c r="D101" i="16"/>
  <c r="B39" i="16"/>
  <c r="B83" i="16"/>
  <c r="B84" i="16"/>
  <c r="B57" i="16"/>
  <c r="B85" i="16"/>
  <c r="B81" i="16"/>
  <c r="B82" i="16"/>
  <c r="B62" i="16"/>
  <c r="B22" i="16"/>
  <c r="H171" i="61"/>
  <c r="I171" i="61" s="1"/>
  <c r="J171" i="61" s="1"/>
  <c r="K171" i="61" s="1"/>
  <c r="AC69" i="58"/>
  <c r="K184" i="70"/>
  <c r="K187" i="70"/>
  <c r="K89" i="70"/>
  <c r="K188" i="70"/>
  <c r="N301" i="70"/>
  <c r="K186" i="70"/>
  <c r="K88" i="70"/>
  <c r="K87" i="70"/>
  <c r="K167" i="70"/>
  <c r="K185" i="70"/>
  <c r="K164" i="70"/>
  <c r="AE72" i="58"/>
  <c r="Z212" i="58"/>
  <c r="Z40" i="58"/>
  <c r="Z82" i="58" s="1"/>
  <c r="Z69" i="58"/>
  <c r="Z59" i="58"/>
  <c r="Z60" i="58" s="1"/>
  <c r="Z41" i="58"/>
  <c r="Z72" i="58"/>
  <c r="Z66" i="58"/>
  <c r="H104" i="72"/>
  <c r="H111" i="72"/>
  <c r="H103" i="72"/>
  <c r="Q167" i="70"/>
  <c r="Q164" i="70"/>
  <c r="Q87" i="70"/>
  <c r="Q185" i="70"/>
  <c r="Q187" i="70"/>
  <c r="Q186" i="70"/>
  <c r="Q188" i="70"/>
  <c r="Q184" i="70"/>
  <c r="Q89" i="70"/>
  <c r="T300" i="70"/>
  <c r="Q145" i="70"/>
  <c r="T301" i="70"/>
  <c r="S301" i="70"/>
  <c r="Q88" i="70"/>
  <c r="M40" i="58"/>
  <c r="M72" i="58"/>
  <c r="M66" i="58"/>
  <c r="M41" i="58"/>
  <c r="M69" i="58"/>
  <c r="R173" i="70"/>
  <c r="R174" i="70" s="1"/>
  <c r="R161" i="70"/>
  <c r="G30" i="61"/>
  <c r="L71" i="58"/>
  <c r="L300" i="70"/>
  <c r="G8" i="11"/>
  <c r="ER11" i="12"/>
  <c r="ER12" i="12"/>
  <c r="H171" i="62"/>
  <c r="H168" i="62"/>
  <c r="AE30" i="15"/>
  <c r="AI13" i="12"/>
  <c r="AQ13" i="12" s="1"/>
  <c r="K40" i="13"/>
  <c r="I161" i="15"/>
  <c r="I162" i="15"/>
  <c r="Z30" i="11"/>
  <c r="T138" i="62"/>
  <c r="T139" i="62" s="1"/>
  <c r="T97" i="62"/>
  <c r="AA70" i="58"/>
  <c r="G79" i="58"/>
  <c r="G57" i="58"/>
  <c r="G17" i="58"/>
  <c r="G78" i="58"/>
  <c r="G77" i="58"/>
  <c r="B171" i="70"/>
  <c r="Q158" i="70"/>
  <c r="Q160" i="70"/>
  <c r="Q201" i="70"/>
  <c r="E8" i="57"/>
  <c r="G7" i="57"/>
  <c r="P201" i="70"/>
  <c r="AF29" i="70"/>
  <c r="X161" i="70"/>
  <c r="X173" i="70"/>
  <c r="X174" i="70" s="1"/>
  <c r="K300" i="70"/>
  <c r="AA158" i="70"/>
  <c r="AA160" i="70"/>
  <c r="AA201" i="70"/>
  <c r="N79" i="72"/>
  <c r="O300" i="70"/>
  <c r="BR138" i="41"/>
  <c r="M276" i="41"/>
  <c r="BR135" i="41"/>
  <c r="BK98" i="41"/>
  <c r="BK80" i="41"/>
  <c r="BK82" i="41"/>
  <c r="BK81" i="41"/>
  <c r="BR139" i="41"/>
  <c r="AZ144" i="41"/>
  <c r="AD177" i="37"/>
  <c r="C25" i="66" s="1"/>
  <c r="AD178" i="37"/>
  <c r="BD201" i="37"/>
  <c r="BK257" i="37"/>
  <c r="M35" i="78"/>
  <c r="M37" i="78" s="1"/>
  <c r="M69" i="78" s="1"/>
  <c r="AQ51" i="66"/>
  <c r="AE30" i="78"/>
  <c r="K35" i="78"/>
  <c r="K37" i="78" s="1"/>
  <c r="K70" i="78" s="1"/>
  <c r="Q35" i="78"/>
  <c r="Q37" i="78" s="1"/>
  <c r="Q69" i="78" s="1"/>
  <c r="H35" i="78"/>
  <c r="H37" i="78" s="1"/>
  <c r="H69" i="78" s="1"/>
  <c r="AG30" i="78"/>
  <c r="AP35" i="78"/>
  <c r="AP37" i="78" s="1"/>
  <c r="AP69" i="78" s="1"/>
  <c r="AK9" i="66"/>
  <c r="C82" i="41"/>
  <c r="C84" i="41" s="1"/>
  <c r="AD164" i="41"/>
  <c r="I36" i="41"/>
  <c r="AP167" i="41"/>
  <c r="O276" i="41"/>
  <c r="AV167" i="41"/>
  <c r="BU143" i="41"/>
  <c r="BV137" i="41"/>
  <c r="BV136" i="41"/>
  <c r="BV49" i="41"/>
  <c r="BV142" i="41"/>
  <c r="BV138" i="41"/>
  <c r="BV139" i="41"/>
  <c r="BV140" i="41"/>
  <c r="BV143" i="41"/>
  <c r="BV47" i="41"/>
  <c r="BV144" i="41"/>
  <c r="BS41" i="41"/>
  <c r="H79" i="41"/>
  <c r="BV41" i="41"/>
  <c r="BV145" i="41"/>
  <c r="BV92" i="41"/>
  <c r="BV146" i="41"/>
  <c r="S77" i="41"/>
  <c r="AA135" i="41"/>
  <c r="BB240" i="41"/>
  <c r="BR140" i="41"/>
  <c r="BV77" i="41"/>
  <c r="BG77" i="41"/>
  <c r="BW76" i="41"/>
  <c r="BW167" i="41" s="1"/>
  <c r="BJ167" i="41"/>
  <c r="AP77" i="41"/>
  <c r="BJ82" i="41"/>
  <c r="BJ81" i="41"/>
  <c r="BJ80" i="41"/>
  <c r="BJ168" i="41"/>
  <c r="BJ98" i="41"/>
  <c r="BV44" i="41"/>
  <c r="BV109" i="41"/>
  <c r="BV114" i="41"/>
  <c r="BW35" i="41"/>
  <c r="BW142" i="41" s="1"/>
  <c r="BW158" i="41"/>
  <c r="BW113" i="41"/>
  <c r="BD79" i="41"/>
  <c r="BD82" i="41" s="1"/>
  <c r="BW163" i="41"/>
  <c r="AS142" i="41"/>
  <c r="BP44" i="41"/>
  <c r="BP138" i="41"/>
  <c r="AW143" i="41"/>
  <c r="AF13" i="66" s="1"/>
  <c r="BP135" i="41"/>
  <c r="BP92" i="41"/>
  <c r="BB76" i="41"/>
  <c r="BB79" i="41" s="1"/>
  <c r="BB81" i="41" s="1"/>
  <c r="BR75" i="41"/>
  <c r="BS166" i="41" s="1"/>
  <c r="AG9" i="66"/>
  <c r="J79" i="41"/>
  <c r="J36" i="41"/>
  <c r="AU92" i="41"/>
  <c r="BP137" i="41"/>
  <c r="AU142" i="41"/>
  <c r="I80" i="41"/>
  <c r="AU144" i="41"/>
  <c r="BP134" i="41"/>
  <c r="Y135" i="41"/>
  <c r="AS143" i="41"/>
  <c r="AB13" i="66" s="1"/>
  <c r="BP41" i="41"/>
  <c r="BP140" i="41"/>
  <c r="AI135" i="41"/>
  <c r="BS91" i="41"/>
  <c r="BS92" i="41" s="1"/>
  <c r="Z202" i="41"/>
  <c r="BN202" i="41" s="1"/>
  <c r="BN201" i="41"/>
  <c r="BP136" i="41"/>
  <c r="Y92" i="41"/>
  <c r="H10" i="66" s="1"/>
  <c r="BS160" i="41"/>
  <c r="AK112" i="41"/>
  <c r="AL75" i="41"/>
  <c r="AP166" i="41" s="1"/>
  <c r="BP133" i="41"/>
  <c r="I82" i="41"/>
  <c r="I83" i="41" s="1"/>
  <c r="BF82" i="41"/>
  <c r="BF80" i="41"/>
  <c r="AO14" i="66" s="1"/>
  <c r="BF98" i="41"/>
  <c r="BF81" i="41"/>
  <c r="AA77" i="41"/>
  <c r="AE98" i="41"/>
  <c r="AE82" i="41"/>
  <c r="AE80" i="41"/>
  <c r="AE81" i="41"/>
  <c r="AK77" i="41"/>
  <c r="AK79" i="41"/>
  <c r="AD166" i="41"/>
  <c r="AD145" i="41"/>
  <c r="AD112" i="41"/>
  <c r="AD276" i="41"/>
  <c r="X276" i="41"/>
  <c r="AN77" i="41"/>
  <c r="BN163" i="41"/>
  <c r="BN142" i="41"/>
  <c r="BR143" i="41"/>
  <c r="Y167" i="41"/>
  <c r="Y77" i="41"/>
  <c r="BP143" i="41"/>
  <c r="AB7" i="66"/>
  <c r="AB9" i="66" s="1"/>
  <c r="AS146" i="41"/>
  <c r="AS145" i="41"/>
  <c r="AS79" i="41"/>
  <c r="AS109" i="41"/>
  <c r="AS88" i="41"/>
  <c r="AB10" i="66" s="1"/>
  <c r="AS137" i="41"/>
  <c r="AS136" i="41"/>
  <c r="AS135" i="41"/>
  <c r="AS114" i="41"/>
  <c r="AS140" i="41"/>
  <c r="AS139" i="41"/>
  <c r="AS138" i="41"/>
  <c r="AS44" i="41"/>
  <c r="AS41" i="41"/>
  <c r="AS47" i="41"/>
  <c r="AS11" i="41"/>
  <c r="AS49" i="41"/>
  <c r="AJ113" i="41"/>
  <c r="AJ114" i="41"/>
  <c r="BT163" i="41"/>
  <c r="G79" i="41"/>
  <c r="G36" i="41"/>
  <c r="BT164" i="41"/>
  <c r="AF114" i="41"/>
  <c r="AF113" i="41"/>
  <c r="AI164" i="41"/>
  <c r="AI143" i="41"/>
  <c r="R13" i="66" s="1"/>
  <c r="BQ70" i="41"/>
  <c r="AI76" i="41"/>
  <c r="BF77" i="41"/>
  <c r="Q277" i="41"/>
  <c r="Q276" i="41"/>
  <c r="AA276" i="41"/>
  <c r="AJ164" i="41"/>
  <c r="AJ143" i="41"/>
  <c r="S13" i="66" s="1"/>
  <c r="AJ76" i="41"/>
  <c r="BA167" i="41"/>
  <c r="BA77" i="41"/>
  <c r="BC79" i="41"/>
  <c r="AR167" i="41"/>
  <c r="AR77" i="41"/>
  <c r="AG143" i="41"/>
  <c r="P13" i="66" s="1"/>
  <c r="AG164" i="41"/>
  <c r="BV79" i="41"/>
  <c r="K79" i="41"/>
  <c r="K36" i="41"/>
  <c r="AR79" i="41"/>
  <c r="BP146" i="41"/>
  <c r="BP11" i="41"/>
  <c r="BP47" i="41"/>
  <c r="BP49" i="41"/>
  <c r="BR76" i="41"/>
  <c r="AQ167" i="41"/>
  <c r="AQ77" i="41"/>
  <c r="X143" i="41"/>
  <c r="G13" i="66" s="1"/>
  <c r="X164" i="41"/>
  <c r="X76" i="41"/>
  <c r="AD167" i="41"/>
  <c r="AD77" i="41"/>
  <c r="AY167" i="41"/>
  <c r="AY77" i="41"/>
  <c r="AP7" i="66"/>
  <c r="BG146" i="41"/>
  <c r="BG140" i="41"/>
  <c r="BG139" i="41"/>
  <c r="BG138" i="41"/>
  <c r="BG137" i="41"/>
  <c r="BG136" i="41"/>
  <c r="BG135" i="41"/>
  <c r="BG114" i="41"/>
  <c r="BG109" i="41"/>
  <c r="BG145" i="41"/>
  <c r="BG44" i="41"/>
  <c r="BG79" i="41"/>
  <c r="BK168" i="41" s="1"/>
  <c r="BG142" i="41"/>
  <c r="BG49" i="41"/>
  <c r="BG47" i="41"/>
  <c r="BG11" i="41"/>
  <c r="BG41" i="41"/>
  <c r="T79" i="41"/>
  <c r="T77" i="41"/>
  <c r="BH167" i="41"/>
  <c r="BH77" i="41"/>
  <c r="AF167" i="41"/>
  <c r="AF77" i="41"/>
  <c r="BT160" i="41"/>
  <c r="BT35" i="41"/>
  <c r="BT142" i="41" s="1"/>
  <c r="AC7" i="66"/>
  <c r="AC9" i="66" s="1"/>
  <c r="AT140" i="41"/>
  <c r="AT139" i="41"/>
  <c r="AT138" i="41"/>
  <c r="AT137" i="41"/>
  <c r="AT136" i="41"/>
  <c r="AT135" i="41"/>
  <c r="AT146" i="41"/>
  <c r="AT109" i="41"/>
  <c r="AT79" i="41"/>
  <c r="AT88" i="41"/>
  <c r="AC10" i="66" s="1"/>
  <c r="AT41" i="41"/>
  <c r="AT47" i="41"/>
  <c r="AT44" i="41"/>
  <c r="AT11" i="41"/>
  <c r="AT49" i="41"/>
  <c r="BE98" i="41"/>
  <c r="BE82" i="41"/>
  <c r="BE80" i="41"/>
  <c r="AN14" i="66" s="1"/>
  <c r="BE81" i="41"/>
  <c r="P277" i="41"/>
  <c r="P276" i="41"/>
  <c r="O167" i="41"/>
  <c r="O77" i="41"/>
  <c r="U77" i="41"/>
  <c r="U79" i="41"/>
  <c r="AX166" i="41"/>
  <c r="AX145" i="41"/>
  <c r="AX112" i="41"/>
  <c r="BT75" i="41"/>
  <c r="AZ167" i="41"/>
  <c r="AZ77" i="41"/>
  <c r="AL168" i="41"/>
  <c r="AL81" i="41"/>
  <c r="AL98" i="41"/>
  <c r="AL80" i="41"/>
  <c r="U14" i="66" s="1"/>
  <c r="AT114" i="41"/>
  <c r="AT113" i="41"/>
  <c r="BQ163" i="41"/>
  <c r="AB164" i="41"/>
  <c r="AB143" i="41"/>
  <c r="K13" i="66" s="1"/>
  <c r="BG144" i="41"/>
  <c r="AG79" i="41"/>
  <c r="BA79" i="41"/>
  <c r="BE168" i="41" s="1"/>
  <c r="AJ9" i="66"/>
  <c r="BI167" i="41"/>
  <c r="BI77" i="41"/>
  <c r="AQ79" i="41"/>
  <c r="AP168" i="41"/>
  <c r="AP80" i="41"/>
  <c r="Y14" i="66" s="1"/>
  <c r="AP81" i="41"/>
  <c r="AP98" i="41"/>
  <c r="AP82" i="41"/>
  <c r="BO163" i="41"/>
  <c r="AA143" i="41"/>
  <c r="J13" i="66" s="1"/>
  <c r="AA164" i="41"/>
  <c r="BO70" i="41"/>
  <c r="BP164" i="41" s="1"/>
  <c r="AF276" i="41"/>
  <c r="AB276" i="41"/>
  <c r="AD204" i="41"/>
  <c r="BO198" i="41"/>
  <c r="BO204" i="41" s="1"/>
  <c r="AM164" i="41"/>
  <c r="AU167" i="41"/>
  <c r="AU77" i="41"/>
  <c r="BT76" i="41"/>
  <c r="BT167" i="41" s="1"/>
  <c r="BI168" i="41"/>
  <c r="BI82" i="41"/>
  <c r="BI80" i="41"/>
  <c r="BI81" i="41"/>
  <c r="BI98" i="41"/>
  <c r="AW146" i="41"/>
  <c r="AF7" i="66"/>
  <c r="AF9" i="66" s="1"/>
  <c r="AW140" i="41"/>
  <c r="AW139" i="41"/>
  <c r="AW138" i="41"/>
  <c r="AW137" i="41"/>
  <c r="AW136" i="41"/>
  <c r="AW135" i="41"/>
  <c r="AW109" i="41"/>
  <c r="AW49" i="41"/>
  <c r="AW47" i="41"/>
  <c r="AW41" i="41"/>
  <c r="AW11" i="41"/>
  <c r="AW145" i="41"/>
  <c r="AW79" i="41"/>
  <c r="AW88" i="41"/>
  <c r="AF10" i="66" s="1"/>
  <c r="AW44" i="41"/>
  <c r="B98" i="41"/>
  <c r="B101" i="41" s="1"/>
  <c r="B104" i="41" s="1"/>
  <c r="B82" i="41"/>
  <c r="B84" i="41" s="1"/>
  <c r="B168" i="41"/>
  <c r="BR163" i="41"/>
  <c r="BR142" i="41"/>
  <c r="Z167" i="41"/>
  <c r="Z77" i="41"/>
  <c r="P167" i="41"/>
  <c r="P77" i="41"/>
  <c r="AL167" i="41"/>
  <c r="AE114" i="41"/>
  <c r="AE113" i="41"/>
  <c r="F168" i="41"/>
  <c r="F98" i="41"/>
  <c r="F101" i="41" s="1"/>
  <c r="F82" i="41"/>
  <c r="F80" i="41"/>
  <c r="BN278" i="41"/>
  <c r="BE167" i="41"/>
  <c r="BE77" i="41"/>
  <c r="AP145" i="41"/>
  <c r="BS164" i="41"/>
  <c r="AT143" i="41"/>
  <c r="AC13" i="66" s="1"/>
  <c r="AD7" i="66"/>
  <c r="AU146" i="41"/>
  <c r="AU145" i="41"/>
  <c r="AU140" i="41"/>
  <c r="AU139" i="41"/>
  <c r="AU138" i="41"/>
  <c r="AU137" i="41"/>
  <c r="AU136" i="41"/>
  <c r="AU135" i="41"/>
  <c r="AU79" i="41"/>
  <c r="AU114" i="41"/>
  <c r="AU44" i="41"/>
  <c r="AU109" i="41"/>
  <c r="AU47" i="41"/>
  <c r="AU88" i="41"/>
  <c r="AD10" i="66" s="1"/>
  <c r="AU41" i="41"/>
  <c r="AU11" i="41"/>
  <c r="AU49" i="41"/>
  <c r="AO167" i="41"/>
  <c r="AO77" i="41"/>
  <c r="AO79" i="41"/>
  <c r="V167" i="41"/>
  <c r="V77" i="41"/>
  <c r="AT144" i="41"/>
  <c r="AW167" i="41"/>
  <c r="AW77" i="41"/>
  <c r="Z164" i="41"/>
  <c r="Z143" i="41"/>
  <c r="I13" i="66" s="1"/>
  <c r="AG166" i="41"/>
  <c r="AG145" i="41"/>
  <c r="AG112" i="41"/>
  <c r="AD79" i="41"/>
  <c r="AF79" i="41"/>
  <c r="BO275" i="41"/>
  <c r="BO278" i="41"/>
  <c r="Z133" i="41"/>
  <c r="I7" i="66"/>
  <c r="Z140" i="41"/>
  <c r="Z139" i="41"/>
  <c r="Z138" i="41"/>
  <c r="Z137" i="41"/>
  <c r="Z136" i="41"/>
  <c r="Z109" i="41"/>
  <c r="Z88" i="41"/>
  <c r="Z134" i="41"/>
  <c r="Z36" i="41"/>
  <c r="Z44" i="41"/>
  <c r="Z47" i="41"/>
  <c r="Z11" i="41"/>
  <c r="Z79" i="41"/>
  <c r="Z41" i="41"/>
  <c r="Z49" i="41"/>
  <c r="BN276" i="41"/>
  <c r="AG276" i="41"/>
  <c r="BP165" i="41"/>
  <c r="BP144" i="41"/>
  <c r="AH81" i="41"/>
  <c r="AH80" i="41"/>
  <c r="AH98" i="41"/>
  <c r="Z114" i="41"/>
  <c r="Z113" i="41"/>
  <c r="BR165" i="41"/>
  <c r="BR144" i="41"/>
  <c r="BQ165" i="41"/>
  <c r="BS146" i="41"/>
  <c r="BS140" i="41"/>
  <c r="BS139" i="41"/>
  <c r="BS138" i="41"/>
  <c r="BS137" i="41"/>
  <c r="BS136" i="41"/>
  <c r="BS135" i="41"/>
  <c r="BS145" i="41"/>
  <c r="BS79" i="41"/>
  <c r="BS47" i="41"/>
  <c r="BS11" i="41"/>
  <c r="BS44" i="41"/>
  <c r="BS49" i="41"/>
  <c r="AC166" i="41"/>
  <c r="AC145" i="41"/>
  <c r="AC112" i="41"/>
  <c r="Z135" i="41"/>
  <c r="AZ145" i="41"/>
  <c r="AZ146" i="41"/>
  <c r="AZ109" i="41"/>
  <c r="AZ88" i="41"/>
  <c r="AI10" i="66" s="1"/>
  <c r="AI7" i="66"/>
  <c r="AI9" i="66" s="1"/>
  <c r="AZ135" i="41"/>
  <c r="AZ138" i="41"/>
  <c r="AZ137" i="41"/>
  <c r="AZ140" i="41"/>
  <c r="AZ41" i="41"/>
  <c r="AZ92" i="41"/>
  <c r="AZ139" i="41"/>
  <c r="AZ79" i="41"/>
  <c r="AZ11" i="41"/>
  <c r="AZ49" i="41"/>
  <c r="AZ136" i="41"/>
  <c r="AZ47" i="41"/>
  <c r="AZ44" i="41"/>
  <c r="BR88" i="41"/>
  <c r="BR49" i="41"/>
  <c r="BR47" i="41"/>
  <c r="BR41" i="41"/>
  <c r="BR44" i="41"/>
  <c r="BR11" i="41"/>
  <c r="AT167" i="41"/>
  <c r="AT77" i="41"/>
  <c r="BD114" i="41"/>
  <c r="BD113" i="41"/>
  <c r="W164" i="41"/>
  <c r="W143" i="41"/>
  <c r="F13" i="66" s="1"/>
  <c r="W76" i="41"/>
  <c r="BN70" i="41"/>
  <c r="AX77" i="41"/>
  <c r="AB77" i="41"/>
  <c r="AT145" i="41"/>
  <c r="AE276" i="41"/>
  <c r="BO144" i="41"/>
  <c r="BO165" i="41"/>
  <c r="BC167" i="41"/>
  <c r="BC77" i="41"/>
  <c r="AE167" i="41"/>
  <c r="AE77" i="41"/>
  <c r="AC143" i="41"/>
  <c r="L13" i="66" s="1"/>
  <c r="AC164" i="41"/>
  <c r="BH79" i="41"/>
  <c r="BL168" i="41" s="1"/>
  <c r="AW142" i="41"/>
  <c r="AH75" i="41"/>
  <c r="AH82" i="41" s="1"/>
  <c r="AT142" i="41"/>
  <c r="AW114" i="41"/>
  <c r="AF164" i="41"/>
  <c r="AY79" i="41"/>
  <c r="Y276" i="41"/>
  <c r="BG92" i="41"/>
  <c r="BS165" i="41"/>
  <c r="AS167" i="41"/>
  <c r="AS77" i="41"/>
  <c r="H7" i="66"/>
  <c r="Y134" i="41"/>
  <c r="Y140" i="41"/>
  <c r="Y139" i="41"/>
  <c r="Y138" i="41"/>
  <c r="Y137" i="41"/>
  <c r="Y136" i="41"/>
  <c r="Y114" i="41"/>
  <c r="Y133" i="41"/>
  <c r="Y109" i="41"/>
  <c r="Y49" i="41"/>
  <c r="Y47" i="41"/>
  <c r="Y44" i="41"/>
  <c r="Y11" i="41"/>
  <c r="Y79" i="41"/>
  <c r="Y88" i="41"/>
  <c r="Y41" i="41"/>
  <c r="Y36" i="41"/>
  <c r="BN35" i="41"/>
  <c r="BP142" i="41"/>
  <c r="BP163" i="41"/>
  <c r="R7" i="66"/>
  <c r="Z9" i="66" s="1"/>
  <c r="AI146" i="41"/>
  <c r="AI133" i="41"/>
  <c r="AI140" i="41"/>
  <c r="AI139" i="41"/>
  <c r="AI138" i="41"/>
  <c r="AI137" i="41"/>
  <c r="AI136" i="41"/>
  <c r="AI145" i="41"/>
  <c r="AI109" i="41"/>
  <c r="AI88" i="41"/>
  <c r="R10" i="66" s="1"/>
  <c r="AI44" i="41"/>
  <c r="AI114" i="41"/>
  <c r="AI142" i="41"/>
  <c r="AI134" i="41"/>
  <c r="AI49" i="41"/>
  <c r="AI11" i="41"/>
  <c r="AI41" i="41"/>
  <c r="AI47" i="41"/>
  <c r="BQ35" i="41"/>
  <c r="BQ109" i="41" s="1"/>
  <c r="AW144" i="41"/>
  <c r="BR137" i="41"/>
  <c r="AB113" i="41"/>
  <c r="AB114" i="41"/>
  <c r="AH167" i="41"/>
  <c r="AA9" i="66"/>
  <c r="C168" i="41"/>
  <c r="E168" i="41"/>
  <c r="E98" i="41"/>
  <c r="E101" i="41" s="1"/>
  <c r="E104" i="41" s="1"/>
  <c r="E82" i="41"/>
  <c r="E84" i="41" s="1"/>
  <c r="AC276" i="41"/>
  <c r="N277" i="41"/>
  <c r="N276" i="41"/>
  <c r="BU164" i="41"/>
  <c r="BB165" i="41"/>
  <c r="BB144" i="41"/>
  <c r="AK143" i="41"/>
  <c r="T13" i="66" s="1"/>
  <c r="AK164" i="41"/>
  <c r="AO164" i="41"/>
  <c r="AN114" i="41"/>
  <c r="AN113" i="41"/>
  <c r="AE164" i="41"/>
  <c r="J7" i="66"/>
  <c r="AA134" i="41"/>
  <c r="AA133" i="41"/>
  <c r="AA140" i="41"/>
  <c r="AA139" i="41"/>
  <c r="AA138" i="41"/>
  <c r="AA137" i="41"/>
  <c r="AA136" i="41"/>
  <c r="AA49" i="41"/>
  <c r="AA47" i="41"/>
  <c r="AA36" i="41"/>
  <c r="AA88" i="41"/>
  <c r="AA79" i="41"/>
  <c r="AE168" i="41" s="1"/>
  <c r="AA92" i="41"/>
  <c r="J10" i="66" s="1"/>
  <c r="AA109" i="41"/>
  <c r="AA11" i="41"/>
  <c r="AA41" i="41"/>
  <c r="AA44" i="41"/>
  <c r="BO35" i="41"/>
  <c r="BO92" i="41" s="1"/>
  <c r="R77" i="41"/>
  <c r="R79" i="41"/>
  <c r="AZ142" i="41"/>
  <c r="AC76" i="41"/>
  <c r="BU142" i="41"/>
  <c r="BU163" i="41"/>
  <c r="AZ143" i="41"/>
  <c r="AI13" i="66" s="1"/>
  <c r="AB79" i="41"/>
  <c r="BG143" i="41"/>
  <c r="AP13" i="66" s="1"/>
  <c r="D168" i="41"/>
  <c r="D82" i="41"/>
  <c r="D84" i="41" s="1"/>
  <c r="D98" i="41"/>
  <c r="D101" i="41" s="1"/>
  <c r="D104" i="41" s="1"/>
  <c r="AN79" i="41"/>
  <c r="BD167" i="41"/>
  <c r="AE9" i="66"/>
  <c r="AU81" i="78"/>
  <c r="AU96" i="78"/>
  <c r="AU64" i="78"/>
  <c r="AU66" i="78" s="1"/>
  <c r="AU67" i="78" s="1"/>
  <c r="AO51" i="66"/>
  <c r="AC30" i="78"/>
  <c r="AR81" i="78"/>
  <c r="AR96" i="78"/>
  <c r="AA51" i="66"/>
  <c r="O35" i="78"/>
  <c r="O37" i="78" s="1"/>
  <c r="X13" i="78"/>
  <c r="T13" i="78"/>
  <c r="AB13" i="78"/>
  <c r="N69" i="78"/>
  <c r="N70" i="78"/>
  <c r="AT96" i="78"/>
  <c r="AT81" i="78"/>
  <c r="P69" i="78"/>
  <c r="P70" i="78"/>
  <c r="AS81" i="78"/>
  <c r="AS96" i="78"/>
  <c r="G69" i="78"/>
  <c r="G70" i="78"/>
  <c r="W50" i="66"/>
  <c r="W103" i="66"/>
  <c r="T50" i="66"/>
  <c r="T103" i="66"/>
  <c r="AR29" i="78"/>
  <c r="AR30" i="78" s="1"/>
  <c r="AR19" i="78"/>
  <c r="AR66" i="78"/>
  <c r="AR67" i="78" s="1"/>
  <c r="U50" i="66"/>
  <c r="U103" i="66"/>
  <c r="Y50" i="66"/>
  <c r="Y103" i="66"/>
  <c r="S50" i="66"/>
  <c r="S103" i="66"/>
  <c r="AR13" i="78"/>
  <c r="AR12" i="78"/>
  <c r="AQ13" i="78"/>
  <c r="AQ12" i="78"/>
  <c r="AT64" i="78"/>
  <c r="AT66" i="78" s="1"/>
  <c r="AT67" i="78" s="1"/>
  <c r="X51" i="66"/>
  <c r="L35" i="78"/>
  <c r="L37" i="78" s="1"/>
  <c r="U70" i="78"/>
  <c r="AQ30" i="78"/>
  <c r="AQ35" i="78"/>
  <c r="AQ37" i="78" s="1"/>
  <c r="AQ69" i="78" s="1"/>
  <c r="AS12" i="78"/>
  <c r="AS29" i="78"/>
  <c r="AS30" i="78" s="1"/>
  <c r="AS19" i="78"/>
  <c r="AS66" i="78"/>
  <c r="AS67" i="78" s="1"/>
  <c r="AA24" i="66"/>
  <c r="BK205" i="37"/>
  <c r="BK207" i="37" s="1"/>
  <c r="BK201" i="37"/>
  <c r="BU255" i="37"/>
  <c r="BD175" i="37"/>
  <c r="BD11" i="37"/>
  <c r="BP175" i="37"/>
  <c r="BP11" i="37"/>
  <c r="BT167" i="37"/>
  <c r="CH205" i="37"/>
  <c r="CH202" i="37"/>
  <c r="CH201" i="37"/>
  <c r="BU173" i="37"/>
  <c r="BU11" i="37"/>
  <c r="BU144" i="37"/>
  <c r="BY177" i="37"/>
  <c r="CG255" i="37"/>
  <c r="BJ173" i="37"/>
  <c r="BJ256" i="37" s="1"/>
  <c r="BJ11" i="37"/>
  <c r="BJ144" i="37"/>
  <c r="CA174" i="37"/>
  <c r="CC323" i="37"/>
  <c r="CC324" i="37" s="1"/>
  <c r="BB323" i="37"/>
  <c r="AI223" i="37"/>
  <c r="AX175" i="37"/>
  <c r="AX144" i="37"/>
  <c r="AX11" i="37"/>
  <c r="AZ202" i="37"/>
  <c r="CA21" i="37"/>
  <c r="AR175" i="37"/>
  <c r="AR11" i="37"/>
  <c r="CF178" i="37"/>
  <c r="AY321" i="37"/>
  <c r="BC319" i="37"/>
  <c r="CF206" i="37"/>
  <c r="CF207" i="37"/>
  <c r="BY319" i="37"/>
  <c r="BY320" i="37" s="1"/>
  <c r="BY114" i="37"/>
  <c r="AE24" i="66"/>
  <c r="BG177" i="37"/>
  <c r="AE25" i="66" s="1"/>
  <c r="BG178" i="37"/>
  <c r="AJ348" i="37"/>
  <c r="AJ349" i="37"/>
  <c r="AG349" i="37"/>
  <c r="AG348" i="37"/>
  <c r="AX329" i="37"/>
  <c r="BB327" i="37"/>
  <c r="BB329" i="37" s="1"/>
  <c r="AB349" i="37"/>
  <c r="AB348" i="37"/>
  <c r="I348" i="37"/>
  <c r="BN144" i="37"/>
  <c r="BN173" i="37"/>
  <c r="BR233" i="37"/>
  <c r="AP29" i="66" s="1"/>
  <c r="BR166" i="37"/>
  <c r="BR167" i="37"/>
  <c r="BY206" i="37"/>
  <c r="AV175" i="37"/>
  <c r="AV144" i="37"/>
  <c r="AV11" i="37"/>
  <c r="AR206" i="37"/>
  <c r="AR207" i="37"/>
  <c r="BD206" i="37"/>
  <c r="BD207" i="37"/>
  <c r="T172" i="37"/>
  <c r="T144" i="37"/>
  <c r="T175" i="37"/>
  <c r="AX255" i="37"/>
  <c r="CC191" i="37"/>
  <c r="CC176" i="37"/>
  <c r="CC174" i="37"/>
  <c r="CC175" i="37"/>
  <c r="AA205" i="37"/>
  <c r="AA206" i="37"/>
  <c r="AA349" i="37"/>
  <c r="AA348" i="37"/>
  <c r="AK206" i="37"/>
  <c r="AK207" i="37"/>
  <c r="I228" i="37"/>
  <c r="I143" i="37"/>
  <c r="BI206" i="37"/>
  <c r="BI207" i="37"/>
  <c r="AE206" i="37"/>
  <c r="AE207" i="37"/>
  <c r="B175" i="37"/>
  <c r="B144" i="37"/>
  <c r="AT202" i="37"/>
  <c r="AT144" i="37"/>
  <c r="AT11" i="37"/>
  <c r="AT175" i="37"/>
  <c r="AQ202" i="37"/>
  <c r="AQ207" i="37"/>
  <c r="AQ175" i="37"/>
  <c r="AQ144" i="37"/>
  <c r="AQ11" i="37"/>
  <c r="CA177" i="37"/>
  <c r="BA207" i="37"/>
  <c r="BA206" i="37"/>
  <c r="AR349" i="37"/>
  <c r="AR348" i="37"/>
  <c r="BM207" i="37"/>
  <c r="BM206" i="37"/>
  <c r="Q177" i="37"/>
  <c r="Q178" i="37"/>
  <c r="BR206" i="37"/>
  <c r="BR207" i="37"/>
  <c r="CE228" i="37"/>
  <c r="AD206" i="37"/>
  <c r="AD207" i="37"/>
  <c r="BN207" i="37"/>
  <c r="AN24" i="66"/>
  <c r="BP178" i="37"/>
  <c r="BP177" i="37"/>
  <c r="AN25" i="66" s="1"/>
  <c r="BZ126" i="37"/>
  <c r="CA126" i="37"/>
  <c r="S177" i="37"/>
  <c r="S176" i="37"/>
  <c r="C175" i="37"/>
  <c r="C144" i="37"/>
  <c r="AU175" i="37"/>
  <c r="AU144" i="37"/>
  <c r="AU11" i="37"/>
  <c r="BY220" i="37"/>
  <c r="BY241" i="37"/>
  <c r="E249" i="37"/>
  <c r="D249" i="37"/>
  <c r="D227" i="37"/>
  <c r="D226" i="37"/>
  <c r="D225" i="37"/>
  <c r="D201" i="37"/>
  <c r="D228" i="37"/>
  <c r="D206" i="37"/>
  <c r="D143" i="37"/>
  <c r="D174" i="37"/>
  <c r="Z255" i="37"/>
  <c r="Y255" i="37"/>
  <c r="Y190" i="37"/>
  <c r="Y174" i="37"/>
  <c r="Y175" i="37"/>
  <c r="Y173" i="37"/>
  <c r="CA144" i="37"/>
  <c r="CA11" i="37"/>
  <c r="AO24" i="66"/>
  <c r="BQ178" i="37"/>
  <c r="BQ177" i="37"/>
  <c r="AO25" i="66" s="1"/>
  <c r="CE256" i="37"/>
  <c r="CD256" i="37"/>
  <c r="CD191" i="37"/>
  <c r="CD176" i="37"/>
  <c r="CD174" i="37"/>
  <c r="CD175" i="37"/>
  <c r="W177" i="37"/>
  <c r="W176" i="37"/>
  <c r="Q174" i="37"/>
  <c r="Q191" i="37"/>
  <c r="Q175" i="37"/>
  <c r="CE174" i="37"/>
  <c r="CE143" i="37"/>
  <c r="AL348" i="37"/>
  <c r="AL349" i="37"/>
  <c r="BL144" i="37"/>
  <c r="BL11" i="37"/>
  <c r="BL175" i="37"/>
  <c r="AH206" i="37"/>
  <c r="AH207" i="37"/>
  <c r="B207" i="37"/>
  <c r="BP206" i="37"/>
  <c r="BP207" i="37"/>
  <c r="AX206" i="37"/>
  <c r="AX207" i="37"/>
  <c r="AJ206" i="37"/>
  <c r="AJ207" i="37"/>
  <c r="AZ144" i="37"/>
  <c r="AZ175" i="37"/>
  <c r="AZ11" i="37"/>
  <c r="AV206" i="37"/>
  <c r="AV207" i="37"/>
  <c r="BM233" i="37"/>
  <c r="AK29" i="66" s="1"/>
  <c r="BM167" i="37"/>
  <c r="BM166" i="37"/>
  <c r="AT178" i="37"/>
  <c r="E24" i="66"/>
  <c r="AF178" i="37"/>
  <c r="AF177" i="37"/>
  <c r="E25" i="66" s="1"/>
  <c r="BQ175" i="37"/>
  <c r="BQ144" i="37"/>
  <c r="BQ11" i="37"/>
  <c r="BO256" i="37"/>
  <c r="BO191" i="37"/>
  <c r="BO175" i="37"/>
  <c r="BO174" i="37"/>
  <c r="AM30" i="66" s="1"/>
  <c r="BO176" i="37"/>
  <c r="AS206" i="37"/>
  <c r="AS207" i="37"/>
  <c r="BZ118" i="37"/>
  <c r="BE319" i="37"/>
  <c r="BA321" i="37"/>
  <c r="BG175" i="37"/>
  <c r="BG144" i="37"/>
  <c r="BG11" i="37"/>
  <c r="BP233" i="37"/>
  <c r="BP166" i="37"/>
  <c r="BP167" i="37"/>
  <c r="BT166" i="37"/>
  <c r="AF206" i="37"/>
  <c r="AF207" i="37"/>
  <c r="G143" i="37"/>
  <c r="G174" i="37"/>
  <c r="D24" i="66"/>
  <c r="AE178" i="37"/>
  <c r="AE177" i="37"/>
  <c r="D25" i="66" s="1"/>
  <c r="AL206" i="37"/>
  <c r="AL207" i="37"/>
  <c r="BF256" i="37"/>
  <c r="BF174" i="37"/>
  <c r="AD30" i="66" s="1"/>
  <c r="BF191" i="37"/>
  <c r="BF176" i="37"/>
  <c r="BF175" i="37"/>
  <c r="AU202" i="37"/>
  <c r="BK144" i="37"/>
  <c r="BK175" i="37"/>
  <c r="BK11" i="37"/>
  <c r="CB173" i="37"/>
  <c r="CC256" i="37" s="1"/>
  <c r="CB144" i="37"/>
  <c r="CB11" i="37"/>
  <c r="AL202" i="37"/>
  <c r="AL144" i="37"/>
  <c r="AL175" i="37"/>
  <c r="AL11" i="37"/>
  <c r="F206" i="37"/>
  <c r="BB257" i="37"/>
  <c r="BB205" i="37"/>
  <c r="BB202" i="37"/>
  <c r="BB201" i="37"/>
  <c r="Y348" i="37"/>
  <c r="Y349" i="37"/>
  <c r="AK348" i="37"/>
  <c r="BY348" i="37" s="1"/>
  <c r="AK349" i="37"/>
  <c r="BY349" i="37" s="1"/>
  <c r="AM348" i="37"/>
  <c r="AM349" i="37"/>
  <c r="CC319" i="37"/>
  <c r="CA122" i="37"/>
  <c r="BZ122" i="37"/>
  <c r="BY143" i="37"/>
  <c r="BY174" i="37"/>
  <c r="AR240" i="37"/>
  <c r="AR219" i="37"/>
  <c r="CA257" i="37"/>
  <c r="CA202" i="37"/>
  <c r="CA201" i="37"/>
  <c r="CA205" i="37"/>
  <c r="BK202" i="37"/>
  <c r="AZ206" i="37"/>
  <c r="AZ207" i="37"/>
  <c r="AU206" i="37"/>
  <c r="AU207" i="37"/>
  <c r="AH223" i="37"/>
  <c r="BY57" i="37"/>
  <c r="BG257" i="37"/>
  <c r="BG205" i="37"/>
  <c r="BG202" i="37"/>
  <c r="BG201" i="37"/>
  <c r="Y24" i="66"/>
  <c r="BA178" i="37"/>
  <c r="BA177" i="37"/>
  <c r="Y25" i="66" s="1"/>
  <c r="CB302" i="37"/>
  <c r="CA302" i="37"/>
  <c r="CA319" i="37"/>
  <c r="CB320" i="37" s="1"/>
  <c r="AN319" i="37"/>
  <c r="AN316" i="37"/>
  <c r="AN313" i="37"/>
  <c r="BN202" i="37"/>
  <c r="AK24" i="66"/>
  <c r="BM177" i="37"/>
  <c r="AK25" i="66" s="1"/>
  <c r="BM178" i="37"/>
  <c r="AZ319" i="37"/>
  <c r="AV321" i="37"/>
  <c r="AI206" i="37"/>
  <c r="AI207" i="37"/>
  <c r="BZ319" i="37"/>
  <c r="CA114" i="37"/>
  <c r="BZ114" i="37"/>
  <c r="AU178" i="37"/>
  <c r="CA228" i="37"/>
  <c r="AW175" i="37"/>
  <c r="AW144" i="37"/>
  <c r="AW11" i="37"/>
  <c r="H228" i="37"/>
  <c r="H143" i="37"/>
  <c r="BI256" i="37"/>
  <c r="BE174" i="37"/>
  <c r="AC30" i="66" s="1"/>
  <c r="BE175" i="37"/>
  <c r="BE256" i="37"/>
  <c r="BE176" i="37"/>
  <c r="BE191" i="37"/>
  <c r="BQ202" i="37"/>
  <c r="BY240" i="37"/>
  <c r="BY219" i="37"/>
  <c r="AP202" i="37"/>
  <c r="AP144" i="37"/>
  <c r="AP175" i="37"/>
  <c r="AP11" i="37"/>
  <c r="F174" i="37"/>
  <c r="F143" i="37"/>
  <c r="BH194" i="37"/>
  <c r="BH197" i="37" s="1"/>
  <c r="BH203" i="37"/>
  <c r="Z348" i="37"/>
  <c r="Z349" i="37"/>
  <c r="AY206" i="37"/>
  <c r="AY207" i="37"/>
  <c r="H348" i="37"/>
  <c r="CA313" i="37"/>
  <c r="Z243" i="37"/>
  <c r="Z222" i="37"/>
  <c r="AW206" i="37"/>
  <c r="AW207" i="37"/>
  <c r="J24" i="66"/>
  <c r="AL178" i="37"/>
  <c r="AL177" i="37"/>
  <c r="J25" i="66" s="1"/>
  <c r="CB257" i="37"/>
  <c r="CB202" i="37"/>
  <c r="CB201" i="37"/>
  <c r="CB205" i="37"/>
  <c r="BL202" i="37"/>
  <c r="BT256" i="37"/>
  <c r="BT175" i="37"/>
  <c r="BT176" i="37"/>
  <c r="BT191" i="37"/>
  <c r="BT174" i="37"/>
  <c r="G177" i="37"/>
  <c r="X193" i="37"/>
  <c r="X196" i="37" s="1"/>
  <c r="X202" i="37"/>
  <c r="U173" i="37"/>
  <c r="U174" i="37"/>
  <c r="U190" i="37"/>
  <c r="BQ206" i="37"/>
  <c r="BQ207" i="37"/>
  <c r="AY144" i="37"/>
  <c r="AY175" i="37"/>
  <c r="AY11" i="37"/>
  <c r="AN348" i="37"/>
  <c r="AN349" i="37"/>
  <c r="Z206" i="37"/>
  <c r="Z205" i="37"/>
  <c r="AI348" i="37"/>
  <c r="AI349" i="37"/>
  <c r="CA316" i="37"/>
  <c r="AH349" i="37"/>
  <c r="AH348" i="37"/>
  <c r="BB319" i="37"/>
  <c r="AX321" i="37"/>
  <c r="AN202" i="37"/>
  <c r="AN144" i="37"/>
  <c r="AN175" i="37"/>
  <c r="AN11" i="37"/>
  <c r="AN178" i="37"/>
  <c r="AQ348" i="37"/>
  <c r="AQ349" i="37"/>
  <c r="AP348" i="37"/>
  <c r="AP349" i="37"/>
  <c r="AB205" i="37"/>
  <c r="AB206" i="37"/>
  <c r="AM202" i="37"/>
  <c r="AM144" i="37"/>
  <c r="AM178" i="37"/>
  <c r="AM175" i="37"/>
  <c r="AM11" i="37"/>
  <c r="B178" i="37"/>
  <c r="BC206" i="37"/>
  <c r="BC207" i="37"/>
  <c r="BL206" i="37"/>
  <c r="BL207" i="37"/>
  <c r="CG175" i="37"/>
  <c r="CG11" i="37"/>
  <c r="CG144" i="37"/>
  <c r="AP178" i="37"/>
  <c r="BQ233" i="37"/>
  <c r="AO29" i="66" s="1"/>
  <c r="BQ166" i="37"/>
  <c r="BQ167" i="37"/>
  <c r="AS175" i="37"/>
  <c r="AS144" i="37"/>
  <c r="AS11" i="37"/>
  <c r="U177" i="37"/>
  <c r="U176" i="37"/>
  <c r="CB255" i="37"/>
  <c r="R191" i="37"/>
  <c r="R174" i="37"/>
  <c r="R175" i="37"/>
  <c r="AE29" i="15" l="1"/>
  <c r="AE31" i="15"/>
  <c r="G42" i="16"/>
  <c r="U161" i="70"/>
  <c r="Z96" i="62"/>
  <c r="E40" i="13"/>
  <c r="F22" i="62"/>
  <c r="AE164" i="15"/>
  <c r="G94" i="55"/>
  <c r="G95" i="55" s="1"/>
  <c r="K94" i="55"/>
  <c r="K95" i="55" s="1"/>
  <c r="W193" i="37"/>
  <c r="W196" i="37" s="1"/>
  <c r="W204" i="37" s="1"/>
  <c r="W205" i="37" s="1"/>
  <c r="G123" i="62"/>
  <c r="H68" i="72"/>
  <c r="X46" i="62"/>
  <c r="K62" i="16"/>
  <c r="M40" i="13"/>
  <c r="AI39" i="62"/>
  <c r="F46" i="62"/>
  <c r="AF102" i="61"/>
  <c r="AR13" i="12"/>
  <c r="AH138" i="62"/>
  <c r="AH139" i="62" s="1"/>
  <c r="G81" i="62"/>
  <c r="Y112" i="62"/>
  <c r="G128" i="62"/>
  <c r="AG77" i="41"/>
  <c r="V105" i="62"/>
  <c r="V117" i="62"/>
  <c r="T33" i="15"/>
  <c r="AG167" i="41"/>
  <c r="BP76" i="41"/>
  <c r="AF136" i="62"/>
  <c r="G161" i="62"/>
  <c r="AG30" i="61"/>
  <c r="D66" i="58"/>
  <c r="H10" i="62"/>
  <c r="AA23" i="62"/>
  <c r="S83" i="41"/>
  <c r="G118" i="62"/>
  <c r="G134" i="62"/>
  <c r="F69" i="78"/>
  <c r="V37" i="62"/>
  <c r="V39" i="62" s="1"/>
  <c r="D69" i="58"/>
  <c r="G112" i="62"/>
  <c r="AV80" i="41"/>
  <c r="AE14" i="66" s="1"/>
  <c r="AH99" i="62"/>
  <c r="X31" i="62"/>
  <c r="AC6" i="12"/>
  <c r="AC12" i="12" s="1"/>
  <c r="G164" i="62"/>
  <c r="AC43" i="61"/>
  <c r="X32" i="62"/>
  <c r="AV98" i="41"/>
  <c r="AV110" i="41" s="1"/>
  <c r="U162" i="61"/>
  <c r="U163" i="61" s="1"/>
  <c r="G167" i="62"/>
  <c r="B30" i="61"/>
  <c r="F58" i="16"/>
  <c r="L82" i="55"/>
  <c r="AJ43" i="61"/>
  <c r="G106" i="62"/>
  <c r="AK94" i="62"/>
  <c r="AK137" i="62" s="1"/>
  <c r="AK148" i="62" s="1"/>
  <c r="AK152" i="62" s="1"/>
  <c r="AK155" i="62" s="1"/>
  <c r="AK156" i="62" s="1"/>
  <c r="E30" i="62"/>
  <c r="F31" i="62" s="1"/>
  <c r="AV81" i="41"/>
  <c r="Y162" i="15"/>
  <c r="J70" i="78"/>
  <c r="S30" i="61"/>
  <c r="I173" i="70"/>
  <c r="I174" i="70" s="1"/>
  <c r="Q30" i="61"/>
  <c r="H166" i="61"/>
  <c r="AB34" i="62"/>
  <c r="D30" i="61"/>
  <c r="F161" i="70"/>
  <c r="BR175" i="37"/>
  <c r="T173" i="70"/>
  <c r="T174" i="70" s="1"/>
  <c r="AC81" i="62"/>
  <c r="AD30" i="61"/>
  <c r="BS256" i="37"/>
  <c r="BW256" i="37"/>
  <c r="S173" i="37"/>
  <c r="O41" i="58"/>
  <c r="J109" i="16"/>
  <c r="F35" i="62"/>
  <c r="E111" i="62"/>
  <c r="J180" i="16"/>
  <c r="H70" i="78"/>
  <c r="I42" i="16"/>
  <c r="AB30" i="62"/>
  <c r="AB31" i="62" s="1"/>
  <c r="F38" i="16"/>
  <c r="F178" i="16" s="1"/>
  <c r="BR174" i="37"/>
  <c r="AP30" i="66" s="1"/>
  <c r="S190" i="37"/>
  <c r="S193" i="37" s="1"/>
  <c r="S196" i="37" s="1"/>
  <c r="B41" i="58"/>
  <c r="B83" i="58" s="1"/>
  <c r="X176" i="37"/>
  <c r="BR256" i="37"/>
  <c r="B66" i="58"/>
  <c r="X162" i="15"/>
  <c r="AB111" i="62"/>
  <c r="V43" i="61"/>
  <c r="AC33" i="62"/>
  <c r="AC34" i="62" s="1"/>
  <c r="AJ138" i="62"/>
  <c r="AJ139" i="62" s="1"/>
  <c r="F23" i="16"/>
  <c r="BR191" i="37"/>
  <c r="BR203" i="37" s="1"/>
  <c r="V45" i="62"/>
  <c r="V111" i="62"/>
  <c r="F9" i="16"/>
  <c r="BR176" i="37"/>
  <c r="AP24" i="66" s="1"/>
  <c r="W82" i="55"/>
  <c r="V46" i="62"/>
  <c r="V162" i="15"/>
  <c r="B72" i="58"/>
  <c r="G95" i="62"/>
  <c r="G97" i="62" s="1"/>
  <c r="J40" i="16"/>
  <c r="C16" i="15"/>
  <c r="W162" i="15"/>
  <c r="AX168" i="41"/>
  <c r="AX98" i="41"/>
  <c r="AX105" i="41" s="1"/>
  <c r="J178" i="16"/>
  <c r="I164" i="15"/>
  <c r="I30" i="15"/>
  <c r="I29" i="15"/>
  <c r="I31" i="15"/>
  <c r="X39" i="62"/>
  <c r="X47" i="62"/>
  <c r="AB166" i="61"/>
  <c r="D41" i="58"/>
  <c r="D73" i="58" s="1"/>
  <c r="X94" i="55"/>
  <c r="X95" i="55" s="1"/>
  <c r="I159" i="61"/>
  <c r="I157" i="61" s="1"/>
  <c r="I168" i="61" s="1"/>
  <c r="D40" i="58"/>
  <c r="AD162" i="15"/>
  <c r="D71" i="58"/>
  <c r="D72" i="58"/>
  <c r="DS12" i="12"/>
  <c r="DS11" i="12"/>
  <c r="BK206" i="37"/>
  <c r="AC162" i="15"/>
  <c r="AA29" i="15"/>
  <c r="D70" i="58"/>
  <c r="F50" i="72"/>
  <c r="O69" i="58"/>
  <c r="O70" i="58"/>
  <c r="O71" i="58"/>
  <c r="O72" i="58"/>
  <c r="O66" i="58"/>
  <c r="O40" i="58"/>
  <c r="B69" i="58"/>
  <c r="B70" i="58"/>
  <c r="C33" i="15"/>
  <c r="C53" i="15"/>
  <c r="AC166" i="61"/>
  <c r="I70" i="78"/>
  <c r="M70" i="78"/>
  <c r="B71" i="58"/>
  <c r="N30" i="61"/>
  <c r="J41" i="16"/>
  <c r="J42" i="16" s="1"/>
  <c r="B40" i="58"/>
  <c r="K88" i="61"/>
  <c r="K90" i="61" s="1"/>
  <c r="P138" i="62"/>
  <c r="P139" i="62" s="1"/>
  <c r="J82" i="55"/>
  <c r="G74" i="74"/>
  <c r="AF56" i="62"/>
  <c r="AF54" i="62"/>
  <c r="AF55" i="62" s="1"/>
  <c r="AF27" i="62"/>
  <c r="C82" i="55"/>
  <c r="C94" i="55"/>
  <c r="C95" i="55" s="1"/>
  <c r="R69" i="78"/>
  <c r="AG54" i="62"/>
  <c r="AG55" i="62" s="1"/>
  <c r="AG27" i="62"/>
  <c r="AG56" i="62"/>
  <c r="AX81" i="41"/>
  <c r="Y106" i="62"/>
  <c r="I78" i="61"/>
  <c r="I102" i="61" s="1"/>
  <c r="J161" i="61"/>
  <c r="K160" i="61"/>
  <c r="K161" i="61" s="1"/>
  <c r="O19" i="61"/>
  <c r="O30" i="61"/>
  <c r="S97" i="62"/>
  <c r="S138" i="62"/>
  <c r="S139" i="62" s="1"/>
  <c r="AM81" i="41"/>
  <c r="W30" i="15"/>
  <c r="W29" i="15"/>
  <c r="W31" i="15"/>
  <c r="AM80" i="41"/>
  <c r="V14" i="66" s="1"/>
  <c r="R138" i="62"/>
  <c r="R139" i="62" s="1"/>
  <c r="R97" i="62"/>
  <c r="H94" i="55"/>
  <c r="H95" i="55" s="1"/>
  <c r="H82" i="55"/>
  <c r="AN9" i="62"/>
  <c r="AN26" i="62" s="1"/>
  <c r="AJ26" i="62"/>
  <c r="P19" i="61"/>
  <c r="P30" i="61"/>
  <c r="BS191" i="37"/>
  <c r="BS194" i="37" s="1"/>
  <c r="BS197" i="37" s="1"/>
  <c r="BW257" i="37" s="1"/>
  <c r="U82" i="55"/>
  <c r="U94" i="55"/>
  <c r="U95" i="55" s="1"/>
  <c r="H64" i="72"/>
  <c r="H72" i="72"/>
  <c r="BS176" i="37"/>
  <c r="BS178" i="37" s="1"/>
  <c r="D63" i="16"/>
  <c r="D43" i="16"/>
  <c r="D40" i="16"/>
  <c r="D23" i="16"/>
  <c r="BS175" i="37"/>
  <c r="AA88" i="15"/>
  <c r="V94" i="55"/>
  <c r="V95" i="55" s="1"/>
  <c r="V82" i="55"/>
  <c r="I94" i="55"/>
  <c r="I95" i="55" s="1"/>
  <c r="I82" i="55"/>
  <c r="W23" i="62"/>
  <c r="AM98" i="41"/>
  <c r="AM105" i="41" s="1"/>
  <c r="AB162" i="15"/>
  <c r="BS174" i="37"/>
  <c r="AQ30" i="66" s="1"/>
  <c r="AA30" i="15"/>
  <c r="J177" i="16"/>
  <c r="F51" i="72"/>
  <c r="N29" i="15"/>
  <c r="N31" i="15"/>
  <c r="N30" i="15"/>
  <c r="AF159" i="61"/>
  <c r="AF157" i="61" s="1"/>
  <c r="AG158" i="61"/>
  <c r="AF165" i="61"/>
  <c r="AF166" i="61"/>
  <c r="G8" i="57"/>
  <c r="H7" i="57"/>
  <c r="Q70" i="78"/>
  <c r="M83" i="58"/>
  <c r="M73" i="58"/>
  <c r="AH162" i="61"/>
  <c r="AH163" i="61" s="1"/>
  <c r="AH43" i="61"/>
  <c r="E66" i="58"/>
  <c r="E40" i="58"/>
  <c r="E71" i="58"/>
  <c r="E70" i="58"/>
  <c r="E41" i="58"/>
  <c r="E59" i="58"/>
  <c r="E72" i="58"/>
  <c r="E69" i="58"/>
  <c r="U83" i="58"/>
  <c r="U73" i="58"/>
  <c r="U216" i="58"/>
  <c r="U217" i="58" s="1"/>
  <c r="AM162" i="62"/>
  <c r="H135" i="62"/>
  <c r="H133" i="62"/>
  <c r="AC97" i="62"/>
  <c r="K32" i="15"/>
  <c r="K33" i="15"/>
  <c r="Z39" i="11"/>
  <c r="AB96" i="62"/>
  <c r="AB97" i="62"/>
  <c r="Y173" i="70"/>
  <c r="Y174" i="70" s="1"/>
  <c r="Y161" i="70"/>
  <c r="C173" i="70"/>
  <c r="C174" i="70" s="1"/>
  <c r="C161" i="70"/>
  <c r="N58" i="16"/>
  <c r="N63" i="16"/>
  <c r="N38" i="16"/>
  <c r="N9" i="16"/>
  <c r="N23" i="16"/>
  <c r="AB161" i="70"/>
  <c r="AB173" i="70"/>
  <c r="AB174" i="70" s="1"/>
  <c r="J35" i="11"/>
  <c r="J27" i="11"/>
  <c r="AF73" i="58"/>
  <c r="AF216" i="58"/>
  <c r="AF217" i="58" s="1"/>
  <c r="AF83" i="58"/>
  <c r="AL66" i="62"/>
  <c r="B40" i="16"/>
  <c r="B23" i="16"/>
  <c r="B63" i="16"/>
  <c r="B43" i="16"/>
  <c r="L84" i="16"/>
  <c r="L81" i="16"/>
  <c r="L22" i="16"/>
  <c r="L82" i="16"/>
  <c r="L57" i="16"/>
  <c r="L83" i="16"/>
  <c r="Y133" i="62"/>
  <c r="Y134" i="62"/>
  <c r="H16" i="15"/>
  <c r="H53" i="15"/>
  <c r="H28" i="15"/>
  <c r="H48" i="15"/>
  <c r="L32" i="15"/>
  <c r="L33" i="15"/>
  <c r="Z43" i="61"/>
  <c r="Z162" i="61"/>
  <c r="Z163" i="61" s="1"/>
  <c r="L177" i="16"/>
  <c r="N95" i="11"/>
  <c r="N97" i="11" s="1"/>
  <c r="L36" i="11"/>
  <c r="L43" i="11"/>
  <c r="L44" i="11" s="1"/>
  <c r="AC42" i="62"/>
  <c r="AC76" i="62"/>
  <c r="AC75" i="62"/>
  <c r="AC82" i="62"/>
  <c r="AG71" i="62"/>
  <c r="AC74" i="62"/>
  <c r="F29" i="15"/>
  <c r="F31" i="15"/>
  <c r="F30" i="15"/>
  <c r="F164" i="15"/>
  <c r="W162" i="61"/>
  <c r="W163" i="61" s="1"/>
  <c r="W43" i="61"/>
  <c r="AA97" i="62"/>
  <c r="AA96" i="62"/>
  <c r="E27" i="11"/>
  <c r="E35" i="11"/>
  <c r="DJ11" i="12"/>
  <c r="DJ12" i="12"/>
  <c r="F82" i="55"/>
  <c r="F94" i="55"/>
  <c r="F95" i="55" s="1"/>
  <c r="BV12" i="12"/>
  <c r="BV11" i="12"/>
  <c r="G66" i="58"/>
  <c r="G41" i="58"/>
  <c r="G40" i="58"/>
  <c r="G71" i="58"/>
  <c r="G59" i="58"/>
  <c r="G70" i="58"/>
  <c r="G69" i="58"/>
  <c r="G72" i="58"/>
  <c r="AY13" i="12"/>
  <c r="K41" i="13"/>
  <c r="BG13" i="12" s="1"/>
  <c r="K172" i="13"/>
  <c r="FW13" i="12" s="1"/>
  <c r="K170" i="13"/>
  <c r="FG13" i="12" s="1"/>
  <c r="AD71" i="62"/>
  <c r="Z82" i="62"/>
  <c r="Z75" i="62"/>
  <c r="Z42" i="62"/>
  <c r="Z76" i="62"/>
  <c r="G70" i="62"/>
  <c r="Z74" i="62"/>
  <c r="AE27" i="62"/>
  <c r="AE56" i="62"/>
  <c r="AE54" i="62"/>
  <c r="J30" i="15"/>
  <c r="J31" i="15"/>
  <c r="J29" i="15"/>
  <c r="J88" i="15"/>
  <c r="J164" i="15"/>
  <c r="C35" i="11"/>
  <c r="C27" i="11"/>
  <c r="Z19" i="61"/>
  <c r="Z30" i="61"/>
  <c r="J15" i="62"/>
  <c r="AK15" i="62"/>
  <c r="AK16" i="62" s="1"/>
  <c r="K88" i="15"/>
  <c r="W6" i="11"/>
  <c r="O5" i="12"/>
  <c r="O11" i="12" s="1"/>
  <c r="Z4" i="11"/>
  <c r="H66" i="58"/>
  <c r="H41" i="58"/>
  <c r="H59" i="58"/>
  <c r="H70" i="58"/>
  <c r="H40" i="58"/>
  <c r="H69" i="58"/>
  <c r="H71" i="58"/>
  <c r="H72" i="58"/>
  <c r="K83" i="58"/>
  <c r="K73" i="58"/>
  <c r="Y95" i="62"/>
  <c r="Y94" i="62"/>
  <c r="Y137" i="62" s="1"/>
  <c r="Y148" i="62" s="1"/>
  <c r="Y152" i="62" s="1"/>
  <c r="Y155" i="62" s="1"/>
  <c r="Y156" i="62" s="1"/>
  <c r="Y161" i="62"/>
  <c r="Y164" i="62"/>
  <c r="Y170" i="62"/>
  <c r="Y118" i="62"/>
  <c r="Y167" i="62"/>
  <c r="W19" i="61"/>
  <c r="W30" i="61"/>
  <c r="K175" i="62"/>
  <c r="K179" i="62" s="1"/>
  <c r="J179" i="62"/>
  <c r="L161" i="70"/>
  <c r="L173" i="70"/>
  <c r="L174" i="70" s="1"/>
  <c r="AI22" i="62"/>
  <c r="AE30" i="62"/>
  <c r="AE33" i="62" s="1"/>
  <c r="K35" i="11"/>
  <c r="K27" i="11"/>
  <c r="B138" i="62"/>
  <c r="B139" i="62" s="1"/>
  <c r="B97" i="62"/>
  <c r="DR12" i="12"/>
  <c r="DR11" i="12"/>
  <c r="AB19" i="61"/>
  <c r="AB30" i="61"/>
  <c r="M33" i="15"/>
  <c r="M32" i="15"/>
  <c r="AH19" i="62"/>
  <c r="AD26" i="62"/>
  <c r="K59" i="58"/>
  <c r="Z16" i="15"/>
  <c r="Z48" i="15"/>
  <c r="Z28" i="15"/>
  <c r="AA129" i="62"/>
  <c r="AA98" i="62"/>
  <c r="AA124" i="62"/>
  <c r="AA119" i="62"/>
  <c r="AA113" i="62"/>
  <c r="AA107" i="62"/>
  <c r="AA135" i="62"/>
  <c r="AE83" i="62"/>
  <c r="AA216" i="58"/>
  <c r="AA217" i="58" s="1"/>
  <c r="AA83" i="58"/>
  <c r="AA73" i="58"/>
  <c r="K109" i="16"/>
  <c r="K40" i="16"/>
  <c r="K180" i="16"/>
  <c r="K39" i="16"/>
  <c r="K41" i="16"/>
  <c r="E97" i="62"/>
  <c r="E138" i="62"/>
  <c r="M161" i="70"/>
  <c r="M173" i="70"/>
  <c r="M174" i="70" s="1"/>
  <c r="E41" i="13"/>
  <c r="BH10" i="12" s="1"/>
  <c r="AZ10" i="12"/>
  <c r="E172" i="13"/>
  <c r="FX10" i="12" s="1"/>
  <c r="E170" i="13"/>
  <c r="FH10" i="12" s="1"/>
  <c r="M43" i="11"/>
  <c r="M44" i="11" s="1"/>
  <c r="M36" i="11"/>
  <c r="AI162" i="61"/>
  <c r="AI163" i="61" s="1"/>
  <c r="AI43" i="61"/>
  <c r="AY10" i="12"/>
  <c r="D41" i="13"/>
  <c r="BG10" i="12" s="1"/>
  <c r="D172" i="13"/>
  <c r="FW10" i="12" s="1"/>
  <c r="D170" i="13"/>
  <c r="FG10" i="12" s="1"/>
  <c r="AE162" i="61"/>
  <c r="AE163" i="61" s="1"/>
  <c r="AE43" i="61"/>
  <c r="AK9" i="62"/>
  <c r="AK10" i="62" s="1"/>
  <c r="J9" i="62"/>
  <c r="BA16" i="12"/>
  <c r="T190" i="13"/>
  <c r="T182" i="13"/>
  <c r="T184" i="13"/>
  <c r="T172" i="13"/>
  <c r="FY16" i="12" s="1"/>
  <c r="T186" i="13"/>
  <c r="T180" i="13"/>
  <c r="T188" i="13"/>
  <c r="T170" i="13"/>
  <c r="FI16" i="12" s="1"/>
  <c r="T41" i="13"/>
  <c r="BI16" i="12" s="1"/>
  <c r="T8" i="11"/>
  <c r="U6" i="11" s="1"/>
  <c r="X216" i="58"/>
  <c r="X217" i="58" s="1"/>
  <c r="X83" i="58"/>
  <c r="X73" i="58"/>
  <c r="F97" i="62"/>
  <c r="F138" i="62"/>
  <c r="AA19" i="61"/>
  <c r="AA30" i="61"/>
  <c r="G28" i="15"/>
  <c r="G16" i="15"/>
  <c r="G48" i="15"/>
  <c r="G53" i="15"/>
  <c r="F19" i="61"/>
  <c r="F30" i="61"/>
  <c r="AE73" i="58"/>
  <c r="AE83" i="58"/>
  <c r="AE216" i="58"/>
  <c r="AE217" i="58" s="1"/>
  <c r="E232" i="72"/>
  <c r="E231" i="72"/>
  <c r="E58" i="72"/>
  <c r="F231" i="72"/>
  <c r="C59" i="58"/>
  <c r="C40" i="58"/>
  <c r="C71" i="58"/>
  <c r="C66" i="58"/>
  <c r="C41" i="58"/>
  <c r="C69" i="58"/>
  <c r="C72" i="58"/>
  <c r="C70" i="58"/>
  <c r="AI19" i="61"/>
  <c r="AI30" i="61"/>
  <c r="AI11" i="12"/>
  <c r="AI12" i="12"/>
  <c r="AQ10" i="12"/>
  <c r="AG43" i="61"/>
  <c r="AG162" i="61"/>
  <c r="AG163" i="61" s="1"/>
  <c r="Z53" i="15"/>
  <c r="Z52" i="15"/>
  <c r="Z11" i="12"/>
  <c r="Z12" i="12"/>
  <c r="J161" i="70"/>
  <c r="J173" i="70"/>
  <c r="J174" i="70" s="1"/>
  <c r="AH10" i="12"/>
  <c r="C40" i="13"/>
  <c r="H112" i="72"/>
  <c r="H113" i="72"/>
  <c r="K161" i="70"/>
  <c r="K173" i="70"/>
  <c r="K174" i="70" s="1"/>
  <c r="O38" i="16"/>
  <c r="O9" i="16"/>
  <c r="O63" i="16"/>
  <c r="O23" i="16"/>
  <c r="O58" i="16"/>
  <c r="H31" i="11"/>
  <c r="AB5" i="12"/>
  <c r="AB11" i="12" s="1"/>
  <c r="G95" i="11"/>
  <c r="G98" i="11" s="1"/>
  <c r="AB6" i="12"/>
  <c r="AB12" i="12" s="1"/>
  <c r="H41" i="11"/>
  <c r="H22" i="11"/>
  <c r="H12" i="11"/>
  <c r="H8" i="11"/>
  <c r="H39" i="11"/>
  <c r="H24" i="11"/>
  <c r="H4" i="11"/>
  <c r="G15" i="11"/>
  <c r="H13" i="11"/>
  <c r="H11" i="11"/>
  <c r="H30" i="11"/>
  <c r="H19" i="11"/>
  <c r="H40" i="11"/>
  <c r="H33" i="11"/>
  <c r="H5" i="11"/>
  <c r="H42" i="16"/>
  <c r="H43" i="16"/>
  <c r="AA43" i="61"/>
  <c r="AA162" i="61"/>
  <c r="AA163" i="61" s="1"/>
  <c r="D138" i="62"/>
  <c r="D139" i="62" s="1"/>
  <c r="D97" i="62"/>
  <c r="E161" i="70"/>
  <c r="E173" i="70"/>
  <c r="E174" i="70" s="1"/>
  <c r="Y30" i="15"/>
  <c r="Y29" i="15"/>
  <c r="Y88" i="15"/>
  <c r="AC164" i="15"/>
  <c r="Y31" i="15"/>
  <c r="AD88" i="15"/>
  <c r="X19" i="61"/>
  <c r="X30" i="61"/>
  <c r="AE33" i="15"/>
  <c r="AE32" i="15"/>
  <c r="AD137" i="62"/>
  <c r="C40" i="16"/>
  <c r="C23" i="16"/>
  <c r="C63" i="16"/>
  <c r="C43" i="16"/>
  <c r="DL11" i="12"/>
  <c r="DL12" i="12"/>
  <c r="Y46" i="62"/>
  <c r="Y32" i="62"/>
  <c r="Y31" i="62"/>
  <c r="Y22" i="62"/>
  <c r="Y23" i="62" s="1"/>
  <c r="AL179" i="62"/>
  <c r="AM175" i="62"/>
  <c r="AM66" i="62"/>
  <c r="F27" i="11"/>
  <c r="F35" i="11"/>
  <c r="BU76" i="41"/>
  <c r="BV167" i="41" s="1"/>
  <c r="G10" i="64"/>
  <c r="M30" i="61"/>
  <c r="V33" i="15"/>
  <c r="V32" i="15"/>
  <c r="O31" i="15"/>
  <c r="O29" i="15"/>
  <c r="O30" i="15"/>
  <c r="U29" i="15"/>
  <c r="U88" i="15"/>
  <c r="U31" i="15"/>
  <c r="X164" i="15"/>
  <c r="U30" i="15"/>
  <c r="U164" i="15"/>
  <c r="T82" i="55"/>
  <c r="T94" i="55"/>
  <c r="T95" i="55" s="1"/>
  <c r="AG140" i="62"/>
  <c r="W138" i="62"/>
  <c r="W139" i="62" s="1"/>
  <c r="W97" i="62"/>
  <c r="J105" i="61"/>
  <c r="J116" i="61" s="1"/>
  <c r="J140" i="61" s="1"/>
  <c r="J42" i="61"/>
  <c r="K115" i="61"/>
  <c r="S41" i="13"/>
  <c r="BH16" i="12" s="1"/>
  <c r="AZ16" i="12"/>
  <c r="S172" i="13"/>
  <c r="FX16" i="12" s="1"/>
  <c r="S170" i="13"/>
  <c r="FH16" i="12" s="1"/>
  <c r="H6" i="11"/>
  <c r="Z23" i="62"/>
  <c r="AD22" i="62"/>
  <c r="Q138" i="62"/>
  <c r="Q139" i="62" s="1"/>
  <c r="Q97" i="62"/>
  <c r="D232" i="72"/>
  <c r="D58" i="72"/>
  <c r="D60" i="72" s="1"/>
  <c r="J127" i="62"/>
  <c r="AO126" i="62"/>
  <c r="AO127" i="62" s="1"/>
  <c r="W76" i="11"/>
  <c r="O6" i="12" s="1"/>
  <c r="O12" i="12" s="1"/>
  <c r="T78" i="11"/>
  <c r="U76" i="11" s="1"/>
  <c r="K69" i="78"/>
  <c r="AF86" i="62"/>
  <c r="AF179" i="62"/>
  <c r="H175" i="62"/>
  <c r="H179" i="62" s="1"/>
  <c r="AE144" i="62"/>
  <c r="AF143" i="62"/>
  <c r="P59" i="58"/>
  <c r="P71" i="58"/>
  <c r="P72" i="58"/>
  <c r="P66" i="58"/>
  <c r="P40" i="58"/>
  <c r="P41" i="58"/>
  <c r="P69" i="58"/>
  <c r="P70" i="58"/>
  <c r="X29" i="15"/>
  <c r="X30" i="15"/>
  <c r="X31" i="15"/>
  <c r="X88" i="15"/>
  <c r="AB164" i="15"/>
  <c r="AA164" i="15"/>
  <c r="AZ13" i="12"/>
  <c r="L41" i="13"/>
  <c r="BH13" i="12" s="1"/>
  <c r="L172" i="13"/>
  <c r="FX13" i="12" s="1"/>
  <c r="I40" i="58"/>
  <c r="I66" i="58"/>
  <c r="I41" i="58"/>
  <c r="I59" i="58"/>
  <c r="I70" i="58"/>
  <c r="I69" i="58"/>
  <c r="I72" i="58"/>
  <c r="I71" i="58"/>
  <c r="K127" i="62"/>
  <c r="O78" i="11"/>
  <c r="AE78" i="11"/>
  <c r="O85" i="11"/>
  <c r="N81" i="11"/>
  <c r="AE69" i="11"/>
  <c r="O88" i="11"/>
  <c r="O71" i="11"/>
  <c r="O86" i="11"/>
  <c r="O75" i="11"/>
  <c r="O84" i="11"/>
  <c r="O79" i="11"/>
  <c r="O90" i="11"/>
  <c r="N91" i="11"/>
  <c r="O73" i="11"/>
  <c r="O80" i="11"/>
  <c r="O72" i="11"/>
  <c r="AX82" i="41"/>
  <c r="AX83" i="41" s="1"/>
  <c r="Q173" i="70"/>
  <c r="Q174" i="70" s="1"/>
  <c r="Q161" i="70"/>
  <c r="Z216" i="58"/>
  <c r="Z217" i="58" s="1"/>
  <c r="Z83" i="58"/>
  <c r="Z73" i="58"/>
  <c r="D30" i="15"/>
  <c r="D33" i="15"/>
  <c r="D53" i="15"/>
  <c r="D16" i="15"/>
  <c r="AC88" i="15"/>
  <c r="AC30" i="15"/>
  <c r="AC29" i="15"/>
  <c r="AC31" i="15"/>
  <c r="AK98" i="62"/>
  <c r="O94" i="55"/>
  <c r="O95" i="55" s="1"/>
  <c r="O82" i="55"/>
  <c r="AB30" i="15"/>
  <c r="AB31" i="15"/>
  <c r="AB88" i="15"/>
  <c r="AB29" i="15"/>
  <c r="AD164" i="15"/>
  <c r="AI56" i="62"/>
  <c r="AI27" i="62"/>
  <c r="AI54" i="62"/>
  <c r="BA13" i="12"/>
  <c r="M41" i="13"/>
  <c r="BI13" i="12" s="1"/>
  <c r="M172" i="13"/>
  <c r="FY13" i="12" s="1"/>
  <c r="M170" i="13"/>
  <c r="FI13" i="12" s="1"/>
  <c r="Y20" i="62"/>
  <c r="AC20" i="62"/>
  <c r="AB216" i="58"/>
  <c r="AB217" i="58" s="1"/>
  <c r="AB83" i="58"/>
  <c r="AB73" i="58"/>
  <c r="AC216" i="58"/>
  <c r="AC217" i="58" s="1"/>
  <c r="AC83" i="58"/>
  <c r="AC73" i="58"/>
  <c r="F41" i="58"/>
  <c r="F66" i="58"/>
  <c r="F40" i="58"/>
  <c r="F71" i="58"/>
  <c r="F59" i="58"/>
  <c r="F70" i="58"/>
  <c r="F72" i="58"/>
  <c r="J59" i="58"/>
  <c r="F69" i="58"/>
  <c r="B161" i="70"/>
  <c r="B173" i="70"/>
  <c r="B174" i="70" s="1"/>
  <c r="FA11" i="12"/>
  <c r="FA12" i="12"/>
  <c r="J19" i="61"/>
  <c r="J30" i="61"/>
  <c r="B43" i="61"/>
  <c r="B162" i="61"/>
  <c r="B163" i="61" s="1"/>
  <c r="G173" i="70"/>
  <c r="G174" i="70" s="1"/>
  <c r="G161" i="70"/>
  <c r="X162" i="61"/>
  <c r="X163" i="61" s="1"/>
  <c r="X43" i="61"/>
  <c r="AE98" i="62"/>
  <c r="AE94" i="62"/>
  <c r="AE137" i="62" s="1"/>
  <c r="AE148" i="62" s="1"/>
  <c r="AE152" i="62" s="1"/>
  <c r="AE155" i="62" s="1"/>
  <c r="AE156" i="62" s="1"/>
  <c r="J141" i="61"/>
  <c r="I140" i="61"/>
  <c r="K177" i="61"/>
  <c r="K178" i="61" s="1"/>
  <c r="K71" i="61" s="1"/>
  <c r="K77" i="61" s="1"/>
  <c r="DT12" i="12"/>
  <c r="DT11" i="12"/>
  <c r="S83" i="58"/>
  <c r="S73" i="58"/>
  <c r="T83" i="58"/>
  <c r="T73" i="58"/>
  <c r="F41" i="13"/>
  <c r="BI10" i="12" s="1"/>
  <c r="BA10" i="12"/>
  <c r="F172" i="13"/>
  <c r="FY10" i="12" s="1"/>
  <c r="AB98" i="62"/>
  <c r="AB113" i="62"/>
  <c r="AB124" i="62"/>
  <c r="AB119" i="62"/>
  <c r="AF83" i="62"/>
  <c r="AB107" i="62"/>
  <c r="AB129" i="62"/>
  <c r="AB135" i="62"/>
  <c r="BR79" i="41"/>
  <c r="BR98" i="41" s="1"/>
  <c r="BR110" i="41" s="1"/>
  <c r="BR145" i="41"/>
  <c r="AA161" i="70"/>
  <c r="AA173" i="70"/>
  <c r="AA174" i="70" s="1"/>
  <c r="S31" i="15"/>
  <c r="S30" i="15"/>
  <c r="S29" i="15"/>
  <c r="W164" i="15"/>
  <c r="Z75" i="11"/>
  <c r="AF43" i="61"/>
  <c r="AF162" i="61"/>
  <c r="AF163" i="61" s="1"/>
  <c r="E22" i="62"/>
  <c r="E23" i="62" s="1"/>
  <c r="L170" i="13"/>
  <c r="FH13" i="12" s="1"/>
  <c r="I110" i="62"/>
  <c r="I113" i="62"/>
  <c r="P88" i="15"/>
  <c r="P31" i="15"/>
  <c r="P30" i="15"/>
  <c r="P29" i="15"/>
  <c r="P164" i="15"/>
  <c r="N173" i="70"/>
  <c r="N174" i="70" s="1"/>
  <c r="N161" i="70"/>
  <c r="AI138" i="62"/>
  <c r="AI139" i="62" s="1"/>
  <c r="AI99" i="62"/>
  <c r="X138" i="62"/>
  <c r="X139" i="62" s="1"/>
  <c r="X97" i="62"/>
  <c r="AM27" i="62"/>
  <c r="AM56" i="62"/>
  <c r="W52" i="11"/>
  <c r="T54" i="11"/>
  <c r="U52" i="11" s="1"/>
  <c r="N94" i="55"/>
  <c r="N95" i="55" s="1"/>
  <c r="N82" i="55"/>
  <c r="G94" i="62"/>
  <c r="AE8" i="11"/>
  <c r="K105" i="61"/>
  <c r="K42" i="61"/>
  <c r="K43" i="61" s="1"/>
  <c r="AB47" i="62"/>
  <c r="AB39" i="62"/>
  <c r="AF37" i="62"/>
  <c r="AB38" i="62"/>
  <c r="F170" i="13"/>
  <c r="FI10" i="12" s="1"/>
  <c r="Q27" i="11"/>
  <c r="Q35" i="11"/>
  <c r="R26" i="11"/>
  <c r="AB162" i="61"/>
  <c r="AB163" i="61" s="1"/>
  <c r="AB43" i="61"/>
  <c r="K178" i="16"/>
  <c r="K177" i="16"/>
  <c r="Y43" i="61"/>
  <c r="Y162" i="61"/>
  <c r="Y163" i="61" s="1"/>
  <c r="V83" i="58"/>
  <c r="V73" i="58"/>
  <c r="V216" i="58"/>
  <c r="V217" i="58" s="1"/>
  <c r="H54" i="11"/>
  <c r="G57" i="11"/>
  <c r="H64" i="11"/>
  <c r="H48" i="11"/>
  <c r="H60" i="11"/>
  <c r="H47" i="11"/>
  <c r="G67" i="11"/>
  <c r="H66" i="11"/>
  <c r="H51" i="11"/>
  <c r="H56" i="11"/>
  <c r="H49" i="11"/>
  <c r="H61" i="11"/>
  <c r="H62" i="11"/>
  <c r="H55" i="11"/>
  <c r="AA33" i="15"/>
  <c r="AA32" i="15"/>
  <c r="B82" i="55"/>
  <c r="B94" i="55"/>
  <c r="B95" i="55" s="1"/>
  <c r="E50" i="72"/>
  <c r="E51" i="72"/>
  <c r="L83" i="58"/>
  <c r="L73" i="58"/>
  <c r="Y216" i="58"/>
  <c r="Y217" i="58" s="1"/>
  <c r="Y73" i="58"/>
  <c r="Y83" i="58"/>
  <c r="AE46" i="11"/>
  <c r="AE54" i="11"/>
  <c r="N67" i="11"/>
  <c r="O54" i="11"/>
  <c r="O61" i="11"/>
  <c r="O49" i="11"/>
  <c r="O66" i="11"/>
  <c r="O60" i="11"/>
  <c r="O64" i="11"/>
  <c r="O48" i="11"/>
  <c r="O51" i="11"/>
  <c r="O62" i="11"/>
  <c r="O47" i="11"/>
  <c r="N57" i="11"/>
  <c r="O56" i="11"/>
  <c r="O55" i="11"/>
  <c r="Z73" i="11"/>
  <c r="Z148" i="62"/>
  <c r="Z152" i="62" s="1"/>
  <c r="Z155" i="62" s="1"/>
  <c r="G137" i="62"/>
  <c r="G148" i="62" s="1"/>
  <c r="G152" i="62" s="1"/>
  <c r="G155" i="62" s="1"/>
  <c r="G156" i="62" s="1"/>
  <c r="AK5" i="12"/>
  <c r="N26" i="11"/>
  <c r="N16" i="11"/>
  <c r="O15" i="11"/>
  <c r="AK6" i="12"/>
  <c r="R31" i="15"/>
  <c r="R29" i="15"/>
  <c r="R30" i="15"/>
  <c r="W88" i="15"/>
  <c r="V164" i="15"/>
  <c r="H19" i="61"/>
  <c r="H30" i="61"/>
  <c r="H86" i="11"/>
  <c r="H78" i="11"/>
  <c r="H88" i="11"/>
  <c r="H73" i="11"/>
  <c r="H80" i="11"/>
  <c r="H79" i="11"/>
  <c r="H72" i="11"/>
  <c r="H90" i="11"/>
  <c r="H75" i="11"/>
  <c r="H85" i="11"/>
  <c r="H84" i="11"/>
  <c r="G91" i="11"/>
  <c r="H71" i="11"/>
  <c r="G81" i="11"/>
  <c r="K19" i="61"/>
  <c r="K30" i="61"/>
  <c r="AC133" i="62"/>
  <c r="I42" i="61"/>
  <c r="I43" i="61" s="1"/>
  <c r="I162" i="61" s="1"/>
  <c r="I163" i="61" s="1"/>
  <c r="I105" i="61"/>
  <c r="I116" i="61" s="1"/>
  <c r="ES12" i="12"/>
  <c r="ES11" i="12"/>
  <c r="I132" i="62"/>
  <c r="BW114" i="41"/>
  <c r="Y19" i="61"/>
  <c r="Y30" i="61"/>
  <c r="AD83" i="58"/>
  <c r="AD216" i="58"/>
  <c r="AD217" i="58" s="1"/>
  <c r="AD73" i="58"/>
  <c r="F7" i="64"/>
  <c r="G7" i="64" s="1"/>
  <c r="H7" i="64" s="1"/>
  <c r="I7" i="64" s="1"/>
  <c r="J7" i="64" s="1"/>
  <c r="K7" i="64" s="1"/>
  <c r="L7" i="64" s="1"/>
  <c r="M7" i="64" s="1"/>
  <c r="E15" i="64"/>
  <c r="E11" i="64"/>
  <c r="E16" i="64"/>
  <c r="H52" i="11"/>
  <c r="V138" i="62"/>
  <c r="V97" i="62"/>
  <c r="AM168" i="62"/>
  <c r="E194" i="72"/>
  <c r="E193" i="72"/>
  <c r="K158" i="61"/>
  <c r="K159" i="61" s="1"/>
  <c r="K157" i="61" s="1"/>
  <c r="J159" i="61"/>
  <c r="J157" i="61" s="1"/>
  <c r="Y164" i="15"/>
  <c r="H173" i="70"/>
  <c r="H174" i="70" s="1"/>
  <c r="H161" i="70"/>
  <c r="H76" i="11"/>
  <c r="U138" i="62"/>
  <c r="U139" i="62" s="1"/>
  <c r="U97" i="62"/>
  <c r="M22" i="16"/>
  <c r="M81" i="16"/>
  <c r="M83" i="16"/>
  <c r="M84" i="16"/>
  <c r="M82" i="16"/>
  <c r="M57" i="16"/>
  <c r="M62" i="16"/>
  <c r="I19" i="61"/>
  <c r="I30" i="61"/>
  <c r="AA162" i="15"/>
  <c r="AY16" i="12"/>
  <c r="R41" i="13"/>
  <c r="BG16" i="12" s="1"/>
  <c r="R172" i="13"/>
  <c r="FW16" i="12" s="1"/>
  <c r="R170" i="13"/>
  <c r="FG16" i="12" s="1"/>
  <c r="Z31" i="11"/>
  <c r="BK84" i="41"/>
  <c r="BK83" i="41"/>
  <c r="BK110" i="41"/>
  <c r="BK105" i="41"/>
  <c r="BD81" i="41"/>
  <c r="BD168" i="41"/>
  <c r="H168" i="41"/>
  <c r="I168" i="41"/>
  <c r="H80" i="41"/>
  <c r="H82" i="41"/>
  <c r="H84" i="41" s="1"/>
  <c r="H98" i="41"/>
  <c r="H101" i="41" s="1"/>
  <c r="H104" i="41" s="1"/>
  <c r="BD80" i="41"/>
  <c r="AM14" i="66" s="1"/>
  <c r="BD98" i="41"/>
  <c r="BD110" i="41" s="1"/>
  <c r="BP79" i="41"/>
  <c r="BP80" i="41" s="1"/>
  <c r="BR77" i="41"/>
  <c r="BB167" i="41"/>
  <c r="BJ105" i="41"/>
  <c r="BJ110" i="41"/>
  <c r="BJ83" i="41"/>
  <c r="BJ84" i="41"/>
  <c r="AD9" i="66"/>
  <c r="BV98" i="41"/>
  <c r="BW146" i="41"/>
  <c r="BW41" i="41"/>
  <c r="BW109" i="41"/>
  <c r="BW49" i="41"/>
  <c r="BW135" i="41"/>
  <c r="BW137" i="41"/>
  <c r="BW136" i="41"/>
  <c r="BW79" i="41"/>
  <c r="BW138" i="41"/>
  <c r="BW44" i="41"/>
  <c r="BW143" i="41"/>
  <c r="BW145" i="41"/>
  <c r="BW139" i="41"/>
  <c r="BW47" i="41"/>
  <c r="BW140" i="41"/>
  <c r="BW92" i="41"/>
  <c r="BW144" i="41"/>
  <c r="BW77" i="41"/>
  <c r="BQ142" i="41"/>
  <c r="BB80" i="41"/>
  <c r="AK14" i="66" s="1"/>
  <c r="BF167" i="41"/>
  <c r="BB82" i="41"/>
  <c r="BB83" i="41" s="1"/>
  <c r="BB98" i="41"/>
  <c r="BB110" i="41" s="1"/>
  <c r="BF168" i="41"/>
  <c r="J98" i="41"/>
  <c r="J101" i="41" s="1"/>
  <c r="J104" i="41" s="1"/>
  <c r="J80" i="41"/>
  <c r="J82" i="41"/>
  <c r="J168" i="41"/>
  <c r="BB168" i="41"/>
  <c r="BB77" i="41"/>
  <c r="BU77" i="41" s="1"/>
  <c r="AH9" i="66"/>
  <c r="AK113" i="41"/>
  <c r="AK114" i="41"/>
  <c r="AL77" i="41"/>
  <c r="BT92" i="41"/>
  <c r="BT143" i="41"/>
  <c r="I84" i="41"/>
  <c r="BQ75" i="41"/>
  <c r="AL112" i="41"/>
  <c r="AL145" i="41"/>
  <c r="AL82" i="41"/>
  <c r="AL84" i="41" s="1"/>
  <c r="AH83" i="41"/>
  <c r="AH84" i="41"/>
  <c r="AP110" i="41"/>
  <c r="AT168" i="41"/>
  <c r="AT80" i="41"/>
  <c r="AC14" i="66" s="1"/>
  <c r="AT82" i="41"/>
  <c r="AT81" i="41"/>
  <c r="AT98" i="41"/>
  <c r="BQ143" i="41"/>
  <c r="BQ164" i="41"/>
  <c r="W167" i="41"/>
  <c r="W77" i="41"/>
  <c r="W79" i="41"/>
  <c r="W277" i="41" s="1"/>
  <c r="AH110" i="41"/>
  <c r="AH105" i="41"/>
  <c r="AF168" i="41"/>
  <c r="AF82" i="41"/>
  <c r="AF98" i="41"/>
  <c r="AF81" i="41"/>
  <c r="AF80" i="41"/>
  <c r="BI105" i="41"/>
  <c r="BI110" i="41"/>
  <c r="BT166" i="41"/>
  <c r="BT145" i="41"/>
  <c r="BU166" i="41"/>
  <c r="AE84" i="41"/>
  <c r="AE83" i="41"/>
  <c r="AJ167" i="41"/>
  <c r="AJ77" i="41"/>
  <c r="AJ79" i="41"/>
  <c r="AN168" i="41" s="1"/>
  <c r="AK168" i="41"/>
  <c r="AK98" i="41"/>
  <c r="AK82" i="41"/>
  <c r="AK81" i="41"/>
  <c r="AK80" i="41"/>
  <c r="T14" i="66" s="1"/>
  <c r="AZ168" i="41"/>
  <c r="AZ80" i="41"/>
  <c r="AI14" i="66" s="1"/>
  <c r="AZ98" i="41"/>
  <c r="AZ82" i="41"/>
  <c r="AZ81" i="41"/>
  <c r="AX114" i="41"/>
  <c r="AX113" i="41"/>
  <c r="AE110" i="41"/>
  <c r="AE105" i="41"/>
  <c r="AB80" i="41"/>
  <c r="AB98" i="41"/>
  <c r="AB81" i="41"/>
  <c r="AB82" i="41"/>
  <c r="AC114" i="41"/>
  <c r="AC113" i="41"/>
  <c r="AO168" i="41"/>
  <c r="AO81" i="41"/>
  <c r="AO80" i="41"/>
  <c r="X14" i="66" s="1"/>
  <c r="AO82" i="41"/>
  <c r="AO98" i="41"/>
  <c r="AB277" i="41"/>
  <c r="AR168" i="41"/>
  <c r="AR82" i="41"/>
  <c r="AR81" i="41"/>
  <c r="AR80" i="41"/>
  <c r="AA14" i="66" s="1"/>
  <c r="AR98" i="41"/>
  <c r="AV83" i="41"/>
  <c r="AV84" i="41"/>
  <c r="BG168" i="41"/>
  <c r="BG98" i="41"/>
  <c r="BG80" i="41"/>
  <c r="AP14" i="66" s="1"/>
  <c r="BG82" i="41"/>
  <c r="BG81" i="41"/>
  <c r="AI77" i="41"/>
  <c r="AI167" i="41"/>
  <c r="BQ76" i="41"/>
  <c r="BQ167" i="41" s="1"/>
  <c r="AM167" i="41"/>
  <c r="BH168" i="41"/>
  <c r="BH98" i="41"/>
  <c r="BH81" i="41"/>
  <c r="BH80" i="41"/>
  <c r="AQ14" i="66" s="1"/>
  <c r="BH82" i="41"/>
  <c r="AD168" i="41"/>
  <c r="AD98" i="41"/>
  <c r="AD82" i="41"/>
  <c r="AD80" i="41"/>
  <c r="AD81" i="41"/>
  <c r="AG279" i="41"/>
  <c r="BI83" i="41"/>
  <c r="BI84" i="41"/>
  <c r="BE84" i="41"/>
  <c r="BE83" i="41"/>
  <c r="AA98" i="41"/>
  <c r="AA81" i="41"/>
  <c r="AA82" i="41"/>
  <c r="AA80" i="41"/>
  <c r="AH168" i="41"/>
  <c r="AG113" i="41"/>
  <c r="AG114" i="41"/>
  <c r="AQ168" i="41"/>
  <c r="AQ82" i="41"/>
  <c r="AQ80" i="41"/>
  <c r="Z14" i="66" s="1"/>
  <c r="AQ81" i="41"/>
  <c r="AQ98" i="41"/>
  <c r="BE105" i="41"/>
  <c r="BE110" i="41"/>
  <c r="T82" i="41"/>
  <c r="T80" i="41"/>
  <c r="T98" i="41"/>
  <c r="T110" i="41" s="1"/>
  <c r="T81" i="41"/>
  <c r="X167" i="41"/>
  <c r="X77" i="41"/>
  <c r="X79" i="41"/>
  <c r="AB168" i="41" s="1"/>
  <c r="L168" i="41"/>
  <c r="K168" i="41"/>
  <c r="K98" i="41"/>
  <c r="K101" i="41" s="1"/>
  <c r="K104" i="41" s="1"/>
  <c r="K82" i="41"/>
  <c r="K80" i="41"/>
  <c r="AV168" i="41"/>
  <c r="BR164" i="41"/>
  <c r="AA167" i="41"/>
  <c r="AD113" i="41"/>
  <c r="AD114" i="41"/>
  <c r="BN164" i="41"/>
  <c r="BN143" i="41"/>
  <c r="Z168" i="41"/>
  <c r="Z80" i="41"/>
  <c r="Z98" i="41"/>
  <c r="Z81" i="41"/>
  <c r="Z82" i="41"/>
  <c r="BN134" i="41"/>
  <c r="BN139" i="41"/>
  <c r="BN138" i="41"/>
  <c r="BN137" i="41"/>
  <c r="BN136" i="41"/>
  <c r="BN133" i="41"/>
  <c r="BN44" i="41"/>
  <c r="BN41" i="41"/>
  <c r="BN49" i="41"/>
  <c r="BN11" i="41"/>
  <c r="BN47" i="41"/>
  <c r="BN36" i="41"/>
  <c r="BN135" i="41"/>
  <c r="BN92" i="41"/>
  <c r="BN88" i="41"/>
  <c r="BN140" i="41"/>
  <c r="U98" i="41"/>
  <c r="U110" i="41" s="1"/>
  <c r="U81" i="41"/>
  <c r="U82" i="41"/>
  <c r="U80" i="41"/>
  <c r="BV82" i="41"/>
  <c r="BV80" i="41"/>
  <c r="BV81" i="41"/>
  <c r="BN76" i="41"/>
  <c r="BN167" i="41" s="1"/>
  <c r="BC168" i="41"/>
  <c r="BC80" i="41"/>
  <c r="AL14" i="66" s="1"/>
  <c r="BC98" i="41"/>
  <c r="BC82" i="41"/>
  <c r="BC81" i="41"/>
  <c r="AU98" i="41"/>
  <c r="AU168" i="41"/>
  <c r="AU81" i="41"/>
  <c r="BT79" i="41"/>
  <c r="AU82" i="41"/>
  <c r="AU80" i="41"/>
  <c r="AD14" i="66" s="1"/>
  <c r="AI79" i="41"/>
  <c r="AC167" i="41"/>
  <c r="AC77" i="41"/>
  <c r="AC79" i="41"/>
  <c r="AE279" i="41" s="1"/>
  <c r="BQ146" i="41"/>
  <c r="BQ49" i="41"/>
  <c r="BQ11" i="41"/>
  <c r="BQ47" i="41"/>
  <c r="BQ41" i="41"/>
  <c r="BQ134" i="41"/>
  <c r="BQ137" i="41"/>
  <c r="BQ140" i="41"/>
  <c r="BQ92" i="41"/>
  <c r="BQ136" i="41"/>
  <c r="BQ44" i="41"/>
  <c r="BQ138" i="41"/>
  <c r="BQ88" i="41"/>
  <c r="BQ139" i="41"/>
  <c r="BQ133" i="41"/>
  <c r="AY168" i="41"/>
  <c r="BU79" i="41"/>
  <c r="BV168" i="41" s="1"/>
  <c r="AY81" i="41"/>
  <c r="AY98" i="41"/>
  <c r="AY82" i="41"/>
  <c r="AY80" i="41"/>
  <c r="AH14" i="66" s="1"/>
  <c r="BQ144" i="41"/>
  <c r="BO276" i="41"/>
  <c r="BT77" i="41"/>
  <c r="BO164" i="41"/>
  <c r="BO143" i="41"/>
  <c r="BO76" i="41"/>
  <c r="BP167" i="41" s="1"/>
  <c r="AM83" i="41"/>
  <c r="AM84" i="41"/>
  <c r="BF105" i="41"/>
  <c r="BF110" i="41"/>
  <c r="BD84" i="41"/>
  <c r="BD83" i="41"/>
  <c r="F84" i="41"/>
  <c r="F83" i="41"/>
  <c r="AL105" i="41"/>
  <c r="AL110" i="41"/>
  <c r="G168" i="41"/>
  <c r="G98" i="41"/>
  <c r="G101" i="41" s="1"/>
  <c r="G82" i="41"/>
  <c r="G80" i="41"/>
  <c r="AS168" i="41"/>
  <c r="AS98" i="41"/>
  <c r="AS82" i="41"/>
  <c r="AS80" i="41"/>
  <c r="AB14" i="66" s="1"/>
  <c r="AS81" i="41"/>
  <c r="BO133" i="41"/>
  <c r="BO134" i="41"/>
  <c r="BO136" i="41"/>
  <c r="BO49" i="41"/>
  <c r="BO47" i="41"/>
  <c r="BO138" i="41"/>
  <c r="BO137" i="41"/>
  <c r="BO11" i="41"/>
  <c r="BO41" i="41"/>
  <c r="BO44" i="41"/>
  <c r="BO36" i="41"/>
  <c r="BO139" i="41"/>
  <c r="BO88" i="41"/>
  <c r="BO140" i="41"/>
  <c r="BO135" i="41"/>
  <c r="AP84" i="41"/>
  <c r="AP83" i="41"/>
  <c r="AH166" i="41"/>
  <c r="AH145" i="41"/>
  <c r="AH112" i="41"/>
  <c r="BP75" i="41"/>
  <c r="AL166" i="41"/>
  <c r="AH77" i="41"/>
  <c r="R82" i="41"/>
  <c r="R80" i="41"/>
  <c r="R81" i="41"/>
  <c r="AB167" i="41"/>
  <c r="AG277" i="41"/>
  <c r="BA168" i="41"/>
  <c r="BA81" i="41"/>
  <c r="BA82" i="41"/>
  <c r="BA80" i="41"/>
  <c r="AJ14" i="66" s="1"/>
  <c r="BA98" i="41"/>
  <c r="BF83" i="41"/>
  <c r="BF84" i="41"/>
  <c r="AN80" i="41"/>
  <c r="W14" i="66" s="1"/>
  <c r="AN98" i="41"/>
  <c r="AN82" i="41"/>
  <c r="AN81" i="41"/>
  <c r="Y168" i="41"/>
  <c r="Y81" i="41"/>
  <c r="Y80" i="41"/>
  <c r="Y98" i="41"/>
  <c r="Y82" i="41"/>
  <c r="AB279" i="41"/>
  <c r="BQ135" i="41"/>
  <c r="BS98" i="41"/>
  <c r="BS110" i="41" s="1"/>
  <c r="BS82" i="41"/>
  <c r="BS81" i="41"/>
  <c r="BS80" i="41"/>
  <c r="AW168" i="41"/>
  <c r="AW98" i="41"/>
  <c r="AW80" i="41"/>
  <c r="AF14" i="66" s="1"/>
  <c r="AW81" i="41"/>
  <c r="AW82" i="41"/>
  <c r="AG98" i="41"/>
  <c r="AG80" i="41"/>
  <c r="AG82" i="41"/>
  <c r="AG81" i="41"/>
  <c r="BT138" i="41"/>
  <c r="BT136" i="41"/>
  <c r="BT41" i="41"/>
  <c r="BT11" i="41"/>
  <c r="BT88" i="41"/>
  <c r="BT49" i="41"/>
  <c r="BT139" i="41"/>
  <c r="BT44" i="41"/>
  <c r="BT137" i="41"/>
  <c r="BT144" i="41"/>
  <c r="BT140" i="41"/>
  <c r="BT47" i="41"/>
  <c r="BT135" i="41"/>
  <c r="BT146" i="41"/>
  <c r="BS167" i="41"/>
  <c r="AN167" i="41"/>
  <c r="L69" i="78"/>
  <c r="L70" i="78"/>
  <c r="O69" i="78"/>
  <c r="O70" i="78"/>
  <c r="CH206" i="37"/>
  <c r="CH207" i="37"/>
  <c r="BU175" i="37"/>
  <c r="BU174" i="37"/>
  <c r="BU256" i="37"/>
  <c r="BU191" i="37"/>
  <c r="BU176" i="37"/>
  <c r="BF323" i="37"/>
  <c r="CD323" i="37"/>
  <c r="BJ191" i="37"/>
  <c r="BJ175" i="37"/>
  <c r="BJ176" i="37"/>
  <c r="BJ174" i="37"/>
  <c r="AH30" i="66" s="1"/>
  <c r="BB207" i="37"/>
  <c r="BB206" i="37"/>
  <c r="BI319" i="37"/>
  <c r="BI321" i="37" s="1"/>
  <c r="BE321" i="37"/>
  <c r="D175" i="37"/>
  <c r="D178" i="37"/>
  <c r="D144" i="37"/>
  <c r="D207" i="37"/>
  <c r="T190" i="37"/>
  <c r="T174" i="37"/>
  <c r="T173" i="37"/>
  <c r="BY202" i="37"/>
  <c r="BY175" i="37"/>
  <c r="BY144" i="37"/>
  <c r="BY11" i="37"/>
  <c r="BY178" i="37"/>
  <c r="G144" i="37"/>
  <c r="G175" i="37"/>
  <c r="G11" i="37"/>
  <c r="G178" i="37"/>
  <c r="G207" i="37"/>
  <c r="Y177" i="37"/>
  <c r="Y176" i="37"/>
  <c r="BN256" i="37"/>
  <c r="BN191" i="37"/>
  <c r="BN174" i="37"/>
  <c r="AL30" i="66" s="1"/>
  <c r="BN175" i="37"/>
  <c r="BN176" i="37"/>
  <c r="CB206" i="37"/>
  <c r="CB207" i="37"/>
  <c r="T177" i="37"/>
  <c r="T176" i="37"/>
  <c r="CC321" i="37"/>
  <c r="CD319" i="37"/>
  <c r="CD321" i="37" s="1"/>
  <c r="AD24" i="66"/>
  <c r="BF177" i="37"/>
  <c r="AD25" i="66" s="1"/>
  <c r="BF178" i="37"/>
  <c r="CD178" i="37"/>
  <c r="CD177" i="37"/>
  <c r="Y202" i="37"/>
  <c r="Y193" i="37"/>
  <c r="Y196" i="37" s="1"/>
  <c r="AZ321" i="37"/>
  <c r="BD319" i="37"/>
  <c r="CA206" i="37"/>
  <c r="CA207" i="37"/>
  <c r="BF194" i="37"/>
  <c r="BF197" i="37" s="1"/>
  <c r="BF203" i="37"/>
  <c r="CE191" i="37"/>
  <c r="CD203" i="37"/>
  <c r="CD194" i="37"/>
  <c r="CD197" i="37" s="1"/>
  <c r="BF319" i="37"/>
  <c r="BF321" i="37" s="1"/>
  <c r="BB321" i="37"/>
  <c r="BE203" i="37"/>
  <c r="BE194" i="37"/>
  <c r="BE197" i="37" s="1"/>
  <c r="BT178" i="37"/>
  <c r="BT177" i="37"/>
  <c r="F11" i="37"/>
  <c r="F175" i="37"/>
  <c r="F144" i="37"/>
  <c r="F178" i="37"/>
  <c r="F207" i="37"/>
  <c r="AC24" i="66"/>
  <c r="BE178" i="37"/>
  <c r="BE177" i="37"/>
  <c r="AC25" i="66" s="1"/>
  <c r="AM24" i="66"/>
  <c r="BO177" i="37"/>
  <c r="AM25" i="66" s="1"/>
  <c r="BO178" i="37"/>
  <c r="CE144" i="37"/>
  <c r="CE175" i="37"/>
  <c r="CE11" i="37"/>
  <c r="CE178" i="37"/>
  <c r="CC178" i="37"/>
  <c r="CC177" i="37"/>
  <c r="H173" i="37"/>
  <c r="H144" i="37"/>
  <c r="H11" i="37"/>
  <c r="H207" i="37"/>
  <c r="BH257" i="37"/>
  <c r="BH202" i="37"/>
  <c r="BH205" i="37"/>
  <c r="BH201" i="37"/>
  <c r="BL257" i="37"/>
  <c r="BG206" i="37"/>
  <c r="BG207" i="37"/>
  <c r="AN29" i="66"/>
  <c r="CC203" i="37"/>
  <c r="CC194" i="37"/>
  <c r="CC197" i="37" s="1"/>
  <c r="U202" i="37"/>
  <c r="U193" i="37"/>
  <c r="U196" i="37" s="1"/>
  <c r="R194" i="37"/>
  <c r="R197" i="37" s="1"/>
  <c r="R203" i="37"/>
  <c r="BT194" i="37"/>
  <c r="BT197" i="37" s="1"/>
  <c r="BT203" i="37"/>
  <c r="CA320" i="37"/>
  <c r="I173" i="37"/>
  <c r="I144" i="37"/>
  <c r="I11" i="37"/>
  <c r="BY207" i="37"/>
  <c r="BG319" i="37"/>
  <c r="BG321" i="37" s="1"/>
  <c r="BC321" i="37"/>
  <c r="X204" i="37"/>
  <c r="X201" i="37"/>
  <c r="X200" i="37"/>
  <c r="BY244" i="37"/>
  <c r="BY223" i="37"/>
  <c r="CB256" i="37"/>
  <c r="CB176" i="37"/>
  <c r="CB174" i="37"/>
  <c r="CB175" i="37"/>
  <c r="BO194" i="37"/>
  <c r="BO197" i="37" s="1"/>
  <c r="BO203" i="37"/>
  <c r="Q194" i="37"/>
  <c r="Q197" i="37" s="1"/>
  <c r="Q203" i="37"/>
  <c r="AC111" i="62" l="1"/>
  <c r="E31" i="62"/>
  <c r="W201" i="37"/>
  <c r="X256" i="37"/>
  <c r="V47" i="62"/>
  <c r="W200" i="37"/>
  <c r="BP77" i="41"/>
  <c r="E32" i="62"/>
  <c r="I137" i="62"/>
  <c r="I148" i="62" s="1"/>
  <c r="I152" i="62" s="1"/>
  <c r="I155" i="62" s="1"/>
  <c r="I156" i="62" s="1"/>
  <c r="F40" i="16"/>
  <c r="Z38" i="62"/>
  <c r="G96" i="11"/>
  <c r="AV105" i="41"/>
  <c r="D83" i="58"/>
  <c r="I167" i="61"/>
  <c r="AB32" i="62"/>
  <c r="G138" i="62"/>
  <c r="AC35" i="62"/>
  <c r="AX110" i="41"/>
  <c r="J43" i="16"/>
  <c r="I164" i="61"/>
  <c r="I165" i="61" s="1"/>
  <c r="AC30" i="62"/>
  <c r="G30" i="62" s="1"/>
  <c r="AC37" i="62"/>
  <c r="AC39" i="62" s="1"/>
  <c r="S202" i="37"/>
  <c r="J142" i="61"/>
  <c r="K141" i="61" s="1"/>
  <c r="K162" i="61"/>
  <c r="K163" i="61" s="1"/>
  <c r="B73" i="58"/>
  <c r="AB22" i="62"/>
  <c r="AB23" i="62" s="1"/>
  <c r="BR178" i="37"/>
  <c r="BR177" i="37"/>
  <c r="AP25" i="66" s="1"/>
  <c r="AB46" i="62"/>
  <c r="F39" i="16"/>
  <c r="F41" i="16"/>
  <c r="F42" i="16" s="1"/>
  <c r="F180" i="16"/>
  <c r="O73" i="58"/>
  <c r="O83" i="58"/>
  <c r="AQ24" i="66"/>
  <c r="I32" i="15"/>
  <c r="I33" i="15"/>
  <c r="BS177" i="37"/>
  <c r="AQ25" i="66" s="1"/>
  <c r="N98" i="11"/>
  <c r="N32" i="15"/>
  <c r="N33" i="15"/>
  <c r="AM110" i="41"/>
  <c r="G97" i="11"/>
  <c r="AG59" i="62"/>
  <c r="AG68" i="62" s="1"/>
  <c r="AG57" i="62"/>
  <c r="AG74" i="62"/>
  <c r="W33" i="15"/>
  <c r="W32" i="15"/>
  <c r="AX84" i="41"/>
  <c r="AJ56" i="62"/>
  <c r="AJ54" i="62"/>
  <c r="AJ55" i="62" s="1"/>
  <c r="AJ27" i="62"/>
  <c r="AF74" i="62"/>
  <c r="AF59" i="62"/>
  <c r="AF57" i="62"/>
  <c r="BS203" i="37"/>
  <c r="K116" i="61"/>
  <c r="K140" i="61" s="1"/>
  <c r="AN27" i="62"/>
  <c r="AN56" i="62"/>
  <c r="AG159" i="61"/>
  <c r="AG157" i="61" s="1"/>
  <c r="AH158" i="61"/>
  <c r="D25" i="60"/>
  <c r="AE111" i="62"/>
  <c r="AE35" i="62"/>
  <c r="AE34" i="62"/>
  <c r="K168" i="61"/>
  <c r="K167" i="61"/>
  <c r="AI55" i="62"/>
  <c r="F43" i="11"/>
  <c r="F44" i="11" s="1"/>
  <c r="F36" i="11"/>
  <c r="FX11" i="12"/>
  <c r="FX12" i="12"/>
  <c r="AD27" i="62"/>
  <c r="AD56" i="62"/>
  <c r="H26" i="62"/>
  <c r="AD54" i="62"/>
  <c r="AM22" i="62"/>
  <c r="AM30" i="62" s="1"/>
  <c r="AI30" i="62"/>
  <c r="Y97" i="62"/>
  <c r="Y138" i="62"/>
  <c r="Y139" i="62" s="1"/>
  <c r="AC96" i="62"/>
  <c r="AS5" i="12"/>
  <c r="AS11" i="12" s="1"/>
  <c r="AK11" i="12"/>
  <c r="H10" i="64"/>
  <c r="G9" i="64"/>
  <c r="K43" i="11"/>
  <c r="K44" i="11" s="1"/>
  <c r="K36" i="11"/>
  <c r="J43" i="61"/>
  <c r="J162" i="61" s="1"/>
  <c r="J163" i="61" s="1"/>
  <c r="J98" i="61"/>
  <c r="H30" i="15"/>
  <c r="H29" i="15"/>
  <c r="H31" i="15"/>
  <c r="H164" i="15"/>
  <c r="H162" i="15"/>
  <c r="AQ12" i="12"/>
  <c r="AQ11" i="12"/>
  <c r="G164" i="15"/>
  <c r="G30" i="15"/>
  <c r="G29" i="15"/>
  <c r="G31" i="15"/>
  <c r="G162" i="15"/>
  <c r="BB84" i="41"/>
  <c r="M23" i="16"/>
  <c r="M58" i="16"/>
  <c r="M9" i="16"/>
  <c r="M38" i="16"/>
  <c r="N108" i="16" s="1"/>
  <c r="M63" i="16"/>
  <c r="AN168" i="62"/>
  <c r="I135" i="62"/>
  <c r="I133" i="62"/>
  <c r="AI74" i="62"/>
  <c r="AI57" i="62"/>
  <c r="AI59" i="62"/>
  <c r="AI68" i="62" s="1"/>
  <c r="AL67" i="62"/>
  <c r="BR81" i="41"/>
  <c r="AM179" i="62"/>
  <c r="AN175" i="62"/>
  <c r="FW11" i="12"/>
  <c r="FW12" i="12"/>
  <c r="AO15" i="62"/>
  <c r="AO16" i="62" s="1"/>
  <c r="K15" i="62"/>
  <c r="C73" i="58"/>
  <c r="C83" i="58"/>
  <c r="F33" i="15"/>
  <c r="F32" i="15"/>
  <c r="AE138" i="62"/>
  <c r="AE139" i="62" s="1"/>
  <c r="AE99" i="62"/>
  <c r="AK99" i="62"/>
  <c r="AK138" i="62"/>
  <c r="AK139" i="62" s="1"/>
  <c r="I98" i="62"/>
  <c r="I99" i="62" s="1"/>
  <c r="K9" i="62"/>
  <c r="AO9" i="62"/>
  <c r="AO10" i="62" s="1"/>
  <c r="H15" i="11"/>
  <c r="AJ6" i="12"/>
  <c r="G16" i="11"/>
  <c r="AE16" i="11" s="1"/>
  <c r="G26" i="11"/>
  <c r="AE26" i="11" s="1"/>
  <c r="AJ5" i="12"/>
  <c r="E83" i="58"/>
  <c r="E73" i="58"/>
  <c r="Q36" i="11"/>
  <c r="Q43" i="11"/>
  <c r="R35" i="11"/>
  <c r="AL19" i="62"/>
  <c r="AL26" i="62" s="1"/>
  <c r="AH26" i="62"/>
  <c r="FI11" i="12"/>
  <c r="FI12" i="12"/>
  <c r="F59" i="72"/>
  <c r="E60" i="72"/>
  <c r="E59" i="72"/>
  <c r="X33" i="15"/>
  <c r="X32" i="15"/>
  <c r="AH22" i="62"/>
  <c r="AD30" i="62"/>
  <c r="FG11" i="12"/>
  <c r="FG12" i="12"/>
  <c r="R32" i="15"/>
  <c r="R33" i="15"/>
  <c r="BS168" i="41"/>
  <c r="BR80" i="41"/>
  <c r="V139" i="62"/>
  <c r="X140" i="62"/>
  <c r="AE15" i="11"/>
  <c r="U54" i="11"/>
  <c r="AF46" i="11"/>
  <c r="AF54" i="11"/>
  <c r="U48" i="11"/>
  <c r="U47" i="11"/>
  <c r="U49" i="11"/>
  <c r="U51" i="11"/>
  <c r="AF98" i="62"/>
  <c r="H98" i="62" s="1"/>
  <c r="AF94" i="62"/>
  <c r="AF137" i="62" s="1"/>
  <c r="AF148" i="62" s="1"/>
  <c r="AF152" i="62" s="1"/>
  <c r="AF155" i="62" s="1"/>
  <c r="AF156" i="62" s="1"/>
  <c r="BG12" i="12"/>
  <c r="BG11" i="12"/>
  <c r="AN162" i="62"/>
  <c r="AF39" i="62"/>
  <c r="AJ37" i="62"/>
  <c r="AY11" i="12"/>
  <c r="AY12" i="12"/>
  <c r="AE95" i="11"/>
  <c r="N96" i="11"/>
  <c r="H86" i="62"/>
  <c r="S32" i="15"/>
  <c r="S33" i="15"/>
  <c r="F9" i="64"/>
  <c r="AD5" i="12"/>
  <c r="AD11" i="12" s="1"/>
  <c r="AD6" i="12"/>
  <c r="AD12" i="12" s="1"/>
  <c r="T11" i="11"/>
  <c r="U11" i="11" s="1"/>
  <c r="U8" i="11"/>
  <c r="T19" i="11"/>
  <c r="U19" i="11" s="1"/>
  <c r="T95" i="11"/>
  <c r="AF95" i="11" s="1"/>
  <c r="AF8" i="11"/>
  <c r="U12" i="11"/>
  <c r="U24" i="11"/>
  <c r="U30" i="11"/>
  <c r="U21" i="11"/>
  <c r="U23" i="11"/>
  <c r="U40" i="11"/>
  <c r="U20" i="11"/>
  <c r="U22" i="11"/>
  <c r="U33" i="11"/>
  <c r="U13" i="11"/>
  <c r="U41" i="11"/>
  <c r="U7" i="11"/>
  <c r="U5" i="11"/>
  <c r="U31" i="11"/>
  <c r="U4" i="11"/>
  <c r="U39" i="11"/>
  <c r="AC32" i="15"/>
  <c r="AC33" i="15"/>
  <c r="U32" i="15"/>
  <c r="U33" i="15"/>
  <c r="AE31" i="62"/>
  <c r="AE40" i="62"/>
  <c r="AE46" i="62" s="1"/>
  <c r="AE55" i="62"/>
  <c r="N39" i="16"/>
  <c r="N41" i="16"/>
  <c r="N40" i="16"/>
  <c r="N180" i="16"/>
  <c r="N178" i="16"/>
  <c r="O41" i="16"/>
  <c r="O40" i="16"/>
  <c r="O39" i="16"/>
  <c r="O109" i="16"/>
  <c r="O108" i="16"/>
  <c r="O180" i="16"/>
  <c r="O178" i="16"/>
  <c r="E43" i="11"/>
  <c r="E44" i="11" s="1"/>
  <c r="E36" i="11"/>
  <c r="AS6" i="12"/>
  <c r="AS12" i="12" s="1"/>
  <c r="AK12" i="12"/>
  <c r="W54" i="11"/>
  <c r="X52" i="11" s="1"/>
  <c r="Z52" i="11"/>
  <c r="O32" i="15"/>
  <c r="O33" i="15"/>
  <c r="AD148" i="62"/>
  <c r="AD152" i="62" s="1"/>
  <c r="AD155" i="62" s="1"/>
  <c r="AD156" i="62" s="1"/>
  <c r="AX10" i="12"/>
  <c r="C41" i="13"/>
  <c r="BF10" i="12" s="1"/>
  <c r="C170" i="13"/>
  <c r="FF10" i="12" s="1"/>
  <c r="C172" i="13"/>
  <c r="FV10" i="12" s="1"/>
  <c r="K42" i="16"/>
  <c r="K43" i="16"/>
  <c r="G42" i="62"/>
  <c r="H71" i="62"/>
  <c r="F16" i="64"/>
  <c r="G16" i="64" s="1"/>
  <c r="H16" i="64" s="1"/>
  <c r="I16" i="64" s="1"/>
  <c r="J16" i="64" s="1"/>
  <c r="K16" i="64" s="1"/>
  <c r="L16" i="64" s="1"/>
  <c r="M16" i="64" s="1"/>
  <c r="P33" i="15"/>
  <c r="P32" i="15"/>
  <c r="AB32" i="15"/>
  <c r="AB33" i="15"/>
  <c r="AF78" i="11"/>
  <c r="AF69" i="11"/>
  <c r="U78" i="11"/>
  <c r="U71" i="11"/>
  <c r="U72" i="11"/>
  <c r="U73" i="11"/>
  <c r="U75" i="11"/>
  <c r="AH11" i="12"/>
  <c r="AH12" i="12"/>
  <c r="AP10" i="12"/>
  <c r="AA99" i="62"/>
  <c r="AA138" i="62"/>
  <c r="AD83" i="62"/>
  <c r="G82" i="62"/>
  <c r="Z119" i="62"/>
  <c r="Z98" i="62"/>
  <c r="Z107" i="62"/>
  <c r="Z124" i="62"/>
  <c r="Z113" i="62"/>
  <c r="Z135" i="62"/>
  <c r="W8" i="11"/>
  <c r="X6" i="11" s="1"/>
  <c r="I83" i="58"/>
  <c r="I73" i="58"/>
  <c r="P73" i="58"/>
  <c r="P83" i="58"/>
  <c r="Z76" i="11"/>
  <c r="P6" i="12" s="1"/>
  <c r="P12" i="12" s="1"/>
  <c r="W78" i="11"/>
  <c r="X76" i="11" s="1"/>
  <c r="F23" i="62"/>
  <c r="H83" i="58"/>
  <c r="H73" i="58"/>
  <c r="C43" i="11"/>
  <c r="C44" i="11" s="1"/>
  <c r="C36" i="11"/>
  <c r="G83" i="58"/>
  <c r="G73" i="58"/>
  <c r="FY12" i="12"/>
  <c r="FY11" i="12"/>
  <c r="Z6" i="11"/>
  <c r="P5" i="12"/>
  <c r="P11" i="12" s="1"/>
  <c r="J167" i="61"/>
  <c r="J168" i="61"/>
  <c r="FH11" i="12"/>
  <c r="FH12" i="12"/>
  <c r="J32" i="15"/>
  <c r="J33" i="15"/>
  <c r="F83" i="58"/>
  <c r="F73" i="58"/>
  <c r="Y32" i="15"/>
  <c r="Y33" i="15"/>
  <c r="AC98" i="62"/>
  <c r="AC124" i="62"/>
  <c r="AC129" i="62"/>
  <c r="AC107" i="62"/>
  <c r="AC113" i="62"/>
  <c r="AC119" i="62"/>
  <c r="AG83" i="62"/>
  <c r="AC135" i="62"/>
  <c r="AG143" i="62"/>
  <c r="AF144" i="62"/>
  <c r="H8" i="57"/>
  <c r="AM67" i="62"/>
  <c r="AE59" i="62"/>
  <c r="AE68" i="62" s="1"/>
  <c r="AE74" i="62"/>
  <c r="AE57" i="62"/>
  <c r="I7" i="57"/>
  <c r="BU167" i="41"/>
  <c r="F11" i="64"/>
  <c r="G11" i="64" s="1"/>
  <c r="H11" i="64" s="1"/>
  <c r="I11" i="64" s="1"/>
  <c r="J11" i="64" s="1"/>
  <c r="K11" i="64" s="1"/>
  <c r="L11" i="64" s="1"/>
  <c r="M11" i="64" s="1"/>
  <c r="AM57" i="62"/>
  <c r="F15" i="64"/>
  <c r="G15" i="64" s="1"/>
  <c r="H15" i="64" s="1"/>
  <c r="I15" i="64" s="1"/>
  <c r="J15" i="64" s="1"/>
  <c r="K15" i="64" s="1"/>
  <c r="L15" i="64" s="1"/>
  <c r="M15" i="64" s="1"/>
  <c r="O26" i="11"/>
  <c r="N27" i="11"/>
  <c r="N35" i="11"/>
  <c r="AB99" i="62"/>
  <c r="AB138" i="62"/>
  <c r="Z88" i="15"/>
  <c r="Z30" i="15"/>
  <c r="Z31" i="15"/>
  <c r="Z29" i="15"/>
  <c r="Z164" i="15"/>
  <c r="AE88" i="15"/>
  <c r="Z162" i="15"/>
  <c r="L23" i="16"/>
  <c r="L38" i="16"/>
  <c r="L9" i="16"/>
  <c r="L58" i="16"/>
  <c r="L63" i="16"/>
  <c r="J36" i="11"/>
  <c r="J43" i="11"/>
  <c r="J44" i="11" s="1"/>
  <c r="E12" i="64"/>
  <c r="H83" i="41"/>
  <c r="AL83" i="41"/>
  <c r="BP98" i="41"/>
  <c r="BP110" i="41" s="1"/>
  <c r="BP81" i="41"/>
  <c r="BD105" i="41"/>
  <c r="BB105" i="41"/>
  <c r="BO79" i="41"/>
  <c r="BO277" i="41" s="1"/>
  <c r="BV105" i="41"/>
  <c r="BV110" i="41"/>
  <c r="BW168" i="41"/>
  <c r="BW98" i="41"/>
  <c r="BW81" i="41"/>
  <c r="BW80" i="41"/>
  <c r="BW82" i="41"/>
  <c r="X277" i="41"/>
  <c r="X279" i="41"/>
  <c r="AL114" i="41"/>
  <c r="AL113" i="41"/>
  <c r="J84" i="41"/>
  <c r="J83" i="41"/>
  <c r="AD279" i="41"/>
  <c r="AG168" i="41"/>
  <c r="BQ77" i="41"/>
  <c r="BR82" i="41"/>
  <c r="BR83" i="41" s="1"/>
  <c r="BQ145" i="41"/>
  <c r="BQ112" i="41"/>
  <c r="BR166" i="41"/>
  <c r="Y105" i="41"/>
  <c r="Y110" i="41"/>
  <c r="AZ105" i="41"/>
  <c r="AZ110" i="41"/>
  <c r="AB83" i="41"/>
  <c r="AB84" i="41"/>
  <c r="AU105" i="41"/>
  <c r="AU110" i="41"/>
  <c r="BA105" i="41"/>
  <c r="BA110" i="41"/>
  <c r="BP145" i="41"/>
  <c r="BP166" i="41"/>
  <c r="BQ166" i="41"/>
  <c r="BC84" i="41"/>
  <c r="BC83" i="41"/>
  <c r="X168" i="41"/>
  <c r="X98" i="41"/>
  <c r="X82" i="41"/>
  <c r="X80" i="41"/>
  <c r="X81" i="41"/>
  <c r="AA279" i="41"/>
  <c r="AA277" i="41"/>
  <c r="AQ110" i="41"/>
  <c r="AQ105" i="41"/>
  <c r="AA83" i="41"/>
  <c r="AA84" i="41"/>
  <c r="AR83" i="41"/>
  <c r="AR84" i="41"/>
  <c r="W98" i="41"/>
  <c r="BN79" i="41"/>
  <c r="W168" i="41"/>
  <c r="W80" i="41"/>
  <c r="W82" i="41"/>
  <c r="W81" i="41"/>
  <c r="Z279" i="41"/>
  <c r="Z277" i="41"/>
  <c r="Y277" i="41"/>
  <c r="AR110" i="41"/>
  <c r="AR105" i="41"/>
  <c r="U83" i="41"/>
  <c r="U84" i="41"/>
  <c r="AG105" i="41"/>
  <c r="AG110" i="41"/>
  <c r="BS84" i="41"/>
  <c r="BS83" i="41"/>
  <c r="AH114" i="41"/>
  <c r="AH113" i="41"/>
  <c r="BP82" i="41"/>
  <c r="AC168" i="41"/>
  <c r="AC81" i="41"/>
  <c r="AC80" i="41"/>
  <c r="AC98" i="41"/>
  <c r="AC82" i="41"/>
  <c r="AD277" i="41"/>
  <c r="BC110" i="41"/>
  <c r="BC105" i="41"/>
  <c r="AB105" i="41"/>
  <c r="AB110" i="41"/>
  <c r="AC277" i="41"/>
  <c r="R84" i="41"/>
  <c r="R83" i="41"/>
  <c r="Z105" i="41"/>
  <c r="Z110" i="41"/>
  <c r="AN83" i="41"/>
  <c r="AN84" i="41"/>
  <c r="AD84" i="41"/>
  <c r="AD83" i="41"/>
  <c r="AY83" i="41"/>
  <c r="AY84" i="41"/>
  <c r="BU82" i="41"/>
  <c r="AI168" i="41"/>
  <c r="AI98" i="41"/>
  <c r="AI82" i="41"/>
  <c r="BQ79" i="41"/>
  <c r="AI81" i="41"/>
  <c r="AI80" i="41"/>
  <c r="R14" i="66" s="1"/>
  <c r="AM168" i="41"/>
  <c r="W279" i="41"/>
  <c r="AA168" i="41"/>
  <c r="AO84" i="41"/>
  <c r="AO83" i="41"/>
  <c r="AK105" i="41"/>
  <c r="AK110" i="41"/>
  <c r="AG84" i="41"/>
  <c r="AG83" i="41"/>
  <c r="BS104" i="41"/>
  <c r="AS105" i="41"/>
  <c r="AS110" i="41"/>
  <c r="AK84" i="41"/>
  <c r="AK83" i="41"/>
  <c r="BO167" i="41"/>
  <c r="AY110" i="41"/>
  <c r="AY105" i="41"/>
  <c r="BH83" i="41"/>
  <c r="BH84" i="41"/>
  <c r="BG105" i="41"/>
  <c r="BG110" i="41"/>
  <c r="BR104" i="41"/>
  <c r="AZ83" i="41"/>
  <c r="AZ84" i="41"/>
  <c r="AW83" i="41"/>
  <c r="AW84" i="41"/>
  <c r="AQ84" i="41"/>
  <c r="AQ83" i="41"/>
  <c r="BR167" i="41"/>
  <c r="AU83" i="41"/>
  <c r="AU84" i="41"/>
  <c r="AC279" i="41"/>
  <c r="AJ168" i="41"/>
  <c r="AJ98" i="41"/>
  <c r="AJ82" i="41"/>
  <c r="AJ81" i="41"/>
  <c r="AJ80" i="41"/>
  <c r="S14" i="66" s="1"/>
  <c r="AT110" i="41"/>
  <c r="AT105" i="41"/>
  <c r="AA105" i="41"/>
  <c r="AA110" i="41"/>
  <c r="BU168" i="41"/>
  <c r="BU80" i="41"/>
  <c r="BU98" i="41"/>
  <c r="BU110" i="41" s="1"/>
  <c r="BU81" i="41"/>
  <c r="BT168" i="41"/>
  <c r="BT82" i="41"/>
  <c r="BT98" i="41"/>
  <c r="BT110" i="41" s="1"/>
  <c r="BT80" i="41"/>
  <c r="BT81" i="41"/>
  <c r="BV83" i="41"/>
  <c r="BV84" i="41"/>
  <c r="Z83" i="41"/>
  <c r="Z84" i="41"/>
  <c r="AF110" i="41"/>
  <c r="AF105" i="41"/>
  <c r="BA84" i="41"/>
  <c r="BA83" i="41"/>
  <c r="AS83" i="41"/>
  <c r="AS84" i="41"/>
  <c r="AN105" i="41"/>
  <c r="AN110" i="41"/>
  <c r="AD105" i="41"/>
  <c r="AD110" i="41"/>
  <c r="BG84" i="41"/>
  <c r="BG83" i="41"/>
  <c r="AO105" i="41"/>
  <c r="AO110" i="41"/>
  <c r="AW110" i="41"/>
  <c r="AW105" i="41"/>
  <c r="G84" i="41"/>
  <c r="G83" i="41"/>
  <c r="AE277" i="41"/>
  <c r="Y83" i="41"/>
  <c r="Y84" i="41"/>
  <c r="Y279" i="41"/>
  <c r="K83" i="41"/>
  <c r="K84" i="41"/>
  <c r="T83" i="41"/>
  <c r="T84" i="41"/>
  <c r="BH110" i="41"/>
  <c r="BH105" i="41"/>
  <c r="AF84" i="41"/>
  <c r="AF83" i="41"/>
  <c r="AT83" i="41"/>
  <c r="AT84" i="41"/>
  <c r="BU177" i="37"/>
  <c r="BU178" i="37"/>
  <c r="BU194" i="37"/>
  <c r="BU197" i="37" s="1"/>
  <c r="BU203" i="37"/>
  <c r="BJ203" i="37"/>
  <c r="BJ194" i="37"/>
  <c r="BJ197" i="37" s="1"/>
  <c r="BJ177" i="37"/>
  <c r="AH25" i="66" s="1"/>
  <c r="AH24" i="66"/>
  <c r="BJ178" i="37"/>
  <c r="BJ324" i="37"/>
  <c r="CE323" i="37"/>
  <c r="BS257" i="37"/>
  <c r="BS205" i="37"/>
  <c r="BS201" i="37"/>
  <c r="BS202" i="37"/>
  <c r="BO257" i="37"/>
  <c r="BO205" i="37"/>
  <c r="BO202" i="37"/>
  <c r="BO201" i="37"/>
  <c r="CE203" i="37"/>
  <c r="CE194" i="37"/>
  <c r="CE197" i="37" s="1"/>
  <c r="H174" i="37"/>
  <c r="H175" i="37"/>
  <c r="H176" i="37"/>
  <c r="H351" i="37"/>
  <c r="H349" i="37"/>
  <c r="T193" i="37"/>
  <c r="T196" i="37" s="1"/>
  <c r="T202" i="37"/>
  <c r="CB178" i="37"/>
  <c r="CB177" i="37"/>
  <c r="CC257" i="37"/>
  <c r="CC201" i="37"/>
  <c r="CC205" i="37"/>
  <c r="CC202" i="37"/>
  <c r="AL24" i="66"/>
  <c r="BN177" i="37"/>
  <c r="AL25" i="66" s="1"/>
  <c r="BN178" i="37"/>
  <c r="CD257" i="37"/>
  <c r="CD205" i="37"/>
  <c r="CD202" i="37"/>
  <c r="CD201" i="37"/>
  <c r="BT257" i="37"/>
  <c r="BT202" i="37"/>
  <c r="BT205" i="37"/>
  <c r="BT201" i="37"/>
  <c r="R202" i="37"/>
  <c r="R201" i="37"/>
  <c r="I174" i="37"/>
  <c r="I191" i="37"/>
  <c r="I197" i="37" s="1"/>
  <c r="I176" i="37"/>
  <c r="I351" i="37"/>
  <c r="I349" i="37"/>
  <c r="BH206" i="37"/>
  <c r="BH207" i="37"/>
  <c r="Q202" i="37"/>
  <c r="Q201" i="37"/>
  <c r="BF257" i="37"/>
  <c r="BF201" i="37"/>
  <c r="BF205" i="37"/>
  <c r="BF202" i="37"/>
  <c r="U200" i="37"/>
  <c r="U201" i="37"/>
  <c r="S200" i="37"/>
  <c r="S201" i="37"/>
  <c r="BH319" i="37"/>
  <c r="BH321" i="37" s="1"/>
  <c r="BD321" i="37"/>
  <c r="BE257" i="37"/>
  <c r="BE205" i="37"/>
  <c r="BE202" i="37"/>
  <c r="BE201" i="37"/>
  <c r="BI257" i="37"/>
  <c r="X206" i="37"/>
  <c r="X205" i="37"/>
  <c r="Y256" i="37"/>
  <c r="Y204" i="37"/>
  <c r="Y201" i="37"/>
  <c r="Y200" i="37"/>
  <c r="Z256" i="37"/>
  <c r="BN203" i="37"/>
  <c r="CG191" i="37"/>
  <c r="AC46" i="62" l="1"/>
  <c r="AF22" i="62"/>
  <c r="H94" i="62"/>
  <c r="G139" i="62"/>
  <c r="AC31" i="62"/>
  <c r="AC32" i="62"/>
  <c r="AC47" i="62"/>
  <c r="G37" i="62"/>
  <c r="G38" i="62" s="1"/>
  <c r="AG37" i="62"/>
  <c r="H37" i="62" s="1"/>
  <c r="AC22" i="62"/>
  <c r="AG22" i="62" s="1"/>
  <c r="AG30" i="62" s="1"/>
  <c r="I166" i="61"/>
  <c r="AN57" i="62"/>
  <c r="AC38" i="62"/>
  <c r="J61" i="61"/>
  <c r="J145" i="61" s="1"/>
  <c r="J148" i="61" s="1"/>
  <c r="J150" i="61" s="1"/>
  <c r="J164" i="61" s="1"/>
  <c r="F43" i="16"/>
  <c r="H137" i="62"/>
  <c r="H148" i="62" s="1"/>
  <c r="H152" i="62" s="1"/>
  <c r="H155" i="62" s="1"/>
  <c r="H156" i="62" s="1"/>
  <c r="T15" i="11"/>
  <c r="U15" i="11" s="1"/>
  <c r="T98" i="11"/>
  <c r="AG80" i="62"/>
  <c r="AG128" i="62" s="1"/>
  <c r="AG79" i="62"/>
  <c r="AG69" i="62"/>
  <c r="AI158" i="61"/>
  <c r="AH159" i="61"/>
  <c r="AH157" i="61" s="1"/>
  <c r="T97" i="11"/>
  <c r="K142" i="61"/>
  <c r="K61" i="61" s="1"/>
  <c r="K145" i="61" s="1"/>
  <c r="K148" i="61" s="1"/>
  <c r="K150" i="61" s="1"/>
  <c r="K164" i="61" s="1"/>
  <c r="AF277" i="41"/>
  <c r="AF75" i="62"/>
  <c r="AF68" i="62"/>
  <c r="AF60" i="62"/>
  <c r="AG75" i="62"/>
  <c r="AG60" i="62"/>
  <c r="T96" i="11"/>
  <c r="AJ59" i="62"/>
  <c r="AJ74" i="62"/>
  <c r="AJ57" i="62"/>
  <c r="AE80" i="62"/>
  <c r="AE69" i="62"/>
  <c r="AE79" i="62"/>
  <c r="H99" i="62"/>
  <c r="H138" i="62"/>
  <c r="AI60" i="62"/>
  <c r="AI75" i="62"/>
  <c r="AI32" i="62"/>
  <c r="AL54" i="62"/>
  <c r="AL56" i="62"/>
  <c r="AL27" i="62"/>
  <c r="BO80" i="41"/>
  <c r="AH143" i="62"/>
  <c r="AG144" i="62"/>
  <c r="W11" i="11"/>
  <c r="X11" i="11" s="1"/>
  <c r="W95" i="11"/>
  <c r="AG95" i="11" s="1"/>
  <c r="X8" i="11"/>
  <c r="AE6" i="12"/>
  <c r="AE12" i="12" s="1"/>
  <c r="AE5" i="12"/>
  <c r="AE11" i="12" s="1"/>
  <c r="AG8" i="11"/>
  <c r="X12" i="11"/>
  <c r="W19" i="11"/>
  <c r="X19" i="11" s="1"/>
  <c r="X20" i="11"/>
  <c r="X41" i="11"/>
  <c r="X24" i="11"/>
  <c r="X33" i="11"/>
  <c r="X30" i="11"/>
  <c r="X21" i="11"/>
  <c r="X23" i="11"/>
  <c r="X7" i="11"/>
  <c r="X13" i="11"/>
  <c r="X40" i="11"/>
  <c r="X5" i="11"/>
  <c r="X22" i="11"/>
  <c r="X39" i="11"/>
  <c r="X31" i="11"/>
  <c r="X4" i="11"/>
  <c r="AJ22" i="62"/>
  <c r="AF30" i="62"/>
  <c r="R43" i="11"/>
  <c r="Q44" i="11"/>
  <c r="G33" i="15"/>
  <c r="G32" i="15"/>
  <c r="AE42" i="62"/>
  <c r="AE41" i="62"/>
  <c r="AE105" i="62"/>
  <c r="AE117" i="62"/>
  <c r="AE47" i="62"/>
  <c r="AE45" i="62"/>
  <c r="AN37" i="62"/>
  <c r="AJ39" i="62"/>
  <c r="AD31" i="62"/>
  <c r="AD40" i="62"/>
  <c r="G31" i="62"/>
  <c r="G46" i="62"/>
  <c r="G22" i="62"/>
  <c r="G23" i="62" s="1"/>
  <c r="G32" i="62"/>
  <c r="AN179" i="62"/>
  <c r="AO175" i="62"/>
  <c r="AO179" i="62" s="1"/>
  <c r="AM59" i="62"/>
  <c r="AM31" i="62"/>
  <c r="AM33" i="62"/>
  <c r="AM40" i="62"/>
  <c r="AM46" i="62" s="1"/>
  <c r="AI79" i="62"/>
  <c r="AI69" i="62"/>
  <c r="AI80" i="62"/>
  <c r="I8" i="57"/>
  <c r="J7" i="57"/>
  <c r="AG78" i="11"/>
  <c r="X78" i="11"/>
  <c r="AG69" i="11"/>
  <c r="X72" i="11"/>
  <c r="X71" i="11"/>
  <c r="X75" i="11"/>
  <c r="X73" i="11"/>
  <c r="Z138" i="62"/>
  <c r="Z99" i="62"/>
  <c r="AG46" i="11"/>
  <c r="AG54" i="11"/>
  <c r="X54" i="11"/>
  <c r="X48" i="11"/>
  <c r="X51" i="11"/>
  <c r="X49" i="11"/>
  <c r="X47" i="11"/>
  <c r="O43" i="16"/>
  <c r="O42" i="16"/>
  <c r="F12" i="64"/>
  <c r="G35" i="11"/>
  <c r="AE35" i="11" s="1"/>
  <c r="G27" i="11"/>
  <c r="AE27" i="11" s="1"/>
  <c r="H26" i="11"/>
  <c r="H54" i="62"/>
  <c r="AD55" i="62"/>
  <c r="AJ11" i="12"/>
  <c r="AR5" i="12"/>
  <c r="AR11" i="12" s="1"/>
  <c r="I138" i="62"/>
  <c r="I139" i="62" s="1"/>
  <c r="FV11" i="12"/>
  <c r="FV12" i="12"/>
  <c r="K98" i="61"/>
  <c r="K99" i="61" s="1"/>
  <c r="K101" i="61" s="1"/>
  <c r="J99" i="61"/>
  <c r="J101" i="61" s="1"/>
  <c r="Z78" i="11"/>
  <c r="AA76" i="11" s="1"/>
  <c r="G107" i="62"/>
  <c r="G98" i="62"/>
  <c r="G99" i="62" s="1"/>
  <c r="G119" i="62"/>
  <c r="G113" i="62"/>
  <c r="G124" i="62"/>
  <c r="G129" i="62"/>
  <c r="H83" i="62"/>
  <c r="FF11" i="12"/>
  <c r="FF12" i="12"/>
  <c r="AJ12" i="12"/>
  <c r="AR6" i="12"/>
  <c r="AR12" i="12" s="1"/>
  <c r="AG164" i="62"/>
  <c r="AG170" i="62"/>
  <c r="AD33" i="62"/>
  <c r="Z54" i="11"/>
  <c r="E14" i="64"/>
  <c r="E17" i="64" s="1"/>
  <c r="E13" i="64"/>
  <c r="AE75" i="62"/>
  <c r="AE60" i="62"/>
  <c r="AE32" i="62"/>
  <c r="AC138" i="62"/>
  <c r="AC99" i="62"/>
  <c r="BF11" i="12"/>
  <c r="BF12" i="12"/>
  <c r="M109" i="16"/>
  <c r="M108" i="16"/>
  <c r="M40" i="16"/>
  <c r="M41" i="16"/>
  <c r="M39" i="16"/>
  <c r="M180" i="16"/>
  <c r="M178" i="16"/>
  <c r="H33" i="15"/>
  <c r="H32" i="15"/>
  <c r="H19" i="62"/>
  <c r="H27" i="62"/>
  <c r="Z33" i="15"/>
  <c r="Z32" i="15"/>
  <c r="AB139" i="62"/>
  <c r="AB156" i="62"/>
  <c r="Z8" i="11"/>
  <c r="AA6" i="11" s="1"/>
  <c r="AA139" i="62"/>
  <c r="AA156" i="62"/>
  <c r="AX11" i="12"/>
  <c r="AX12" i="12"/>
  <c r="N43" i="16"/>
  <c r="N42" i="16"/>
  <c r="AD74" i="62"/>
  <c r="H56" i="62"/>
  <c r="AD59" i="62"/>
  <c r="AD68" i="62" s="1"/>
  <c r="AD57" i="62"/>
  <c r="AI31" i="62"/>
  <c r="AI40" i="62"/>
  <c r="AI46" i="62" s="1"/>
  <c r="AI33" i="62"/>
  <c r="N43" i="11"/>
  <c r="O35" i="11"/>
  <c r="N36" i="11"/>
  <c r="G12" i="64"/>
  <c r="AL22" i="62"/>
  <c r="AL30" i="62" s="1"/>
  <c r="AL33" i="62" s="1"/>
  <c r="AH30" i="62"/>
  <c r="AH33" i="62" s="1"/>
  <c r="L109" i="16"/>
  <c r="L40" i="16"/>
  <c r="L41" i="16"/>
  <c r="L39" i="16"/>
  <c r="L180" i="16"/>
  <c r="L178" i="16"/>
  <c r="AP12" i="12"/>
  <c r="AP11" i="12"/>
  <c r="N109" i="16"/>
  <c r="AF138" i="62"/>
  <c r="AF139" i="62" s="1"/>
  <c r="AF99" i="62"/>
  <c r="AH54" i="62"/>
  <c r="AH56" i="62"/>
  <c r="AH27" i="62"/>
  <c r="I10" i="64"/>
  <c r="H9" i="64"/>
  <c r="H12" i="64" s="1"/>
  <c r="BP104" i="41"/>
  <c r="BP108" i="41" s="1"/>
  <c r="BO279" i="41"/>
  <c r="BO81" i="41"/>
  <c r="BO98" i="41"/>
  <c r="BO110" i="41" s="1"/>
  <c r="AF279" i="41"/>
  <c r="BP168" i="41"/>
  <c r="BR84" i="41"/>
  <c r="BW110" i="41"/>
  <c r="BW105" i="41"/>
  <c r="BW84" i="41"/>
  <c r="BW83" i="41"/>
  <c r="BR105" i="41"/>
  <c r="BR108" i="41"/>
  <c r="BR109" i="41"/>
  <c r="BS105" i="41"/>
  <c r="BS108" i="41"/>
  <c r="BS109" i="41"/>
  <c r="BQ113" i="41"/>
  <c r="BQ114" i="41"/>
  <c r="W84" i="41"/>
  <c r="W83" i="41"/>
  <c r="BN82" i="41"/>
  <c r="AI83" i="41"/>
  <c r="AI84" i="41"/>
  <c r="BQ82" i="41"/>
  <c r="BN279" i="41"/>
  <c r="BN168" i="41"/>
  <c r="BN80" i="41"/>
  <c r="BN98" i="41"/>
  <c r="BN81" i="41"/>
  <c r="BN277" i="41"/>
  <c r="BS169" i="41"/>
  <c r="BS112" i="41"/>
  <c r="AI110" i="41"/>
  <c r="AI105" i="41"/>
  <c r="AC83" i="41"/>
  <c r="AC84" i="41"/>
  <c r="W105" i="41"/>
  <c r="W110" i="41"/>
  <c r="X83" i="41"/>
  <c r="X84" i="41"/>
  <c r="BQ168" i="41"/>
  <c r="BQ81" i="41"/>
  <c r="BQ98" i="41"/>
  <c r="BQ110" i="41" s="1"/>
  <c r="BQ80" i="41"/>
  <c r="BR168" i="41"/>
  <c r="BT83" i="41"/>
  <c r="BT84" i="41"/>
  <c r="AJ83" i="41"/>
  <c r="AJ84" i="41"/>
  <c r="AC105" i="41"/>
  <c r="AC110" i="41"/>
  <c r="X110" i="41"/>
  <c r="X105" i="41"/>
  <c r="BT104" i="41"/>
  <c r="BT105" i="41" s="1"/>
  <c r="AJ110" i="41"/>
  <c r="AJ105" i="41"/>
  <c r="BR169" i="41"/>
  <c r="AP104" i="41"/>
  <c r="BR112" i="41"/>
  <c r="BU84" i="41"/>
  <c r="BU83" i="41"/>
  <c r="BP83" i="41"/>
  <c r="BP84" i="41"/>
  <c r="BO82" i="41"/>
  <c r="BU104" i="41"/>
  <c r="BO168" i="41"/>
  <c r="BU202" i="37"/>
  <c r="BU201" i="37"/>
  <c r="BU257" i="37"/>
  <c r="BU205" i="37"/>
  <c r="BJ205" i="37"/>
  <c r="BN257" i="37"/>
  <c r="BJ202" i="37"/>
  <c r="BJ257" i="37"/>
  <c r="BJ201" i="37"/>
  <c r="BE206" i="37"/>
  <c r="BE207" i="37"/>
  <c r="CC206" i="37"/>
  <c r="CC207" i="37"/>
  <c r="BT206" i="37"/>
  <c r="BT207" i="37"/>
  <c r="CG203" i="37"/>
  <c r="CG194" i="37"/>
  <c r="CG197" i="37" s="1"/>
  <c r="CH257" i="37" s="1"/>
  <c r="CE257" i="37"/>
  <c r="CE205" i="37"/>
  <c r="CE202" i="37"/>
  <c r="CE201" i="37"/>
  <c r="CF257" i="37"/>
  <c r="CD207" i="37"/>
  <c r="CD206" i="37"/>
  <c r="T200" i="37"/>
  <c r="T201" i="37"/>
  <c r="BO206" i="37"/>
  <c r="BO207" i="37"/>
  <c r="I178" i="37"/>
  <c r="I177" i="37"/>
  <c r="BF206" i="37"/>
  <c r="BF207" i="37"/>
  <c r="I205" i="37"/>
  <c r="I201" i="37"/>
  <c r="BS206" i="37"/>
  <c r="BS207" i="37"/>
  <c r="Y206" i="37"/>
  <c r="Y205" i="37"/>
  <c r="H178" i="37"/>
  <c r="H177" i="37"/>
  <c r="AG40" i="62" l="1"/>
  <c r="W98" i="11"/>
  <c r="G39" i="62"/>
  <c r="G47" i="62"/>
  <c r="J67" i="61"/>
  <c r="J78" i="61" s="1"/>
  <c r="J102" i="61" s="1"/>
  <c r="H38" i="62"/>
  <c r="AC23" i="62"/>
  <c r="I37" i="62"/>
  <c r="AK37" i="62" s="1"/>
  <c r="AG39" i="62"/>
  <c r="H39" i="62"/>
  <c r="K67" i="61"/>
  <c r="K78" i="61" s="1"/>
  <c r="AG167" i="62"/>
  <c r="AG161" i="62"/>
  <c r="AG134" i="62"/>
  <c r="AG106" i="62"/>
  <c r="AG85" i="62"/>
  <c r="AG123" i="62"/>
  <c r="AG81" i="62"/>
  <c r="AG112" i="62"/>
  <c r="AG118" i="62"/>
  <c r="AL5" i="12"/>
  <c r="AT5" i="12" s="1"/>
  <c r="AT11" i="12" s="1"/>
  <c r="T16" i="11"/>
  <c r="AF16" i="11" s="1"/>
  <c r="T26" i="11"/>
  <c r="U26" i="11" s="1"/>
  <c r="AF15" i="11"/>
  <c r="AL35" i="62"/>
  <c r="BP105" i="41"/>
  <c r="W15" i="11"/>
  <c r="W26" i="11" s="1"/>
  <c r="W96" i="11"/>
  <c r="W97" i="11"/>
  <c r="AF79" i="62"/>
  <c r="AF80" i="62"/>
  <c r="AF69" i="62"/>
  <c r="AI159" i="61"/>
  <c r="AI157" i="61" s="1"/>
  <c r="AJ158" i="61"/>
  <c r="AJ159" i="61" s="1"/>
  <c r="AJ157" i="61" s="1"/>
  <c r="AJ68" i="62"/>
  <c r="AJ60" i="62"/>
  <c r="AJ75" i="62"/>
  <c r="G25" i="60"/>
  <c r="AH35" i="62"/>
  <c r="AH34" i="62"/>
  <c r="AH111" i="62"/>
  <c r="H139" i="62"/>
  <c r="H143" i="62"/>
  <c r="F13" i="64"/>
  <c r="F14" i="64"/>
  <c r="F17" i="64" s="1"/>
  <c r="AN22" i="62"/>
  <c r="AN30" i="62" s="1"/>
  <c r="AN40" i="62" s="1"/>
  <c r="AJ30" i="62"/>
  <c r="AG117" i="62"/>
  <c r="AG41" i="62"/>
  <c r="AG42" i="62"/>
  <c r="AG45" i="62"/>
  <c r="AG105" i="62"/>
  <c r="I9" i="64"/>
  <c r="I12" i="64" s="1"/>
  <c r="J10" i="64"/>
  <c r="AI117" i="62"/>
  <c r="AI41" i="62"/>
  <c r="AI105" i="62"/>
  <c r="AI42" i="62"/>
  <c r="AI47" i="62"/>
  <c r="AI45" i="62"/>
  <c r="AC139" i="62"/>
  <c r="AC156" i="62"/>
  <c r="AN66" i="62"/>
  <c r="H25" i="60"/>
  <c r="AI35" i="62"/>
  <c r="AI34" i="62"/>
  <c r="AI111" i="62"/>
  <c r="J166" i="61"/>
  <c r="J165" i="61"/>
  <c r="AG47" i="62"/>
  <c r="AL57" i="62"/>
  <c r="BO104" i="41"/>
  <c r="BO112" i="41" s="1"/>
  <c r="AG46" i="62"/>
  <c r="AG31" i="62"/>
  <c r="AG33" i="62"/>
  <c r="AG32" i="62"/>
  <c r="J8" i="57"/>
  <c r="K7" i="57"/>
  <c r="H9" i="57"/>
  <c r="S4" i="57" s="1"/>
  <c r="AE161" i="62"/>
  <c r="AE167" i="62"/>
  <c r="AE170" i="62"/>
  <c r="AE164" i="62"/>
  <c r="AE128" i="62"/>
  <c r="AE118" i="62"/>
  <c r="AE81" i="62"/>
  <c r="AE123" i="62"/>
  <c r="AE106" i="62"/>
  <c r="AE112" i="62"/>
  <c r="AE134" i="62"/>
  <c r="AE85" i="62"/>
  <c r="AI143" i="62"/>
  <c r="AH144" i="62"/>
  <c r="AH46" i="11"/>
  <c r="AH54" i="11"/>
  <c r="AA54" i="11"/>
  <c r="AA48" i="11"/>
  <c r="AA51" i="11"/>
  <c r="AA47" i="11"/>
  <c r="AA49" i="11"/>
  <c r="AL55" i="62"/>
  <c r="AM60" i="62"/>
  <c r="AM61" i="62"/>
  <c r="AF31" i="62"/>
  <c r="AF33" i="62"/>
  <c r="AF32" i="62"/>
  <c r="AF40" i="62"/>
  <c r="AF46" i="62" s="1"/>
  <c r="H14" i="64"/>
  <c r="H17" i="64" s="1"/>
  <c r="H13" i="64"/>
  <c r="BP112" i="41"/>
  <c r="BP113" i="41" s="1"/>
  <c r="AH57" i="62"/>
  <c r="AH59" i="62"/>
  <c r="AH68" i="62" s="1"/>
  <c r="AH74" i="62"/>
  <c r="L42" i="16"/>
  <c r="L43" i="16"/>
  <c r="AF6" i="12"/>
  <c r="AF12" i="12" s="1"/>
  <c r="Z11" i="11"/>
  <c r="AA11" i="11" s="1"/>
  <c r="Z95" i="11"/>
  <c r="AH95" i="11" s="1"/>
  <c r="AF5" i="12"/>
  <c r="AF11" i="12" s="1"/>
  <c r="Z19" i="11"/>
  <c r="AA19" i="11" s="1"/>
  <c r="AH8" i="11"/>
  <c r="AA20" i="11"/>
  <c r="AA8" i="11"/>
  <c r="AA12" i="11"/>
  <c r="AA41" i="11"/>
  <c r="AA24" i="11"/>
  <c r="AA33" i="11"/>
  <c r="AA22" i="11"/>
  <c r="AA23" i="11"/>
  <c r="AA30" i="11"/>
  <c r="AA21" i="11"/>
  <c r="AA13" i="11"/>
  <c r="AA40" i="11"/>
  <c r="AA7" i="11"/>
  <c r="AA5" i="11"/>
  <c r="AA4" i="11"/>
  <c r="AA31" i="11"/>
  <c r="AA39" i="11"/>
  <c r="M42" i="16"/>
  <c r="M43" i="16"/>
  <c r="BQ169" i="41"/>
  <c r="AD75" i="62"/>
  <c r="AD60" i="62"/>
  <c r="H59" i="62"/>
  <c r="H61" i="62" s="1"/>
  <c r="AD32" i="62"/>
  <c r="AA52" i="11"/>
  <c r="AH78" i="11"/>
  <c r="AA78" i="11"/>
  <c r="AH69" i="11"/>
  <c r="AA72" i="11"/>
  <c r="AA71" i="11"/>
  <c r="AA75" i="11"/>
  <c r="AA73" i="11"/>
  <c r="H55" i="62"/>
  <c r="AI167" i="62"/>
  <c r="AI161" i="62"/>
  <c r="AI164" i="62"/>
  <c r="AI170" i="62"/>
  <c r="AI81" i="62"/>
  <c r="AI128" i="62"/>
  <c r="AI118" i="62"/>
  <c r="AI123" i="62"/>
  <c r="AI112" i="62"/>
  <c r="AM81" i="62"/>
  <c r="AI106" i="62"/>
  <c r="AI134" i="62"/>
  <c r="AI85" i="62"/>
  <c r="K166" i="61"/>
  <c r="K165" i="61"/>
  <c r="BA6" i="12"/>
  <c r="O43" i="11"/>
  <c r="BA5" i="12"/>
  <c r="N44" i="11"/>
  <c r="AD80" i="62"/>
  <c r="AD69" i="62"/>
  <c r="AD79" i="62"/>
  <c r="AH55" i="62"/>
  <c r="AH31" i="62"/>
  <c r="AH40" i="62"/>
  <c r="AH46" i="62" s="1"/>
  <c r="AD105" i="62"/>
  <c r="AD41" i="62"/>
  <c r="AD42" i="62"/>
  <c r="AD117" i="62"/>
  <c r="AD47" i="62"/>
  <c r="AD45" i="62"/>
  <c r="BP109" i="41"/>
  <c r="AL59" i="62"/>
  <c r="AL61" i="62" s="1"/>
  <c r="AL31" i="62"/>
  <c r="AL40" i="62"/>
  <c r="AL46" i="62" s="1"/>
  <c r="K102" i="61"/>
  <c r="Z139" i="62"/>
  <c r="Z156" i="62"/>
  <c r="AM41" i="62"/>
  <c r="AM47" i="62"/>
  <c r="AM45" i="62"/>
  <c r="AD46" i="62"/>
  <c r="I19" i="62"/>
  <c r="H20" i="62"/>
  <c r="H28" i="62"/>
  <c r="H57" i="62"/>
  <c r="G13" i="64"/>
  <c r="G14" i="64"/>
  <c r="G17" i="64" s="1"/>
  <c r="C25" i="60"/>
  <c r="AD35" i="62"/>
  <c r="AD34" i="62"/>
  <c r="AD111" i="62"/>
  <c r="H35" i="11"/>
  <c r="G43" i="11"/>
  <c r="G36" i="11"/>
  <c r="AE36" i="11" s="1"/>
  <c r="AM35" i="62"/>
  <c r="H30" i="62"/>
  <c r="BU105" i="41"/>
  <c r="BU108" i="41"/>
  <c r="BU109" i="41"/>
  <c r="BV169" i="41"/>
  <c r="BT108" i="41"/>
  <c r="BT109" i="41"/>
  <c r="BO83" i="41"/>
  <c r="BO84" i="41"/>
  <c r="BO77" i="41"/>
  <c r="BQ83" i="41"/>
  <c r="BQ84" i="41"/>
  <c r="BN83" i="41"/>
  <c r="BN84" i="41"/>
  <c r="BN77" i="41"/>
  <c r="BT169" i="41"/>
  <c r="BT112" i="41"/>
  <c r="BN104" i="41"/>
  <c r="BN110" i="41"/>
  <c r="BR113" i="41"/>
  <c r="BR114" i="41"/>
  <c r="BQ105" i="41"/>
  <c r="BS114" i="41"/>
  <c r="BS113" i="41"/>
  <c r="BU169" i="41"/>
  <c r="BU112" i="41"/>
  <c r="AP169" i="41"/>
  <c r="AT169" i="41"/>
  <c r="AP108" i="41"/>
  <c r="AP109" i="41"/>
  <c r="AP112" i="41"/>
  <c r="AP105" i="41"/>
  <c r="BU206" i="37"/>
  <c r="BU207" i="37"/>
  <c r="BJ207" i="37"/>
  <c r="BJ206" i="37"/>
  <c r="I207" i="37"/>
  <c r="I206" i="37"/>
  <c r="CE207" i="37"/>
  <c r="CE206" i="37"/>
  <c r="CG257" i="37"/>
  <c r="CG205" i="37"/>
  <c r="CG202" i="37"/>
  <c r="CG201" i="37"/>
  <c r="AF26" i="11" l="1"/>
  <c r="J37" i="62"/>
  <c r="T27" i="11"/>
  <c r="AF27" i="11" s="1"/>
  <c r="T35" i="11"/>
  <c r="AM5" i="12"/>
  <c r="AM11" i="12" s="1"/>
  <c r="X15" i="11"/>
  <c r="W16" i="11"/>
  <c r="AG16" i="11" s="1"/>
  <c r="AG15" i="11"/>
  <c r="AL11" i="12"/>
  <c r="H40" i="62"/>
  <c r="H42" i="62" s="1"/>
  <c r="Z96" i="11"/>
  <c r="Z98" i="11"/>
  <c r="Z15" i="11"/>
  <c r="Z26" i="11" s="1"/>
  <c r="BP114" i="41"/>
  <c r="AJ69" i="62"/>
  <c r="AJ80" i="62"/>
  <c r="AJ79" i="62"/>
  <c r="AF106" i="62"/>
  <c r="AF112" i="62"/>
  <c r="AF118" i="62"/>
  <c r="AF81" i="62"/>
  <c r="AF85" i="62"/>
  <c r="AF164" i="62"/>
  <c r="AF128" i="62"/>
  <c r="AF123" i="62"/>
  <c r="AF134" i="62"/>
  <c r="AF170" i="62"/>
  <c r="AF161" i="62"/>
  <c r="AF167" i="62"/>
  <c r="AL62" i="62"/>
  <c r="AL34" i="62"/>
  <c r="AL70" i="62"/>
  <c r="AL75" i="62" s="1"/>
  <c r="AH80" i="62"/>
  <c r="AH69" i="62"/>
  <c r="AH79" i="62"/>
  <c r="I143" i="62"/>
  <c r="H144" i="62"/>
  <c r="AK39" i="62"/>
  <c r="AK38" i="62"/>
  <c r="X26" i="11"/>
  <c r="W35" i="11"/>
  <c r="W27" i="11"/>
  <c r="AG27" i="11" s="1"/>
  <c r="AG26" i="11"/>
  <c r="H62" i="62"/>
  <c r="I62" i="62"/>
  <c r="BA12" i="12"/>
  <c r="BI6" i="12"/>
  <c r="BI12" i="12" s="1"/>
  <c r="AJ31" i="62"/>
  <c r="AJ33" i="62"/>
  <c r="AJ32" i="62"/>
  <c r="AJ40" i="62"/>
  <c r="T43" i="11"/>
  <c r="T36" i="11"/>
  <c r="AF36" i="11" s="1"/>
  <c r="AF35" i="11"/>
  <c r="U35" i="11"/>
  <c r="AF41" i="62"/>
  <c r="AF42" i="62"/>
  <c r="AF117" i="62"/>
  <c r="AF45" i="62"/>
  <c r="AF105" i="62"/>
  <c r="AF47" i="62"/>
  <c r="Z97" i="11"/>
  <c r="AN59" i="62"/>
  <c r="AN31" i="62"/>
  <c r="AN46" i="62"/>
  <c r="AN33" i="62"/>
  <c r="BO109" i="41"/>
  <c r="H22" i="62"/>
  <c r="H31" i="62"/>
  <c r="H33" i="62"/>
  <c r="AL41" i="62"/>
  <c r="AL47" i="62"/>
  <c r="AL45" i="62"/>
  <c r="BO169" i="41"/>
  <c r="BO108" i="41"/>
  <c r="AH117" i="62"/>
  <c r="AH41" i="62"/>
  <c r="AH42" i="62"/>
  <c r="AH105" i="62"/>
  <c r="AH47" i="62"/>
  <c r="AH45" i="62"/>
  <c r="BA11" i="12"/>
  <c r="BI5" i="12"/>
  <c r="BI11" i="12" s="1"/>
  <c r="BP169" i="41"/>
  <c r="J19" i="62"/>
  <c r="I26" i="62"/>
  <c r="AL60" i="62"/>
  <c r="H60" i="62"/>
  <c r="H32" i="62"/>
  <c r="E25" i="60"/>
  <c r="AF35" i="62"/>
  <c r="AF111" i="62"/>
  <c r="AF34" i="62"/>
  <c r="AZ6" i="12"/>
  <c r="G44" i="11"/>
  <c r="AE44" i="11" s="1"/>
  <c r="H43" i="11"/>
  <c r="AZ5" i="12"/>
  <c r="K37" i="62"/>
  <c r="AO37" i="62"/>
  <c r="J66" i="62"/>
  <c r="H68" i="62"/>
  <c r="AI144" i="62"/>
  <c r="AJ143" i="62"/>
  <c r="K8" i="57"/>
  <c r="L7" i="57"/>
  <c r="AG34" i="62"/>
  <c r="F25" i="60"/>
  <c r="AG111" i="62"/>
  <c r="AG35" i="62"/>
  <c r="AD164" i="62"/>
  <c r="AD170" i="62"/>
  <c r="AD81" i="62"/>
  <c r="AD167" i="62"/>
  <c r="AD123" i="62"/>
  <c r="AD106" i="62"/>
  <c r="AD161" i="62"/>
  <c r="AD128" i="62"/>
  <c r="AD112" i="62"/>
  <c r="AD118" i="62"/>
  <c r="AD134" i="62"/>
  <c r="AD85" i="62"/>
  <c r="AH32" i="62"/>
  <c r="AH75" i="62"/>
  <c r="AH60" i="62"/>
  <c r="AN41" i="62"/>
  <c r="AN45" i="62"/>
  <c r="AM62" i="62"/>
  <c r="AM34" i="62"/>
  <c r="AM70" i="62"/>
  <c r="J9" i="64"/>
  <c r="J12" i="64" s="1"/>
  <c r="K10" i="64"/>
  <c r="I14" i="64"/>
  <c r="I17" i="64" s="1"/>
  <c r="I13" i="64"/>
  <c r="BO105" i="41"/>
  <c r="AN47" i="62"/>
  <c r="AE43" i="11"/>
  <c r="AN67" i="62"/>
  <c r="BN105" i="41"/>
  <c r="BT113" i="41"/>
  <c r="BT114" i="41"/>
  <c r="AP113" i="41"/>
  <c r="AP114" i="41"/>
  <c r="BU113" i="41"/>
  <c r="BU114" i="41"/>
  <c r="BN108" i="41"/>
  <c r="BN109" i="41"/>
  <c r="BN169" i="41"/>
  <c r="BN112" i="41"/>
  <c r="BO113" i="41"/>
  <c r="BO114" i="41"/>
  <c r="CG206" i="37"/>
  <c r="CG207" i="37"/>
  <c r="AU5" i="12" l="1"/>
  <c r="AU11" i="12" s="1"/>
  <c r="H46" i="62"/>
  <c r="H45" i="62"/>
  <c r="H41" i="62"/>
  <c r="H47" i="62"/>
  <c r="AH15" i="11"/>
  <c r="AN5" i="12"/>
  <c r="AN11" i="12" s="1"/>
  <c r="AA15" i="11"/>
  <c r="Z16" i="11"/>
  <c r="AH16" i="11" s="1"/>
  <c r="H85" i="62"/>
  <c r="AN35" i="62"/>
  <c r="AJ112" i="62"/>
  <c r="AJ106" i="62"/>
  <c r="AJ128" i="62"/>
  <c r="AJ134" i="62"/>
  <c r="AJ85" i="62"/>
  <c r="AJ164" i="62"/>
  <c r="AJ167" i="62"/>
  <c r="AJ123" i="62"/>
  <c r="AJ170" i="62"/>
  <c r="AJ161" i="62"/>
  <c r="AN81" i="62"/>
  <c r="AJ118" i="62"/>
  <c r="AJ81" i="62"/>
  <c r="Z35" i="11"/>
  <c r="AH26" i="11"/>
  <c r="AA26" i="11"/>
  <c r="Z27" i="11"/>
  <c r="AH27" i="11" s="1"/>
  <c r="J67" i="62"/>
  <c r="AO66" i="62"/>
  <c r="AH164" i="62"/>
  <c r="AH170" i="62"/>
  <c r="AH167" i="62"/>
  <c r="AH161" i="62"/>
  <c r="AL81" i="62"/>
  <c r="AH118" i="62"/>
  <c r="AH81" i="62"/>
  <c r="AH123" i="62"/>
  <c r="AH106" i="62"/>
  <c r="AH128" i="62"/>
  <c r="AH112" i="62"/>
  <c r="AH85" i="62"/>
  <c r="AH134" i="62"/>
  <c r="AJ41" i="62"/>
  <c r="AJ42" i="62"/>
  <c r="AJ117" i="62"/>
  <c r="AJ105" i="62"/>
  <c r="AJ45" i="62"/>
  <c r="AJ47" i="62"/>
  <c r="M8" i="57"/>
  <c r="L8" i="57"/>
  <c r="AG35" i="11"/>
  <c r="W36" i="11"/>
  <c r="AG36" i="11" s="1"/>
  <c r="X35" i="11"/>
  <c r="W43" i="11"/>
  <c r="BB5" i="12"/>
  <c r="AF43" i="11"/>
  <c r="U43" i="11"/>
  <c r="T44" i="11"/>
  <c r="AF44" i="11" s="1"/>
  <c r="AL82" i="62"/>
  <c r="AL71" i="62"/>
  <c r="AL42" i="62"/>
  <c r="AL76" i="62"/>
  <c r="AL74" i="62"/>
  <c r="AJ46" i="62"/>
  <c r="L10" i="64"/>
  <c r="K9" i="64"/>
  <c r="K12" i="64" s="1"/>
  <c r="K9" i="57"/>
  <c r="T4" i="57" s="1"/>
  <c r="H35" i="62"/>
  <c r="H111" i="62"/>
  <c r="H105" i="62"/>
  <c r="H117" i="62"/>
  <c r="AM42" i="62"/>
  <c r="AM82" i="62"/>
  <c r="AM71" i="62"/>
  <c r="AM76" i="62"/>
  <c r="AM74" i="62"/>
  <c r="AM75" i="62"/>
  <c r="AZ11" i="12"/>
  <c r="BH5" i="12"/>
  <c r="BH11" i="12" s="1"/>
  <c r="K19" i="62"/>
  <c r="K26" i="62" s="1"/>
  <c r="J26" i="62"/>
  <c r="AZ12" i="12"/>
  <c r="BH6" i="12"/>
  <c r="BH12" i="12" s="1"/>
  <c r="J13" i="64"/>
  <c r="J14" i="64"/>
  <c r="J17" i="64" s="1"/>
  <c r="AJ144" i="62"/>
  <c r="AK143" i="62"/>
  <c r="H34" i="62"/>
  <c r="I144" i="62"/>
  <c r="J144" i="62" s="1"/>
  <c r="H80" i="62"/>
  <c r="H76" i="62"/>
  <c r="H69" i="62"/>
  <c r="H74" i="62"/>
  <c r="H75" i="62"/>
  <c r="I22" i="62"/>
  <c r="H23" i="62"/>
  <c r="K66" i="62"/>
  <c r="I56" i="62"/>
  <c r="AK26" i="62"/>
  <c r="I54" i="62"/>
  <c r="I27" i="62"/>
  <c r="AN60" i="62"/>
  <c r="AN61" i="62"/>
  <c r="I25" i="60"/>
  <c r="AJ35" i="62"/>
  <c r="AJ34" i="62"/>
  <c r="AJ111" i="62"/>
  <c r="BN114" i="41"/>
  <c r="BN113" i="41"/>
  <c r="AV5" i="12" l="1"/>
  <c r="AV11" i="12" s="1"/>
  <c r="J22" i="62"/>
  <c r="I30" i="62"/>
  <c r="AN70" i="62"/>
  <c r="AN62" i="62"/>
  <c r="AN34" i="62"/>
  <c r="BJ5" i="12"/>
  <c r="BJ11" i="12" s="1"/>
  <c r="BB11" i="12"/>
  <c r="BC5" i="12"/>
  <c r="W44" i="11"/>
  <c r="AG44" i="11" s="1"/>
  <c r="AG43" i="11"/>
  <c r="X43" i="11"/>
  <c r="M10" i="64"/>
  <c r="M9" i="64" s="1"/>
  <c r="M12" i="64" s="1"/>
  <c r="L9" i="64"/>
  <c r="L12" i="64" s="1"/>
  <c r="H167" i="62"/>
  <c r="H170" i="62"/>
  <c r="H81" i="62"/>
  <c r="H161" i="62"/>
  <c r="H164" i="62"/>
  <c r="H112" i="62"/>
  <c r="H106" i="62"/>
  <c r="H123" i="62"/>
  <c r="H128" i="62"/>
  <c r="H118" i="62"/>
  <c r="H134" i="62"/>
  <c r="K144" i="62"/>
  <c r="AK144" i="62"/>
  <c r="AL121" i="62"/>
  <c r="AL122" i="62" s="1"/>
  <c r="AL103" i="62"/>
  <c r="AL169" i="62"/>
  <c r="AL115" i="62"/>
  <c r="AL109" i="62"/>
  <c r="AL98" i="62"/>
  <c r="AL83" i="62"/>
  <c r="AL163" i="62"/>
  <c r="AL166" i="62"/>
  <c r="AL160" i="62"/>
  <c r="AL172" i="62" s="1"/>
  <c r="K67" i="62"/>
  <c r="AM169" i="62"/>
  <c r="AM163" i="62"/>
  <c r="AM121" i="62"/>
  <c r="AM122" i="62" s="1"/>
  <c r="AM98" i="62"/>
  <c r="AM103" i="62"/>
  <c r="AM83" i="62"/>
  <c r="AM115" i="62"/>
  <c r="AM109" i="62"/>
  <c r="AM166" i="62"/>
  <c r="AM160" i="62"/>
  <c r="J54" i="62"/>
  <c r="J56" i="62"/>
  <c r="AO26" i="62"/>
  <c r="J27" i="62"/>
  <c r="AO39" i="62"/>
  <c r="AO67" i="62"/>
  <c r="K27" i="62"/>
  <c r="K56" i="62"/>
  <c r="K54" i="62"/>
  <c r="K14" i="64"/>
  <c r="K17" i="64" s="1"/>
  <c r="K13" i="64"/>
  <c r="I55" i="62"/>
  <c r="AK54" i="62"/>
  <c r="AK19" i="62"/>
  <c r="AK20" i="62" s="1"/>
  <c r="AK27" i="62"/>
  <c r="AK56" i="62"/>
  <c r="I57" i="62"/>
  <c r="AH35" i="11"/>
  <c r="Z36" i="11"/>
  <c r="AH36" i="11" s="1"/>
  <c r="Z43" i="11"/>
  <c r="AA35" i="11"/>
  <c r="AO19" i="62" l="1"/>
  <c r="AO20" i="62" s="1"/>
  <c r="AO27" i="62"/>
  <c r="L13" i="64"/>
  <c r="L14" i="64"/>
  <c r="L17" i="64" s="1"/>
  <c r="M13" i="64"/>
  <c r="M14" i="64"/>
  <c r="M17" i="64" s="1"/>
  <c r="AH43" i="11"/>
  <c r="Z44" i="11"/>
  <c r="AH44" i="11" s="1"/>
  <c r="AA43" i="11"/>
  <c r="BD5" i="12"/>
  <c r="J57" i="62"/>
  <c r="AO56" i="62"/>
  <c r="J55" i="62"/>
  <c r="AM172" i="62"/>
  <c r="BK5" i="12"/>
  <c r="BK11" i="12" s="1"/>
  <c r="BC11" i="12"/>
  <c r="K55" i="62"/>
  <c r="AM116" i="62"/>
  <c r="AM117" i="62"/>
  <c r="AK55" i="62"/>
  <c r="AM94" i="62"/>
  <c r="AL132" i="62"/>
  <c r="AL138" i="62" s="1"/>
  <c r="AL104" i="62"/>
  <c r="AL105" i="62"/>
  <c r="I59" i="62"/>
  <c r="AK30" i="62"/>
  <c r="I31" i="62"/>
  <c r="I40" i="62"/>
  <c r="I33" i="62"/>
  <c r="AK74" i="62"/>
  <c r="AK28" i="62"/>
  <c r="AK59" i="62"/>
  <c r="AK57" i="62"/>
  <c r="K57" i="62"/>
  <c r="AM111" i="62"/>
  <c r="AM110" i="62"/>
  <c r="AL94" i="62"/>
  <c r="AL111" i="62"/>
  <c r="AL110" i="62"/>
  <c r="AL117" i="62"/>
  <c r="AL116" i="62"/>
  <c r="AM104" i="62"/>
  <c r="AM132" i="62"/>
  <c r="AM138" i="62" s="1"/>
  <c r="AM139" i="62" s="1"/>
  <c r="AM105" i="62"/>
  <c r="AN82" i="62"/>
  <c r="AN42" i="62"/>
  <c r="AN71" i="62"/>
  <c r="AN74" i="62"/>
  <c r="AN76" i="62"/>
  <c r="AN75" i="62"/>
  <c r="K22" i="62"/>
  <c r="K30" i="62" s="1"/>
  <c r="J30" i="62"/>
  <c r="AL137" i="62" l="1"/>
  <c r="AM137" i="62"/>
  <c r="B21" i="64"/>
  <c r="B23" i="64" s="1"/>
  <c r="B24" i="64"/>
  <c r="AN163" i="62"/>
  <c r="AN169" i="62"/>
  <c r="AN115" i="62"/>
  <c r="AN109" i="62"/>
  <c r="AN103" i="62"/>
  <c r="AN83" i="62"/>
  <c r="AN121" i="62"/>
  <c r="AN122" i="62" s="1"/>
  <c r="AN98" i="62"/>
  <c r="AN166" i="62"/>
  <c r="AN160" i="62"/>
  <c r="I41" i="62"/>
  <c r="I42" i="62"/>
  <c r="I47" i="62"/>
  <c r="I45" i="62"/>
  <c r="BL5" i="12"/>
  <c r="BL11" i="12" s="1"/>
  <c r="BD11" i="12"/>
  <c r="J31" i="62"/>
  <c r="AO30" i="62"/>
  <c r="J59" i="62"/>
  <c r="J40" i="62"/>
  <c r="J33" i="62"/>
  <c r="J35" i="62" s="1"/>
  <c r="K31" i="62"/>
  <c r="K59" i="62"/>
  <c r="K40" i="62"/>
  <c r="K46" i="62" s="1"/>
  <c r="K33" i="62"/>
  <c r="AK31" i="62"/>
  <c r="AK22" i="62"/>
  <c r="AK23" i="62" s="1"/>
  <c r="AK40" i="62"/>
  <c r="AK33" i="62"/>
  <c r="AL139" i="62"/>
  <c r="AL143" i="62"/>
  <c r="I46" i="62"/>
  <c r="I60" i="62"/>
  <c r="I68" i="62"/>
  <c r="I75" i="62" s="1"/>
  <c r="AL133" i="62"/>
  <c r="AL135" i="62"/>
  <c r="AM133" i="62"/>
  <c r="AM135" i="62"/>
  <c r="AK32" i="62"/>
  <c r="AK75" i="62"/>
  <c r="AK60" i="62"/>
  <c r="AK68" i="62"/>
  <c r="AO28" i="62"/>
  <c r="AO57" i="62"/>
  <c r="I35" i="62"/>
  <c r="I117" i="62"/>
  <c r="I34" i="62"/>
  <c r="I105" i="62"/>
  <c r="I111" i="62"/>
  <c r="B25" i="64" l="1"/>
  <c r="B27" i="64" s="1"/>
  <c r="B29" i="64" s="1"/>
  <c r="B31" i="64" s="1"/>
  <c r="B35" i="64" s="1"/>
  <c r="AL142" i="62"/>
  <c r="AL148" i="62" s="1"/>
  <c r="AM143" i="62"/>
  <c r="AK79" i="62"/>
  <c r="AK69" i="62"/>
  <c r="AK80" i="62"/>
  <c r="AN111" i="62"/>
  <c r="AN110" i="62"/>
  <c r="AN104" i="62"/>
  <c r="AN132" i="62"/>
  <c r="AN138" i="62" s="1"/>
  <c r="AN139" i="62" s="1"/>
  <c r="AN105" i="62"/>
  <c r="AN116" i="62"/>
  <c r="AN117" i="62"/>
  <c r="I69" i="62"/>
  <c r="I80" i="62"/>
  <c r="I76" i="62"/>
  <c r="I74" i="62"/>
  <c r="K60" i="62"/>
  <c r="K61" i="62"/>
  <c r="K70" i="62"/>
  <c r="K68" i="62"/>
  <c r="AN94" i="62"/>
  <c r="J25" i="60"/>
  <c r="AK35" i="62"/>
  <c r="AK34" i="62"/>
  <c r="AK111" i="62"/>
  <c r="AK105" i="62"/>
  <c r="AK41" i="62"/>
  <c r="AK117" i="62"/>
  <c r="AK42" i="62"/>
  <c r="AK47" i="62"/>
  <c r="AK45" i="62"/>
  <c r="K41" i="62"/>
  <c r="K47" i="62"/>
  <c r="K45" i="62"/>
  <c r="AN172" i="62"/>
  <c r="J60" i="62"/>
  <c r="AO59" i="62"/>
  <c r="J61" i="62"/>
  <c r="J70" i="62"/>
  <c r="J68" i="62"/>
  <c r="J75" i="62" s="1"/>
  <c r="J41" i="62"/>
  <c r="J47" i="62"/>
  <c r="J45" i="62"/>
  <c r="AO22" i="62"/>
  <c r="AO23" i="62" s="1"/>
  <c r="AO31" i="62"/>
  <c r="AO40" i="62"/>
  <c r="AO46" i="62" s="1"/>
  <c r="AO33" i="62"/>
  <c r="AO35" i="62" s="1"/>
  <c r="AK46" i="62"/>
  <c r="K35" i="62"/>
  <c r="J46" i="62"/>
  <c r="B33" i="64" l="1"/>
  <c r="B34" i="64"/>
  <c r="AO60" i="62"/>
  <c r="AO32" i="62"/>
  <c r="AO61" i="62"/>
  <c r="I81" i="62"/>
  <c r="I164" i="62"/>
  <c r="J164" i="62" s="1"/>
  <c r="I167" i="62"/>
  <c r="J167" i="62" s="1"/>
  <c r="I118" i="62"/>
  <c r="I170" i="62"/>
  <c r="I161" i="62"/>
  <c r="J161" i="62" s="1"/>
  <c r="I106" i="62"/>
  <c r="I123" i="62"/>
  <c r="I128" i="62"/>
  <c r="I112" i="62"/>
  <c r="I134" i="62"/>
  <c r="J62" i="62"/>
  <c r="J34" i="62"/>
  <c r="AN133" i="62"/>
  <c r="AN135" i="62"/>
  <c r="AO41" i="62"/>
  <c r="AO47" i="62"/>
  <c r="AO45" i="62"/>
  <c r="AN137" i="62"/>
  <c r="K80" i="62"/>
  <c r="K69" i="62"/>
  <c r="K76" i="62"/>
  <c r="K74" i="62"/>
  <c r="J71" i="62"/>
  <c r="J82" i="62"/>
  <c r="J42" i="62"/>
  <c r="K42" i="62"/>
  <c r="K82" i="62"/>
  <c r="K71" i="62"/>
  <c r="AK161" i="62"/>
  <c r="AK167" i="62"/>
  <c r="AK81" i="62"/>
  <c r="AK170" i="62"/>
  <c r="AK164" i="62"/>
  <c r="AK118" i="62"/>
  <c r="AK106" i="62"/>
  <c r="AK128" i="62"/>
  <c r="AO81" i="62"/>
  <c r="AK123" i="62"/>
  <c r="AK112" i="62"/>
  <c r="AK134" i="62"/>
  <c r="AK85" i="62"/>
  <c r="I85" i="62" s="1"/>
  <c r="I182" i="62" s="1"/>
  <c r="K75" i="62"/>
  <c r="AM142" i="62"/>
  <c r="AM148" i="62" s="1"/>
  <c r="AN143" i="62"/>
  <c r="K62" i="62"/>
  <c r="K34" i="62"/>
  <c r="J80" i="62"/>
  <c r="J69" i="62"/>
  <c r="J76" i="62"/>
  <c r="J74" i="62"/>
  <c r="AL150" i="62"/>
  <c r="AL152" i="62" s="1"/>
  <c r="AL155" i="62" s="1"/>
  <c r="AL156" i="62" s="1"/>
  <c r="K164" i="62" l="1"/>
  <c r="K163" i="62" s="1"/>
  <c r="J163" i="62"/>
  <c r="J169" i="62"/>
  <c r="J81" i="62"/>
  <c r="J128" i="62"/>
  <c r="K169" i="62"/>
  <c r="K81" i="62"/>
  <c r="K128" i="62"/>
  <c r="K161" i="62"/>
  <c r="K160" i="62" s="1"/>
  <c r="J160" i="62"/>
  <c r="AO143" i="62"/>
  <c r="AN142" i="62"/>
  <c r="AN148" i="62" s="1"/>
  <c r="J166" i="62"/>
  <c r="K167" i="62"/>
  <c r="K166" i="62" s="1"/>
  <c r="AM150" i="62"/>
  <c r="AM152" i="62" s="1"/>
  <c r="AM155" i="62" s="1"/>
  <c r="AM156" i="62" s="1"/>
  <c r="K83" i="62"/>
  <c r="K121" i="62"/>
  <c r="K103" i="62"/>
  <c r="K115" i="62"/>
  <c r="K98" i="62"/>
  <c r="K109" i="62"/>
  <c r="AO34" i="62"/>
  <c r="AO62" i="62"/>
  <c r="AO70" i="62"/>
  <c r="J115" i="62"/>
  <c r="J98" i="62"/>
  <c r="J103" i="62"/>
  <c r="J121" i="62"/>
  <c r="J83" i="62"/>
  <c r="J109" i="62"/>
  <c r="AN150" i="62" l="1"/>
  <c r="AN152" i="62" s="1"/>
  <c r="AN155" i="62" s="1"/>
  <c r="AN156" i="62" s="1"/>
  <c r="J118" i="62"/>
  <c r="AO115" i="62"/>
  <c r="J117" i="62"/>
  <c r="J116" i="62"/>
  <c r="K110" i="62"/>
  <c r="K111" i="62"/>
  <c r="K112" i="62"/>
  <c r="K132" i="62"/>
  <c r="K138" i="62" s="1"/>
  <c r="K139" i="62" s="1"/>
  <c r="K104" i="62"/>
  <c r="K105" i="62"/>
  <c r="K106" i="62"/>
  <c r="J171" i="62"/>
  <c r="J186" i="62"/>
  <c r="AO169" i="62"/>
  <c r="J185" i="62"/>
  <c r="J168" i="62"/>
  <c r="AO166" i="62"/>
  <c r="AO160" i="62"/>
  <c r="J162" i="62"/>
  <c r="J172" i="62"/>
  <c r="J182" i="62"/>
  <c r="K86" i="62"/>
  <c r="K94" i="62"/>
  <c r="K85" i="62"/>
  <c r="K182" i="62" s="1"/>
  <c r="K171" i="62"/>
  <c r="K186" i="62"/>
  <c r="AO163" i="62"/>
  <c r="J184" i="62"/>
  <c r="J165" i="62"/>
  <c r="J85" i="62"/>
  <c r="AO98" i="62"/>
  <c r="J94" i="62"/>
  <c r="J86" i="62"/>
  <c r="AO71" i="62"/>
  <c r="AO42" i="62"/>
  <c r="AO82" i="62"/>
  <c r="AO83" i="62" s="1"/>
  <c r="AO76" i="62"/>
  <c r="AO74" i="62"/>
  <c r="AO75" i="62"/>
  <c r="K162" i="62"/>
  <c r="K172" i="62"/>
  <c r="K116" i="62"/>
  <c r="K117" i="62"/>
  <c r="K118" i="62"/>
  <c r="K122" i="62"/>
  <c r="K123" i="62"/>
  <c r="J112" i="62"/>
  <c r="J110" i="62"/>
  <c r="J111" i="62"/>
  <c r="AO109" i="62"/>
  <c r="AO121" i="62"/>
  <c r="J122" i="62"/>
  <c r="J123" i="62"/>
  <c r="J132" i="62"/>
  <c r="J138" i="62" s="1"/>
  <c r="J106" i="62"/>
  <c r="AO103" i="62"/>
  <c r="J104" i="62"/>
  <c r="J105" i="62"/>
  <c r="K168" i="62"/>
  <c r="K185" i="62"/>
  <c r="K165" i="62"/>
  <c r="K184" i="62"/>
  <c r="J137" i="62" l="1"/>
  <c r="AO122" i="62"/>
  <c r="AO124" i="62"/>
  <c r="K137" i="62"/>
  <c r="AO110" i="62"/>
  <c r="AO111" i="62"/>
  <c r="AO113" i="62"/>
  <c r="AO94" i="62"/>
  <c r="AO99" i="62"/>
  <c r="K133" i="62"/>
  <c r="K135" i="62"/>
  <c r="K134" i="62"/>
  <c r="AO162" i="62"/>
  <c r="AO172" i="62"/>
  <c r="J139" i="62"/>
  <c r="J143" i="62"/>
  <c r="J133" i="62"/>
  <c r="J134" i="62"/>
  <c r="J135" i="62"/>
  <c r="AO171" i="62"/>
  <c r="AO104" i="62"/>
  <c r="AO105" i="62"/>
  <c r="AO107" i="62"/>
  <c r="AO132" i="62"/>
  <c r="AO168" i="62"/>
  <c r="AO116" i="62"/>
  <c r="AO117" i="62"/>
  <c r="AO119" i="62"/>
  <c r="AO165" i="62"/>
  <c r="AO137" i="62" l="1"/>
  <c r="AO133" i="62"/>
  <c r="AO135" i="62"/>
  <c r="AO138" i="62"/>
  <c r="AO139" i="62" s="1"/>
  <c r="K143" i="62"/>
  <c r="K142" i="62" s="1"/>
  <c r="K148" i="62" s="1"/>
  <c r="J142" i="62"/>
  <c r="K150" i="62" l="1"/>
  <c r="K152" i="62" s="1"/>
  <c r="K155" i="62" s="1"/>
  <c r="K156" i="62" s="1"/>
  <c r="AO142" i="62"/>
  <c r="AO144" i="62" s="1"/>
  <c r="J148" i="62"/>
  <c r="AO148" i="62" l="1"/>
  <c r="J150" i="62"/>
  <c r="AO150" i="62" s="1"/>
  <c r="AO152" i="62" s="1"/>
  <c r="AO155" i="62" s="1"/>
  <c r="AO156" i="62" s="1"/>
  <c r="J152" i="62" l="1"/>
  <c r="J155" i="62" s="1"/>
  <c r="J156" i="62" s="1"/>
  <c r="J63" i="16"/>
  <c r="J61" i="16"/>
  <c r="J62" i="16"/>
  <c r="K110" i="16"/>
  <c r="J58" i="16"/>
  <c r="J57" i="16"/>
  <c r="J54" i="16"/>
  <c r="J110"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jxf金啸飞</author>
    <author>wh王昊(直属)</author>
    <author>作者</author>
  </authors>
  <commentList>
    <comment ref="C63" authorId="0" shapeId="0" xr:uid="{00000000-0006-0000-0000-000001000000}">
      <text>
        <r>
          <rPr>
            <sz val="9"/>
            <color indexed="81"/>
            <rFont val="宋体"/>
            <family val="3"/>
            <charset val="134"/>
          </rPr>
          <t>Financials include included the financial information of eLong from January 1, 2018 to March 9, 2018 and the consolidated financial information of eLong and Tongcheng Online Business from March 10, 2018 to December 31, 2018.</t>
        </r>
      </text>
    </comment>
    <comment ref="P86" authorId="1" shapeId="0" xr:uid="{00000000-0006-0000-0000-000002000000}">
      <text>
        <r>
          <rPr>
            <b/>
            <sz val="9"/>
            <color indexed="81"/>
            <rFont val="宋体"/>
            <family val="3"/>
            <charset val="134"/>
          </rPr>
          <t>wh王昊(直属):</t>
        </r>
        <r>
          <rPr>
            <sz val="9"/>
            <color indexed="81"/>
            <rFont val="宋体"/>
            <family val="3"/>
            <charset val="134"/>
          </rPr>
          <t xml:space="preserve">
CMB International</t>
        </r>
      </text>
    </comment>
    <comment ref="Q86" authorId="1" shapeId="0" xr:uid="{00000000-0006-0000-0000-000003000000}">
      <text>
        <r>
          <rPr>
            <b/>
            <sz val="9"/>
            <color indexed="81"/>
            <rFont val="宋体"/>
            <family val="3"/>
            <charset val="134"/>
          </rPr>
          <t>wh王昊(直属):</t>
        </r>
        <r>
          <rPr>
            <sz val="9"/>
            <color indexed="81"/>
            <rFont val="宋体"/>
            <family val="3"/>
            <charset val="134"/>
          </rPr>
          <t xml:space="preserve">
CMB International</t>
        </r>
      </text>
    </comment>
    <comment ref="R86" authorId="1" shapeId="0" xr:uid="{00000000-0006-0000-0000-000004000000}">
      <text>
        <r>
          <rPr>
            <b/>
            <sz val="9"/>
            <color indexed="81"/>
            <rFont val="宋体"/>
            <family val="3"/>
            <charset val="134"/>
          </rPr>
          <t>wh王昊(直属):</t>
        </r>
        <r>
          <rPr>
            <sz val="9"/>
            <color indexed="81"/>
            <rFont val="宋体"/>
            <family val="3"/>
            <charset val="134"/>
          </rPr>
          <t xml:space="preserve">
CMB International</t>
        </r>
      </text>
    </comment>
    <comment ref="G122" authorId="0" shapeId="0" xr:uid="{00000000-0006-0000-0000-000005000000}">
      <text>
        <r>
          <rPr>
            <sz val="9"/>
            <color indexed="81"/>
            <rFont val="宋体"/>
            <family val="3"/>
            <charset val="134"/>
          </rPr>
          <t>retention rate</t>
        </r>
      </text>
    </comment>
    <comment ref="C125" authorId="0" shapeId="0" xr:uid="{00000000-0006-0000-0000-000006000000}">
      <text>
        <r>
          <rPr>
            <sz val="9"/>
            <color indexed="81"/>
            <rFont val="宋体"/>
            <family val="3"/>
            <charset val="134"/>
          </rPr>
          <t>Financials include included the financial information of eLong from January 1, 2018 to March 9, 2018 and the consolidated financial information of eLong and Tongcheng Online Business from March 10, 2018 to December 31, 2018.</t>
        </r>
      </text>
    </comment>
    <comment ref="C126" authorId="0" shapeId="0" xr:uid="{00000000-0006-0000-0000-000007000000}">
      <text>
        <r>
          <rPr>
            <sz val="9"/>
            <color indexed="81"/>
            <rFont val="宋体"/>
            <family val="3"/>
            <charset val="134"/>
          </rPr>
          <t>Financials include included the financial information of eLong from January 1, 2018 to March 9, 2018 and the consolidated financial information of eLong and Tongcheng Online Business from March 10, 2018 to December 31, 2018.</t>
        </r>
      </text>
    </comment>
    <comment ref="L127" authorId="0" shapeId="0" xr:uid="{00000000-0006-0000-0000-000008000000}">
      <text>
        <r>
          <rPr>
            <sz val="9"/>
            <color indexed="81"/>
            <rFont val="宋体"/>
            <family val="3"/>
            <charset val="134"/>
          </rPr>
          <t>Compared with 17H1</t>
        </r>
      </text>
    </comment>
    <comment ref="C145" authorId="1" shapeId="0" xr:uid="{00000000-0006-0000-0000-000009000000}">
      <text>
        <r>
          <rPr>
            <b/>
            <sz val="9"/>
            <color indexed="81"/>
            <rFont val="宋体"/>
            <family val="3"/>
            <charset val="134"/>
          </rPr>
          <t>wh王昊(直属):</t>
        </r>
        <r>
          <rPr>
            <sz val="9"/>
            <color indexed="81"/>
            <rFont val="宋体"/>
            <family val="3"/>
            <charset val="134"/>
          </rPr>
          <t xml:space="preserve">
指向供应商购买配套增值旅游产品和服务的成本</t>
        </r>
      </text>
    </comment>
    <comment ref="G151" authorId="0" shapeId="0" xr:uid="{00000000-0006-0000-0000-00000A000000}">
      <text>
        <r>
          <rPr>
            <sz val="9"/>
            <color indexed="81"/>
            <rFont val="宋体"/>
            <family val="3"/>
            <charset val="134"/>
          </rPr>
          <t>Compared with 17H1</t>
        </r>
      </text>
    </comment>
    <comment ref="L151" authorId="0" shapeId="0" xr:uid="{00000000-0006-0000-0000-00000B000000}">
      <text>
        <r>
          <rPr>
            <sz val="9"/>
            <color indexed="81"/>
            <rFont val="宋体"/>
            <family val="3"/>
            <charset val="134"/>
          </rPr>
          <t>Compared with 17H1</t>
        </r>
      </text>
    </comment>
    <comment ref="C163" authorId="2" shapeId="0" xr:uid="{00000000-0006-0000-0000-00000C000000}">
      <text>
        <r>
          <rPr>
            <b/>
            <sz val="9"/>
            <color indexed="81"/>
            <rFont val="宋体"/>
            <family val="3"/>
            <charset val="134"/>
          </rPr>
          <t>作者:</t>
        </r>
        <r>
          <rPr>
            <sz val="9"/>
            <color indexed="81"/>
            <rFont val="宋体"/>
            <family val="3"/>
            <charset val="134"/>
          </rPr>
          <t xml:space="preserve">
毛利减去期间费用，再加上其他收入、其他收益/亏损净额以及按公允价值计量且其变动基于当期损益的投资公允价值变动</t>
        </r>
      </text>
    </comment>
    <comment ref="L166" authorId="0" shapeId="0" xr:uid="{00000000-0006-0000-0000-00000D000000}">
      <text>
        <r>
          <rPr>
            <sz val="9"/>
            <color indexed="81"/>
            <rFont val="宋体"/>
            <family val="3"/>
            <charset val="134"/>
          </rPr>
          <t>Compared with 17H1</t>
        </r>
      </text>
    </comment>
    <comment ref="L202" authorId="0" shapeId="0" xr:uid="{00000000-0006-0000-0000-00000E000000}">
      <text>
        <r>
          <rPr>
            <sz val="9"/>
            <color indexed="81"/>
            <rFont val="宋体"/>
            <family val="3"/>
            <charset val="134"/>
          </rPr>
          <t>Compared with 17H1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wh王昊(直属)</author>
  </authors>
  <commentList>
    <comment ref="D7" authorId="0" shapeId="0" xr:uid="{00000000-0006-0000-0100-000001000000}">
      <text>
        <r>
          <rPr>
            <b/>
            <sz val="9"/>
            <color indexed="81"/>
            <rFont val="宋体"/>
            <family val="3"/>
            <charset val="134"/>
          </rPr>
          <t>wh王昊(直属):</t>
        </r>
        <r>
          <rPr>
            <sz val="9"/>
            <color indexed="81"/>
            <rFont val="宋体"/>
            <family val="3"/>
            <charset val="134"/>
          </rPr>
          <t xml:space="preserve">
Estimated</t>
        </r>
      </text>
    </comment>
    <comment ref="D14" authorId="0" shapeId="0" xr:uid="{00000000-0006-0000-0100-000002000000}">
      <text>
        <r>
          <rPr>
            <b/>
            <sz val="9"/>
            <color indexed="81"/>
            <rFont val="宋体"/>
            <family val="3"/>
            <charset val="134"/>
          </rPr>
          <t>wh王昊(直属):</t>
        </r>
        <r>
          <rPr>
            <sz val="9"/>
            <color indexed="81"/>
            <rFont val="宋体"/>
            <family val="3"/>
            <charset val="134"/>
          </rPr>
          <t xml:space="preserve">
Estimated</t>
        </r>
      </text>
    </comment>
    <comment ref="D15" authorId="0" shapeId="0" xr:uid="{00000000-0006-0000-0100-000003000000}">
      <text>
        <r>
          <rPr>
            <b/>
            <sz val="9"/>
            <color indexed="81"/>
            <rFont val="宋体"/>
            <family val="3"/>
            <charset val="134"/>
          </rPr>
          <t>wh王昊(直属):</t>
        </r>
        <r>
          <rPr>
            <sz val="9"/>
            <color indexed="81"/>
            <rFont val="宋体"/>
            <family val="3"/>
            <charset val="134"/>
          </rPr>
          <t xml:space="preserve">
间夜量增速</t>
        </r>
      </text>
    </comment>
    <comment ref="D29" authorId="0" shapeId="0" xr:uid="{00000000-0006-0000-0100-000004000000}">
      <text>
        <r>
          <rPr>
            <b/>
            <sz val="9"/>
            <color indexed="81"/>
            <rFont val="宋体"/>
            <family val="3"/>
            <charset val="134"/>
          </rPr>
          <t>wh王昊(直属):</t>
        </r>
        <r>
          <rPr>
            <sz val="9"/>
            <color indexed="81"/>
            <rFont val="宋体"/>
            <family val="3"/>
            <charset val="134"/>
          </rPr>
          <t xml:space="preserve">
According to GS report</t>
        </r>
      </text>
    </comment>
    <comment ref="C37" authorId="0" shapeId="0" xr:uid="{00000000-0006-0000-0100-000005000000}">
      <text>
        <r>
          <rPr>
            <b/>
            <sz val="9"/>
            <color indexed="81"/>
            <rFont val="宋体"/>
            <family val="3"/>
            <charset val="134"/>
          </rPr>
          <t>wh王昊(直属):</t>
        </r>
        <r>
          <rPr>
            <sz val="9"/>
            <color indexed="81"/>
            <rFont val="宋体"/>
            <family val="3"/>
            <charset val="134"/>
          </rPr>
          <t xml:space="preserve">
</t>
        </r>
      </text>
    </comment>
    <comment ref="D37" authorId="0" shapeId="0" xr:uid="{00000000-0006-0000-0100-000006000000}">
      <text>
        <r>
          <rPr>
            <b/>
            <sz val="9"/>
            <color indexed="81"/>
            <rFont val="宋体"/>
            <family val="3"/>
            <charset val="134"/>
          </rPr>
          <t>wh王昊(直属):</t>
        </r>
        <r>
          <rPr>
            <sz val="9"/>
            <color indexed="81"/>
            <rFont val="宋体"/>
            <family val="3"/>
            <charset val="134"/>
          </rPr>
          <t xml:space="preserve">
GS 2020E: ADR=209
2017A: ADR=178
2018E: ADR=189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wh王昊(直属)</author>
  </authors>
  <commentList>
    <comment ref="A44" authorId="0" shapeId="0" xr:uid="{00000000-0006-0000-0200-000001000000}">
      <text>
        <r>
          <rPr>
            <b/>
            <sz val="9"/>
            <color indexed="81"/>
            <rFont val="宋体"/>
            <family val="3"/>
            <charset val="134"/>
          </rPr>
          <t>wh王昊(直属):</t>
        </r>
        <r>
          <rPr>
            <sz val="9"/>
            <color indexed="81"/>
            <rFont val="宋体"/>
            <family val="3"/>
            <charset val="134"/>
          </rPr>
          <t xml:space="preserve">
指向供应商购买配套增值旅游产品和服务的成本</t>
        </r>
      </text>
    </comment>
    <comment ref="A53" authorId="0" shapeId="0" xr:uid="{00000000-0006-0000-0200-000002000000}">
      <text>
        <r>
          <rPr>
            <b/>
            <sz val="9"/>
            <color indexed="81"/>
            <rFont val="宋体"/>
            <family val="3"/>
            <charset val="134"/>
          </rPr>
          <t>wh王昊(直属):</t>
        </r>
        <r>
          <rPr>
            <sz val="9"/>
            <color indexed="81"/>
            <rFont val="宋体"/>
            <family val="3"/>
            <charset val="134"/>
          </rPr>
          <t xml:space="preserve">
指向供应商购买配套增值旅游产品和服务的成本</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wh王昊(直属)</author>
    <author>zx章希</author>
  </authors>
  <commentList>
    <comment ref="S22" authorId="0" shapeId="0" xr:uid="{00000000-0006-0000-0300-000001000000}">
      <text>
        <r>
          <rPr>
            <b/>
            <sz val="9"/>
            <color indexed="81"/>
            <rFont val="宋体"/>
            <family val="3"/>
            <charset val="134"/>
          </rPr>
          <t>wh王昊(直属):</t>
        </r>
        <r>
          <rPr>
            <sz val="9"/>
            <color indexed="81"/>
            <rFont val="宋体"/>
            <family val="3"/>
            <charset val="134"/>
          </rPr>
          <t xml:space="preserve">
including one-time rebranding campaign charges of $8.6mn</t>
        </r>
      </text>
    </comment>
    <comment ref="P37" authorId="0" shapeId="0" xr:uid="{00000000-0006-0000-0300-000002000000}">
      <text>
        <r>
          <rPr>
            <b/>
            <sz val="9"/>
            <color indexed="81"/>
            <rFont val="宋体"/>
            <family val="3"/>
            <charset val="134"/>
          </rPr>
          <t>wh王昊(直属):</t>
        </r>
        <r>
          <rPr>
            <sz val="9"/>
            <color indexed="81"/>
            <rFont val="宋体"/>
            <family val="3"/>
            <charset val="134"/>
          </rPr>
          <t xml:space="preserve">
the company reported a net financial expense of $11mn, compared to $2.9mn in prior year. The increase was primarily due to FX impact of the currency devaluation in Argentina, Brazil and Chile</t>
        </r>
      </text>
    </comment>
    <comment ref="A40" authorId="1" shapeId="0" xr:uid="{00000000-0006-0000-0300-000003000000}">
      <text>
        <r>
          <rPr>
            <b/>
            <sz val="9"/>
            <rFont val="宋体"/>
            <family val="3"/>
            <charset val="134"/>
          </rPr>
          <t>zx章希:</t>
        </r>
        <r>
          <rPr>
            <sz val="9"/>
            <rFont val="宋体"/>
            <family val="3"/>
            <charset val="134"/>
          </rPr>
          <t xml:space="preserve">
Gaap OP + D&amp;A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zx章希</author>
  </authors>
  <commentList>
    <comment ref="A34" authorId="0" shapeId="0" xr:uid="{00000000-0006-0000-0400-000001000000}">
      <text>
        <r>
          <rPr>
            <b/>
            <sz val="9"/>
            <rFont val="宋体"/>
            <family val="3"/>
            <charset val="134"/>
          </rPr>
          <t>zx章希:</t>
        </r>
        <r>
          <rPr>
            <sz val="9"/>
            <rFont val="宋体"/>
            <family val="3"/>
            <charset val="134"/>
          </rPr>
          <t xml:space="preserve">
Gaap OP + D&amp;A</t>
        </r>
      </text>
    </comment>
    <comment ref="A50" authorId="0" shapeId="0" xr:uid="{00000000-0006-0000-0400-000002000000}">
      <text>
        <r>
          <rPr>
            <b/>
            <sz val="9"/>
            <rFont val="宋体"/>
            <family val="3"/>
            <charset val="134"/>
          </rPr>
          <t>zx章希:</t>
        </r>
        <r>
          <rPr>
            <sz val="9"/>
            <rFont val="宋体"/>
            <family val="3"/>
            <charset val="134"/>
          </rPr>
          <t xml:space="preserve">
term deposit</t>
        </r>
      </text>
    </comment>
    <comment ref="A153" authorId="0" shapeId="0" xr:uid="{00000000-0006-0000-0400-000003000000}">
      <text>
        <r>
          <rPr>
            <b/>
            <sz val="9"/>
            <rFont val="宋体"/>
            <family val="3"/>
            <charset val="134"/>
          </rPr>
          <t>zx章希:</t>
        </r>
        <r>
          <rPr>
            <sz val="9"/>
            <rFont val="宋体"/>
            <family val="3"/>
            <charset val="134"/>
          </rPr>
          <t xml:space="preserve">
Gaap OP + D&amp;A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Xiaofei Jin (金啸飞)</author>
    <author>zx章希</author>
    <author>Administrator</author>
    <author>zsw周世伟</author>
    <author>wyy吴英瑛</author>
    <author>yfq闫芳琦</author>
  </authors>
  <commentList>
    <comment ref="AW13" authorId="0" shapeId="0" xr:uid="{00000000-0006-0000-0600-000001000000}">
      <text>
        <r>
          <rPr>
            <sz val="9"/>
            <color indexed="81"/>
            <rFont val="宋体"/>
            <family val="3"/>
            <charset val="134"/>
          </rPr>
          <t>as of Oct 20, 2020</t>
        </r>
      </text>
    </comment>
    <comment ref="A18" authorId="1" shapeId="0" xr:uid="{00000000-0006-0000-0600-000002000000}">
      <text>
        <r>
          <rPr>
            <b/>
            <sz val="9"/>
            <rFont val="宋体"/>
            <family val="3"/>
            <charset val="134"/>
          </rPr>
          <t>zx章希:</t>
        </r>
        <r>
          <rPr>
            <sz val="9"/>
            <rFont val="宋体"/>
            <family val="3"/>
            <charset val="134"/>
          </rPr>
          <t xml:space="preserve">
http://www.dgca.nic.in/reports/rep-ind.htm</t>
        </r>
      </text>
    </comment>
    <comment ref="B18" authorId="1" shapeId="0" xr:uid="{00000000-0006-0000-0600-000003000000}">
      <text>
        <r>
          <rPr>
            <b/>
            <sz val="9"/>
            <rFont val="宋体"/>
            <family val="3"/>
            <charset val="134"/>
          </rPr>
          <t>zx章希:</t>
        </r>
        <r>
          <rPr>
            <sz val="9"/>
            <rFont val="宋体"/>
            <family val="3"/>
            <charset val="134"/>
          </rPr>
          <t xml:space="preserve">
Scheduled only</t>
        </r>
      </text>
    </comment>
    <comment ref="A30" authorId="1" shapeId="0" xr:uid="{00000000-0006-0000-0600-000004000000}">
      <text>
        <r>
          <rPr>
            <b/>
            <sz val="9"/>
            <rFont val="宋体"/>
            <family val="3"/>
            <charset val="134"/>
          </rPr>
          <t>zx章希:</t>
        </r>
        <r>
          <rPr>
            <sz val="9"/>
            <rFont val="宋体"/>
            <family val="3"/>
            <charset val="134"/>
          </rPr>
          <t xml:space="preserve">
http://dgca.nic.in/reports/stat-ind.htm</t>
        </r>
      </text>
    </comment>
    <comment ref="Z35" authorId="0" shapeId="0" xr:uid="{00000000-0006-0000-0600-000005000000}">
      <text>
        <r>
          <rPr>
            <sz val="9"/>
            <color indexed="81"/>
            <rFont val="宋体"/>
            <family val="3"/>
            <charset val="134"/>
          </rPr>
          <t>peak到过将近30%</t>
        </r>
      </text>
    </comment>
    <comment ref="A54" authorId="1" shapeId="0" xr:uid="{00000000-0006-0000-0600-000006000000}">
      <text>
        <r>
          <rPr>
            <b/>
            <sz val="9"/>
            <rFont val="宋体"/>
            <family val="3"/>
            <charset val="134"/>
          </rPr>
          <t>zx章希:</t>
        </r>
        <r>
          <rPr>
            <sz val="9"/>
            <rFont val="宋体"/>
            <family val="3"/>
            <charset val="134"/>
          </rPr>
          <t xml:space="preserve">
started to disclose volume data since 17Q2</t>
        </r>
      </text>
    </comment>
    <comment ref="S68" authorId="2" shapeId="0" xr:uid="{00000000-0006-0000-0600-000007000000}">
      <text>
        <r>
          <rPr>
            <b/>
            <sz val="9"/>
            <color indexed="81"/>
            <rFont val="Tahoma"/>
            <family val="2"/>
          </rPr>
          <t>Administrator:</t>
        </r>
        <r>
          <rPr>
            <sz val="9"/>
            <color indexed="81"/>
            <rFont val="Tahoma"/>
            <family val="2"/>
          </rPr>
          <t xml:space="preserve">
See sheet "OYO Estimation"</t>
        </r>
      </text>
    </comment>
    <comment ref="Z134" authorId="3" shapeId="0" xr:uid="{00000000-0006-0000-0600-000008000000}">
      <text>
        <r>
          <rPr>
            <sz val="9"/>
            <color indexed="81"/>
            <rFont val="宋体"/>
            <family val="3"/>
            <charset val="134"/>
          </rPr>
          <t>Adjusted for loyalty program
-25.963-(-24.074)
q报告取整写的是1.4m，实际是1.427</t>
        </r>
      </text>
    </comment>
    <comment ref="AA134" authorId="0" shapeId="0" xr:uid="{00000000-0006-0000-0600-000009000000}">
      <text>
        <r>
          <rPr>
            <sz val="9"/>
            <color indexed="81"/>
            <rFont val="宋体"/>
            <family val="3"/>
            <charset val="134"/>
          </rPr>
          <t>还要加回一个loyalty program的数字</t>
        </r>
      </text>
    </comment>
    <comment ref="V135" authorId="4" shapeId="0" xr:uid="{00000000-0006-0000-0600-00000A000000}">
      <text>
        <r>
          <rPr>
            <b/>
            <sz val="9"/>
            <color indexed="81"/>
            <rFont val="宋体"/>
            <family val="3"/>
            <charset val="134"/>
          </rPr>
          <t>wyy吴英瑛:</t>
        </r>
        <r>
          <rPr>
            <sz val="9"/>
            <color indexed="81"/>
            <rFont val="宋体"/>
            <family val="3"/>
            <charset val="134"/>
          </rPr>
          <t xml:space="preserve">
Promotion expenses recorded as a reduction of revenue</t>
        </r>
      </text>
    </comment>
    <comment ref="Z155" authorId="0" shapeId="0" xr:uid="{00000000-0006-0000-0600-00000B000000}">
      <text>
        <r>
          <rPr>
            <sz val="9"/>
            <color indexed="81"/>
            <rFont val="宋体"/>
            <family val="3"/>
            <charset val="134"/>
          </rPr>
          <t>Other cost of providing services里加回了loyalty program 1.427，仅是调整adj rev使用，实际算EBIT还要扣掉</t>
        </r>
      </text>
    </comment>
    <comment ref="A173" authorId="1" shapeId="0" xr:uid="{00000000-0006-0000-0600-00000C000000}">
      <text>
        <r>
          <rPr>
            <b/>
            <sz val="9"/>
            <rFont val="宋体"/>
            <family val="3"/>
            <charset val="134"/>
          </rPr>
          <t>zx章希:</t>
        </r>
        <r>
          <rPr>
            <sz val="9"/>
            <rFont val="宋体"/>
            <family val="3"/>
            <charset val="134"/>
          </rPr>
          <t xml:space="preserve">
Gaap OP + D&amp;A</t>
        </r>
      </text>
    </comment>
    <comment ref="V193" authorId="4" shapeId="0" xr:uid="{00000000-0006-0000-0600-00000D000000}">
      <text>
        <r>
          <rPr>
            <b/>
            <sz val="9"/>
            <color indexed="81"/>
            <rFont val="宋体"/>
            <family val="3"/>
            <charset val="134"/>
          </rPr>
          <t>wyy吴英瑛:</t>
        </r>
        <r>
          <rPr>
            <sz val="9"/>
            <color indexed="81"/>
            <rFont val="宋体"/>
            <family val="3"/>
            <charset val="134"/>
          </rPr>
          <t xml:space="preserve">
year not </t>
        </r>
        <r>
          <rPr>
            <sz val="9"/>
            <color indexed="81"/>
            <rFont val="宋体"/>
            <family val="3"/>
            <charset val="134"/>
          </rPr>
          <t xml:space="preserve">quarter
</t>
        </r>
      </text>
    </comment>
    <comment ref="A211" authorId="1" shapeId="0" xr:uid="{00000000-0006-0000-0600-00000E000000}">
      <text>
        <r>
          <rPr>
            <b/>
            <sz val="9"/>
            <rFont val="宋体"/>
            <family val="3"/>
            <charset val="134"/>
          </rPr>
          <t>zx章希:</t>
        </r>
        <r>
          <rPr>
            <sz val="9"/>
            <rFont val="宋体"/>
            <family val="3"/>
            <charset val="134"/>
          </rPr>
          <t xml:space="preserve">
term deposit</t>
        </r>
      </text>
    </comment>
    <comment ref="V211" authorId="4" shapeId="0" xr:uid="{00000000-0006-0000-0600-00000F000000}">
      <text>
        <r>
          <rPr>
            <b/>
            <sz val="9"/>
            <color indexed="81"/>
            <rFont val="宋体"/>
            <family val="3"/>
            <charset val="134"/>
          </rPr>
          <t>wyy吴英瑛:</t>
        </r>
        <r>
          <rPr>
            <sz val="9"/>
            <color indexed="81"/>
            <rFont val="宋体"/>
            <family val="3"/>
            <charset val="134"/>
          </rPr>
          <t xml:space="preserve">
term deposits</t>
        </r>
      </text>
    </comment>
    <comment ref="V218" authorId="4" shapeId="0" xr:uid="{00000000-0006-0000-0600-000010000000}">
      <text>
        <r>
          <rPr>
            <b/>
            <sz val="9"/>
            <color indexed="81"/>
            <rFont val="宋体"/>
            <family val="3"/>
            <charset val="134"/>
          </rPr>
          <t>wyy吴英瑛:</t>
        </r>
        <r>
          <rPr>
            <sz val="9"/>
            <color indexed="81"/>
            <rFont val="宋体"/>
            <family val="3"/>
            <charset val="134"/>
          </rPr>
          <t xml:space="preserve">
loans and borrowings</t>
        </r>
      </text>
    </comment>
    <comment ref="V241" authorId="4" shapeId="0" xr:uid="{00000000-0006-0000-0600-000011000000}">
      <text>
        <r>
          <rPr>
            <b/>
            <sz val="9"/>
            <color indexed="81"/>
            <rFont val="宋体"/>
            <family val="3"/>
            <charset val="134"/>
          </rPr>
          <t>wyy吴英瑛:</t>
        </r>
        <r>
          <rPr>
            <sz val="9"/>
            <color indexed="81"/>
            <rFont val="宋体"/>
            <family val="3"/>
            <charset val="134"/>
          </rPr>
          <t xml:space="preserve">
earnings call,properties</t>
        </r>
      </text>
    </comment>
    <comment ref="V244" authorId="4" shapeId="0" xr:uid="{00000000-0006-0000-0600-000012000000}">
      <text>
        <r>
          <rPr>
            <b/>
            <sz val="9"/>
            <color indexed="81"/>
            <rFont val="宋体"/>
            <family val="3"/>
            <charset val="134"/>
          </rPr>
          <t>wyy吴英瑛:</t>
        </r>
        <r>
          <rPr>
            <sz val="9"/>
            <color indexed="81"/>
            <rFont val="宋体"/>
            <family val="3"/>
            <charset val="134"/>
          </rPr>
          <t xml:space="preserve">
from 6-K:about mmyt</t>
        </r>
      </text>
    </comment>
    <comment ref="A247" authorId="5" shapeId="0" xr:uid="{00000000-0006-0000-0600-000013000000}">
      <text>
        <r>
          <rPr>
            <b/>
            <sz val="9"/>
            <color indexed="81"/>
            <rFont val="宋体"/>
            <family val="3"/>
            <charset val="134"/>
          </rPr>
          <t>yfq闫芳琦:</t>
        </r>
        <r>
          <rPr>
            <sz val="9"/>
            <color indexed="81"/>
            <rFont val="宋体"/>
            <family val="3"/>
            <charset val="134"/>
          </rPr>
          <t xml:space="preserve">
https://investors.yatra.com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zx章希</author>
  </authors>
  <commentList>
    <comment ref="AC3" authorId="0" shapeId="0" xr:uid="{00000000-0006-0000-0700-000001000000}">
      <text>
        <r>
          <rPr>
            <b/>
            <sz val="9"/>
            <rFont val="宋体"/>
            <family val="3"/>
            <charset val="134"/>
          </rPr>
          <t>zx章希:</t>
        </r>
        <r>
          <rPr>
            <sz val="9"/>
            <rFont val="宋体"/>
            <family val="3"/>
            <charset val="134"/>
          </rPr>
          <t xml:space="preserve">
started to disclose volume data since 17Q2</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Zeyi CHEN （陈则易）</author>
    <author>Shiyuan Tian （田诗园）</author>
    <author>wjy吴佳盈</author>
    <author>Shirley Sun</author>
    <author>zx章希</author>
    <author>vqmx亓明轩</author>
    <author>wyy吴英瑛</author>
    <author>z_lin</author>
    <author>yfq闫芳琦</author>
    <author>Ziyu Ma （马子彧）(FU-职能区)</author>
    <author>Miller, Ben H [GIR]</author>
    <author>Qiuting Wang (RS)</author>
    <author>王秋婷</author>
  </authors>
  <commentList>
    <comment ref="BL6" authorId="0" shapeId="0" xr:uid="{7AF9942B-A9B8-428D-9715-E419C2F7CEAA}">
      <text>
        <r>
          <rPr>
            <b/>
            <sz val="9"/>
            <color indexed="81"/>
            <rFont val="宋体"/>
            <family val="3"/>
            <charset val="134"/>
          </rPr>
          <t>Headline Gross Bookings = $51.0B (51000 $mn) per 8-K / ER.
Agency+Merchant GBV in model = 13961+36996 = 50957 (Bloomberg Act).
Does NOT sum to 51000: official supplemental prints rounded $14.0B/$37.0B; BB Act used for Agency/Merchant detail. Gap ~43 $mn is rounding / source mix, not a model error.</t>
        </r>
      </text>
    </comment>
    <comment ref="BK46" authorId="1" shapeId="0" xr:uid="{47EA5E88-6FEC-4699-8DE0-23C53BDABBB5}">
      <text>
        <r>
          <rPr>
            <b/>
            <sz val="9"/>
            <color indexed="81"/>
            <rFont val="Tahoma"/>
            <family val="2"/>
          </rPr>
          <t>Shiyuan Tian （田诗园）:</t>
        </r>
        <r>
          <rPr>
            <sz val="9"/>
            <color indexed="81"/>
            <rFont val="Tahoma"/>
            <family val="2"/>
          </rPr>
          <t xml:space="preserve">
quarterly filing 9.6%</t>
        </r>
      </text>
    </comment>
    <comment ref="A60" authorId="2" shapeId="0" xr:uid="{00000000-0006-0000-0800-000001000000}">
      <text>
        <r>
          <rPr>
            <sz val="9"/>
            <color indexed="81"/>
            <rFont val="宋体"/>
            <family val="3"/>
            <charset val="134"/>
          </rPr>
          <t xml:space="preserve">从20Q1开始将Brand Marketing &amp; Performance Marketing合并为marketing expense
</t>
        </r>
      </text>
    </comment>
    <comment ref="AO73" authorId="2" shapeId="0" xr:uid="{00000000-0006-0000-0800-000002000000}">
      <text>
        <r>
          <rPr>
            <b/>
            <sz val="9"/>
            <color indexed="81"/>
            <rFont val="宋体"/>
            <family val="3"/>
            <charset val="134"/>
          </rPr>
          <t>wjy吴佳盈:</t>
        </r>
        <r>
          <rPr>
            <sz val="9"/>
            <color indexed="81"/>
            <rFont val="宋体"/>
            <family val="3"/>
            <charset val="134"/>
          </rPr>
          <t xml:space="preserve">
Restructing and other exit costs</t>
        </r>
      </text>
    </comment>
    <comment ref="AP73" authorId="2" shapeId="0" xr:uid="{00000000-0006-0000-0800-000003000000}">
      <text>
        <r>
          <rPr>
            <b/>
            <sz val="9"/>
            <color indexed="81"/>
            <rFont val="宋体"/>
            <family val="3"/>
            <charset val="134"/>
          </rPr>
          <t>restructing and other exit costs</t>
        </r>
      </text>
    </comment>
    <comment ref="AQ73" authorId="3" shapeId="0" xr:uid="{00000000-0006-0000-0800-000004000000}">
      <text>
        <r>
          <rPr>
            <sz val="9"/>
            <color indexed="81"/>
            <rFont val="宋体"/>
            <family val="3"/>
            <charset val="134"/>
          </rPr>
          <t>Restructuring and other exit costs</t>
        </r>
      </text>
    </comment>
    <comment ref="AR73" authorId="3" shapeId="0" xr:uid="{00000000-0006-0000-0800-000005000000}">
      <text>
        <r>
          <rPr>
            <sz val="9"/>
            <color indexed="81"/>
            <rFont val="宋体"/>
            <family val="3"/>
            <charset val="134"/>
          </rPr>
          <t xml:space="preserve">
Restructuring and other exit costs</t>
        </r>
      </text>
    </comment>
    <comment ref="AS73" authorId="3" shapeId="0" xr:uid="{00000000-0006-0000-0800-000006000000}">
      <text>
        <r>
          <rPr>
            <sz val="9"/>
            <color indexed="81"/>
            <rFont val="宋体"/>
            <family val="3"/>
            <charset val="134"/>
          </rPr>
          <t xml:space="preserve">
Restructuring and other exit costs</t>
        </r>
      </text>
    </comment>
    <comment ref="AT73" authorId="3" shapeId="0" xr:uid="{00000000-0006-0000-0800-000007000000}">
      <text>
        <r>
          <rPr>
            <sz val="9"/>
            <color indexed="81"/>
            <rFont val="宋体"/>
            <family val="3"/>
            <charset val="134"/>
          </rPr>
          <t xml:space="preserve">
Restructuring and other exit costs</t>
        </r>
      </text>
    </comment>
    <comment ref="AU73" authorId="3" shapeId="0" xr:uid="{00000000-0006-0000-0800-000008000000}">
      <text>
        <r>
          <rPr>
            <sz val="9"/>
            <color indexed="81"/>
            <rFont val="宋体"/>
            <family val="3"/>
            <charset val="134"/>
          </rPr>
          <t xml:space="preserve">
Restructuring and other exit costs</t>
        </r>
      </text>
    </comment>
    <comment ref="BR73" authorId="3" shapeId="0" xr:uid="{00000000-0006-0000-0800-000009000000}">
      <text>
        <r>
          <rPr>
            <b/>
            <sz val="9"/>
            <color indexed="81"/>
            <rFont val="宋体"/>
            <family val="3"/>
            <charset val="134"/>
          </rPr>
          <t>Shirley Sun:</t>
        </r>
        <r>
          <rPr>
            <sz val="9"/>
            <color indexed="81"/>
            <rFont val="宋体"/>
            <family val="3"/>
            <charset val="134"/>
          </rPr>
          <t xml:space="preserve">
Restructuring and other exit costs</t>
        </r>
      </text>
    </comment>
    <comment ref="Y77" authorId="4" shapeId="0" xr:uid="{00000000-0006-0000-0800-00000A000000}">
      <text>
        <r>
          <rPr>
            <b/>
            <sz val="9"/>
            <color indexed="81"/>
            <rFont val="宋体"/>
            <family val="3"/>
            <charset val="134"/>
          </rPr>
          <t>zx章希:</t>
        </r>
        <r>
          <rPr>
            <sz val="9"/>
            <color indexed="81"/>
            <rFont val="宋体"/>
            <family val="3"/>
            <charset val="134"/>
          </rPr>
          <t xml:space="preserve">
从Q3开始non-GAAP OP不再加回SBC</t>
        </r>
      </text>
    </comment>
    <comment ref="Y86" authorId="4" shapeId="0" xr:uid="{00000000-0006-0000-0800-00000B000000}">
      <text>
        <r>
          <rPr>
            <b/>
            <sz val="9"/>
            <color indexed="81"/>
            <rFont val="宋体"/>
            <family val="3"/>
            <charset val="134"/>
          </rPr>
          <t>zx章希:</t>
        </r>
        <r>
          <rPr>
            <sz val="9"/>
            <color indexed="81"/>
            <rFont val="宋体"/>
            <family val="3"/>
            <charset val="134"/>
          </rPr>
          <t xml:space="preserve">
从2016Q3开始adjusted EBITDA不再加回SBC</t>
        </r>
      </text>
    </comment>
    <comment ref="BE86" authorId="1" shapeId="0" xr:uid="{BD726CED-FF7E-41A8-9722-A0494371384B}">
      <text>
        <r>
          <rPr>
            <b/>
            <sz val="9"/>
            <color indexed="81"/>
            <rFont val="Tahoma"/>
            <family val="2"/>
          </rPr>
          <t>Shiyuan Tian （田诗园）:</t>
        </r>
        <r>
          <rPr>
            <sz val="9"/>
            <color indexed="81"/>
            <rFont val="Tahoma"/>
            <family val="2"/>
          </rPr>
          <t xml:space="preserve">
update from 3700 to 3665 on 10/29/2025</t>
        </r>
      </text>
    </comment>
    <comment ref="AP96" authorId="2" shapeId="0" xr:uid="{00000000-0006-0000-0800-00000C000000}">
      <text>
        <r>
          <rPr>
            <b/>
            <sz val="9"/>
            <color indexed="81"/>
            <rFont val="宋体"/>
            <family val="3"/>
            <charset val="134"/>
          </rPr>
          <t>Other income (exp), net-interest income</t>
        </r>
      </text>
    </comment>
    <comment ref="Y112" authorId="4" shapeId="0" xr:uid="{00000000-0006-0000-0800-00000D000000}">
      <text>
        <r>
          <rPr>
            <b/>
            <sz val="9"/>
            <color indexed="81"/>
            <rFont val="宋体"/>
            <family val="3"/>
            <charset val="134"/>
          </rPr>
          <t>zx章希:</t>
        </r>
        <r>
          <rPr>
            <sz val="9"/>
            <color indexed="81"/>
            <rFont val="宋体"/>
            <family val="3"/>
            <charset val="134"/>
          </rPr>
          <t xml:space="preserve">
从2016Q3开始non-GAAP net income不再加回SBC</t>
        </r>
      </text>
    </comment>
    <comment ref="BK119" authorId="1" shapeId="0" xr:uid="{12FA15F5-2100-4385-BF32-870499D6C37A}">
      <text>
        <r>
          <rPr>
            <b/>
            <sz val="9"/>
            <color indexed="81"/>
            <rFont val="Tahoma"/>
            <family val="2"/>
          </rPr>
          <t>Shiyuan Tian （田诗园）:</t>
        </r>
        <r>
          <rPr>
            <sz val="9"/>
            <color indexed="81"/>
            <rFont val="Tahoma"/>
            <family val="2"/>
          </rPr>
          <t xml:space="preserve">
1 for 25 stock split</t>
        </r>
      </text>
    </comment>
    <comment ref="BL119" authorId="0" shapeId="0" xr:uid="{DAEA2C29-EF4F-41D2-916F-9FFC9C407E93}">
      <text>
        <r>
          <rPr>
            <b/>
            <sz val="9"/>
            <color indexed="81"/>
            <rFont val="宋体"/>
            <family val="3"/>
            <charset val="134"/>
          </rPr>
          <t>25-for-1 stock split (effective Apr 2, 2026); EPS and diluted shares shown post-split.</t>
        </r>
      </text>
    </comment>
    <comment ref="BL122" authorId="0" shapeId="0" xr:uid="{C7187039-D81D-439B-B16D-4FCE64FEE86B}">
      <text>
        <r>
          <rPr>
            <b/>
            <sz val="9"/>
            <color indexed="81"/>
            <rFont val="宋体"/>
            <family val="3"/>
            <charset val="134"/>
          </rPr>
          <t>25-for-1 stock split (effective Apr 2, 2026); EPS and diluted shares shown post-split.</t>
        </r>
      </text>
    </comment>
    <comment ref="A175" authorId="2" shapeId="0" xr:uid="{F117760E-DA99-4994-AF41-E6A6ADFC5462}">
      <text>
        <r>
          <rPr>
            <sz val="9"/>
            <color indexed="81"/>
            <rFont val="宋体"/>
            <family val="3"/>
            <charset val="134"/>
          </rPr>
          <t xml:space="preserve">从20Q1开始将Brand Marketing &amp; Performance Marketing合并为marketing expense
</t>
        </r>
      </text>
    </comment>
    <comment ref="O196" authorId="5" shapeId="0" xr:uid="{00000000-0006-0000-0800-00000E000000}">
      <text>
        <r>
          <rPr>
            <sz val="10"/>
            <color indexed="81"/>
            <rFont val="宋体"/>
            <family val="3"/>
            <charset val="134"/>
          </rPr>
          <t>Convertible</t>
        </r>
      </text>
    </comment>
    <comment ref="P196" authorId="5" shapeId="0" xr:uid="{00000000-0006-0000-0800-00000F000000}">
      <text>
        <r>
          <rPr>
            <sz val="10"/>
            <color indexed="81"/>
            <rFont val="宋体"/>
            <family val="3"/>
            <charset val="134"/>
          </rPr>
          <t>Convertible</t>
        </r>
      </text>
    </comment>
    <comment ref="AI196" authorId="6" shapeId="0" xr:uid="{00000000-0006-0000-0800-000010000000}">
      <text>
        <r>
          <rPr>
            <b/>
            <sz val="9"/>
            <color indexed="81"/>
            <rFont val="宋体"/>
            <family val="3"/>
            <charset val="134"/>
          </rPr>
          <t>wyy吴英瑛:</t>
        </r>
        <r>
          <rPr>
            <sz val="9"/>
            <color indexed="81"/>
            <rFont val="宋体"/>
            <family val="3"/>
            <charset val="134"/>
          </rPr>
          <t xml:space="preserve">
convertible debt</t>
        </r>
      </text>
    </comment>
    <comment ref="O197" authorId="5" shapeId="0" xr:uid="{00000000-0006-0000-0800-000011000000}">
      <text>
        <r>
          <rPr>
            <b/>
            <sz val="10"/>
            <color indexed="81"/>
            <rFont val="宋体"/>
            <family val="3"/>
            <charset val="134"/>
          </rPr>
          <t>Convertible Debt</t>
        </r>
      </text>
    </comment>
    <comment ref="P197" authorId="5" shapeId="0" xr:uid="{00000000-0006-0000-0800-000012000000}">
      <text>
        <r>
          <rPr>
            <b/>
            <sz val="10"/>
            <color indexed="81"/>
            <rFont val="宋体"/>
            <family val="3"/>
            <charset val="134"/>
          </rPr>
          <t>Convertible Debt</t>
        </r>
      </text>
    </comment>
    <comment ref="AI212" authorId="6" shapeId="0" xr:uid="{00000000-0006-0000-0800-000013000000}">
      <text>
        <r>
          <rPr>
            <b/>
            <sz val="9"/>
            <color indexed="81"/>
            <rFont val="宋体"/>
            <family val="3"/>
            <charset val="134"/>
          </rPr>
          <t>wyy吴英瑛:</t>
        </r>
        <r>
          <rPr>
            <sz val="9"/>
            <color indexed="81"/>
            <rFont val="宋体"/>
            <family val="3"/>
            <charset val="134"/>
          </rPr>
          <t xml:space="preserve">
additions to property and equipment</t>
        </r>
      </text>
    </comment>
    <comment ref="N220" authorId="7" shapeId="0" xr:uid="{00000000-0006-0000-0800-000014000000}">
      <text>
        <r>
          <rPr>
            <b/>
            <sz val="9"/>
            <color indexed="81"/>
            <rFont val="宋体"/>
            <family val="3"/>
            <charset val="134"/>
          </rPr>
          <t>z_lin:</t>
        </r>
        <r>
          <rPr>
            <sz val="9"/>
            <color indexed="81"/>
            <rFont val="宋体"/>
            <family val="3"/>
            <charset val="134"/>
          </rPr>
          <t xml:space="preserve">
Mainly Booking.com</t>
        </r>
      </text>
    </comment>
    <comment ref="O220" authorId="7" shapeId="0" xr:uid="{00000000-0006-0000-0800-000015000000}">
      <text>
        <r>
          <rPr>
            <b/>
            <sz val="9"/>
            <color indexed="81"/>
            <rFont val="宋体"/>
            <family val="3"/>
            <charset val="134"/>
          </rPr>
          <t>z_lin:</t>
        </r>
        <r>
          <rPr>
            <sz val="9"/>
            <color indexed="81"/>
            <rFont val="宋体"/>
            <family val="3"/>
            <charset val="134"/>
          </rPr>
          <t xml:space="preserve">
Mainly Booking.com</t>
        </r>
      </text>
    </comment>
    <comment ref="P220" authorId="7" shapeId="0" xr:uid="{00000000-0006-0000-0800-000016000000}">
      <text>
        <r>
          <rPr>
            <b/>
            <sz val="9"/>
            <color indexed="81"/>
            <rFont val="宋体"/>
            <family val="3"/>
            <charset val="134"/>
          </rPr>
          <t>z_lin:</t>
        </r>
        <r>
          <rPr>
            <sz val="9"/>
            <color indexed="81"/>
            <rFont val="宋体"/>
            <family val="3"/>
            <charset val="134"/>
          </rPr>
          <t xml:space="preserve">
Mainly Booking.com</t>
        </r>
      </text>
    </comment>
    <comment ref="AI220" authorId="6" shapeId="0" xr:uid="{00000000-0006-0000-0800-000017000000}">
      <text>
        <r>
          <rPr>
            <b/>
            <sz val="9"/>
            <color indexed="81"/>
            <rFont val="宋体"/>
            <family val="3"/>
            <charset val="134"/>
          </rPr>
          <t>wyy吴英瑛:</t>
        </r>
        <r>
          <rPr>
            <sz val="9"/>
            <color indexed="81"/>
            <rFont val="宋体"/>
            <family val="3"/>
            <charset val="134"/>
          </rPr>
          <t xml:space="preserve">
from 10-Q</t>
        </r>
      </text>
    </comment>
    <comment ref="AS220" authorId="3" shapeId="0" xr:uid="{00000000-0006-0000-0800-000018000000}">
      <text>
        <r>
          <rPr>
            <b/>
            <sz val="9"/>
            <color indexed="81"/>
            <rFont val="宋体"/>
            <family val="3"/>
            <charset val="134"/>
          </rPr>
          <t>Shirley Sun:</t>
        </r>
        <r>
          <rPr>
            <sz val="9"/>
            <color indexed="81"/>
            <rFont val="宋体"/>
            <family val="3"/>
            <charset val="134"/>
          </rPr>
          <t xml:space="preserve">
10Q</t>
        </r>
      </text>
    </comment>
    <comment ref="AT220" authorId="3" shapeId="0" xr:uid="{00000000-0006-0000-0800-000019000000}">
      <text>
        <r>
          <rPr>
            <b/>
            <sz val="9"/>
            <color indexed="81"/>
            <rFont val="宋体"/>
            <family val="3"/>
            <charset val="134"/>
          </rPr>
          <t>Shirley Sun:</t>
        </r>
        <r>
          <rPr>
            <sz val="9"/>
            <color indexed="81"/>
            <rFont val="宋体"/>
            <family val="3"/>
            <charset val="134"/>
          </rPr>
          <t xml:space="preserve">
10Q</t>
        </r>
      </text>
    </comment>
    <comment ref="AU220" authorId="3" shapeId="0" xr:uid="{00000000-0006-0000-0800-00001A000000}">
      <text>
        <r>
          <rPr>
            <b/>
            <sz val="9"/>
            <color indexed="81"/>
            <rFont val="宋体"/>
            <family val="3"/>
            <charset val="134"/>
          </rPr>
          <t>Shirley Sun:</t>
        </r>
        <r>
          <rPr>
            <sz val="9"/>
            <color indexed="81"/>
            <rFont val="宋体"/>
            <family val="3"/>
            <charset val="134"/>
          </rPr>
          <t xml:space="preserve">
10Q</t>
        </r>
      </text>
    </comment>
    <comment ref="AD222" authorId="8" shapeId="0" xr:uid="{00000000-0006-0000-0800-00001B000000}">
      <text>
        <r>
          <rPr>
            <b/>
            <sz val="9"/>
            <color indexed="81"/>
            <rFont val="宋体"/>
            <family val="3"/>
            <charset val="134"/>
          </rPr>
          <t>yfq闫芳琦:</t>
        </r>
        <r>
          <rPr>
            <sz val="9"/>
            <color indexed="81"/>
            <rFont val="宋体"/>
            <family val="3"/>
            <charset val="134"/>
          </rPr>
          <t xml:space="preserve">
In 17Q4, BKNG changed property count to hotels and Alternative property, from vaction rental peoperties and others before.</t>
        </r>
      </text>
    </comment>
    <comment ref="AS222" authorId="3" shapeId="0" xr:uid="{00000000-0006-0000-0800-00001C000000}">
      <text>
        <r>
          <rPr>
            <b/>
            <sz val="9"/>
            <color indexed="81"/>
            <rFont val="宋体"/>
            <family val="3"/>
            <charset val="134"/>
          </rPr>
          <t>Shirley Sun:</t>
        </r>
        <r>
          <rPr>
            <sz val="9"/>
            <color indexed="81"/>
            <rFont val="宋体"/>
            <family val="3"/>
            <charset val="134"/>
          </rPr>
          <t xml:space="preserve">
10Q</t>
        </r>
      </text>
    </comment>
    <comment ref="AT222" authorId="3" shapeId="0" xr:uid="{00000000-0006-0000-0800-00001D000000}">
      <text>
        <r>
          <rPr>
            <b/>
            <sz val="9"/>
            <color indexed="81"/>
            <rFont val="宋体"/>
            <family val="3"/>
            <charset val="134"/>
          </rPr>
          <t>Shirley Sun:</t>
        </r>
        <r>
          <rPr>
            <sz val="9"/>
            <color indexed="81"/>
            <rFont val="宋体"/>
            <family val="3"/>
            <charset val="134"/>
          </rPr>
          <t xml:space="preserve">
10Q</t>
        </r>
      </text>
    </comment>
    <comment ref="AU222" authorId="3" shapeId="0" xr:uid="{00000000-0006-0000-0800-00001E000000}">
      <text>
        <r>
          <rPr>
            <b/>
            <sz val="9"/>
            <color indexed="81"/>
            <rFont val="宋体"/>
            <family val="3"/>
            <charset val="134"/>
          </rPr>
          <t>Shirley Sun:</t>
        </r>
        <r>
          <rPr>
            <sz val="9"/>
            <color indexed="81"/>
            <rFont val="宋体"/>
            <family val="3"/>
            <charset val="134"/>
          </rPr>
          <t xml:space="preserve">
10Q</t>
        </r>
      </text>
    </comment>
    <comment ref="AS225" authorId="3" shapeId="0" xr:uid="{00000000-0006-0000-0800-00001F000000}">
      <text>
        <r>
          <rPr>
            <b/>
            <sz val="9"/>
            <color indexed="81"/>
            <rFont val="宋体"/>
            <family val="3"/>
            <charset val="134"/>
          </rPr>
          <t>Shirley Sun:</t>
        </r>
        <r>
          <rPr>
            <sz val="9"/>
            <color indexed="81"/>
            <rFont val="宋体"/>
            <family val="3"/>
            <charset val="134"/>
          </rPr>
          <t xml:space="preserve">
10Q</t>
        </r>
      </text>
    </comment>
    <comment ref="AT225" authorId="3" shapeId="0" xr:uid="{00000000-0006-0000-0800-000020000000}">
      <text>
        <r>
          <rPr>
            <b/>
            <sz val="9"/>
            <color indexed="81"/>
            <rFont val="宋体"/>
            <family val="3"/>
            <charset val="134"/>
          </rPr>
          <t>Shirley Sun:</t>
        </r>
        <r>
          <rPr>
            <sz val="9"/>
            <color indexed="81"/>
            <rFont val="宋体"/>
            <family val="3"/>
            <charset val="134"/>
          </rPr>
          <t xml:space="preserve">
10Q</t>
        </r>
      </text>
    </comment>
    <comment ref="AU225" authorId="3" shapeId="0" xr:uid="{00000000-0006-0000-0800-000021000000}">
      <text>
        <r>
          <rPr>
            <b/>
            <sz val="9"/>
            <color indexed="81"/>
            <rFont val="宋体"/>
            <family val="3"/>
            <charset val="134"/>
          </rPr>
          <t>Shirley Sun:</t>
        </r>
        <r>
          <rPr>
            <sz val="9"/>
            <color indexed="81"/>
            <rFont val="宋体"/>
            <family val="3"/>
            <charset val="134"/>
          </rPr>
          <t xml:space="preserve">
10Q</t>
        </r>
      </text>
    </comment>
    <comment ref="AR227" authorId="3" shapeId="0" xr:uid="{00000000-0006-0000-0800-000022000000}">
      <text>
        <r>
          <rPr>
            <b/>
            <sz val="9"/>
            <color indexed="81"/>
            <rFont val="宋体"/>
            <family val="3"/>
            <charset val="134"/>
          </rPr>
          <t>Shirley Sun:</t>
        </r>
        <r>
          <rPr>
            <sz val="9"/>
            <color indexed="81"/>
            <rFont val="宋体"/>
            <family val="3"/>
            <charset val="134"/>
          </rPr>
          <t xml:space="preserve">
Transcript</t>
        </r>
      </text>
    </comment>
    <comment ref="AS227" authorId="3" shapeId="0" xr:uid="{00000000-0006-0000-0800-000023000000}">
      <text>
        <r>
          <rPr>
            <b/>
            <sz val="9"/>
            <color indexed="81"/>
            <rFont val="宋体"/>
            <family val="3"/>
            <charset val="134"/>
          </rPr>
          <t>Shirley Sun:</t>
        </r>
        <r>
          <rPr>
            <sz val="9"/>
            <color indexed="81"/>
            <rFont val="宋体"/>
            <family val="3"/>
            <charset val="134"/>
          </rPr>
          <t xml:space="preserve">
Transcript</t>
        </r>
      </text>
    </comment>
    <comment ref="AT227" authorId="3" shapeId="0" xr:uid="{00000000-0006-0000-0800-000024000000}">
      <text>
        <r>
          <rPr>
            <b/>
            <sz val="9"/>
            <color indexed="81"/>
            <rFont val="宋体"/>
            <family val="3"/>
            <charset val="134"/>
          </rPr>
          <t>Shirley Sun:</t>
        </r>
        <r>
          <rPr>
            <sz val="9"/>
            <color indexed="81"/>
            <rFont val="宋体"/>
            <family val="3"/>
            <charset val="134"/>
          </rPr>
          <t xml:space="preserve">
Transcript</t>
        </r>
      </text>
    </comment>
    <comment ref="AR231" authorId="3" shapeId="0" xr:uid="{00000000-0006-0000-0800-000025000000}">
      <text>
        <r>
          <rPr>
            <b/>
            <sz val="9"/>
            <color indexed="81"/>
            <rFont val="宋体"/>
            <family val="3"/>
            <charset val="134"/>
          </rPr>
          <t>Shirley Sun:</t>
        </r>
        <r>
          <rPr>
            <sz val="9"/>
            <color indexed="81"/>
            <rFont val="宋体"/>
            <family val="3"/>
            <charset val="134"/>
          </rPr>
          <t xml:space="preserve">
Transcript</t>
        </r>
      </text>
    </comment>
    <comment ref="BW309" authorId="1" shapeId="0" xr:uid="{5D58AFE9-FF4E-4B83-9758-396431076AF6}">
      <text>
        <r>
          <rPr>
            <b/>
            <sz val="9"/>
            <color indexed="81"/>
            <rFont val="Tahoma"/>
            <family val="2"/>
          </rPr>
          <t>Shiyuan Tian （田诗园）:</t>
        </r>
        <r>
          <rPr>
            <sz val="9"/>
            <color indexed="81"/>
            <rFont val="Tahoma"/>
            <family val="2"/>
          </rPr>
          <t xml:space="preserve">
2024: Booking.com's air ticket Gross Merchandise Value (GMV) is explicitly reported as $13.1 billion for the full year 2024
2025: For the full year, travelers booked 68 million airline tickets across our platforms, up 37% year-over-year, and represented gross bookings of $16.8 billion.</t>
        </r>
      </text>
    </comment>
    <comment ref="A313" authorId="9" shapeId="0" xr:uid="{B60B954A-C5A8-4490-A443-78BE9E3B7CCF}">
      <text>
        <r>
          <rPr>
            <b/>
            <sz val="9"/>
            <color indexed="81"/>
            <rFont val="宋体"/>
            <family val="3"/>
            <charset val="134"/>
          </rPr>
          <t>Ziyu Ma （马子彧）(FU-职能区):</t>
        </r>
        <r>
          <rPr>
            <sz val="9"/>
            <color indexed="81"/>
            <rFont val="宋体"/>
            <family val="3"/>
            <charset val="134"/>
          </rPr>
          <t xml:space="preserve">
</t>
        </r>
      </text>
    </comment>
    <comment ref="AO313" authorId="10" shapeId="0" xr:uid="{35A6C68C-681D-48C0-BDC1-301958A2E69F}">
      <text>
        <r>
          <rPr>
            <b/>
            <sz val="9"/>
            <color indexed="81"/>
            <rFont val="Tahoma"/>
            <family val="2"/>
          </rPr>
          <t xml:space="preserve"> decline in
accommodation ADRs of approximately 8%</t>
        </r>
      </text>
    </comment>
    <comment ref="AP313" authorId="10" shapeId="0" xr:uid="{EBD38378-F42C-4630-92FE-A2C1418F7626}">
      <text>
        <r>
          <rPr>
            <b/>
            <sz val="9"/>
            <color indexed="81"/>
            <rFont val="Tahoma"/>
            <family val="2"/>
          </rPr>
          <t>a decline in
accommodation ADRs of approximately 14% on a constant-currency basis for the year ended December 31, 2020</t>
        </r>
      </text>
    </comment>
    <comment ref="AU313" authorId="11" shapeId="0" xr:uid="{0980C656-BA2B-4292-AEEC-82A0FFC2B3C2}">
      <text>
        <r>
          <rPr>
            <b/>
            <sz val="9"/>
            <color indexed="81"/>
            <rFont val="宋体"/>
            <family val="3"/>
            <charset val="134"/>
          </rPr>
          <t>Qiuting Wang (RS):</t>
        </r>
        <r>
          <rPr>
            <sz val="9"/>
            <color indexed="81"/>
            <rFont val="宋体"/>
            <family val="3"/>
            <charset val="134"/>
          </rPr>
          <t xml:space="preserve">
YOY ADRs of approximately 22%, on a constant-currency basis,</t>
        </r>
      </text>
    </comment>
    <comment ref="AV313" authorId="11" shapeId="0" xr:uid="{9E28613C-4C8F-4A81-A866-5973050D8FEB}">
      <text>
        <r>
          <rPr>
            <b/>
            <sz val="9"/>
            <color indexed="81"/>
            <rFont val="宋体"/>
            <family val="3"/>
            <charset val="134"/>
          </rPr>
          <t>Qiuting Wang (RS):</t>
        </r>
        <r>
          <rPr>
            <sz val="9"/>
            <color indexed="81"/>
            <rFont val="宋体"/>
            <family val="3"/>
            <charset val="134"/>
          </rPr>
          <t xml:space="preserve">
accommodation ADRs of approximately 12% on a constant-currency basis</t>
        </r>
      </text>
    </comment>
    <comment ref="AW313" authorId="11" shapeId="0" xr:uid="{D8EE3717-519D-41F7-8390-D3FC1DC0CAFE}">
      <text>
        <r>
          <rPr>
            <b/>
            <sz val="9"/>
            <color indexed="81"/>
            <rFont val="宋体"/>
            <family val="3"/>
            <charset val="134"/>
          </rPr>
          <t>Qiuting Wang (RS):</t>
        </r>
        <r>
          <rPr>
            <sz val="9"/>
            <color indexed="81"/>
            <rFont val="宋体"/>
            <family val="3"/>
            <charset val="134"/>
          </rPr>
          <t xml:space="preserve">
Our global ADRs increased approximately 28%, on a constant currency basis, in the third quarter of 2022 as compared to the third quarter of 2019, due
primarily to higher ADRs in Europe and North America as compared to the third quarter of 2019,Our global ADRs increased approximately 15%, on a constant currency basis, in the third
quarter of 2022 as compared to the third quarter of 2021.</t>
        </r>
      </text>
    </comment>
    <comment ref="AY313" authorId="11" shapeId="0" xr:uid="{745C7B4F-9770-446F-AE18-29E53A716723}">
      <text>
        <r>
          <rPr>
            <b/>
            <sz val="9"/>
            <color indexed="81"/>
            <rFont val="宋体"/>
            <family val="3"/>
            <charset val="134"/>
          </rPr>
          <t>Qiuting Wang (RS):</t>
        </r>
        <r>
          <rPr>
            <sz val="9"/>
            <color indexed="81"/>
            <rFont val="宋体"/>
            <family val="3"/>
            <charset val="134"/>
          </rPr>
          <t xml:space="preserve">
Our global ADRs increased approximately 9%, on a constant currency basis, in the first quarter of 2023 as compared to the first quarter of 2022, driven
primarily by higher ADRs in Europe as well as increases in ADRs across all other regions as compared to the first quarter of 2022.</t>
        </r>
      </text>
    </comment>
    <comment ref="AZ313" authorId="11" shapeId="0" xr:uid="{B15C802F-196B-4B73-883C-E5D84934B993}">
      <text>
        <r>
          <rPr>
            <b/>
            <sz val="9"/>
            <color indexed="81"/>
            <rFont val="宋体"/>
            <family val="3"/>
            <charset val="134"/>
          </rPr>
          <t>Qiuting Wang (RS):</t>
        </r>
        <r>
          <rPr>
            <sz val="9"/>
            <color indexed="81"/>
            <rFont val="宋体"/>
            <family val="3"/>
            <charset val="134"/>
          </rPr>
          <t xml:space="preserve">
Our global ADRs increased approximately 5% on a constant currency basis in the second quarter of 2023 as compared to the second quarter of 2022,
driven primarily by higher ADRs in Europe as well as increases in ADRs across most other regions as compared to the second quarter of 2022</t>
        </r>
      </text>
    </comment>
    <comment ref="BA313" authorId="11" shapeId="0" xr:uid="{62453C28-1EF4-4DAA-B9BF-980BB0C0B2ED}">
      <text>
        <r>
          <rPr>
            <b/>
            <sz val="9"/>
            <color indexed="81"/>
            <rFont val="宋体"/>
            <family val="3"/>
            <charset val="134"/>
          </rPr>
          <t>Qiuting Wang (RS):</t>
        </r>
        <r>
          <rPr>
            <sz val="9"/>
            <color indexed="81"/>
            <rFont val="宋体"/>
            <family val="3"/>
            <charset val="134"/>
          </rPr>
          <t xml:space="preserve">
Our global ADRs increased approximately 4% on a constant currency basis in the third quarter of 2023 as compared to the third quarter of 2022, driven
primarily by higher ADRs in Europe and Asia.</t>
        </r>
      </text>
    </comment>
    <comment ref="BB313" authorId="12" shapeId="0" xr:uid="{0511C593-DB5E-4A0D-BDEF-5D1B32571F7A}">
      <text>
        <r>
          <rPr>
            <b/>
            <sz val="9"/>
            <color indexed="81"/>
            <rFont val="宋体"/>
            <family val="3"/>
            <charset val="134"/>
          </rPr>
          <t>王秋婷:</t>
        </r>
        <r>
          <rPr>
            <sz val="9"/>
            <color indexed="81"/>
            <rFont val="宋体"/>
            <family val="3"/>
            <charset val="134"/>
          </rPr>
          <t xml:space="preserve">
about 4% higher accommodation constant currency ADRs</t>
        </r>
      </text>
    </comment>
    <comment ref="BC313" authorId="12" shapeId="0" xr:uid="{85114EDC-7867-4B30-8EA3-39F451C20632}">
      <text>
        <r>
          <rPr>
            <b/>
            <sz val="9"/>
            <color indexed="81"/>
            <rFont val="宋体"/>
            <family val="3"/>
            <charset val="134"/>
          </rPr>
          <t>王秋婷:</t>
        </r>
        <r>
          <rPr>
            <sz val="9"/>
            <color indexed="81"/>
            <rFont val="宋体"/>
            <family val="3"/>
            <charset val="134"/>
          </rPr>
          <t xml:space="preserve">
 Our global average daily rates ("ADRs") increased approximately 1% on a constant currency basis in the first quarter of 2024 as compared to the first
 quarter of 2023, driven primarily by higher ADRs in Europe.</t>
        </r>
      </text>
    </comment>
    <comment ref="BD313" authorId="12" shapeId="0" xr:uid="{9ED54D28-1B85-41D3-A4E2-98FF97801BC5}">
      <text>
        <r>
          <rPr>
            <b/>
            <sz val="9"/>
            <color indexed="81"/>
            <rFont val="宋体"/>
            <family val="3"/>
            <charset val="134"/>
          </rPr>
          <t>王秋婷:</t>
        </r>
        <r>
          <rPr>
            <sz val="9"/>
            <color indexed="81"/>
            <rFont val="宋体"/>
            <family val="3"/>
            <charset val="134"/>
          </rPr>
          <t xml:space="preserve">
by a negative impact of foreign exchange rate fluctuations and a
decrease in constant currency accommodation ADRs of approximately 1%</t>
        </r>
      </text>
    </comment>
    <comment ref="BE313" authorId="12" shapeId="0" xr:uid="{72FF7BE4-5D2C-42BB-9CA9-B7E3845548AC}">
      <text>
        <r>
          <rPr>
            <b/>
            <sz val="9"/>
            <color indexed="81"/>
            <rFont val="宋体"/>
            <family val="3"/>
            <charset val="134"/>
          </rPr>
          <t>王秋婷:</t>
        </r>
        <r>
          <rPr>
            <sz val="9"/>
            <color indexed="81"/>
            <rFont val="宋体"/>
            <family val="3"/>
            <charset val="134"/>
          </rPr>
          <t xml:space="preserve">
our global ADRs on a constant currency basis increased year-over-year by less than 1%</t>
        </r>
      </text>
    </comment>
    <comment ref="BF313" authorId="12" shapeId="0" xr:uid="{E06CAE4F-54B0-458C-9807-3E9B1CB64DC2}">
      <text>
        <r>
          <rPr>
            <b/>
            <sz val="9"/>
            <color indexed="81"/>
            <rFont val="宋体"/>
            <family val="3"/>
            <charset val="134"/>
          </rPr>
          <t>王秋婷:</t>
        </r>
        <r>
          <rPr>
            <sz val="9"/>
            <color indexed="81"/>
            <rFont val="宋体"/>
            <family val="3"/>
            <charset val="134"/>
          </rPr>
          <t xml:space="preserve">
currency accommodation ADRs to be approximately 2% year-over-year,剔除地区mix影响3%yoy</t>
        </r>
      </text>
    </comment>
    <comment ref="BG313" authorId="12" shapeId="0" xr:uid="{2F9C2E20-5DC4-41E7-8C04-AA3B1B7F4C95}">
      <text>
        <r>
          <rPr>
            <b/>
            <sz val="9"/>
            <color indexed="81"/>
            <rFont val="宋体"/>
            <family val="3"/>
            <charset val="134"/>
          </rPr>
          <t>王秋婷:</t>
        </r>
        <r>
          <rPr>
            <sz val="9"/>
            <color indexed="81"/>
            <rFont val="宋体"/>
            <family val="3"/>
            <charset val="134"/>
          </rPr>
          <t xml:space="preserve">
In the first quarter of 2025, our global average daily rates ("ADRs") on a constant currency basis were approximately 1% higher than the prior year. Our
global ADRs were negatively impacted by a higher mix of room nights from Asia, which is a lower ADR region. Excluding the changes in regional mix, our global
ADRs on a constant currency basis increased year-over-year by about 2%. The year-over-year increase in our global ADRs on a constant currency basis has
resulted in constant currency accommodation gross bookings growing faster than our room nights in the first quarter of 2025. It is difficult to predict what the trend in
industry ADRs will be in the future.
A negative impact from changes in FX of 
about 3 percentage points year-over-year</t>
        </r>
      </text>
    </comment>
    <comment ref="BH313" authorId="12" shapeId="0" xr:uid="{7DDFC68D-59D6-4197-B4DE-D419E039EDDD}">
      <text>
        <r>
          <rPr>
            <b/>
            <sz val="9"/>
            <color indexed="81"/>
            <rFont val="宋体"/>
            <family val="3"/>
            <charset val="134"/>
          </rPr>
          <t>王秋婷:</t>
        </r>
        <r>
          <rPr>
            <sz val="9"/>
            <color indexed="81"/>
            <rFont val="宋体"/>
            <family val="3"/>
            <charset val="134"/>
          </rPr>
          <t xml:space="preserve">
CC Accomm. ADRs -1%</t>
        </r>
      </text>
    </comment>
    <comment ref="BI313" authorId="12" shapeId="0" xr:uid="{4CE8F29A-8B86-48B8-AEE8-07A8EE391359}">
      <text>
        <r>
          <rPr>
            <b/>
            <sz val="9"/>
            <color indexed="81"/>
            <rFont val="宋体"/>
            <family val="3"/>
            <charset val="134"/>
          </rPr>
          <t>王秋婷:</t>
        </r>
        <r>
          <rPr>
            <sz val="9"/>
            <color indexed="81"/>
            <rFont val="宋体"/>
            <family val="3"/>
            <charset val="134"/>
          </rPr>
          <t xml:space="preserve">
CC Accomm. ADRs -1%</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zx章希</author>
    <author>Jiaxuan Cao （曹佳璇）</author>
    <author>wyy吴英瑛</author>
    <author>z_lin</author>
    <author>Shiyuan Tian （田诗园）</author>
    <author>Shirley Sun</author>
    <author>Ziyu Ma （马子彧）(FU-职能区)</author>
  </authors>
  <commentList>
    <comment ref="AD5" authorId="0" shapeId="0" xr:uid="{00000000-0006-0000-0B00-000001000000}">
      <text>
        <r>
          <rPr>
            <b/>
            <sz val="9"/>
            <color indexed="81"/>
            <rFont val="宋体"/>
            <family val="3"/>
            <charset val="134"/>
          </rPr>
          <t>zx章希:</t>
        </r>
        <r>
          <rPr>
            <sz val="9"/>
            <color indexed="81"/>
            <rFont val="宋体"/>
            <family val="3"/>
            <charset val="134"/>
          </rPr>
          <t xml:space="preserve">
excl. eLong
</t>
        </r>
      </text>
    </comment>
    <comment ref="AH5" authorId="0" shapeId="0" xr:uid="{00000000-0006-0000-0B00-000002000000}">
      <text>
        <r>
          <rPr>
            <b/>
            <sz val="9"/>
            <color indexed="81"/>
            <rFont val="宋体"/>
            <family val="3"/>
            <charset val="134"/>
          </rPr>
          <t>zx章希:</t>
        </r>
        <r>
          <rPr>
            <sz val="9"/>
            <color indexed="81"/>
            <rFont val="宋体"/>
            <family val="3"/>
            <charset val="134"/>
          </rPr>
          <t xml:space="preserve">
excl eLong, Orbitz and Homeaway,16108</t>
        </r>
      </text>
    </comment>
    <comment ref="BL6" authorId="1" shapeId="0" xr:uid="{00000000-0006-0000-0B00-000003000000}">
      <text>
        <r>
          <rPr>
            <b/>
            <sz val="9"/>
            <color indexed="81"/>
            <rFont val="宋体"/>
            <family val="3"/>
            <charset val="134"/>
          </rPr>
          <t>Jiaxuan Cao （曹佳璇）:</t>
        </r>
        <r>
          <rPr>
            <sz val="9"/>
            <color indexed="81"/>
            <rFont val="宋体"/>
            <family val="3"/>
            <charset val="134"/>
          </rPr>
          <t xml:space="preserve">
没找到相应数据
</t>
        </r>
      </text>
    </comment>
    <comment ref="AH7" authorId="0" shapeId="0" xr:uid="{00000000-0006-0000-0B00-000004000000}">
      <text>
        <r>
          <rPr>
            <b/>
            <sz val="9"/>
            <color indexed="81"/>
            <rFont val="宋体"/>
            <family val="3"/>
            <charset val="134"/>
          </rPr>
          <t>zx章希:</t>
        </r>
        <r>
          <rPr>
            <sz val="9"/>
            <color indexed="81"/>
            <rFont val="宋体"/>
            <family val="3"/>
            <charset val="134"/>
          </rPr>
          <t xml:space="preserve">
excl eLong, Orbitz and Homeaway,13%</t>
        </r>
      </text>
    </comment>
    <comment ref="AT42" authorId="2" shapeId="0" xr:uid="{00000000-0006-0000-0B00-000005000000}">
      <text>
        <r>
          <rPr>
            <b/>
            <sz val="9"/>
            <color indexed="81"/>
            <rFont val="宋体"/>
            <family val="3"/>
            <charset val="134"/>
          </rPr>
          <t>wyy吴英瑛:</t>
        </r>
        <r>
          <rPr>
            <sz val="9"/>
            <color indexed="81"/>
            <rFont val="宋体"/>
            <family val="3"/>
            <charset val="134"/>
          </rPr>
          <t xml:space="preserve">
can't find...</t>
        </r>
      </text>
    </comment>
    <comment ref="AG53" authorId="0" shapeId="0" xr:uid="{00000000-0006-0000-0B00-000006000000}">
      <text>
        <r>
          <rPr>
            <b/>
            <sz val="9"/>
            <color indexed="81"/>
            <rFont val="宋体"/>
            <family val="3"/>
            <charset val="134"/>
          </rPr>
          <t>zx章希:</t>
        </r>
        <r>
          <rPr>
            <sz val="9"/>
            <color indexed="81"/>
            <rFont val="宋体"/>
            <family val="3"/>
            <charset val="134"/>
          </rPr>
          <t xml:space="preserve">
Exepdia excl. eLong</t>
        </r>
      </text>
    </comment>
    <comment ref="AG54" authorId="0" shapeId="0" xr:uid="{00000000-0006-0000-0B00-000007000000}">
      <text>
        <r>
          <rPr>
            <b/>
            <sz val="9"/>
            <color indexed="81"/>
            <rFont val="宋体"/>
            <family val="3"/>
            <charset val="134"/>
          </rPr>
          <t>zx章希:</t>
        </r>
        <r>
          <rPr>
            <sz val="9"/>
            <color indexed="81"/>
            <rFont val="宋体"/>
            <family val="3"/>
            <charset val="134"/>
          </rPr>
          <t xml:space="preserve">
Exepdia excl. eLong</t>
        </r>
      </text>
    </comment>
    <comment ref="H55" authorId="3" shapeId="0" xr:uid="{00000000-0006-0000-0B00-000008000000}">
      <text>
        <r>
          <rPr>
            <b/>
            <sz val="9"/>
            <color indexed="81"/>
            <rFont val="宋体"/>
            <family val="3"/>
            <charset val="134"/>
          </rPr>
          <t>z_lin:</t>
        </r>
        <r>
          <rPr>
            <sz val="9"/>
            <color indexed="81"/>
            <rFont val="宋体"/>
            <family val="3"/>
            <charset val="134"/>
          </rPr>
          <t xml:space="preserve">
Hotel and packages</t>
        </r>
      </text>
    </comment>
    <comment ref="AG57" authorId="0" shapeId="0" xr:uid="{00000000-0006-0000-0B00-000009000000}">
      <text>
        <r>
          <rPr>
            <b/>
            <sz val="9"/>
            <color indexed="81"/>
            <rFont val="宋体"/>
            <family val="3"/>
            <charset val="134"/>
          </rPr>
          <t>zx章希:</t>
        </r>
        <r>
          <rPr>
            <sz val="9"/>
            <color indexed="81"/>
            <rFont val="宋体"/>
            <family val="3"/>
            <charset val="134"/>
          </rPr>
          <t xml:space="preserve">
Exepdia excl. eLong</t>
        </r>
      </text>
    </comment>
    <comment ref="AH59" authorId="0" shapeId="0" xr:uid="{00000000-0006-0000-0B00-00000A000000}">
      <text>
        <r>
          <rPr>
            <b/>
            <sz val="9"/>
            <color indexed="81"/>
            <rFont val="宋体"/>
            <family val="3"/>
            <charset val="134"/>
          </rPr>
          <t>zx章希:</t>
        </r>
        <r>
          <rPr>
            <sz val="9"/>
            <color indexed="81"/>
            <rFont val="宋体"/>
            <family val="3"/>
            <charset val="134"/>
          </rPr>
          <t xml:space="preserve">
excl eLong, Orbitz and Homeaway,1,570</t>
        </r>
      </text>
    </comment>
    <comment ref="AD71" authorId="0" shapeId="0" xr:uid="{00000000-0006-0000-0B00-00000B000000}">
      <text>
        <r>
          <rPr>
            <b/>
            <sz val="9"/>
            <color indexed="81"/>
            <rFont val="宋体"/>
            <family val="3"/>
            <charset val="134"/>
          </rPr>
          <t>zx章希:</t>
        </r>
        <r>
          <rPr>
            <sz val="9"/>
            <color indexed="81"/>
            <rFont val="宋体"/>
            <family val="3"/>
            <charset val="134"/>
          </rPr>
          <t xml:space="preserve">
excl.eLong</t>
        </r>
      </text>
    </comment>
    <comment ref="A113" authorId="4" shapeId="0" xr:uid="{8B051EE1-83D4-478E-B750-284B625824CD}">
      <text>
        <r>
          <rPr>
            <b/>
            <sz val="9"/>
            <color indexed="81"/>
            <rFont val="Tahoma"/>
            <family val="2"/>
          </rPr>
          <t>Shiyuan Tian （田诗园）:</t>
        </r>
        <r>
          <rPr>
            <sz val="9"/>
            <color indexed="81"/>
            <rFont val="Tahoma"/>
            <family val="2"/>
          </rPr>
          <t xml:space="preserve">
Lodging</t>
        </r>
      </text>
    </comment>
    <comment ref="AT116" authorId="2" shapeId="0" xr:uid="{00000000-0006-0000-0B00-00000C000000}">
      <text>
        <r>
          <rPr>
            <b/>
            <sz val="9"/>
            <color indexed="81"/>
            <rFont val="宋体"/>
            <family val="3"/>
            <charset val="134"/>
          </rPr>
          <t>wyy吴英瑛:</t>
        </r>
        <r>
          <rPr>
            <sz val="9"/>
            <color indexed="81"/>
            <rFont val="宋体"/>
            <family val="3"/>
            <charset val="134"/>
          </rPr>
          <t xml:space="preserve">
products and services detail</t>
        </r>
      </text>
    </comment>
    <comment ref="BT118" authorId="4" shapeId="0" xr:uid="{32AA0880-3948-43BC-8C60-3E07B3EF4B89}">
      <text>
        <r>
          <rPr>
            <b/>
            <sz val="9"/>
            <color indexed="81"/>
            <rFont val="Tahoma"/>
            <family val="2"/>
          </rPr>
          <t>Shiyuan Tian （田诗园）:</t>
        </r>
        <r>
          <rPr>
            <sz val="9"/>
            <color indexed="81"/>
            <rFont val="Tahoma"/>
            <family val="2"/>
          </rPr>
          <t xml:space="preserve">
EXPE 报告披露-4%</t>
        </r>
      </text>
    </comment>
    <comment ref="BU118" authorId="4" shapeId="0" xr:uid="{7BE1D139-A5B8-4145-9CBD-84768C9750E9}">
      <text>
        <r>
          <rPr>
            <b/>
            <sz val="9"/>
            <color indexed="81"/>
            <rFont val="Tahoma"/>
            <family val="2"/>
          </rPr>
          <t>Shiyuan Tian （田诗园）:</t>
        </r>
        <r>
          <rPr>
            <sz val="9"/>
            <color indexed="81"/>
            <rFont val="Tahoma"/>
            <family val="2"/>
          </rPr>
          <t xml:space="preserve">
EXPE 报告披露-4%</t>
        </r>
      </text>
    </comment>
    <comment ref="BS139" authorId="4" shapeId="0" xr:uid="{0C7B7765-2EA6-43E2-B9AE-25586A7C5025}">
      <text>
        <r>
          <rPr>
            <b/>
            <sz val="9"/>
            <color indexed="81"/>
            <rFont val="Tahoma"/>
            <family val="2"/>
          </rPr>
          <t>Shiyuan Tian （田诗园）:</t>
        </r>
        <r>
          <rPr>
            <sz val="9"/>
            <color indexed="81"/>
            <rFont val="Tahoma"/>
            <family val="2"/>
          </rPr>
          <t xml:space="preserve">
28% on report</t>
        </r>
      </text>
    </comment>
    <comment ref="AX142" authorId="5" shapeId="0" xr:uid="{00000000-0006-0000-0B00-00000D000000}">
      <text>
        <r>
          <rPr>
            <b/>
            <sz val="9"/>
            <color indexed="81"/>
            <rFont val="宋体"/>
            <family val="3"/>
            <charset val="134"/>
          </rPr>
          <t>Shirley Sun:</t>
        </r>
        <r>
          <rPr>
            <sz val="9"/>
            <color indexed="81"/>
            <rFont val="宋体"/>
            <family val="3"/>
            <charset val="134"/>
          </rPr>
          <t xml:space="preserve">
2020起不再包含D&amp;A</t>
        </r>
      </text>
    </comment>
    <comment ref="AY142" authorId="5" shapeId="0" xr:uid="{00000000-0006-0000-0B00-00000E000000}">
      <text>
        <r>
          <rPr>
            <b/>
            <sz val="9"/>
            <color indexed="81"/>
            <rFont val="宋体"/>
            <family val="3"/>
            <charset val="134"/>
          </rPr>
          <t>Shirley Sun:</t>
        </r>
        <r>
          <rPr>
            <sz val="9"/>
            <color indexed="81"/>
            <rFont val="宋体"/>
            <family val="3"/>
            <charset val="134"/>
          </rPr>
          <t xml:space="preserve">
2020起不再包含D&amp;A</t>
        </r>
      </text>
    </comment>
    <comment ref="AZ142" authorId="5" shapeId="0" xr:uid="{00000000-0006-0000-0B00-00000F000000}">
      <text>
        <r>
          <rPr>
            <b/>
            <sz val="9"/>
            <color indexed="81"/>
            <rFont val="宋体"/>
            <family val="3"/>
            <charset val="134"/>
          </rPr>
          <t>Shirley Sun:</t>
        </r>
        <r>
          <rPr>
            <sz val="9"/>
            <color indexed="81"/>
            <rFont val="宋体"/>
            <family val="3"/>
            <charset val="134"/>
          </rPr>
          <t xml:space="preserve">
2020起不再包含D&amp;A</t>
        </r>
      </text>
    </comment>
    <comment ref="BA142" authorId="5" shapeId="0" xr:uid="{00000000-0006-0000-0B00-000010000000}">
      <text>
        <r>
          <rPr>
            <b/>
            <sz val="9"/>
            <color indexed="81"/>
            <rFont val="宋体"/>
            <family val="3"/>
            <charset val="134"/>
          </rPr>
          <t>Shirley Sun:</t>
        </r>
        <r>
          <rPr>
            <sz val="9"/>
            <color indexed="81"/>
            <rFont val="宋体"/>
            <family val="3"/>
            <charset val="134"/>
          </rPr>
          <t xml:space="preserve">
2020起不再包含D&amp;A</t>
        </r>
      </text>
    </comment>
    <comment ref="CA142" authorId="5" shapeId="0" xr:uid="{00000000-0006-0000-0B00-000011000000}">
      <text>
        <r>
          <rPr>
            <b/>
            <sz val="9"/>
            <color indexed="81"/>
            <rFont val="宋体"/>
            <family val="3"/>
            <charset val="134"/>
          </rPr>
          <t>Shirley Sun:</t>
        </r>
        <r>
          <rPr>
            <sz val="9"/>
            <color indexed="81"/>
            <rFont val="宋体"/>
            <family val="3"/>
            <charset val="134"/>
          </rPr>
          <t xml:space="preserve">
含D&amp;A</t>
        </r>
      </text>
    </comment>
    <comment ref="CB142" authorId="5" shapeId="0" xr:uid="{00000000-0006-0000-0B00-000012000000}">
      <text>
        <r>
          <rPr>
            <b/>
            <sz val="9"/>
            <color indexed="81"/>
            <rFont val="宋体"/>
            <family val="3"/>
            <charset val="134"/>
          </rPr>
          <t>Shirley Sun:</t>
        </r>
        <r>
          <rPr>
            <sz val="9"/>
            <color indexed="81"/>
            <rFont val="宋体"/>
            <family val="3"/>
            <charset val="134"/>
          </rPr>
          <t xml:space="preserve">
含D&amp;A</t>
        </r>
      </text>
    </comment>
    <comment ref="CC142" authorId="5" shapeId="0" xr:uid="{00000000-0006-0000-0B00-000013000000}">
      <text>
        <r>
          <rPr>
            <b/>
            <sz val="9"/>
            <color indexed="81"/>
            <rFont val="宋体"/>
            <family val="3"/>
            <charset val="134"/>
          </rPr>
          <t>Shirley Sun:</t>
        </r>
        <r>
          <rPr>
            <sz val="9"/>
            <color indexed="81"/>
            <rFont val="宋体"/>
            <family val="3"/>
            <charset val="134"/>
          </rPr>
          <t xml:space="preserve">
2020起不再包含D&amp;A</t>
        </r>
      </text>
    </comment>
    <comment ref="CD142" authorId="5" shapeId="0" xr:uid="{00000000-0006-0000-0B00-000014000000}">
      <text>
        <r>
          <rPr>
            <b/>
            <sz val="9"/>
            <color indexed="81"/>
            <rFont val="宋体"/>
            <family val="3"/>
            <charset val="134"/>
          </rPr>
          <t>Shirley Sun:</t>
        </r>
        <r>
          <rPr>
            <sz val="9"/>
            <color indexed="81"/>
            <rFont val="宋体"/>
            <family val="3"/>
            <charset val="134"/>
          </rPr>
          <t xml:space="preserve">
2020起不再包含D&amp;A</t>
        </r>
      </text>
    </comment>
    <comment ref="H149" authorId="3" shapeId="0" xr:uid="{00000000-0006-0000-0B00-000015000000}">
      <text>
        <r>
          <rPr>
            <b/>
            <sz val="9"/>
            <color indexed="81"/>
            <rFont val="宋体"/>
            <family val="3"/>
            <charset val="134"/>
          </rPr>
          <t>z_lin:</t>
        </r>
        <r>
          <rPr>
            <sz val="9"/>
            <color indexed="81"/>
            <rFont val="宋体"/>
            <family val="3"/>
            <charset val="134"/>
          </rPr>
          <t xml:space="preserve">
Total personel expense</t>
        </r>
      </text>
    </comment>
    <comment ref="AT153" authorId="2" shapeId="0" xr:uid="{00000000-0006-0000-0B00-000016000000}">
      <text>
        <r>
          <rPr>
            <b/>
            <sz val="9"/>
            <color indexed="81"/>
            <rFont val="宋体"/>
            <family val="3"/>
            <charset val="134"/>
          </rPr>
          <t>wyy吴英瑛:</t>
        </r>
        <r>
          <rPr>
            <sz val="9"/>
            <color indexed="81"/>
            <rFont val="宋体"/>
            <family val="3"/>
            <charset val="134"/>
          </rPr>
          <t xml:space="preserve">
plus the last two rows of cost and expense?</t>
        </r>
      </text>
    </comment>
    <comment ref="A158" authorId="6" shapeId="0" xr:uid="{00000000-0006-0000-0B00-000017000000}">
      <text>
        <r>
          <rPr>
            <b/>
            <sz val="9"/>
            <color indexed="81"/>
            <rFont val="宋体"/>
            <family val="3"/>
            <charset val="134"/>
          </rPr>
          <t>Ziyu Ma （马子彧）(FU-职能区):</t>
        </r>
        <r>
          <rPr>
            <sz val="9"/>
            <color indexed="81"/>
            <rFont val="宋体"/>
            <family val="3"/>
            <charset val="134"/>
          </rPr>
          <t xml:space="preserve">
include Trivago</t>
        </r>
      </text>
    </comment>
    <comment ref="AT159" authorId="2" shapeId="0" xr:uid="{00000000-0006-0000-0B00-000018000000}">
      <text>
        <r>
          <rPr>
            <b/>
            <sz val="9"/>
            <color indexed="81"/>
            <rFont val="宋体"/>
            <family val="3"/>
            <charset val="134"/>
          </rPr>
          <t>wyy吴英瑛:</t>
        </r>
        <r>
          <rPr>
            <sz val="9"/>
            <color indexed="81"/>
            <rFont val="宋体"/>
            <family val="3"/>
            <charset val="134"/>
          </rPr>
          <t xml:space="preserve">
minus stock-based compensation</t>
        </r>
      </text>
    </comment>
    <comment ref="BT182" authorId="4" shapeId="0" xr:uid="{04C8D62C-D02E-499D-A5DB-4AB60698A44D}">
      <text>
        <r>
          <rPr>
            <b/>
            <sz val="9"/>
            <color indexed="81"/>
            <rFont val="Tahoma"/>
            <family val="2"/>
          </rPr>
          <t>Shiyuan Tian （田诗园）:</t>
        </r>
        <r>
          <rPr>
            <sz val="9"/>
            <color indexed="81"/>
            <rFont val="Tahoma"/>
            <family val="2"/>
          </rPr>
          <t xml:space="preserve">
EXPE report披露32.9%</t>
        </r>
      </text>
    </comment>
    <comment ref="A185" authorId="4" shapeId="0" xr:uid="{1968E75B-3CE2-4FB3-B395-AB053D7AFE74}">
      <text>
        <r>
          <rPr>
            <b/>
            <sz val="9"/>
            <color indexed="81"/>
            <rFont val="Tahoma"/>
            <family val="2"/>
          </rPr>
          <t>Shiyuan Tian （田诗园）:</t>
        </r>
        <r>
          <rPr>
            <sz val="9"/>
            <color indexed="81"/>
            <rFont val="Tahoma"/>
            <family val="2"/>
          </rPr>
          <t xml:space="preserve">
different from report, report also have SBC</t>
        </r>
      </text>
    </comment>
    <comment ref="BP212" authorId="4" shapeId="0" xr:uid="{963EDC5B-36B8-4222-B865-26F725A8C66C}">
      <text>
        <r>
          <rPr>
            <b/>
            <sz val="9"/>
            <color indexed="81"/>
            <rFont val="Tahoma"/>
            <family val="2"/>
          </rPr>
          <t>Shiyuan Tian （田诗园）:</t>
        </r>
        <r>
          <rPr>
            <sz val="9"/>
            <color indexed="81"/>
            <rFont val="Tahoma"/>
            <family val="2"/>
          </rPr>
          <t xml:space="preserve">
updated 11/7/2025</t>
        </r>
      </text>
    </comment>
    <comment ref="BP213" authorId="4" shapeId="0" xr:uid="{C811B8EF-9725-4228-A1FB-DC678F71046C}">
      <text>
        <r>
          <rPr>
            <b/>
            <sz val="9"/>
            <color indexed="81"/>
            <rFont val="Tahoma"/>
            <family val="2"/>
          </rPr>
          <t>Shiyuan Tian （田诗园）:</t>
        </r>
        <r>
          <rPr>
            <sz val="9"/>
            <color indexed="81"/>
            <rFont val="Tahoma"/>
            <family val="2"/>
          </rPr>
          <t xml:space="preserve">
updated 11/7/2025</t>
        </r>
      </text>
    </comment>
    <comment ref="A229" authorId="4" shapeId="0" xr:uid="{32097CD8-71FF-448C-B59D-21A0DC99D6B4}">
      <text>
        <r>
          <rPr>
            <b/>
            <sz val="9"/>
            <color indexed="81"/>
            <rFont val="Tahoma"/>
            <family val="2"/>
          </rPr>
          <t>Shiyuan Tian （田诗园）:</t>
        </r>
        <r>
          <rPr>
            <sz val="9"/>
            <color indexed="81"/>
            <rFont val="Tahoma"/>
            <family val="2"/>
          </rPr>
          <t xml:space="preserve">
未更新</t>
        </r>
      </text>
    </comment>
    <comment ref="AG246" authorId="0" shapeId="0" xr:uid="{00000000-0006-0000-0B00-000019000000}">
      <text>
        <r>
          <rPr>
            <b/>
            <sz val="9"/>
            <color indexed="81"/>
            <rFont val="宋体"/>
            <family val="3"/>
            <charset val="134"/>
          </rPr>
          <t>zx章希:</t>
        </r>
        <r>
          <rPr>
            <sz val="9"/>
            <color indexed="81"/>
            <rFont val="宋体"/>
            <family val="3"/>
            <charset val="134"/>
          </rPr>
          <t xml:space="preserve">
excluding eLong</t>
        </r>
      </text>
    </comment>
    <comment ref="AT286" authorId="2" shapeId="0" xr:uid="{00000000-0006-0000-0B00-00001A000000}">
      <text>
        <r>
          <rPr>
            <b/>
            <sz val="9"/>
            <color indexed="81"/>
            <rFont val="宋体"/>
            <family val="3"/>
            <charset val="134"/>
          </rPr>
          <t>wyy吴英瑛:
capital expenditures</t>
        </r>
      </text>
    </comment>
    <comment ref="AT296" authorId="2" shapeId="0" xr:uid="{00000000-0006-0000-0B00-00001B000000}">
      <text>
        <r>
          <rPr>
            <b/>
            <sz val="9"/>
            <color indexed="81"/>
            <rFont val="宋体"/>
            <family val="3"/>
            <charset val="134"/>
          </rPr>
          <t>wyy吴英瑛:</t>
        </r>
        <r>
          <rPr>
            <sz val="9"/>
            <color indexed="81"/>
            <rFont val="宋体"/>
            <family val="3"/>
            <charset val="134"/>
          </rPr>
          <t xml:space="preserve">
recent highlights</t>
        </r>
      </text>
    </comment>
    <comment ref="AD298" authorId="0" shapeId="0" xr:uid="{00000000-0006-0000-0B00-00001C000000}">
      <text>
        <r>
          <rPr>
            <b/>
            <sz val="9"/>
            <color indexed="81"/>
            <rFont val="宋体"/>
            <family val="3"/>
            <charset val="134"/>
          </rPr>
          <t>zx章希:</t>
        </r>
        <r>
          <rPr>
            <sz val="9"/>
            <color indexed="81"/>
            <rFont val="宋体"/>
            <family val="3"/>
            <charset val="134"/>
          </rPr>
          <t xml:space="preserve">
incl. eLong</t>
        </r>
      </text>
    </comment>
    <comment ref="AL298" authorId="0" shapeId="0" xr:uid="{00000000-0006-0000-0B00-00001D000000}">
      <text>
        <r>
          <rPr>
            <b/>
            <sz val="9"/>
            <color indexed="81"/>
            <rFont val="宋体"/>
            <family val="3"/>
            <charset val="134"/>
          </rPr>
          <t>zx章希:</t>
        </r>
        <r>
          <rPr>
            <sz val="9"/>
            <color indexed="81"/>
            <rFont val="宋体"/>
            <family val="3"/>
            <charset val="134"/>
          </rPr>
          <t xml:space="preserve">
incl HomeAway since 2017Q1
</t>
        </r>
      </text>
    </comment>
    <comment ref="AP298" authorId="0" shapeId="0" xr:uid="{00000000-0006-0000-0B00-00001E000000}">
      <text>
        <r>
          <rPr>
            <b/>
            <sz val="9"/>
            <color indexed="81"/>
            <rFont val="宋体"/>
            <family val="3"/>
            <charset val="134"/>
          </rPr>
          <t>zx章希:</t>
        </r>
        <r>
          <rPr>
            <sz val="9"/>
            <color indexed="81"/>
            <rFont val="宋体"/>
            <family val="3"/>
            <charset val="134"/>
          </rPr>
          <t xml:space="preserve">
incl HomeAway since 2017Q1
</t>
        </r>
      </text>
    </comment>
    <comment ref="AE301" authorId="0" shapeId="0" xr:uid="{00000000-0006-0000-0B00-00001F000000}">
      <text>
        <r>
          <rPr>
            <b/>
            <sz val="9"/>
            <color indexed="81"/>
            <rFont val="宋体"/>
            <family val="3"/>
            <charset val="134"/>
          </rPr>
          <t>zx章希:</t>
        </r>
        <r>
          <rPr>
            <sz val="9"/>
            <color indexed="81"/>
            <rFont val="宋体"/>
            <family val="3"/>
            <charset val="134"/>
          </rPr>
          <t xml:space="preserve">
starting from Q3, YoY comparison excl. eLong</t>
        </r>
      </text>
    </comment>
    <comment ref="AH302" authorId="0" shapeId="0" xr:uid="{00000000-0006-0000-0B00-000020000000}">
      <text>
        <r>
          <rPr>
            <b/>
            <sz val="9"/>
            <color indexed="81"/>
            <rFont val="宋体"/>
            <family val="3"/>
            <charset val="134"/>
          </rPr>
          <t>zx章希:</t>
        </r>
        <r>
          <rPr>
            <sz val="9"/>
            <color indexed="81"/>
            <rFont val="宋体"/>
            <family val="3"/>
            <charset val="134"/>
          </rPr>
          <t xml:space="preserve">
start to incl. HomeAway</t>
        </r>
      </text>
    </comment>
    <comment ref="A304" authorId="0" shapeId="0" xr:uid="{00000000-0006-0000-0B00-000021000000}">
      <text>
        <r>
          <rPr>
            <b/>
            <sz val="9"/>
            <color indexed="81"/>
            <rFont val="宋体"/>
            <family val="3"/>
            <charset val="134"/>
          </rPr>
          <t>zx章希:</t>
        </r>
        <r>
          <rPr>
            <sz val="9"/>
            <color indexed="81"/>
            <rFont val="宋体"/>
            <family val="3"/>
            <charset val="134"/>
          </rPr>
          <t xml:space="preserve">
excl. eLong, Orbitz &amp; HomeAway</t>
        </r>
      </text>
    </comment>
    <comment ref="BT324" authorId="4" shapeId="0" xr:uid="{08CB253D-92FF-476D-99FD-B454430B1F6B}">
      <text>
        <r>
          <rPr>
            <b/>
            <sz val="9"/>
            <color indexed="81"/>
            <rFont val="Tahoma"/>
            <family val="2"/>
          </rPr>
          <t>Shiyuan Tian （田诗园）:</t>
        </r>
        <r>
          <rPr>
            <sz val="9"/>
            <color indexed="81"/>
            <rFont val="Tahoma"/>
            <family val="2"/>
          </rPr>
          <t xml:space="preserve">
EXPE 报告披露5%</t>
        </r>
      </text>
    </comment>
    <comment ref="BU324" authorId="4" shapeId="0" xr:uid="{81229F65-D1C8-4D7A-8F71-676944C339BC}">
      <text>
        <r>
          <rPr>
            <b/>
            <sz val="9"/>
            <color indexed="81"/>
            <rFont val="Tahoma"/>
            <family val="2"/>
          </rPr>
          <t>Shiyuan Tian （田诗园）:</t>
        </r>
        <r>
          <rPr>
            <sz val="9"/>
            <color indexed="81"/>
            <rFont val="Tahoma"/>
            <family val="2"/>
          </rPr>
          <t xml:space="preserve">
EXPE 报告披露5%</t>
        </r>
      </text>
    </comment>
    <comment ref="AT325" authorId="2" shapeId="0" xr:uid="{00000000-0006-0000-0B00-000022000000}">
      <text>
        <r>
          <rPr>
            <b/>
            <sz val="9"/>
            <color indexed="81"/>
            <rFont val="宋体"/>
            <family val="3"/>
            <charset val="134"/>
          </rPr>
          <t>wyy吴英瑛:</t>
        </r>
        <r>
          <rPr>
            <sz val="9"/>
            <color indexed="81"/>
            <rFont val="宋体"/>
            <family val="3"/>
            <charset val="134"/>
          </rPr>
          <t xml:space="preserve">
can't find...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wjy吴佳盈</author>
    <author>Jiaxuan Cao （曹佳璇）</author>
    <author>Chengcheng Pan （潘成成）</author>
    <author>Shirley Sun</author>
  </authors>
  <commentList>
    <comment ref="B3" authorId="0" shapeId="0" xr:uid="{00000000-0006-0000-0F00-000001000000}">
      <text>
        <r>
          <rPr>
            <b/>
            <sz val="9"/>
            <color indexed="81"/>
            <rFont val="宋体"/>
            <family val="3"/>
            <charset val="134"/>
          </rPr>
          <t>wjy吴佳盈:</t>
        </r>
        <r>
          <rPr>
            <sz val="9"/>
            <color indexed="81"/>
            <rFont val="宋体"/>
            <family val="3"/>
            <charset val="134"/>
          </rPr>
          <t xml:space="preserve">
MS Estimate
</t>
        </r>
      </text>
    </comment>
    <comment ref="W11" authorId="1" shapeId="0" xr:uid="{00000000-0006-0000-0F00-000002000000}">
      <text>
        <r>
          <rPr>
            <b/>
            <sz val="9"/>
            <color indexed="81"/>
            <rFont val="宋体"/>
            <family val="3"/>
            <charset val="134"/>
          </rPr>
          <t>Jiaxuan Cao （曹佳璇）:</t>
        </r>
        <r>
          <rPr>
            <sz val="9"/>
            <color indexed="81"/>
            <rFont val="宋体"/>
            <family val="3"/>
            <charset val="134"/>
          </rPr>
          <t xml:space="preserve">
ADR在shareholder里</t>
        </r>
      </text>
    </comment>
    <comment ref="A15" authorId="0" shapeId="0" xr:uid="{00000000-0006-0000-0F00-000003000000}">
      <text>
        <r>
          <rPr>
            <b/>
            <sz val="9"/>
            <color indexed="81"/>
            <rFont val="宋体"/>
            <family val="3"/>
            <charset val="134"/>
          </rPr>
          <t>Consist of service fees, net of incentives and refunds, charged to customers
Recognize upon the completion of checi-in</t>
        </r>
      </text>
    </comment>
    <comment ref="Z33" authorId="2" shapeId="0" xr:uid="{00000000-0006-0000-0F00-000004000000}">
      <text>
        <r>
          <rPr>
            <b/>
            <sz val="9"/>
            <color indexed="81"/>
            <rFont val="宋体"/>
            <family val="3"/>
            <charset val="134"/>
          </rPr>
          <t>Chengcheng Pan （潘成成）:</t>
        </r>
        <r>
          <rPr>
            <sz val="9"/>
            <color indexed="81"/>
            <rFont val="宋体"/>
            <family val="3"/>
            <charset val="134"/>
          </rPr>
          <t xml:space="preserve">
other expense</t>
        </r>
      </text>
    </comment>
    <comment ref="A42" authorId="0" shapeId="0" xr:uid="{00000000-0006-0000-0F00-000005000000}">
      <text>
        <r>
          <rPr>
            <b/>
            <sz val="9"/>
            <color indexed="81"/>
            <rFont val="宋体"/>
            <family val="3"/>
            <charset val="134"/>
          </rPr>
          <t xml:space="preserve">SBC-Acquisition-related impacts
</t>
        </r>
      </text>
    </comment>
    <comment ref="M61" authorId="0" shapeId="0" xr:uid="{00000000-0006-0000-0F00-000006000000}">
      <text>
        <r>
          <rPr>
            <sz val="9"/>
            <color indexed="81"/>
            <rFont val="宋体"/>
            <family val="3"/>
            <charset val="134"/>
          </rPr>
          <t xml:space="preserve">Sales and marketing excluding stock-based compensation, stock-settlement obligations related to IPO, and acquisition-related impacts
</t>
        </r>
      </text>
    </comment>
    <comment ref="N61" authorId="3" shapeId="0" xr:uid="{00000000-0006-0000-0F00-000007000000}">
      <text>
        <r>
          <rPr>
            <sz val="9"/>
            <color indexed="81"/>
            <rFont val="宋体"/>
            <family val="3"/>
            <charset val="134"/>
          </rPr>
          <t>Sales and marketing excluding stock-based compensation, stock-settlement obligations related to IPO, and acquisition-related impacts</t>
        </r>
      </text>
    </comment>
    <comment ref="P61" authorId="3" shapeId="0" xr:uid="{00000000-0006-0000-0F00-000008000000}">
      <text>
        <r>
          <rPr>
            <sz val="9"/>
            <color indexed="81"/>
            <rFont val="宋体"/>
            <family val="3"/>
            <charset val="134"/>
          </rPr>
          <t>Sales and marketing excluding stock-based compensation, stock-settlement obligations related to IPO, and acquisition-related impacts</t>
        </r>
      </text>
    </comment>
    <comment ref="Q61" authorId="3" shapeId="0" xr:uid="{00000000-0006-0000-0F00-000009000000}">
      <text>
        <r>
          <rPr>
            <sz val="9"/>
            <color indexed="81"/>
            <rFont val="宋体"/>
            <family val="3"/>
            <charset val="134"/>
          </rPr>
          <t>Sales and marketing excluding stock-based compensation, stock-settlement obligations related to IPO, and acquisition-related impacts</t>
        </r>
      </text>
    </comment>
    <comment ref="R61" authorId="3" shapeId="0" xr:uid="{00000000-0006-0000-0F00-00000A000000}">
      <text>
        <r>
          <rPr>
            <sz val="9"/>
            <color indexed="81"/>
            <rFont val="宋体"/>
            <family val="3"/>
            <charset val="134"/>
          </rPr>
          <t>Sales and marketing excluding stock-based compensation, stock-settlement obligations related to IPO, and acquisition-related impacts</t>
        </r>
      </text>
    </comment>
    <comment ref="Y62" authorId="0" shapeId="0" xr:uid="{00000000-0006-0000-0F00-00000B000000}">
      <text>
        <r>
          <rPr>
            <sz val="9"/>
            <color indexed="81"/>
            <rFont val="宋体"/>
            <family val="3"/>
            <charset val="134"/>
          </rPr>
          <t xml:space="preserve">General and administrative expense included approximately $935 million of non-recurring tax
withholding expenses and lodging tax reserves.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Shiyuan Tian （田诗园）</author>
  </authors>
  <commentList>
    <comment ref="A33" authorId="0" shapeId="0" xr:uid="{1AF279F5-2A81-4ADD-822F-1F030A5A1D63}">
      <text>
        <r>
          <rPr>
            <b/>
            <sz val="9"/>
            <color indexed="81"/>
            <rFont val="Tahoma"/>
            <family val="2"/>
          </rPr>
          <t>Shiyuan Tian （田诗园）:</t>
        </r>
        <r>
          <rPr>
            <sz val="9"/>
            <color indexed="81"/>
            <rFont val="Tahoma"/>
            <family val="2"/>
          </rPr>
          <t xml:space="preserve">
Net Revenue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zx章希</author>
    <author>wyy吴英瑛</author>
    <author>yfq闫芳琦</author>
    <author>Administrator</author>
  </authors>
  <commentList>
    <comment ref="A12" authorId="0" shapeId="0" xr:uid="{00000000-0006-0000-1200-000001000000}">
      <text>
        <r>
          <rPr>
            <b/>
            <sz val="9"/>
            <rFont val="宋体"/>
            <family val="3"/>
            <charset val="134"/>
          </rPr>
          <t>zx章希:</t>
        </r>
        <r>
          <rPr>
            <sz val="9"/>
            <rFont val="宋体"/>
            <family val="3"/>
            <charset val="134"/>
          </rPr>
          <t xml:space="preserve">
http://www.dgca.nic.in/reports/rep-ind.htm</t>
        </r>
      </text>
    </comment>
    <comment ref="B12" authorId="0" shapeId="0" xr:uid="{00000000-0006-0000-1200-000002000000}">
      <text>
        <r>
          <rPr>
            <b/>
            <sz val="9"/>
            <rFont val="宋体"/>
            <family val="3"/>
            <charset val="134"/>
          </rPr>
          <t>zx章希:</t>
        </r>
        <r>
          <rPr>
            <sz val="9"/>
            <rFont val="宋体"/>
            <family val="3"/>
            <charset val="134"/>
          </rPr>
          <t xml:space="preserve">
Scheduled only</t>
        </r>
      </text>
    </comment>
    <comment ref="A24" authorId="0" shapeId="0" xr:uid="{00000000-0006-0000-1200-000003000000}">
      <text>
        <r>
          <rPr>
            <b/>
            <sz val="9"/>
            <rFont val="宋体"/>
            <family val="3"/>
            <charset val="134"/>
          </rPr>
          <t>zx章希:</t>
        </r>
        <r>
          <rPr>
            <sz val="9"/>
            <rFont val="宋体"/>
            <family val="3"/>
            <charset val="134"/>
          </rPr>
          <t xml:space="preserve">
http://dgca.nic.in/reports/stat-ind.htm</t>
        </r>
      </text>
    </comment>
    <comment ref="V59" authorId="1" shapeId="0" xr:uid="{00000000-0006-0000-1200-000004000000}">
      <text>
        <r>
          <rPr>
            <b/>
            <sz val="9"/>
            <color indexed="81"/>
            <rFont val="宋体"/>
            <family val="3"/>
            <charset val="134"/>
          </rPr>
          <t>wyy吴英瑛:</t>
        </r>
        <r>
          <rPr>
            <sz val="9"/>
            <color indexed="81"/>
            <rFont val="宋体"/>
            <family val="3"/>
            <charset val="134"/>
          </rPr>
          <t xml:space="preserve">
Promotion expenses recorded as a reduction of revenue</t>
        </r>
      </text>
    </comment>
    <comment ref="A94" authorId="0" shapeId="0" xr:uid="{00000000-0006-0000-1200-000005000000}">
      <text>
        <r>
          <rPr>
            <b/>
            <sz val="9"/>
            <rFont val="宋体"/>
            <family val="3"/>
            <charset val="134"/>
          </rPr>
          <t>zx章希:</t>
        </r>
        <r>
          <rPr>
            <sz val="9"/>
            <rFont val="宋体"/>
            <family val="3"/>
            <charset val="134"/>
          </rPr>
          <t xml:space="preserve">
Gaap OP + D&amp;A</t>
        </r>
      </text>
    </comment>
    <comment ref="V114" authorId="1" shapeId="0" xr:uid="{00000000-0006-0000-1200-000006000000}">
      <text>
        <r>
          <rPr>
            <b/>
            <sz val="9"/>
            <color indexed="81"/>
            <rFont val="宋体"/>
            <family val="3"/>
            <charset val="134"/>
          </rPr>
          <t>wyy吴英瑛:</t>
        </r>
        <r>
          <rPr>
            <sz val="9"/>
            <color indexed="81"/>
            <rFont val="宋体"/>
            <family val="3"/>
            <charset val="134"/>
          </rPr>
          <t xml:space="preserve">
year not </t>
        </r>
        <r>
          <rPr>
            <sz val="9"/>
            <color indexed="81"/>
            <rFont val="宋体"/>
            <family val="3"/>
            <charset val="134"/>
          </rPr>
          <t xml:space="preserve">quarter
</t>
        </r>
      </text>
    </comment>
    <comment ref="A132" authorId="0" shapeId="0" xr:uid="{00000000-0006-0000-1200-000007000000}">
      <text>
        <r>
          <rPr>
            <b/>
            <sz val="9"/>
            <rFont val="宋体"/>
            <family val="3"/>
            <charset val="134"/>
          </rPr>
          <t>zx章希:</t>
        </r>
        <r>
          <rPr>
            <sz val="9"/>
            <rFont val="宋体"/>
            <family val="3"/>
            <charset val="134"/>
          </rPr>
          <t xml:space="preserve">
term deposit</t>
        </r>
      </text>
    </comment>
    <comment ref="V132" authorId="1" shapeId="0" xr:uid="{00000000-0006-0000-1200-000008000000}">
      <text>
        <r>
          <rPr>
            <b/>
            <sz val="9"/>
            <color indexed="81"/>
            <rFont val="宋体"/>
            <family val="3"/>
            <charset val="134"/>
          </rPr>
          <t>wyy吴英瑛:</t>
        </r>
        <r>
          <rPr>
            <sz val="9"/>
            <color indexed="81"/>
            <rFont val="宋体"/>
            <family val="3"/>
            <charset val="134"/>
          </rPr>
          <t xml:space="preserve">
term deposits</t>
        </r>
      </text>
    </comment>
    <comment ref="V139" authorId="1" shapeId="0" xr:uid="{00000000-0006-0000-1200-000009000000}">
      <text>
        <r>
          <rPr>
            <b/>
            <sz val="9"/>
            <color indexed="81"/>
            <rFont val="宋体"/>
            <family val="3"/>
            <charset val="134"/>
          </rPr>
          <t>wyy吴英瑛:</t>
        </r>
        <r>
          <rPr>
            <sz val="9"/>
            <color indexed="81"/>
            <rFont val="宋体"/>
            <family val="3"/>
            <charset val="134"/>
          </rPr>
          <t xml:space="preserve">
loans and borrowings</t>
        </r>
      </text>
    </comment>
    <comment ref="V162" authorId="1" shapeId="0" xr:uid="{00000000-0006-0000-1200-00000A000000}">
      <text>
        <r>
          <rPr>
            <b/>
            <sz val="9"/>
            <color indexed="81"/>
            <rFont val="宋体"/>
            <family val="3"/>
            <charset val="134"/>
          </rPr>
          <t>wyy吴英瑛:</t>
        </r>
        <r>
          <rPr>
            <sz val="9"/>
            <color indexed="81"/>
            <rFont val="宋体"/>
            <family val="3"/>
            <charset val="134"/>
          </rPr>
          <t xml:space="preserve">
earnings call,properties</t>
        </r>
      </text>
    </comment>
    <comment ref="V165" authorId="1" shapeId="0" xr:uid="{00000000-0006-0000-1200-00000B000000}">
      <text>
        <r>
          <rPr>
            <b/>
            <sz val="9"/>
            <color indexed="81"/>
            <rFont val="宋体"/>
            <family val="3"/>
            <charset val="134"/>
          </rPr>
          <t>wyy吴英瑛:</t>
        </r>
        <r>
          <rPr>
            <sz val="9"/>
            <color indexed="81"/>
            <rFont val="宋体"/>
            <family val="3"/>
            <charset val="134"/>
          </rPr>
          <t xml:space="preserve">
from 6-K:about mmyt</t>
        </r>
      </text>
    </comment>
    <comment ref="A175" authorId="2" shapeId="0" xr:uid="{00000000-0006-0000-1200-00000C000000}">
      <text>
        <r>
          <rPr>
            <b/>
            <sz val="9"/>
            <color indexed="81"/>
            <rFont val="宋体"/>
            <family val="3"/>
            <charset val="134"/>
          </rPr>
          <t>yfq闫芳琦:</t>
        </r>
        <r>
          <rPr>
            <sz val="9"/>
            <color indexed="81"/>
            <rFont val="宋体"/>
            <family val="3"/>
            <charset val="134"/>
          </rPr>
          <t xml:space="preserve">
https://investors.yatra.com</t>
        </r>
      </text>
    </comment>
    <comment ref="A203" authorId="0" shapeId="0" xr:uid="{00000000-0006-0000-1200-00000D000000}">
      <text>
        <r>
          <rPr>
            <b/>
            <sz val="9"/>
            <rFont val="宋体"/>
            <family val="3"/>
            <charset val="134"/>
          </rPr>
          <t>zx章希:</t>
        </r>
        <r>
          <rPr>
            <sz val="9"/>
            <rFont val="宋体"/>
            <family val="3"/>
            <charset val="134"/>
          </rPr>
          <t xml:space="preserve">
started to disclose volume data since 17Q2</t>
        </r>
      </text>
    </comment>
    <comment ref="S217" authorId="3" shapeId="0" xr:uid="{00000000-0006-0000-1200-00000E000000}">
      <text>
        <r>
          <rPr>
            <b/>
            <sz val="9"/>
            <color indexed="81"/>
            <rFont val="Tahoma"/>
            <family val="2"/>
          </rPr>
          <t>Administrator:</t>
        </r>
        <r>
          <rPr>
            <sz val="9"/>
            <color indexed="81"/>
            <rFont val="Tahoma"/>
            <family val="2"/>
          </rPr>
          <t xml:space="preserve">
See sheet "OYO Estimation"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zx章希</author>
  </authors>
  <commentList>
    <comment ref="AC3" authorId="0" shapeId="0" xr:uid="{00000000-0006-0000-1300-000001000000}">
      <text>
        <r>
          <rPr>
            <b/>
            <sz val="9"/>
            <rFont val="宋体"/>
            <family val="3"/>
            <charset val="134"/>
          </rPr>
          <t>zx章希:</t>
        </r>
        <r>
          <rPr>
            <sz val="9"/>
            <rFont val="宋体"/>
            <family val="3"/>
            <charset val="134"/>
          </rPr>
          <t xml:space="preserve">
started to disclose volume data since 17Q2</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M7" authorId="0" shapeId="0" xr:uid="{00000000-0006-0000-1400-000001000000}">
      <text>
        <r>
          <rPr>
            <b/>
            <sz val="9"/>
            <color indexed="81"/>
            <rFont val="Tahoma"/>
            <family val="2"/>
          </rPr>
          <t>Administrator:</t>
        </r>
        <r>
          <rPr>
            <sz val="9"/>
            <color indexed="81"/>
            <rFont val="Tahoma"/>
            <family val="2"/>
          </rPr>
          <t xml:space="preserve">
A report in Sep 2018 said that OYO sold 125,000 room nights per day at that time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zx章希</author>
    <author>z_lin</author>
  </authors>
  <commentList>
    <comment ref="F6" authorId="0" shapeId="0" xr:uid="{00000000-0006-0000-1500-000001000000}">
      <text>
        <r>
          <rPr>
            <b/>
            <sz val="9"/>
            <color indexed="81"/>
            <rFont val="宋体"/>
            <family val="3"/>
            <charset val="134"/>
          </rPr>
          <t>zx章希:</t>
        </r>
        <r>
          <rPr>
            <sz val="9"/>
            <color indexed="81"/>
            <rFont val="宋体"/>
            <family val="3"/>
            <charset val="134"/>
          </rPr>
          <t xml:space="preserve">
incl. Qunar 
</t>
        </r>
      </text>
    </comment>
    <comment ref="G6" authorId="1" shapeId="0" xr:uid="{00000000-0006-0000-1500-000002000000}">
      <text>
        <r>
          <rPr>
            <b/>
            <sz val="9"/>
            <color indexed="81"/>
            <rFont val="宋体"/>
            <family val="3"/>
            <charset val="134"/>
          </rPr>
          <t>z_lin:</t>
        </r>
        <r>
          <rPr>
            <sz val="9"/>
            <color indexed="81"/>
            <rFont val="宋体"/>
            <family val="3"/>
            <charset val="134"/>
          </rPr>
          <t xml:space="preserve">
Combined</t>
        </r>
      </text>
    </comment>
    <comment ref="O17" authorId="0" shapeId="0" xr:uid="{00000000-0006-0000-1500-000003000000}">
      <text>
        <r>
          <rPr>
            <b/>
            <sz val="9"/>
            <color indexed="81"/>
            <rFont val="宋体"/>
            <family val="3"/>
            <charset val="134"/>
          </rPr>
          <t>zx章希:</t>
        </r>
        <r>
          <rPr>
            <sz val="9"/>
            <color indexed="81"/>
            <rFont val="宋体"/>
            <family val="3"/>
            <charset val="134"/>
          </rPr>
          <t xml:space="preserve">
Advertising and Media + Others
</t>
        </r>
      </text>
    </comment>
    <comment ref="O27" authorId="0" shapeId="0" xr:uid="{00000000-0006-0000-1500-000004000000}">
      <text>
        <r>
          <rPr>
            <b/>
            <sz val="9"/>
            <color indexed="81"/>
            <rFont val="宋体"/>
            <family val="3"/>
            <charset val="134"/>
          </rPr>
          <t>zx章希:</t>
        </r>
        <r>
          <rPr>
            <sz val="9"/>
            <color indexed="81"/>
            <rFont val="宋体"/>
            <family val="3"/>
            <charset val="134"/>
          </rPr>
          <t xml:space="preserve">
marketing only</t>
        </r>
      </text>
    </comment>
    <comment ref="O28" authorId="0" shapeId="0" xr:uid="{00000000-0006-0000-1500-000005000000}">
      <text>
        <r>
          <rPr>
            <b/>
            <sz val="9"/>
            <color indexed="81"/>
            <rFont val="宋体"/>
            <family val="3"/>
            <charset val="134"/>
          </rPr>
          <t>zx章希:</t>
        </r>
        <r>
          <rPr>
            <sz val="9"/>
            <color indexed="81"/>
            <rFont val="宋体"/>
            <family val="3"/>
            <charset val="134"/>
          </rPr>
          <t xml:space="preserve">
Selling, General &amp; Admin
</t>
        </r>
      </text>
    </comment>
    <comment ref="N32" authorId="0" shapeId="0" xr:uid="{00000000-0006-0000-1500-000006000000}">
      <text>
        <r>
          <rPr>
            <b/>
            <sz val="9"/>
            <color indexed="81"/>
            <rFont val="宋体"/>
            <family val="3"/>
            <charset val="134"/>
          </rPr>
          <t>zx章希:</t>
        </r>
        <r>
          <rPr>
            <sz val="9"/>
            <color indexed="81"/>
            <rFont val="宋体"/>
            <family val="3"/>
            <charset val="134"/>
          </rPr>
          <t xml:space="preserve">
Imparement of property and equipment and other assets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zx章希</author>
  </authors>
  <commentList>
    <comment ref="A27" authorId="0" shapeId="0" xr:uid="{00000000-0006-0000-1600-000001000000}">
      <text>
        <r>
          <rPr>
            <b/>
            <sz val="9"/>
            <color indexed="81"/>
            <rFont val="宋体"/>
            <family val="3"/>
            <charset val="134"/>
          </rPr>
          <t>zx章希:</t>
        </r>
        <r>
          <rPr>
            <sz val="9"/>
            <color indexed="81"/>
            <rFont val="宋体"/>
            <family val="3"/>
            <charset val="134"/>
          </rPr>
          <t xml:space="preserve">
Gaap OP + D&amp;A</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zx章希</author>
  </authors>
  <commentList>
    <comment ref="A60" authorId="0" shapeId="0" xr:uid="{00000000-0006-0000-1700-000001000000}">
      <text>
        <r>
          <rPr>
            <b/>
            <sz val="9"/>
            <color indexed="81"/>
            <rFont val="宋体"/>
            <family val="3"/>
            <charset val="134"/>
          </rPr>
          <t>zx章希:</t>
        </r>
        <r>
          <rPr>
            <sz val="9"/>
            <color indexed="81"/>
            <rFont val="宋体"/>
            <family val="3"/>
            <charset val="134"/>
          </rPr>
          <t xml:space="preserve">
Gaap OP + D&amp;A</t>
        </r>
      </text>
    </comment>
    <comment ref="A76" authorId="0" shapeId="0" xr:uid="{00000000-0006-0000-1700-000002000000}">
      <text>
        <r>
          <rPr>
            <b/>
            <sz val="9"/>
            <color indexed="81"/>
            <rFont val="宋体"/>
            <family val="3"/>
            <charset val="134"/>
          </rPr>
          <t>zx章希:</t>
        </r>
        <r>
          <rPr>
            <sz val="9"/>
            <color indexed="81"/>
            <rFont val="宋体"/>
            <family val="3"/>
            <charset val="134"/>
          </rPr>
          <t xml:space="preserve">
term deposit</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yfq闫芳琦</author>
    <author>Carey Fong</author>
    <author>wyy吴英瑛</author>
  </authors>
  <commentList>
    <comment ref="U10" authorId="0" shapeId="0" xr:uid="{00000000-0006-0000-1900-000001000000}">
      <text>
        <r>
          <rPr>
            <b/>
            <sz val="9"/>
            <color indexed="81"/>
            <rFont val="宋体"/>
            <family val="3"/>
            <charset val="134"/>
          </rPr>
          <t>yfq闫芳琦:</t>
        </r>
        <r>
          <rPr>
            <sz val="9"/>
            <color indexed="81"/>
            <rFont val="宋体"/>
            <family val="3"/>
            <charset val="134"/>
          </rPr>
          <t xml:space="preserve">
net basis from 17Q1</t>
        </r>
      </text>
    </comment>
    <comment ref="A47" authorId="1" shapeId="0" xr:uid="{00000000-0006-0000-1900-000002000000}">
      <text>
        <r>
          <rPr>
            <b/>
            <sz val="9"/>
            <color indexed="81"/>
            <rFont val="Tahoma"/>
            <family val="2"/>
          </rPr>
          <t>Carey Fong:</t>
        </r>
        <r>
          <rPr>
            <sz val="9"/>
            <color indexed="81"/>
            <rFont val="Tahoma"/>
            <family val="2"/>
          </rPr>
          <t xml:space="preserve">
Each ADS represents three of the Company's ordinary shares</t>
        </r>
      </text>
    </comment>
    <comment ref="AC140" authorId="2" shapeId="0" xr:uid="{00000000-0006-0000-1900-000003000000}">
      <text>
        <r>
          <rPr>
            <b/>
            <sz val="9"/>
            <color indexed="81"/>
            <rFont val="宋体"/>
            <family val="3"/>
            <charset val="134"/>
          </rPr>
          <t>wyy吴英瑛:</t>
        </r>
        <r>
          <rPr>
            <sz val="9"/>
            <color indexed="81"/>
            <rFont val="宋体"/>
            <family val="3"/>
            <charset val="134"/>
          </rPr>
          <t xml:space="preserve">
from fact sheet</t>
        </r>
      </text>
    </comment>
    <comment ref="AC141" authorId="2" shapeId="0" xr:uid="{00000000-0006-0000-1900-000004000000}">
      <text>
        <r>
          <rPr>
            <b/>
            <sz val="9"/>
            <color indexed="81"/>
            <rFont val="宋体"/>
            <family val="3"/>
            <charset val="134"/>
          </rPr>
          <t>wyy吴英瑛:</t>
        </r>
        <r>
          <rPr>
            <sz val="9"/>
            <color indexed="81"/>
            <rFont val="宋体"/>
            <family val="3"/>
            <charset val="134"/>
          </rPr>
          <t xml:space="preserve">
from fact sheet</t>
        </r>
      </text>
    </comment>
    <comment ref="AC152" authorId="2" shapeId="0" xr:uid="{00000000-0006-0000-1900-000005000000}">
      <text>
        <r>
          <rPr>
            <b/>
            <sz val="9"/>
            <color indexed="81"/>
            <rFont val="宋体"/>
            <family val="3"/>
            <charset val="134"/>
          </rPr>
          <t>wyy吴英瑛:</t>
        </r>
        <r>
          <rPr>
            <sz val="9"/>
            <color indexed="81"/>
            <rFont val="宋体"/>
            <family val="3"/>
            <charset val="134"/>
          </rPr>
          <t xml:space="preserve">
earningscall</t>
        </r>
      </text>
    </comment>
    <comment ref="AC153" authorId="2" shapeId="0" xr:uid="{00000000-0006-0000-1900-000006000000}">
      <text>
        <r>
          <rPr>
            <b/>
            <sz val="9"/>
            <color indexed="81"/>
            <rFont val="宋体"/>
            <family val="3"/>
            <charset val="134"/>
          </rPr>
          <t>wyy吴英瑛:</t>
        </r>
        <r>
          <rPr>
            <sz val="9"/>
            <color indexed="81"/>
            <rFont val="宋体"/>
            <family val="3"/>
            <charset val="134"/>
          </rPr>
          <t xml:space="preserve">
from fact sheet</t>
        </r>
      </text>
    </comment>
    <comment ref="AC177" authorId="2" shapeId="0" xr:uid="{00000000-0006-0000-1900-000007000000}">
      <text>
        <r>
          <rPr>
            <b/>
            <sz val="9"/>
            <color indexed="81"/>
            <rFont val="宋体"/>
            <family val="3"/>
            <charset val="134"/>
          </rPr>
          <t>wyy吴英瑛:</t>
        </r>
        <r>
          <rPr>
            <sz val="9"/>
            <color indexed="81"/>
            <rFont val="宋体"/>
            <family val="3"/>
            <charset val="134"/>
          </rPr>
          <t xml:space="preserve">
earnings call</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Ji, Ivy (VZDX 60)</author>
    <author>Ji, Ivy (PZRT 11)</author>
  </authors>
  <commentList>
    <comment ref="Z33" authorId="0" shapeId="0" xr:uid="{00000000-0006-0000-1C00-000001000000}">
      <text>
        <r>
          <rPr>
            <b/>
            <sz val="9"/>
            <color indexed="81"/>
            <rFont val="Tahoma"/>
            <family val="2"/>
          </rPr>
          <t>Ji, Ivy (VZDX 60):</t>
        </r>
        <r>
          <rPr>
            <sz val="9"/>
            <color indexed="81"/>
            <rFont val="Tahoma"/>
            <family val="2"/>
          </rPr>
          <t xml:space="preserve">
- 67.5% from outbound</t>
        </r>
      </text>
    </comment>
    <comment ref="AD34" authorId="1" shapeId="0" xr:uid="{00000000-0006-0000-1C00-000002000000}">
      <text>
        <r>
          <rPr>
            <b/>
            <sz val="9"/>
            <color indexed="81"/>
            <rFont val="Tahoma"/>
            <family val="2"/>
          </rPr>
          <t>Ji, Ivy (PZRT 11):</t>
        </r>
        <r>
          <rPr>
            <sz val="9"/>
            <color indexed="81"/>
            <rFont val="Tahoma"/>
            <family val="2"/>
          </rPr>
          <t xml:space="preserve">
- around 9%</t>
        </r>
      </text>
    </comment>
    <comment ref="AE34" authorId="1" shapeId="0" xr:uid="{00000000-0006-0000-1C00-000003000000}">
      <text>
        <r>
          <rPr>
            <b/>
            <sz val="9"/>
            <color indexed="81"/>
            <rFont val="Tahoma"/>
            <family val="2"/>
          </rPr>
          <t>Ji, Ivy (PZRT 11):</t>
        </r>
        <r>
          <rPr>
            <sz val="9"/>
            <color indexed="81"/>
            <rFont val="Tahoma"/>
            <family val="2"/>
          </rPr>
          <t xml:space="preserve">
- 8-9%</t>
        </r>
      </text>
    </comment>
    <comment ref="AF34" authorId="1" shapeId="0" xr:uid="{00000000-0006-0000-1C00-000004000000}">
      <text>
        <r>
          <rPr>
            <b/>
            <sz val="9"/>
            <color indexed="81"/>
            <rFont val="Tahoma"/>
            <family val="2"/>
          </rPr>
          <t>Ji, Ivy (PZRT 11):</t>
        </r>
        <r>
          <rPr>
            <sz val="9"/>
            <color indexed="81"/>
            <rFont val="Tahoma"/>
            <family val="2"/>
          </rPr>
          <t xml:space="preserve">
- ~9%</t>
        </r>
      </text>
    </comment>
    <comment ref="AG34" authorId="1" shapeId="0" xr:uid="{00000000-0006-0000-1C00-000005000000}">
      <text>
        <r>
          <rPr>
            <b/>
            <sz val="9"/>
            <color indexed="81"/>
            <rFont val="Tahoma"/>
            <family val="2"/>
          </rPr>
          <t>Ji, Ivy (PZRT 11):</t>
        </r>
        <r>
          <rPr>
            <sz val="9"/>
            <color indexed="81"/>
            <rFont val="Tahoma"/>
            <family val="2"/>
          </rPr>
          <t xml:space="preserve">
- ~10%</t>
        </r>
      </text>
    </comment>
    <comment ref="AL70" authorId="1" shapeId="0" xr:uid="{00000000-0006-0000-1C00-000006000000}">
      <text>
        <r>
          <rPr>
            <b/>
            <sz val="9"/>
            <color indexed="81"/>
            <rFont val="Tahoma"/>
            <family val="2"/>
          </rPr>
          <t>Ji, Ivy (PZRT 11):</t>
        </r>
        <r>
          <rPr>
            <sz val="9"/>
            <color indexed="81"/>
            <rFont val="Tahoma"/>
            <family val="2"/>
          </rPr>
          <t xml:space="preserve">
- Guidance: 5-10% yoy decline
</t>
        </r>
      </text>
    </comment>
    <comment ref="AE71" authorId="0" shapeId="0" xr:uid="{00000000-0006-0000-1C00-000007000000}">
      <text>
        <r>
          <rPr>
            <b/>
            <sz val="9"/>
            <color indexed="81"/>
            <rFont val="Tahoma"/>
            <family val="2"/>
          </rPr>
          <t>Ji, Ivy (VZDX 60):</t>
        </r>
        <r>
          <rPr>
            <sz val="9"/>
            <color indexed="81"/>
            <rFont val="Tahoma"/>
            <family val="2"/>
          </rPr>
          <t xml:space="preserve">
- guidance 48%-53%</t>
        </r>
      </text>
    </comment>
    <comment ref="AI71" authorId="1" shapeId="0" xr:uid="{00000000-0006-0000-1C00-000008000000}">
      <text>
        <r>
          <rPr>
            <b/>
            <sz val="9"/>
            <color indexed="81"/>
            <rFont val="Tahoma"/>
            <family val="2"/>
          </rPr>
          <t>Ji, Ivy (PZRT 11):</t>
        </r>
        <r>
          <rPr>
            <sz val="9"/>
            <color indexed="81"/>
            <rFont val="Tahoma"/>
            <family val="2"/>
          </rPr>
          <t xml:space="preserve">
- 13-17% YoY</t>
        </r>
      </text>
    </comment>
    <comment ref="AJ71" authorId="1" shapeId="0" xr:uid="{00000000-0006-0000-1C00-000009000000}">
      <text>
        <r>
          <rPr>
            <b/>
            <sz val="9"/>
            <color indexed="81"/>
            <rFont val="Tahoma"/>
            <family val="2"/>
          </rPr>
          <t>Ji, Ivy (PZRT 11):</t>
        </r>
        <r>
          <rPr>
            <sz val="9"/>
            <color indexed="81"/>
            <rFont val="Tahoma"/>
            <family val="2"/>
          </rPr>
          <t xml:space="preserve">
- down 5-10% yoy</t>
        </r>
      </text>
    </comment>
    <comment ref="AK71" authorId="1" shapeId="0" xr:uid="{00000000-0006-0000-1C00-00000A000000}">
      <text>
        <r>
          <rPr>
            <b/>
            <sz val="9"/>
            <color indexed="81"/>
            <rFont val="Tahoma"/>
            <family val="2"/>
          </rPr>
          <t>Ji, Ivy (PZRT 11):</t>
        </r>
        <r>
          <rPr>
            <sz val="9"/>
            <color indexed="81"/>
            <rFont val="Tahoma"/>
            <family val="2"/>
          </rPr>
          <t xml:space="preserve">
- Guidance: 5-10% yoy decline</t>
        </r>
      </text>
    </comment>
    <comment ref="AC109" authorId="0" shapeId="0" xr:uid="{00000000-0006-0000-1C00-00000B000000}">
      <text>
        <r>
          <rPr>
            <b/>
            <sz val="9"/>
            <color indexed="81"/>
            <rFont val="Tahoma"/>
            <family val="2"/>
          </rPr>
          <t>Ji, Ivy (VZDX 60):</t>
        </r>
        <r>
          <rPr>
            <sz val="9"/>
            <color indexed="81"/>
            <rFont val="Tahoma"/>
            <family val="2"/>
          </rPr>
          <t xml:space="preserve">
- Adjustment to a net basis and timing of revenue recognition</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zx章希</author>
    <author>z_lin</author>
  </authors>
  <commentList>
    <comment ref="U23" authorId="0" shapeId="0" xr:uid="{00000000-0006-0000-2000-000001000000}">
      <text>
        <r>
          <rPr>
            <b/>
            <sz val="9"/>
            <color indexed="81"/>
            <rFont val="宋体"/>
            <family val="3"/>
            <charset val="134"/>
          </rPr>
          <t>zx章希:</t>
        </r>
        <r>
          <rPr>
            <sz val="9"/>
            <color indexed="81"/>
            <rFont val="宋体"/>
            <family val="3"/>
            <charset val="134"/>
          </rPr>
          <t xml:space="preserve">
depreciation</t>
        </r>
      </text>
    </comment>
    <comment ref="G133" authorId="1" shapeId="0" xr:uid="{00000000-0006-0000-2000-000002000000}">
      <text>
        <r>
          <rPr>
            <b/>
            <sz val="9"/>
            <color indexed="81"/>
            <rFont val="宋体"/>
            <family val="3"/>
            <charset val="134"/>
          </rPr>
          <t>z_lin:</t>
        </r>
        <r>
          <rPr>
            <sz val="9"/>
            <color indexed="81"/>
            <rFont val="宋体"/>
            <family val="3"/>
            <charset val="134"/>
          </rPr>
          <t xml:space="preserve">
It's hotel+package</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z_lin</author>
    <author>vwy魏裕</author>
  </authors>
  <commentList>
    <comment ref="E47" authorId="0" shapeId="0" xr:uid="{00000000-0006-0000-2400-000001000000}">
      <text>
        <r>
          <rPr>
            <b/>
            <sz val="9"/>
            <color indexed="81"/>
            <rFont val="宋体"/>
            <family val="3"/>
            <charset val="134"/>
          </rPr>
          <t>z_lin:</t>
        </r>
        <r>
          <rPr>
            <sz val="9"/>
            <color indexed="81"/>
            <rFont val="宋体"/>
            <family val="3"/>
            <charset val="134"/>
          </rPr>
          <t xml:space="preserve">
finance cost</t>
        </r>
      </text>
    </comment>
    <comment ref="F47" authorId="0" shapeId="0" xr:uid="{00000000-0006-0000-2400-000002000000}">
      <text>
        <r>
          <rPr>
            <b/>
            <sz val="9"/>
            <color indexed="81"/>
            <rFont val="宋体"/>
            <family val="3"/>
            <charset val="134"/>
          </rPr>
          <t>z_lin:</t>
        </r>
        <r>
          <rPr>
            <sz val="9"/>
            <color indexed="81"/>
            <rFont val="宋体"/>
            <family val="3"/>
            <charset val="134"/>
          </rPr>
          <t xml:space="preserve">
finance cost</t>
        </r>
      </text>
    </comment>
    <comment ref="G47" authorId="0" shapeId="0" xr:uid="{00000000-0006-0000-2400-000003000000}">
      <text>
        <r>
          <rPr>
            <b/>
            <sz val="9"/>
            <color indexed="81"/>
            <rFont val="宋体"/>
            <family val="3"/>
            <charset val="134"/>
          </rPr>
          <t>z_lin:</t>
        </r>
        <r>
          <rPr>
            <sz val="9"/>
            <color indexed="81"/>
            <rFont val="宋体"/>
            <family val="3"/>
            <charset val="134"/>
          </rPr>
          <t xml:space="preserve">
finance cost</t>
        </r>
      </text>
    </comment>
    <comment ref="N47" authorId="0" shapeId="0" xr:uid="{00000000-0006-0000-2400-000004000000}">
      <text>
        <r>
          <rPr>
            <b/>
            <sz val="9"/>
            <color indexed="81"/>
            <rFont val="宋体"/>
            <family val="3"/>
            <charset val="134"/>
          </rPr>
          <t>z_lin:</t>
        </r>
        <r>
          <rPr>
            <sz val="9"/>
            <color indexed="81"/>
            <rFont val="宋体"/>
            <family val="3"/>
            <charset val="134"/>
          </rPr>
          <t xml:space="preserve">
finance cost</t>
        </r>
      </text>
    </comment>
    <comment ref="U47" authorId="0" shapeId="0" xr:uid="{00000000-0006-0000-2400-000005000000}">
      <text>
        <r>
          <rPr>
            <b/>
            <sz val="9"/>
            <color indexed="81"/>
            <rFont val="宋体"/>
            <family val="3"/>
            <charset val="134"/>
          </rPr>
          <t>z_lin:</t>
        </r>
        <r>
          <rPr>
            <sz val="9"/>
            <color indexed="81"/>
            <rFont val="宋体"/>
            <family val="3"/>
            <charset val="134"/>
          </rPr>
          <t xml:space="preserve">
finance cost</t>
        </r>
      </text>
    </comment>
    <comment ref="C124" authorId="0" shapeId="0" xr:uid="{00000000-0006-0000-2400-000006000000}">
      <text>
        <r>
          <rPr>
            <b/>
            <sz val="9"/>
            <color indexed="81"/>
            <rFont val="宋体"/>
            <family val="3"/>
            <charset val="134"/>
          </rPr>
          <t>z_lin:</t>
        </r>
        <r>
          <rPr>
            <sz val="9"/>
            <color indexed="81"/>
            <rFont val="宋体"/>
            <family val="3"/>
            <charset val="134"/>
          </rPr>
          <t xml:space="preserve">
Purchase of fiscal assets</t>
        </r>
      </text>
    </comment>
    <comment ref="D124" authorId="0" shapeId="0" xr:uid="{00000000-0006-0000-2400-000007000000}">
      <text>
        <r>
          <rPr>
            <b/>
            <sz val="9"/>
            <color indexed="81"/>
            <rFont val="宋体"/>
            <family val="3"/>
            <charset val="134"/>
          </rPr>
          <t>z_lin:</t>
        </r>
        <r>
          <rPr>
            <sz val="9"/>
            <color indexed="81"/>
            <rFont val="宋体"/>
            <family val="3"/>
            <charset val="134"/>
          </rPr>
          <t xml:space="preserve">
Purchase of fiscal assets</t>
        </r>
      </text>
    </comment>
    <comment ref="E124" authorId="0" shapeId="0" xr:uid="{00000000-0006-0000-2400-000008000000}">
      <text>
        <r>
          <rPr>
            <b/>
            <sz val="9"/>
            <color indexed="81"/>
            <rFont val="宋体"/>
            <family val="3"/>
            <charset val="134"/>
          </rPr>
          <t>z_lin:</t>
        </r>
        <r>
          <rPr>
            <sz val="9"/>
            <color indexed="81"/>
            <rFont val="宋体"/>
            <family val="3"/>
            <charset val="134"/>
          </rPr>
          <t xml:space="preserve">
Purchase of fiscal assets</t>
        </r>
      </text>
    </comment>
    <comment ref="F124" authorId="0" shapeId="0" xr:uid="{00000000-0006-0000-2400-000009000000}">
      <text>
        <r>
          <rPr>
            <b/>
            <sz val="9"/>
            <color indexed="81"/>
            <rFont val="宋体"/>
            <family val="3"/>
            <charset val="134"/>
          </rPr>
          <t>z_lin:</t>
        </r>
        <r>
          <rPr>
            <sz val="9"/>
            <color indexed="81"/>
            <rFont val="宋体"/>
            <family val="3"/>
            <charset val="134"/>
          </rPr>
          <t xml:space="preserve">
Purchase of fiscal assets</t>
        </r>
      </text>
    </comment>
    <comment ref="G124" authorId="0" shapeId="0" xr:uid="{00000000-0006-0000-2400-00000A000000}">
      <text>
        <r>
          <rPr>
            <b/>
            <sz val="9"/>
            <color indexed="81"/>
            <rFont val="宋体"/>
            <family val="3"/>
            <charset val="134"/>
          </rPr>
          <t>z_lin:</t>
        </r>
        <r>
          <rPr>
            <sz val="9"/>
            <color indexed="81"/>
            <rFont val="宋体"/>
            <family val="3"/>
            <charset val="134"/>
          </rPr>
          <t xml:space="preserve">
Purchase of fiscal assets</t>
        </r>
      </text>
    </comment>
    <comment ref="N124" authorId="0" shapeId="0" xr:uid="{00000000-0006-0000-2400-00000B000000}">
      <text>
        <r>
          <rPr>
            <b/>
            <sz val="9"/>
            <color indexed="81"/>
            <rFont val="宋体"/>
            <family val="3"/>
            <charset val="134"/>
          </rPr>
          <t>z_lin:</t>
        </r>
        <r>
          <rPr>
            <sz val="9"/>
            <color indexed="81"/>
            <rFont val="宋体"/>
            <family val="3"/>
            <charset val="134"/>
          </rPr>
          <t xml:space="preserve">
Purchase of fiscal assets</t>
        </r>
      </text>
    </comment>
    <comment ref="U124" authorId="0" shapeId="0" xr:uid="{00000000-0006-0000-2400-00000C000000}">
      <text>
        <r>
          <rPr>
            <b/>
            <sz val="9"/>
            <color indexed="81"/>
            <rFont val="宋体"/>
            <family val="3"/>
            <charset val="134"/>
          </rPr>
          <t>z_lin:</t>
        </r>
        <r>
          <rPr>
            <sz val="9"/>
            <color indexed="81"/>
            <rFont val="宋体"/>
            <family val="3"/>
            <charset val="134"/>
          </rPr>
          <t xml:space="preserve">
Purchase of fiscal assets</t>
        </r>
      </text>
    </comment>
    <comment ref="G156" authorId="1" shapeId="0" xr:uid="{00000000-0006-0000-2400-00000D000000}">
      <text>
        <r>
          <rPr>
            <b/>
            <sz val="9"/>
            <color indexed="81"/>
            <rFont val="宋体"/>
            <family val="3"/>
            <charset val="134"/>
          </rPr>
          <t>vwy魏裕:</t>
        </r>
        <r>
          <rPr>
            <sz val="9"/>
            <color indexed="81"/>
            <rFont val="宋体"/>
            <family val="3"/>
            <charset val="134"/>
          </rPr>
          <t xml:space="preserve">
上半年净利润增长40%
</t>
        </r>
      </text>
    </comment>
    <comment ref="N156" authorId="1" shapeId="0" xr:uid="{00000000-0006-0000-2400-00000E000000}">
      <text>
        <r>
          <rPr>
            <b/>
            <sz val="9"/>
            <color indexed="81"/>
            <rFont val="宋体"/>
            <family val="3"/>
            <charset val="134"/>
          </rPr>
          <t>vwy魏裕:</t>
        </r>
        <r>
          <rPr>
            <sz val="9"/>
            <color indexed="81"/>
            <rFont val="宋体"/>
            <family val="3"/>
            <charset val="134"/>
          </rPr>
          <t xml:space="preserve">
上半年净利润增长40%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z_lin</author>
  </authors>
  <commentList>
    <comment ref="D42" authorId="0" shapeId="0" xr:uid="{00000000-0006-0000-2500-000001000000}">
      <text>
        <r>
          <rPr>
            <b/>
            <sz val="9"/>
            <color indexed="81"/>
            <rFont val="宋体"/>
            <family val="3"/>
            <charset val="134"/>
          </rPr>
          <t>z_lin:</t>
        </r>
        <r>
          <rPr>
            <sz val="9"/>
            <color indexed="81"/>
            <rFont val="宋体"/>
            <family val="3"/>
            <charset val="134"/>
          </rPr>
          <t xml:space="preserve">
finance cost</t>
        </r>
      </text>
    </comment>
    <comment ref="E42" authorId="0" shapeId="0" xr:uid="{00000000-0006-0000-2500-000002000000}">
      <text>
        <r>
          <rPr>
            <b/>
            <sz val="9"/>
            <color indexed="81"/>
            <rFont val="宋体"/>
            <family val="3"/>
            <charset val="134"/>
          </rPr>
          <t>z_lin:</t>
        </r>
        <r>
          <rPr>
            <sz val="9"/>
            <color indexed="81"/>
            <rFont val="宋体"/>
            <family val="3"/>
            <charset val="134"/>
          </rPr>
          <t xml:space="preserve">
finance cost</t>
        </r>
      </text>
    </comment>
    <comment ref="F42" authorId="0" shapeId="0" xr:uid="{00000000-0006-0000-2500-000003000000}">
      <text>
        <r>
          <rPr>
            <b/>
            <sz val="9"/>
            <color indexed="81"/>
            <rFont val="宋体"/>
            <family val="3"/>
            <charset val="134"/>
          </rPr>
          <t>z_lin:</t>
        </r>
        <r>
          <rPr>
            <sz val="9"/>
            <color indexed="81"/>
            <rFont val="宋体"/>
            <family val="3"/>
            <charset val="134"/>
          </rPr>
          <t xml:space="preserve">
finance cost</t>
        </r>
      </text>
    </comment>
    <comment ref="C121" authorId="0" shapeId="0" xr:uid="{00000000-0006-0000-2500-000004000000}">
      <text>
        <r>
          <rPr>
            <b/>
            <sz val="9"/>
            <color indexed="81"/>
            <rFont val="宋体"/>
            <family val="3"/>
            <charset val="134"/>
          </rPr>
          <t>z_lin:</t>
        </r>
        <r>
          <rPr>
            <sz val="9"/>
            <color indexed="81"/>
            <rFont val="宋体"/>
            <family val="3"/>
            <charset val="134"/>
          </rPr>
          <t xml:space="preserve">
Purchase of fiscal assets</t>
        </r>
      </text>
    </comment>
    <comment ref="D121" authorId="0" shapeId="0" xr:uid="{00000000-0006-0000-2500-000005000000}">
      <text>
        <r>
          <rPr>
            <b/>
            <sz val="9"/>
            <color indexed="81"/>
            <rFont val="宋体"/>
            <family val="3"/>
            <charset val="134"/>
          </rPr>
          <t>z_lin:</t>
        </r>
        <r>
          <rPr>
            <sz val="9"/>
            <color indexed="81"/>
            <rFont val="宋体"/>
            <family val="3"/>
            <charset val="134"/>
          </rPr>
          <t xml:space="preserve">
Purchase of fiscal assets</t>
        </r>
      </text>
    </comment>
    <comment ref="E121" authorId="0" shapeId="0" xr:uid="{00000000-0006-0000-2500-000006000000}">
      <text>
        <r>
          <rPr>
            <b/>
            <sz val="9"/>
            <color indexed="81"/>
            <rFont val="宋体"/>
            <family val="3"/>
            <charset val="134"/>
          </rPr>
          <t>z_lin:</t>
        </r>
        <r>
          <rPr>
            <sz val="9"/>
            <color indexed="81"/>
            <rFont val="宋体"/>
            <family val="3"/>
            <charset val="134"/>
          </rPr>
          <t xml:space="preserve">
Purchase of fiscal assets</t>
        </r>
      </text>
    </comment>
    <comment ref="F121" authorId="0" shapeId="0" xr:uid="{00000000-0006-0000-2500-000007000000}">
      <text>
        <r>
          <rPr>
            <b/>
            <sz val="9"/>
            <color indexed="81"/>
            <rFont val="宋体"/>
            <family val="3"/>
            <charset val="134"/>
          </rPr>
          <t>z_lin:</t>
        </r>
        <r>
          <rPr>
            <sz val="9"/>
            <color indexed="81"/>
            <rFont val="宋体"/>
            <family val="3"/>
            <charset val="134"/>
          </rPr>
          <t xml:space="preserve">
Purchase of fiscal assets</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T11" authorId="0" shapeId="0" xr:uid="{00000000-0006-0000-2600-000001000000}">
      <text>
        <r>
          <rPr>
            <b/>
            <sz val="9"/>
            <color indexed="81"/>
            <rFont val="宋体"/>
            <family val="3"/>
            <charset val="134"/>
          </rPr>
          <t>作者:</t>
        </r>
        <r>
          <rPr>
            <sz val="9"/>
            <color indexed="81"/>
            <rFont val="宋体"/>
            <family val="3"/>
            <charset val="134"/>
          </rPr>
          <t xml:space="preserve">
降2%</t>
        </r>
      </text>
    </comment>
    <comment ref="W11" authorId="0" shapeId="0" xr:uid="{00000000-0006-0000-2600-000002000000}">
      <text>
        <r>
          <rPr>
            <b/>
            <sz val="9"/>
            <color indexed="81"/>
            <rFont val="宋体"/>
            <family val="3"/>
            <charset val="134"/>
          </rPr>
          <t>作者:</t>
        </r>
        <r>
          <rPr>
            <sz val="9"/>
            <color indexed="81"/>
            <rFont val="宋体"/>
            <family val="3"/>
            <charset val="134"/>
          </rPr>
          <t xml:space="preserve">
降1%</t>
        </r>
      </text>
    </comment>
    <comment ref="Z11" authorId="0" shapeId="0" xr:uid="{00000000-0006-0000-2600-000003000000}">
      <text>
        <r>
          <rPr>
            <b/>
            <sz val="9"/>
            <color indexed="81"/>
            <rFont val="宋体"/>
            <family val="3"/>
            <charset val="134"/>
          </rPr>
          <t>作者:</t>
        </r>
        <r>
          <rPr>
            <sz val="9"/>
            <color indexed="81"/>
            <rFont val="宋体"/>
            <family val="3"/>
            <charset val="134"/>
          </rPr>
          <t xml:space="preserve">
降1%</t>
        </r>
      </text>
    </comment>
    <comment ref="T19" authorId="0" shapeId="0" xr:uid="{00000000-0006-0000-2600-000004000000}">
      <text>
        <r>
          <rPr>
            <b/>
            <sz val="9"/>
            <color indexed="81"/>
            <rFont val="宋体"/>
            <family val="3"/>
            <charset val="134"/>
          </rPr>
          <t>作者:</t>
        </r>
        <r>
          <rPr>
            <sz val="9"/>
            <color indexed="81"/>
            <rFont val="宋体"/>
            <family val="3"/>
            <charset val="134"/>
          </rPr>
          <t xml:space="preserve">
降2%</t>
        </r>
      </text>
    </comment>
    <comment ref="W19" authorId="0" shapeId="0" xr:uid="{00000000-0006-0000-2600-000005000000}">
      <text>
        <r>
          <rPr>
            <b/>
            <sz val="9"/>
            <color indexed="81"/>
            <rFont val="宋体"/>
            <family val="3"/>
            <charset val="134"/>
          </rPr>
          <t>作者:</t>
        </r>
        <r>
          <rPr>
            <sz val="9"/>
            <color indexed="81"/>
            <rFont val="宋体"/>
            <family val="3"/>
            <charset val="134"/>
          </rPr>
          <t xml:space="preserve">
降1%</t>
        </r>
      </text>
    </comment>
    <comment ref="Z19" authorId="0" shapeId="0" xr:uid="{00000000-0006-0000-2600-000006000000}">
      <text>
        <r>
          <rPr>
            <b/>
            <sz val="9"/>
            <color indexed="81"/>
            <rFont val="宋体"/>
            <family val="3"/>
            <charset val="134"/>
          </rPr>
          <t>作者:</t>
        </r>
        <r>
          <rPr>
            <sz val="9"/>
            <color indexed="81"/>
            <rFont val="宋体"/>
            <family val="3"/>
            <charset val="134"/>
          </rPr>
          <t xml:space="preserve">
降1%</t>
        </r>
      </text>
    </comment>
    <comment ref="B22" authorId="0" shapeId="0" xr:uid="{00000000-0006-0000-2600-000007000000}">
      <text>
        <r>
          <rPr>
            <b/>
            <sz val="9"/>
            <color indexed="81"/>
            <rFont val="宋体"/>
            <family val="3"/>
            <charset val="134"/>
          </rPr>
          <t>作者:</t>
        </r>
        <r>
          <rPr>
            <sz val="9"/>
            <color indexed="81"/>
            <rFont val="宋体"/>
            <family val="3"/>
            <charset val="134"/>
          </rPr>
          <t xml:space="preserve">
部门提供</t>
        </r>
      </text>
    </comment>
    <comment ref="AE43" authorId="0" shapeId="0" xr:uid="{00000000-0006-0000-2600-000008000000}">
      <text>
        <r>
          <rPr>
            <b/>
            <sz val="9"/>
            <color indexed="81"/>
            <rFont val="宋体"/>
            <family val="3"/>
            <charset val="134"/>
          </rPr>
          <t>作者:</t>
        </r>
        <r>
          <rPr>
            <sz val="9"/>
            <color indexed="81"/>
            <rFont val="宋体"/>
            <family val="3"/>
            <charset val="134"/>
          </rPr>
          <t xml:space="preserve">
减亏</t>
        </r>
      </text>
    </comment>
    <comment ref="AF43" authorId="0" shapeId="0" xr:uid="{00000000-0006-0000-2600-000009000000}">
      <text>
        <r>
          <rPr>
            <b/>
            <sz val="9"/>
            <color indexed="81"/>
            <rFont val="宋体"/>
            <family val="3"/>
            <charset val="134"/>
          </rPr>
          <t>作者:</t>
        </r>
        <r>
          <rPr>
            <sz val="9"/>
            <color indexed="81"/>
            <rFont val="宋体"/>
            <family val="3"/>
            <charset val="134"/>
          </rPr>
          <t xml:space="preserve">
减亏</t>
        </r>
      </text>
    </comment>
    <comment ref="AG43" authorId="0" shapeId="0" xr:uid="{00000000-0006-0000-2600-00000A000000}">
      <text>
        <r>
          <rPr>
            <b/>
            <sz val="9"/>
            <color indexed="81"/>
            <rFont val="宋体"/>
            <family val="3"/>
            <charset val="134"/>
          </rPr>
          <t>作者:</t>
        </r>
        <r>
          <rPr>
            <sz val="9"/>
            <color indexed="81"/>
            <rFont val="宋体"/>
            <family val="3"/>
            <charset val="134"/>
          </rPr>
          <t xml:space="preserve">
扭亏为盈</t>
        </r>
      </text>
    </comment>
  </commentList>
</comments>
</file>

<file path=xl/sharedStrings.xml><?xml version="1.0" encoding="utf-8"?>
<sst xmlns="http://schemas.openxmlformats.org/spreadsheetml/2006/main" count="7631" uniqueCount="2887">
  <si>
    <t>ASSETS</t>
  </si>
  <si>
    <t>Current assets:</t>
  </si>
  <si>
    <t xml:space="preserve">Cash  </t>
  </si>
  <si>
    <t>Short-term investment</t>
    <phoneticPr fontId="11" type="noConversion"/>
  </si>
  <si>
    <t>Total assets</t>
  </si>
  <si>
    <t>LIABILITIES</t>
  </si>
  <si>
    <t xml:space="preserve">Total liabilities and shateholders' equity   </t>
  </si>
  <si>
    <t>GP margin</t>
    <phoneticPr fontId="11" type="noConversion"/>
  </si>
  <si>
    <t>Income (loss) from Operations</t>
    <phoneticPr fontId="11" type="noConversion"/>
  </si>
  <si>
    <t>Restricted cash</t>
  </si>
  <si>
    <t>MakeMyTrip</t>
  </si>
  <si>
    <t>52-Week High</t>
  </si>
  <si>
    <t>-</t>
  </si>
  <si>
    <t>AR Days</t>
  </si>
  <si>
    <t>Income from continuing operations</t>
    <phoneticPr fontId="11" type="noConversion"/>
  </si>
  <si>
    <t>ended Mar.31</t>
    <phoneticPr fontId="11" type="noConversion"/>
  </si>
  <si>
    <t>eLong</t>
    <phoneticPr fontId="11" type="noConversion"/>
  </si>
  <si>
    <t>Orbitz</t>
    <phoneticPr fontId="11" type="noConversion"/>
  </si>
  <si>
    <t>Gross profit / Gross booking ratio</t>
    <phoneticPr fontId="11" type="noConversion"/>
  </si>
  <si>
    <t>Gross profit</t>
    <phoneticPr fontId="11" type="noConversion"/>
  </si>
  <si>
    <t>-</t>
    <phoneticPr fontId="11" type="noConversion"/>
  </si>
  <si>
    <t xml:space="preserve">   Share-based compensation</t>
    <phoneticPr fontId="11" type="noConversion"/>
  </si>
  <si>
    <t>Total operating expenses (GAAP)</t>
    <phoneticPr fontId="11" type="noConversion"/>
  </si>
  <si>
    <t>Income (loss) from Operations (GAAP)</t>
    <phoneticPr fontId="11" type="noConversion"/>
  </si>
  <si>
    <t>Other income (expense)</t>
    <phoneticPr fontId="11" type="noConversion"/>
  </si>
  <si>
    <t>Income before income tax expense and noncontrolling interests</t>
    <phoneticPr fontId="11" type="noConversion"/>
  </si>
  <si>
    <t>Expedia</t>
    <phoneticPr fontId="11" type="noConversion"/>
  </si>
  <si>
    <t>Operating expenses: (GAAP)</t>
    <phoneticPr fontId="11" type="noConversion"/>
  </si>
  <si>
    <t xml:space="preserve">   General and administrative</t>
    <phoneticPr fontId="11" type="noConversion"/>
  </si>
  <si>
    <t>Cash, Restricated cash and short-term investment</t>
    <phoneticPr fontId="11" type="noConversion"/>
  </si>
  <si>
    <t>Long term debt</t>
    <phoneticPr fontId="11" type="noConversion"/>
  </si>
  <si>
    <t>Total liabilities</t>
    <phoneticPr fontId="11" type="noConversion"/>
  </si>
  <si>
    <t>Cash Flow from (used in) Operating</t>
    <phoneticPr fontId="11" type="noConversion"/>
  </si>
  <si>
    <t>Cash Flow from (used in) Investing</t>
    <phoneticPr fontId="11" type="noConversion"/>
  </si>
  <si>
    <t>Cash Flow from (used in) Financing</t>
    <phoneticPr fontId="11" type="noConversion"/>
  </si>
  <si>
    <t>Outsource</t>
    <phoneticPr fontId="11" type="noConversion"/>
  </si>
  <si>
    <t xml:space="preserve">Stock </t>
    <phoneticPr fontId="11" type="noConversion"/>
  </si>
  <si>
    <t>USD</t>
    <phoneticPr fontId="11" type="noConversion"/>
  </si>
  <si>
    <t>exc. tripadv</t>
    <phoneticPr fontId="11" type="noConversion"/>
  </si>
  <si>
    <t>successor</t>
    <phoneticPr fontId="11" type="noConversion"/>
  </si>
  <si>
    <t>(in million, USD, except EPS data)</t>
    <phoneticPr fontId="11" type="noConversion"/>
  </si>
  <si>
    <t>Ctrip</t>
    <phoneticPr fontId="11" type="noConversion"/>
  </si>
  <si>
    <t>P&amp;L</t>
    <phoneticPr fontId="11" type="noConversion"/>
  </si>
  <si>
    <t>Transaction volume</t>
    <phoneticPr fontId="11" type="noConversion"/>
  </si>
  <si>
    <t>Gross booking value</t>
    <phoneticPr fontId="11" type="noConversion"/>
  </si>
  <si>
    <t>Revenue / Gross booking ratio</t>
    <phoneticPr fontId="11" type="noConversion"/>
  </si>
  <si>
    <t>Revenues:</t>
    <phoneticPr fontId="11" type="noConversion"/>
  </si>
  <si>
    <t xml:space="preserve">   Hotel reservation</t>
    <phoneticPr fontId="11" type="noConversion"/>
  </si>
  <si>
    <t xml:space="preserve">   Air-ticketing</t>
    <phoneticPr fontId="11" type="noConversion"/>
  </si>
  <si>
    <t xml:space="preserve">   Packaged tour</t>
    <phoneticPr fontId="11" type="noConversion"/>
  </si>
  <si>
    <t xml:space="preserve">   Corporate travel</t>
    <phoneticPr fontId="11" type="noConversion"/>
  </si>
  <si>
    <t xml:space="preserve">   Others</t>
    <phoneticPr fontId="11" type="noConversion"/>
  </si>
  <si>
    <t>Total revenues</t>
    <phoneticPr fontId="11" type="noConversion"/>
  </si>
  <si>
    <t>Less: business tax and related surcharges</t>
    <phoneticPr fontId="11" type="noConversion"/>
  </si>
  <si>
    <t>Net revenues</t>
    <phoneticPr fontId="11" type="noConversion"/>
  </si>
  <si>
    <t>Cost of services</t>
    <phoneticPr fontId="11" type="noConversion"/>
  </si>
  <si>
    <t>Operating expenses (GAAP)</t>
    <phoneticPr fontId="11" type="noConversion"/>
  </si>
  <si>
    <t xml:space="preserve">   Product development</t>
    <phoneticPr fontId="11" type="noConversion"/>
  </si>
  <si>
    <t xml:space="preserve">   Sales and marketing</t>
    <phoneticPr fontId="11" type="noConversion"/>
  </si>
  <si>
    <t xml:space="preserve">   General and administrative (&amp; Persneelfor PCLN)</t>
    <phoneticPr fontId="11" type="noConversion"/>
  </si>
  <si>
    <t xml:space="preserve">   Amortization of intangible assets</t>
    <phoneticPr fontId="11" type="noConversion"/>
  </si>
  <si>
    <t xml:space="preserve">  Personnel (excl. SBC)</t>
    <phoneticPr fontId="11" type="noConversion"/>
  </si>
  <si>
    <t xml:space="preserve">  Charges related to property and equipment</t>
    <phoneticPr fontId="11" type="noConversion"/>
  </si>
  <si>
    <t xml:space="preserve">  Other expenses</t>
    <phoneticPr fontId="11" type="noConversion"/>
  </si>
  <si>
    <t xml:space="preserve">  Impairment</t>
    <phoneticPr fontId="11" type="noConversion"/>
  </si>
  <si>
    <t>Total operating expenses (non-GAAP)</t>
    <phoneticPr fontId="11" type="noConversion"/>
  </si>
  <si>
    <r>
      <t>OP Margin</t>
    </r>
    <r>
      <rPr>
        <b/>
        <sz val="9"/>
        <rFont val="arial"/>
        <family val="2"/>
      </rPr>
      <t xml:space="preserve">  GAAP (OP/Revenue)</t>
    </r>
    <phoneticPr fontId="11" type="noConversion"/>
  </si>
  <si>
    <r>
      <t xml:space="preserve">OP Margin  </t>
    </r>
    <r>
      <rPr>
        <b/>
        <sz val="9"/>
        <rFont val="arial"/>
        <family val="2"/>
      </rPr>
      <t>GAAP (OP/Gross Profit)</t>
    </r>
    <phoneticPr fontId="11" type="noConversion"/>
  </si>
  <si>
    <t>Income (loss) from Operations (non-GAAP)</t>
    <phoneticPr fontId="11" type="noConversion"/>
  </si>
  <si>
    <r>
      <t>OP Margin</t>
    </r>
    <r>
      <rPr>
        <b/>
        <sz val="9"/>
        <rFont val="arial"/>
        <family val="2"/>
      </rPr>
      <t xml:space="preserve"> non- GAAP (OP/Revenue)</t>
    </r>
    <phoneticPr fontId="11" type="noConversion"/>
  </si>
  <si>
    <r>
      <t>OP Margin</t>
    </r>
    <r>
      <rPr>
        <b/>
        <sz val="9"/>
        <rFont val="arial"/>
        <family val="2"/>
      </rPr>
      <t xml:space="preserve">  non - GAAP (OP/Gross Profit)</t>
    </r>
    <phoneticPr fontId="11" type="noConversion"/>
  </si>
  <si>
    <t xml:space="preserve">Interest income </t>
    <phoneticPr fontId="11" type="noConversion"/>
  </si>
  <si>
    <t>Interest (expense)</t>
    <phoneticPr fontId="11" type="noConversion"/>
  </si>
  <si>
    <t>Income tax (expense) benefit</t>
    <phoneticPr fontId="11" type="noConversion"/>
  </si>
  <si>
    <t>Equity in loss (gain) of affiliates</t>
    <phoneticPr fontId="11" type="noConversion"/>
  </si>
  <si>
    <t>Discontinued operations, net of taxes</t>
    <phoneticPr fontId="11" type="noConversion"/>
  </si>
  <si>
    <t>Less: Noncontrolling interests</t>
    <phoneticPr fontId="11" type="noConversion"/>
  </si>
  <si>
    <t>Net income (GAAP)</t>
    <phoneticPr fontId="11" type="noConversion"/>
  </si>
  <si>
    <t>Preferred stock dividend</t>
    <phoneticPr fontId="11" type="noConversion"/>
  </si>
  <si>
    <t>Accretion on preferred stock</t>
    <phoneticPr fontId="11" type="noConversion"/>
  </si>
  <si>
    <r>
      <t xml:space="preserve">Net profit margin GAAP </t>
    </r>
    <r>
      <rPr>
        <b/>
        <sz val="9"/>
        <rFont val="arial"/>
        <family val="2"/>
      </rPr>
      <t xml:space="preserve"> (/ Revenue)</t>
    </r>
    <phoneticPr fontId="11" type="noConversion"/>
  </si>
  <si>
    <r>
      <t>Net profit margin GAAP</t>
    </r>
    <r>
      <rPr>
        <b/>
        <sz val="9"/>
        <rFont val="arial"/>
        <family val="2"/>
      </rPr>
      <t xml:space="preserve"> (/Gross profit)</t>
    </r>
    <phoneticPr fontId="11" type="noConversion"/>
  </si>
  <si>
    <t xml:space="preserve">Effective tax rate </t>
    <phoneticPr fontId="11" type="noConversion"/>
  </si>
  <si>
    <t>Net income (non-GAAP)</t>
    <phoneticPr fontId="11" type="noConversion"/>
  </si>
  <si>
    <r>
      <t xml:space="preserve">Net profit margin non-GAAP </t>
    </r>
    <r>
      <rPr>
        <b/>
        <sz val="9"/>
        <rFont val="arial"/>
        <family val="2"/>
      </rPr>
      <t xml:space="preserve"> (/ Revenue)</t>
    </r>
    <phoneticPr fontId="11" type="noConversion"/>
  </si>
  <si>
    <t>Normal tax rate</t>
    <phoneticPr fontId="11" type="noConversion"/>
  </si>
  <si>
    <t>Shares used in computing earnings per share-Diluted</t>
    <phoneticPr fontId="11" type="noConversion"/>
  </si>
  <si>
    <t>Earning per ADS</t>
    <phoneticPr fontId="11" type="noConversion"/>
  </si>
  <si>
    <t xml:space="preserve">  - Baisc</t>
    <phoneticPr fontId="11" type="noConversion"/>
  </si>
  <si>
    <t xml:space="preserve">  - Diluted EPS</t>
    <phoneticPr fontId="11" type="noConversion"/>
  </si>
  <si>
    <t>Adjusted EPS</t>
    <phoneticPr fontId="11" type="noConversion"/>
  </si>
  <si>
    <t>%</t>
    <phoneticPr fontId="11" type="noConversion"/>
  </si>
  <si>
    <t>Revenue mix % of totlal revenue</t>
    <phoneticPr fontId="11" type="noConversion"/>
  </si>
  <si>
    <t>As % of Net Revenue (GAAP)</t>
    <phoneticPr fontId="11" type="noConversion"/>
  </si>
  <si>
    <t>Product development</t>
    <phoneticPr fontId="11" type="noConversion"/>
  </si>
  <si>
    <t>Sales and marketing</t>
    <phoneticPr fontId="11" type="noConversion"/>
  </si>
  <si>
    <t>General and administrative</t>
    <phoneticPr fontId="11" type="noConversion"/>
  </si>
  <si>
    <t>As % of Net Revenue (non-GAAP)</t>
    <phoneticPr fontId="11" type="noConversion"/>
  </si>
  <si>
    <t>YoY growth rate</t>
    <phoneticPr fontId="11" type="noConversion"/>
  </si>
  <si>
    <t>Net income</t>
    <phoneticPr fontId="11" type="noConversion"/>
  </si>
  <si>
    <t>Balance Sheet ((in million, USD))</t>
    <phoneticPr fontId="11" type="noConversion"/>
  </si>
  <si>
    <t>Restricted cash</t>
    <phoneticPr fontId="11" type="noConversion"/>
  </si>
  <si>
    <t>Prepayments and other current assets</t>
    <phoneticPr fontId="11" type="noConversion"/>
  </si>
  <si>
    <t>Advances from customers</t>
    <phoneticPr fontId="11" type="noConversion"/>
  </si>
  <si>
    <t>Short term debt</t>
    <phoneticPr fontId="11" type="noConversion"/>
  </si>
  <si>
    <t>Total Debt</t>
    <phoneticPr fontId="11" type="noConversion"/>
  </si>
  <si>
    <t xml:space="preserve">Total shareholders' equity  </t>
    <phoneticPr fontId="11" type="noConversion"/>
  </si>
  <si>
    <t>D/A ratio</t>
    <phoneticPr fontId="11" type="noConversion"/>
  </si>
  <si>
    <t>(in million USD)</t>
    <phoneticPr fontId="11" type="noConversion"/>
  </si>
  <si>
    <t>Cash Flow</t>
    <phoneticPr fontId="11" type="noConversion"/>
  </si>
  <si>
    <t xml:space="preserve">CAPEX (Purchase of property, equipment and software) </t>
    <phoneticPr fontId="11" type="noConversion"/>
  </si>
  <si>
    <t>Purchase of land use right</t>
    <phoneticPr fontId="11" type="noConversion"/>
  </si>
  <si>
    <t>In local currency</t>
    <phoneticPr fontId="11" type="noConversion"/>
  </si>
  <si>
    <t>Operation Data</t>
    <phoneticPr fontId="11" type="noConversion"/>
  </si>
  <si>
    <t>Countries covered</t>
    <phoneticPr fontId="11" type="noConversion"/>
  </si>
  <si>
    <t># of active users</t>
    <phoneticPr fontId="11" type="noConversion"/>
  </si>
  <si>
    <t># of registered users</t>
    <phoneticPr fontId="11" type="noConversion"/>
  </si>
  <si>
    <t>21 m, 2004</t>
    <phoneticPr fontId="11" type="noConversion"/>
  </si>
  <si>
    <t># of hotels</t>
    <phoneticPr fontId="11" type="noConversion"/>
  </si>
  <si>
    <t>Hotel commission rate</t>
    <phoneticPr fontId="11" type="noConversion"/>
  </si>
  <si>
    <t># of employees</t>
    <phoneticPr fontId="11" type="noConversion"/>
  </si>
  <si>
    <t># of employees in P&amp;D</t>
    <phoneticPr fontId="11" type="noConversion"/>
  </si>
  <si>
    <t># of employees in S&amp;M</t>
    <phoneticPr fontId="11" type="noConversion"/>
  </si>
  <si>
    <t># of employees in G&amp;A</t>
    <phoneticPr fontId="11" type="noConversion"/>
  </si>
  <si>
    <t># of employees in call center</t>
    <phoneticPr fontId="11" type="noConversion"/>
  </si>
  <si>
    <t>AR Days</t>
    <phoneticPr fontId="11" type="noConversion"/>
  </si>
  <si>
    <t>Outstanding shares (ADS, in mil)-Diluted</t>
    <phoneticPr fontId="11" type="noConversion"/>
  </si>
  <si>
    <t>PE-Diluted</t>
    <phoneticPr fontId="11" type="noConversion"/>
  </si>
  <si>
    <t>PEG-Diluted</t>
    <phoneticPr fontId="11" type="noConversion"/>
  </si>
  <si>
    <t>PE-Basic</t>
    <phoneticPr fontId="11" type="noConversion"/>
  </si>
  <si>
    <t>PEG-Basic</t>
    <phoneticPr fontId="11" type="noConversion"/>
  </si>
  <si>
    <t>(in local currency)</t>
    <phoneticPr fontId="11" type="noConversion"/>
  </si>
  <si>
    <t>Mart cap (in mil, US$, Price*outstanding shares)</t>
    <phoneticPr fontId="11" type="noConversion"/>
  </si>
  <si>
    <t>EV/Revenues</t>
    <phoneticPr fontId="11" type="noConversion"/>
  </si>
  <si>
    <t>EV/OP</t>
    <phoneticPr fontId="11" type="noConversion"/>
  </si>
  <si>
    <t>Market Cap/Revenue</t>
    <phoneticPr fontId="11" type="noConversion"/>
  </si>
  <si>
    <t>Makret Cap/OP</t>
    <phoneticPr fontId="11" type="noConversion"/>
  </si>
  <si>
    <t>Current Trading Outstanding Shares</t>
    <phoneticPr fontId="11" type="noConversion"/>
  </si>
  <si>
    <t>Stock price</t>
    <phoneticPr fontId="11" type="noConversion"/>
  </si>
  <si>
    <t>52-Week Low</t>
    <phoneticPr fontId="11" type="noConversion"/>
  </si>
  <si>
    <t>-</t>
    <phoneticPr fontId="11" type="noConversion"/>
  </si>
  <si>
    <t>Market Cap/OP</t>
    <phoneticPr fontId="11" type="noConversion"/>
  </si>
  <si>
    <t>Market Cap/Revenues</t>
    <phoneticPr fontId="11" type="noConversion"/>
  </si>
  <si>
    <t>-</t>
    <phoneticPr fontId="11" type="noConversion"/>
  </si>
  <si>
    <t>EV/OP</t>
    <phoneticPr fontId="11" type="noConversion"/>
  </si>
  <si>
    <t>EV/Revenues</t>
    <phoneticPr fontId="11" type="noConversion"/>
  </si>
  <si>
    <t>Enterprise Value (EV)</t>
    <phoneticPr fontId="11" type="noConversion"/>
  </si>
  <si>
    <t>52-Week Low</t>
    <phoneticPr fontId="11" type="noConversion"/>
  </si>
  <si>
    <t>Mart cap in Million</t>
    <phoneticPr fontId="11" type="noConversion"/>
  </si>
  <si>
    <t>PEG-Basic</t>
    <phoneticPr fontId="11" type="noConversion"/>
  </si>
  <si>
    <t>PE-Basic</t>
    <phoneticPr fontId="11" type="noConversion"/>
  </si>
  <si>
    <t>PEG</t>
    <phoneticPr fontId="11" type="noConversion"/>
  </si>
  <si>
    <t>PE</t>
    <phoneticPr fontId="11" type="noConversion"/>
  </si>
  <si>
    <t>Outstanding shares in Million</t>
    <phoneticPr fontId="11" type="noConversion"/>
  </si>
  <si>
    <t xml:space="preserve">Stock </t>
    <phoneticPr fontId="11" type="noConversion"/>
  </si>
  <si>
    <t>AR Days</t>
    <phoneticPr fontId="11" type="noConversion"/>
  </si>
  <si>
    <t>-</t>
    <phoneticPr fontId="11" type="noConversion"/>
  </si>
  <si>
    <t># of employees in call center</t>
    <phoneticPr fontId="11" type="noConversion"/>
  </si>
  <si>
    <t># of employees in G&amp;A</t>
    <phoneticPr fontId="11" type="noConversion"/>
  </si>
  <si>
    <t># of employees in S&amp;M</t>
    <phoneticPr fontId="11" type="noConversion"/>
  </si>
  <si>
    <t># of employees in P&amp;D</t>
    <phoneticPr fontId="11" type="noConversion"/>
  </si>
  <si>
    <t># of employees growth rate</t>
    <phoneticPr fontId="11" type="noConversion"/>
  </si>
  <si>
    <t># of employees</t>
    <phoneticPr fontId="11" type="noConversion"/>
  </si>
  <si>
    <t>Average revenue per ticket</t>
    <phoneticPr fontId="11" type="noConversion"/>
  </si>
  <si>
    <t>Air commission rate (including all services)</t>
    <phoneticPr fontId="11" type="noConversion"/>
  </si>
  <si>
    <t>Average revenue per roomnight</t>
    <phoneticPr fontId="11" type="noConversion"/>
  </si>
  <si>
    <t>Hotel commission rate</t>
    <phoneticPr fontId="11" type="noConversion"/>
  </si>
  <si>
    <t># of air tickets</t>
    <phoneticPr fontId="11" type="noConversion"/>
  </si>
  <si>
    <t># of roomnights</t>
    <phoneticPr fontId="11" type="noConversion"/>
  </si>
  <si>
    <t># of hotels</t>
    <phoneticPr fontId="11" type="noConversion"/>
  </si>
  <si>
    <t># of registered users</t>
    <phoneticPr fontId="11" type="noConversion"/>
  </si>
  <si>
    <t># of active users</t>
    <phoneticPr fontId="11" type="noConversion"/>
  </si>
  <si>
    <t>Countries covered</t>
    <phoneticPr fontId="11" type="noConversion"/>
  </si>
  <si>
    <t>Operation Data</t>
    <phoneticPr fontId="11" type="noConversion"/>
  </si>
  <si>
    <t>Kuoni</t>
    <phoneticPr fontId="11" type="noConversion"/>
  </si>
  <si>
    <t>TUI</t>
    <phoneticPr fontId="11" type="noConversion"/>
  </si>
  <si>
    <t>Thomas Cook</t>
    <phoneticPr fontId="11" type="noConversion"/>
  </si>
  <si>
    <t>Purchase of land use right</t>
    <phoneticPr fontId="11" type="noConversion"/>
  </si>
  <si>
    <t xml:space="preserve">CAPEX (Purchase or sale of property, equipment and software) </t>
    <phoneticPr fontId="11" type="noConversion"/>
  </si>
  <si>
    <t>Cash Flow from (used in) Financing</t>
    <phoneticPr fontId="11" type="noConversion"/>
  </si>
  <si>
    <t>Cash Flow from (used in) Investing</t>
    <phoneticPr fontId="11" type="noConversion"/>
  </si>
  <si>
    <t>Cash Flow from (used in) Operating</t>
    <phoneticPr fontId="11" type="noConversion"/>
  </si>
  <si>
    <t>Cash Flow</t>
    <phoneticPr fontId="11" type="noConversion"/>
  </si>
  <si>
    <t>Kuoni</t>
    <phoneticPr fontId="11" type="noConversion"/>
  </si>
  <si>
    <t>TUI</t>
    <phoneticPr fontId="11" type="noConversion"/>
  </si>
  <si>
    <t>Thomas Cook</t>
    <phoneticPr fontId="11" type="noConversion"/>
  </si>
  <si>
    <t>(in million USD)</t>
    <phoneticPr fontId="11" type="noConversion"/>
  </si>
  <si>
    <t>D/A ratio</t>
    <phoneticPr fontId="11" type="noConversion"/>
  </si>
  <si>
    <t>Net Asset attibuted to the common shareholders</t>
    <phoneticPr fontId="11" type="noConversion"/>
  </si>
  <si>
    <t>Net Asset</t>
    <phoneticPr fontId="11" type="noConversion"/>
  </si>
  <si>
    <t xml:space="preserve">Total shareholders' equity  </t>
    <phoneticPr fontId="11" type="noConversion"/>
  </si>
  <si>
    <t>Total liabilities</t>
    <phoneticPr fontId="11" type="noConversion"/>
  </si>
  <si>
    <t>Total Debt</t>
    <phoneticPr fontId="11" type="noConversion"/>
  </si>
  <si>
    <t>Long term debt</t>
    <phoneticPr fontId="11" type="noConversion"/>
  </si>
  <si>
    <t>Short term debt</t>
    <phoneticPr fontId="11" type="noConversion"/>
  </si>
  <si>
    <t>Advances from customers</t>
    <phoneticPr fontId="11" type="noConversion"/>
  </si>
  <si>
    <t>Prepayments and other current assets</t>
    <phoneticPr fontId="11" type="noConversion"/>
  </si>
  <si>
    <t>Cash, Restricated cash and short-term investment</t>
    <phoneticPr fontId="11" type="noConversion"/>
  </si>
  <si>
    <t>Short-term investment</t>
    <phoneticPr fontId="11" type="noConversion"/>
  </si>
  <si>
    <t>Balance Sheet</t>
    <phoneticPr fontId="11" type="noConversion"/>
  </si>
  <si>
    <t>Earning Growth Rate</t>
    <phoneticPr fontId="11" type="noConversion"/>
  </si>
  <si>
    <t>Net income</t>
    <phoneticPr fontId="11" type="noConversion"/>
  </si>
  <si>
    <t>Income (loss) from Operations</t>
    <phoneticPr fontId="11" type="noConversion"/>
  </si>
  <si>
    <t>Total operating expenses (GAAP)</t>
    <phoneticPr fontId="11" type="noConversion"/>
  </si>
  <si>
    <t xml:space="preserve">   Share-based compensation</t>
    <phoneticPr fontId="11" type="noConversion"/>
  </si>
  <si>
    <t xml:space="preserve">   General and administrative</t>
    <phoneticPr fontId="11" type="noConversion"/>
  </si>
  <si>
    <t xml:space="preserve">   Sales and marketing</t>
    <phoneticPr fontId="11" type="noConversion"/>
  </si>
  <si>
    <t xml:space="preserve">   Product development</t>
    <phoneticPr fontId="11" type="noConversion"/>
  </si>
  <si>
    <t>Operating expenses: (GAAP)</t>
    <phoneticPr fontId="11" type="noConversion"/>
  </si>
  <si>
    <t>Net revenues</t>
    <phoneticPr fontId="11" type="noConversion"/>
  </si>
  <si>
    <t>Less: business tax and related surcharges</t>
    <phoneticPr fontId="11" type="noConversion"/>
  </si>
  <si>
    <t>Total revenues</t>
    <phoneticPr fontId="11" type="noConversion"/>
  </si>
  <si>
    <t xml:space="preserve">   Others</t>
    <phoneticPr fontId="11" type="noConversion"/>
  </si>
  <si>
    <t xml:space="preserve">   Corporate travel</t>
    <phoneticPr fontId="11" type="noConversion"/>
  </si>
  <si>
    <t xml:space="preserve">   Packaged tour</t>
    <phoneticPr fontId="11" type="noConversion"/>
  </si>
  <si>
    <t xml:space="preserve">   Air-ticketing</t>
    <phoneticPr fontId="11" type="noConversion"/>
  </si>
  <si>
    <t xml:space="preserve">   Hotel reservation</t>
    <phoneticPr fontId="11" type="noConversion"/>
  </si>
  <si>
    <t>Revenues:</t>
    <phoneticPr fontId="11" type="noConversion"/>
  </si>
  <si>
    <t>YoY growth rate</t>
    <phoneticPr fontId="11" type="noConversion"/>
  </si>
  <si>
    <t>CAPEX</t>
    <phoneticPr fontId="11" type="noConversion"/>
  </si>
  <si>
    <t>SBC %</t>
    <phoneticPr fontId="11" type="noConversion"/>
  </si>
  <si>
    <t>General and administrative</t>
    <phoneticPr fontId="11" type="noConversion"/>
  </si>
  <si>
    <t>Sales and marketing</t>
    <phoneticPr fontId="11" type="noConversion"/>
  </si>
  <si>
    <t>Product development</t>
    <phoneticPr fontId="11" type="noConversion"/>
  </si>
  <si>
    <t>As % of Net Revenue (GAAP)</t>
    <phoneticPr fontId="11" type="noConversion"/>
  </si>
  <si>
    <t>Revenue mix % of totlal revenue</t>
    <phoneticPr fontId="11" type="noConversion"/>
  </si>
  <si>
    <t>%</t>
    <phoneticPr fontId="11" type="noConversion"/>
  </si>
  <si>
    <t xml:space="preserve">  - Diluted</t>
    <phoneticPr fontId="11" type="noConversion"/>
  </si>
  <si>
    <t xml:space="preserve">  - Baisc</t>
    <phoneticPr fontId="11" type="noConversion"/>
  </si>
  <si>
    <t>Earning per Share</t>
    <phoneticPr fontId="11" type="noConversion"/>
  </si>
  <si>
    <t>NI attributed to the common shareholders</t>
    <phoneticPr fontId="11" type="noConversion"/>
  </si>
  <si>
    <t>Net profit margin</t>
    <phoneticPr fontId="11" type="noConversion"/>
  </si>
  <si>
    <t>Net income (GAAP)</t>
    <phoneticPr fontId="11" type="noConversion"/>
  </si>
  <si>
    <t>Net income (loss) attributable to noncontrolling interests</t>
    <phoneticPr fontId="11" type="noConversion"/>
  </si>
  <si>
    <t>Noncontrolling interests</t>
    <phoneticPr fontId="11" type="noConversion"/>
  </si>
  <si>
    <t>Equity in loss (gain) of affiliates</t>
    <phoneticPr fontId="11" type="noConversion"/>
  </si>
  <si>
    <t>Income tax (expense) benefit</t>
    <phoneticPr fontId="11" type="noConversion"/>
  </si>
  <si>
    <t>Income before income tax expense and noncontrolling interests</t>
    <phoneticPr fontId="11" type="noConversion"/>
  </si>
  <si>
    <t>Other</t>
    <phoneticPr fontId="11" type="noConversion"/>
  </si>
  <si>
    <t>Other income (expense)</t>
    <phoneticPr fontId="11" type="noConversion"/>
  </si>
  <si>
    <t>Interest income (expense)</t>
    <phoneticPr fontId="11" type="noConversion"/>
  </si>
  <si>
    <t>Operation margin</t>
    <phoneticPr fontId="11" type="noConversion"/>
  </si>
  <si>
    <t>Income (loss) from Operations (GAAP)</t>
    <phoneticPr fontId="11" type="noConversion"/>
  </si>
  <si>
    <t xml:space="preserve">  Impairment</t>
    <phoneticPr fontId="11" type="noConversion"/>
  </si>
  <si>
    <t xml:space="preserve">  Other expenses</t>
    <phoneticPr fontId="11" type="noConversion"/>
  </si>
  <si>
    <t xml:space="preserve">  Charges related to property and equipment</t>
    <phoneticPr fontId="11" type="noConversion"/>
  </si>
  <si>
    <t xml:space="preserve">   Amortization of intangible assets</t>
    <phoneticPr fontId="11" type="noConversion"/>
  </si>
  <si>
    <t>Operating expenses (GAAP)</t>
    <phoneticPr fontId="11" type="noConversion"/>
  </si>
  <si>
    <t>GP margin</t>
    <phoneticPr fontId="11" type="noConversion"/>
  </si>
  <si>
    <t>Gross profit</t>
    <phoneticPr fontId="11" type="noConversion"/>
  </si>
  <si>
    <t>Cost of services</t>
    <phoneticPr fontId="11" type="noConversion"/>
  </si>
  <si>
    <t>Revenue</t>
    <phoneticPr fontId="11" type="noConversion"/>
  </si>
  <si>
    <t>Gross booking value</t>
    <phoneticPr fontId="11" type="noConversion"/>
  </si>
  <si>
    <t>Merchant vs. Agency by</t>
    <phoneticPr fontId="11" type="noConversion"/>
  </si>
  <si>
    <t>Gross profit / Gross booking ratio</t>
    <phoneticPr fontId="11" type="noConversion"/>
  </si>
  <si>
    <t>Revenue / Gross booking ratio</t>
    <phoneticPr fontId="11" type="noConversion"/>
  </si>
  <si>
    <t>Transaction volume</t>
    <phoneticPr fontId="11" type="noConversion"/>
  </si>
  <si>
    <t>CHF/USD=1.1181</t>
    <phoneticPr fontId="11" type="noConversion"/>
  </si>
  <si>
    <t>2013 E</t>
    <phoneticPr fontId="11" type="noConversion"/>
  </si>
  <si>
    <t>GBP/USD= 1.3474</t>
    <phoneticPr fontId="11" type="noConversion"/>
  </si>
  <si>
    <t>P&amp;L</t>
    <phoneticPr fontId="11" type="noConversion"/>
  </si>
  <si>
    <t>TUI Travel</t>
    <phoneticPr fontId="11" type="noConversion"/>
  </si>
  <si>
    <t>USD</t>
    <phoneticPr fontId="11" type="noConversion"/>
  </si>
  <si>
    <t>CHF</t>
    <phoneticPr fontId="11" type="noConversion"/>
  </si>
  <si>
    <t>USD</t>
    <phoneticPr fontId="11" type="noConversion"/>
  </si>
  <si>
    <t>GBP</t>
    <phoneticPr fontId="11" type="noConversion"/>
  </si>
  <si>
    <t>(in million, except EPS data and percentages)</t>
    <phoneticPr fontId="11" type="noConversion"/>
  </si>
  <si>
    <t>USD</t>
    <phoneticPr fontId="11" type="noConversion"/>
  </si>
  <si>
    <t>-</t>
    <phoneticPr fontId="11" type="noConversion"/>
  </si>
  <si>
    <t>Outsource</t>
    <phoneticPr fontId="11" type="noConversion"/>
  </si>
  <si>
    <t>16;06</t>
    <phoneticPr fontId="11" type="noConversion"/>
  </si>
  <si>
    <t xml:space="preserve"> </t>
    <phoneticPr fontId="11" type="noConversion"/>
  </si>
  <si>
    <t>Ctrip</t>
    <phoneticPr fontId="11" type="noConversion"/>
  </si>
  <si>
    <t>2011 Q1</t>
  </si>
  <si>
    <t>2011 Q2</t>
    <phoneticPr fontId="11" type="noConversion"/>
  </si>
  <si>
    <t>2011 Q3</t>
    <phoneticPr fontId="11" type="noConversion"/>
  </si>
  <si>
    <t>2011 Q4</t>
    <phoneticPr fontId="11" type="noConversion"/>
  </si>
  <si>
    <t>FY 2011</t>
    <phoneticPr fontId="11" type="noConversion"/>
  </si>
  <si>
    <r>
      <t>占</t>
    </r>
    <r>
      <rPr>
        <b/>
        <sz val="9"/>
        <rFont val="arial"/>
        <family val="2"/>
      </rPr>
      <t>net revenue %</t>
    </r>
    <phoneticPr fontId="11" type="noConversion"/>
  </si>
  <si>
    <t>2012 Q1</t>
  </si>
  <si>
    <t>2012 Q2</t>
  </si>
  <si>
    <t>2012 Q3</t>
  </si>
  <si>
    <t>2012 Q4</t>
  </si>
  <si>
    <t>FY 2012</t>
  </si>
  <si>
    <r>
      <t>占</t>
    </r>
    <r>
      <rPr>
        <b/>
        <sz val="9"/>
        <rFont val="arial"/>
        <family val="2"/>
      </rPr>
      <t>net revenue %</t>
    </r>
    <phoneticPr fontId="11" type="noConversion"/>
  </si>
  <si>
    <t>2013.Q1</t>
  </si>
  <si>
    <t>FY 2013 Forecast</t>
    <phoneticPr fontId="11" type="noConversion"/>
  </si>
  <si>
    <t>FY 2014 Forecast</t>
    <phoneticPr fontId="11" type="noConversion"/>
  </si>
  <si>
    <t>FY 2015 Forecast</t>
    <phoneticPr fontId="11" type="noConversion"/>
  </si>
  <si>
    <t>备注</t>
    <phoneticPr fontId="11" type="noConversion"/>
  </si>
  <si>
    <t>2012 VS 2011</t>
    <phoneticPr fontId="11" type="noConversion"/>
  </si>
  <si>
    <t>2013 VS 2012</t>
    <phoneticPr fontId="11" type="noConversion"/>
  </si>
  <si>
    <t>2014 VS 2013</t>
    <phoneticPr fontId="11" type="noConversion"/>
  </si>
  <si>
    <t>2015 VS 2014</t>
    <phoneticPr fontId="11" type="noConversion"/>
  </si>
  <si>
    <t>度假收入</t>
    <phoneticPr fontId="11" type="noConversion"/>
  </si>
  <si>
    <r>
      <t>减</t>
    </r>
    <r>
      <rPr>
        <sz val="9"/>
        <rFont val="Arial"/>
        <family val="2"/>
      </rPr>
      <t>:</t>
    </r>
    <r>
      <rPr>
        <sz val="9"/>
        <rFont val="宋体"/>
        <family val="3"/>
        <charset val="134"/>
      </rPr>
      <t>营业税金</t>
    </r>
    <phoneticPr fontId="11" type="noConversion"/>
  </si>
  <si>
    <t>度假净收入</t>
    <phoneticPr fontId="11" type="noConversion"/>
  </si>
  <si>
    <t>旅游消费券</t>
    <phoneticPr fontId="11" type="noConversion"/>
  </si>
  <si>
    <t>考虑消费券后度假净收入</t>
    <phoneticPr fontId="11" type="noConversion"/>
  </si>
  <si>
    <r>
      <t>net revenue YOY</t>
    </r>
    <r>
      <rPr>
        <b/>
        <sz val="9"/>
        <rFont val="宋体"/>
        <family val="3"/>
        <charset val="134"/>
      </rPr>
      <t>增长率</t>
    </r>
    <r>
      <rPr>
        <b/>
        <sz val="9"/>
        <rFont val="arial"/>
        <family val="2"/>
      </rPr>
      <t>(Ctrip)</t>
    </r>
    <phoneticPr fontId="11" type="noConversion"/>
  </si>
  <si>
    <r>
      <t>减</t>
    </r>
    <r>
      <rPr>
        <b/>
        <sz val="9"/>
        <rFont val="arial"/>
        <family val="2"/>
      </rPr>
      <t xml:space="preserve">: </t>
    </r>
    <r>
      <rPr>
        <b/>
        <sz val="9"/>
        <rFont val="宋体"/>
        <family val="3"/>
        <charset val="134"/>
      </rPr>
      <t>直接成本</t>
    </r>
    <phoneticPr fontId="11" type="noConversion"/>
  </si>
  <si>
    <t>预定成本</t>
    <phoneticPr fontId="11" type="noConversion"/>
  </si>
  <si>
    <t>信用卡刷卡成本</t>
    <phoneticPr fontId="11" type="noConversion"/>
  </si>
  <si>
    <t>客服成本</t>
    <phoneticPr fontId="11" type="noConversion"/>
  </si>
  <si>
    <t>Note A</t>
    <phoneticPr fontId="11" type="noConversion"/>
  </si>
  <si>
    <t xml:space="preserve"> </t>
  </si>
  <si>
    <t>度假毛利</t>
    <phoneticPr fontId="11" type="noConversion"/>
  </si>
  <si>
    <r>
      <t>毛利</t>
    </r>
    <r>
      <rPr>
        <sz val="9"/>
        <rFont val="Arial"/>
        <family val="2"/>
      </rPr>
      <t>YOY</t>
    </r>
    <r>
      <rPr>
        <sz val="9"/>
        <rFont val="宋体"/>
        <family val="3"/>
        <charset val="134"/>
      </rPr>
      <t>增长率</t>
    </r>
    <r>
      <rPr>
        <sz val="9"/>
        <rFont val="Arial"/>
        <family val="2"/>
      </rPr>
      <t>(Ctrip)</t>
    </r>
    <phoneticPr fontId="11" type="noConversion"/>
  </si>
  <si>
    <t>度假毛利率</t>
    <phoneticPr fontId="11" type="noConversion"/>
  </si>
  <si>
    <r>
      <t>毛利率</t>
    </r>
    <r>
      <rPr>
        <sz val="9"/>
        <rFont val="Arial"/>
        <family val="2"/>
      </rPr>
      <t>YOY</t>
    </r>
    <r>
      <rPr>
        <sz val="9"/>
        <rFont val="宋体"/>
        <family val="3"/>
        <charset val="134"/>
      </rPr>
      <t>变化</t>
    </r>
    <r>
      <rPr>
        <sz val="9"/>
        <rFont val="Arial"/>
        <family val="2"/>
      </rPr>
      <t>(Ctrip)</t>
    </r>
    <phoneticPr fontId="11" type="noConversion"/>
  </si>
  <si>
    <r>
      <t>减：可控费用</t>
    </r>
    <r>
      <rPr>
        <b/>
        <sz val="9"/>
        <rFont val="arial"/>
        <family val="2"/>
      </rPr>
      <t xml:space="preserve"> </t>
    </r>
    <phoneticPr fontId="11" type="noConversion"/>
  </si>
  <si>
    <r>
      <t>旅游业务部（含单列</t>
    </r>
    <r>
      <rPr>
        <sz val="9"/>
        <rFont val="Arial"/>
        <family val="2"/>
      </rPr>
      <t>/</t>
    </r>
    <r>
      <rPr>
        <sz val="9"/>
        <rFont val="宋体"/>
        <family val="3"/>
        <charset val="134"/>
      </rPr>
      <t>营销）</t>
    </r>
    <phoneticPr fontId="11" type="noConversion"/>
  </si>
  <si>
    <t>Note A / Note B</t>
    <phoneticPr fontId="11" type="noConversion"/>
  </si>
  <si>
    <t>旅游地面</t>
    <phoneticPr fontId="11" type="noConversion"/>
  </si>
  <si>
    <t>旅游平台</t>
    <phoneticPr fontId="11" type="noConversion"/>
  </si>
  <si>
    <t>旅游结算</t>
  </si>
  <si>
    <t>Note B</t>
    <phoneticPr fontId="11" type="noConversion"/>
  </si>
  <si>
    <t>技术开发（直接费用）</t>
    <phoneticPr fontId="11" type="noConversion"/>
  </si>
  <si>
    <t>Note C</t>
    <phoneticPr fontId="11" type="noConversion"/>
  </si>
  <si>
    <t>积分兑换费用</t>
    <phoneticPr fontId="11" type="noConversion"/>
  </si>
  <si>
    <t>度假可控经营利润</t>
    <phoneticPr fontId="11" type="noConversion"/>
  </si>
  <si>
    <r>
      <t>可控经营利润</t>
    </r>
    <r>
      <rPr>
        <sz val="9"/>
        <rFont val="Arial"/>
        <family val="2"/>
      </rPr>
      <t>YOY</t>
    </r>
    <r>
      <rPr>
        <sz val="9"/>
        <rFont val="宋体"/>
        <family val="3"/>
        <charset val="134"/>
      </rPr>
      <t>增长率</t>
    </r>
    <r>
      <rPr>
        <sz val="9"/>
        <rFont val="Arial"/>
        <family val="2"/>
      </rPr>
      <t>(Ctrip)</t>
    </r>
    <phoneticPr fontId="11" type="noConversion"/>
  </si>
  <si>
    <t>度假可控经营利润率</t>
    <phoneticPr fontId="11" type="noConversion"/>
  </si>
  <si>
    <r>
      <t>可控经营利润率</t>
    </r>
    <r>
      <rPr>
        <sz val="9"/>
        <rFont val="Arial"/>
        <family val="2"/>
      </rPr>
      <t>YOY</t>
    </r>
    <r>
      <rPr>
        <sz val="9"/>
        <rFont val="宋体"/>
        <family val="3"/>
        <charset val="134"/>
      </rPr>
      <t>变化</t>
    </r>
    <r>
      <rPr>
        <sz val="9"/>
        <rFont val="Arial"/>
        <family val="2"/>
      </rPr>
      <t>(Ctrip)</t>
    </r>
    <phoneticPr fontId="11" type="noConversion"/>
  </si>
  <si>
    <r>
      <t>减：非可控直接费用</t>
    </r>
    <r>
      <rPr>
        <b/>
        <sz val="9"/>
        <rFont val="arial"/>
        <family val="2"/>
      </rPr>
      <t xml:space="preserve"> </t>
    </r>
    <phoneticPr fontId="11" type="noConversion"/>
  </si>
  <si>
    <t>技术开发（分摊费用）</t>
    <phoneticPr fontId="11" type="noConversion"/>
  </si>
  <si>
    <t>销售代理佣金</t>
  </si>
  <si>
    <r>
      <t>旅游结算</t>
    </r>
    <r>
      <rPr>
        <sz val="9"/>
        <rFont val="Arial"/>
        <family val="2"/>
      </rPr>
      <t>(</t>
    </r>
    <r>
      <rPr>
        <sz val="9"/>
        <rFont val="宋体"/>
        <family val="3"/>
        <charset val="134"/>
      </rPr>
      <t>分摊费用</t>
    </r>
    <r>
      <rPr>
        <sz val="9"/>
        <rFont val="Arial"/>
        <family val="2"/>
      </rPr>
      <t>)</t>
    </r>
    <phoneticPr fontId="11" type="noConversion"/>
  </si>
  <si>
    <t>期权费用</t>
    <phoneticPr fontId="11" type="noConversion"/>
  </si>
  <si>
    <t>Note D</t>
    <phoneticPr fontId="11" type="noConversion"/>
  </si>
  <si>
    <t>度假直接经营利润</t>
    <phoneticPr fontId="11" type="noConversion"/>
  </si>
  <si>
    <r>
      <t>直接经营利润</t>
    </r>
    <r>
      <rPr>
        <sz val="9"/>
        <rFont val="Arial"/>
        <family val="2"/>
      </rPr>
      <t>YOY</t>
    </r>
    <r>
      <rPr>
        <sz val="9"/>
        <rFont val="宋体"/>
        <family val="3"/>
        <charset val="134"/>
      </rPr>
      <t>增长率</t>
    </r>
    <r>
      <rPr>
        <sz val="9"/>
        <rFont val="Arial"/>
        <family val="2"/>
      </rPr>
      <t>(Ctrip)</t>
    </r>
    <phoneticPr fontId="11" type="noConversion"/>
  </si>
  <si>
    <t>度假直接经营利润率</t>
    <phoneticPr fontId="11" type="noConversion"/>
  </si>
  <si>
    <r>
      <t>直接经营利润率</t>
    </r>
    <r>
      <rPr>
        <sz val="9"/>
        <rFont val="Arial"/>
        <family val="2"/>
      </rPr>
      <t>YOY</t>
    </r>
    <r>
      <rPr>
        <sz val="9"/>
        <rFont val="宋体"/>
        <family val="3"/>
        <charset val="134"/>
      </rPr>
      <t>变化</t>
    </r>
    <r>
      <rPr>
        <sz val="9"/>
        <rFont val="Arial"/>
        <family val="2"/>
      </rPr>
      <t>(Ctrip)</t>
    </r>
    <phoneticPr fontId="11" type="noConversion"/>
  </si>
  <si>
    <r>
      <t xml:space="preserve">  </t>
    </r>
    <r>
      <rPr>
        <b/>
        <sz val="9"/>
        <rFont val="宋体"/>
        <family val="3"/>
        <charset val="134"/>
      </rPr>
      <t>间接费用</t>
    </r>
    <phoneticPr fontId="11" type="noConversion"/>
  </si>
  <si>
    <r>
      <t>间接</t>
    </r>
    <r>
      <rPr>
        <sz val="9"/>
        <rFont val="Arial"/>
        <family val="2"/>
      </rPr>
      <t>P&amp;D</t>
    </r>
    <phoneticPr fontId="11" type="noConversion"/>
  </si>
  <si>
    <t>Note C</t>
    <phoneticPr fontId="11" type="noConversion"/>
  </si>
  <si>
    <r>
      <t>间接</t>
    </r>
    <r>
      <rPr>
        <sz val="9"/>
        <rFont val="Arial"/>
        <family val="2"/>
      </rPr>
      <t>S&amp;M</t>
    </r>
    <phoneticPr fontId="11" type="noConversion"/>
  </si>
  <si>
    <t>Note E</t>
    <phoneticPr fontId="11" type="noConversion"/>
  </si>
  <si>
    <r>
      <t>间接</t>
    </r>
    <r>
      <rPr>
        <sz val="9"/>
        <rFont val="Arial"/>
        <family val="2"/>
      </rPr>
      <t>G&amp;A</t>
    </r>
    <phoneticPr fontId="11" type="noConversion"/>
  </si>
  <si>
    <t>度假经营利润</t>
    <phoneticPr fontId="11" type="noConversion"/>
  </si>
  <si>
    <r>
      <t>经营利润</t>
    </r>
    <r>
      <rPr>
        <sz val="9"/>
        <rFont val="Arial"/>
        <family val="2"/>
      </rPr>
      <t>YOY</t>
    </r>
    <r>
      <rPr>
        <sz val="9"/>
        <rFont val="宋体"/>
        <family val="3"/>
        <charset val="134"/>
      </rPr>
      <t>增长率</t>
    </r>
    <r>
      <rPr>
        <sz val="9"/>
        <rFont val="Arial"/>
        <family val="2"/>
      </rPr>
      <t>(Ctrip)</t>
    </r>
    <phoneticPr fontId="11" type="noConversion"/>
  </si>
  <si>
    <t>度假经营利润率</t>
    <phoneticPr fontId="11" type="noConversion"/>
  </si>
  <si>
    <r>
      <t>经营利润率</t>
    </r>
    <r>
      <rPr>
        <sz val="9"/>
        <rFont val="Arial"/>
        <family val="2"/>
      </rPr>
      <t>YOY</t>
    </r>
    <r>
      <rPr>
        <sz val="9"/>
        <rFont val="宋体"/>
        <family val="3"/>
        <charset val="134"/>
      </rPr>
      <t>变化</t>
    </r>
    <r>
      <rPr>
        <sz val="9"/>
        <rFont val="Arial"/>
        <family val="2"/>
      </rPr>
      <t>(Ctrip)</t>
    </r>
    <phoneticPr fontId="11" type="noConversion"/>
  </si>
  <si>
    <t>ez Travel</t>
    <phoneticPr fontId="11" type="noConversion"/>
  </si>
  <si>
    <r>
      <t>net revenue YOY</t>
    </r>
    <r>
      <rPr>
        <sz val="9"/>
        <rFont val="宋体"/>
        <family val="3"/>
        <charset val="134"/>
      </rPr>
      <t>增长率</t>
    </r>
    <r>
      <rPr>
        <sz val="9"/>
        <rFont val="Arial"/>
        <family val="2"/>
      </rPr>
      <t>(ez)</t>
    </r>
    <phoneticPr fontId="11" type="noConversion"/>
  </si>
  <si>
    <r>
      <t>ez travel</t>
    </r>
    <r>
      <rPr>
        <sz val="9"/>
        <color indexed="8"/>
        <rFont val="宋体"/>
        <family val="3"/>
        <charset val="134"/>
      </rPr>
      <t>度假收入约占</t>
    </r>
    <r>
      <rPr>
        <sz val="9"/>
        <color indexed="8"/>
        <rFont val="Arial"/>
        <family val="2"/>
      </rPr>
      <t>ez travel</t>
    </r>
    <r>
      <rPr>
        <sz val="9"/>
        <color indexed="8"/>
        <rFont val="宋体"/>
        <family val="3"/>
        <charset val="134"/>
      </rPr>
      <t>总收入的</t>
    </r>
    <r>
      <rPr>
        <sz val="9"/>
        <color indexed="8"/>
        <rFont val="Arial"/>
        <family val="2"/>
      </rPr>
      <t>40%</t>
    </r>
    <phoneticPr fontId="11" type="noConversion"/>
  </si>
  <si>
    <t xml:space="preserve">   Hotel reservation</t>
  </si>
  <si>
    <t xml:space="preserve">   Air-ticketing</t>
  </si>
  <si>
    <t xml:space="preserve">   Packaged tour</t>
  </si>
  <si>
    <t xml:space="preserve">   Corporate travel</t>
  </si>
  <si>
    <t xml:space="preserve">   Others</t>
  </si>
  <si>
    <t>Total revenues</t>
  </si>
  <si>
    <t>Less: business tax and related surcharges</t>
  </si>
  <si>
    <t>Net revenues</t>
  </si>
  <si>
    <t>Cost of services</t>
  </si>
  <si>
    <t>Gross profit</t>
  </si>
  <si>
    <t>GP margin</t>
  </si>
  <si>
    <t>Operating expenses:</t>
  </si>
  <si>
    <t xml:space="preserve">   Product development</t>
  </si>
  <si>
    <t xml:space="preserve">   Sales and marketing</t>
  </si>
  <si>
    <t xml:space="preserve">   General and administrative</t>
  </si>
  <si>
    <t xml:space="preserve">   Share-based compensation</t>
  </si>
  <si>
    <t>Total operating expenses</t>
  </si>
  <si>
    <t>Income (loss) from Operations</t>
  </si>
  <si>
    <t>Operation margin</t>
  </si>
  <si>
    <t>Wingon</t>
  </si>
  <si>
    <r>
      <t>net revenue YOY</t>
    </r>
    <r>
      <rPr>
        <sz val="9"/>
        <rFont val="宋体"/>
        <family val="3"/>
        <charset val="134"/>
      </rPr>
      <t>增长率</t>
    </r>
    <r>
      <rPr>
        <sz val="9"/>
        <rFont val="Arial"/>
        <family val="2"/>
      </rPr>
      <t>(wingon)</t>
    </r>
    <phoneticPr fontId="11" type="noConversion"/>
  </si>
  <si>
    <r>
      <t>Wingon</t>
    </r>
    <r>
      <rPr>
        <sz val="9"/>
        <color indexed="8"/>
        <rFont val="宋体"/>
        <family val="3"/>
        <charset val="134"/>
      </rPr>
      <t>度假收入约占</t>
    </r>
    <r>
      <rPr>
        <sz val="9"/>
        <color indexed="8"/>
        <rFont val="Arial"/>
        <family val="2"/>
      </rPr>
      <t>Wingon</t>
    </r>
    <r>
      <rPr>
        <sz val="9"/>
        <color indexed="8"/>
        <rFont val="宋体"/>
        <family val="3"/>
        <charset val="134"/>
      </rPr>
      <t>总收入的</t>
    </r>
    <r>
      <rPr>
        <sz val="9"/>
        <color indexed="8"/>
        <rFont val="Arial"/>
        <family val="2"/>
      </rPr>
      <t>90%</t>
    </r>
    <phoneticPr fontId="11" type="noConversion"/>
  </si>
  <si>
    <t>Revenues:</t>
  </si>
  <si>
    <t>广告收入</t>
    <phoneticPr fontId="11" type="noConversion"/>
  </si>
  <si>
    <r>
      <t>net revenue YOY</t>
    </r>
    <r>
      <rPr>
        <sz val="9"/>
        <rFont val="宋体"/>
        <family val="3"/>
        <charset val="134"/>
      </rPr>
      <t>增长率</t>
    </r>
    <r>
      <rPr>
        <sz val="9"/>
        <rFont val="Arial"/>
        <family val="2"/>
      </rPr>
      <t>(</t>
    </r>
    <r>
      <rPr>
        <sz val="9"/>
        <rFont val="宋体"/>
        <family val="3"/>
        <charset val="134"/>
      </rPr>
      <t>广告</t>
    </r>
    <r>
      <rPr>
        <sz val="9"/>
        <rFont val="Arial"/>
        <family val="2"/>
      </rPr>
      <t>)</t>
    </r>
    <phoneticPr fontId="11" type="noConversion"/>
  </si>
  <si>
    <r>
      <t>Total Net revenues(</t>
    </r>
    <r>
      <rPr>
        <b/>
        <sz val="9"/>
        <rFont val="宋体"/>
        <family val="3"/>
        <charset val="134"/>
      </rPr>
      <t>包括</t>
    </r>
    <r>
      <rPr>
        <b/>
        <sz val="9"/>
        <rFont val="arial"/>
        <family val="2"/>
      </rPr>
      <t>Ctrip</t>
    </r>
    <r>
      <rPr>
        <b/>
        <sz val="9"/>
        <rFont val="宋体"/>
        <family val="3"/>
        <charset val="134"/>
      </rPr>
      <t>、</t>
    </r>
    <r>
      <rPr>
        <b/>
        <sz val="9"/>
        <rFont val="arial"/>
        <family val="2"/>
      </rPr>
      <t>ez</t>
    </r>
    <r>
      <rPr>
        <b/>
        <sz val="9"/>
        <rFont val="宋体"/>
        <family val="3"/>
        <charset val="134"/>
      </rPr>
      <t>、</t>
    </r>
    <r>
      <rPr>
        <b/>
        <sz val="9"/>
        <rFont val="arial"/>
        <family val="2"/>
      </rPr>
      <t>wingon</t>
    </r>
    <r>
      <rPr>
        <b/>
        <sz val="9"/>
        <rFont val="宋体"/>
        <family val="3"/>
        <charset val="134"/>
      </rPr>
      <t>、广告收入</t>
    </r>
    <r>
      <rPr>
        <b/>
        <sz val="9"/>
        <rFont val="arial"/>
        <family val="2"/>
      </rPr>
      <t>)</t>
    </r>
    <phoneticPr fontId="11" type="noConversion"/>
  </si>
  <si>
    <r>
      <t>net revenue YOY</t>
    </r>
    <r>
      <rPr>
        <b/>
        <sz val="9"/>
        <rFont val="宋体"/>
        <family val="3"/>
        <charset val="134"/>
      </rPr>
      <t>增长率</t>
    </r>
    <r>
      <rPr>
        <b/>
        <sz val="9"/>
        <rFont val="arial"/>
        <family val="2"/>
      </rPr>
      <t>(Total)(</t>
    </r>
    <r>
      <rPr>
        <b/>
        <sz val="9"/>
        <rFont val="宋体"/>
        <family val="3"/>
        <charset val="134"/>
      </rPr>
      <t>包括</t>
    </r>
    <r>
      <rPr>
        <b/>
        <sz val="9"/>
        <rFont val="arial"/>
        <family val="2"/>
      </rPr>
      <t>Ctrip</t>
    </r>
    <r>
      <rPr>
        <b/>
        <sz val="9"/>
        <rFont val="宋体"/>
        <family val="3"/>
        <charset val="134"/>
      </rPr>
      <t>、</t>
    </r>
    <r>
      <rPr>
        <b/>
        <sz val="9"/>
        <rFont val="arial"/>
        <family val="2"/>
      </rPr>
      <t>ez</t>
    </r>
    <r>
      <rPr>
        <b/>
        <sz val="9"/>
        <rFont val="宋体"/>
        <family val="3"/>
        <charset val="134"/>
      </rPr>
      <t>、</t>
    </r>
    <r>
      <rPr>
        <b/>
        <sz val="9"/>
        <rFont val="arial"/>
        <family val="2"/>
      </rPr>
      <t>wingon</t>
    </r>
    <r>
      <rPr>
        <b/>
        <sz val="9"/>
        <rFont val="宋体"/>
        <family val="3"/>
        <charset val="134"/>
      </rPr>
      <t>、广告收入</t>
    </r>
    <r>
      <rPr>
        <b/>
        <sz val="9"/>
        <rFont val="arial"/>
        <family val="2"/>
      </rPr>
      <t>)</t>
    </r>
    <phoneticPr fontId="11" type="noConversion"/>
  </si>
  <si>
    <t>Ctrip</t>
    <phoneticPr fontId="31" type="noConversion"/>
  </si>
  <si>
    <t>ezTravel</t>
    <phoneticPr fontId="31" type="noConversion"/>
  </si>
  <si>
    <t>WingOn</t>
    <phoneticPr fontId="31" type="noConversion"/>
  </si>
  <si>
    <r>
      <t>注：</t>
    </r>
    <r>
      <rPr>
        <sz val="9"/>
        <rFont val="Arial"/>
        <family val="2"/>
      </rPr>
      <t/>
    </r>
    <phoneticPr fontId="11" type="noConversion"/>
  </si>
  <si>
    <r>
      <t>假设</t>
    </r>
    <r>
      <rPr>
        <sz val="9"/>
        <rFont val="Arial"/>
        <family val="2"/>
      </rPr>
      <t>2013</t>
    </r>
    <r>
      <rPr>
        <sz val="9"/>
        <rFont val="宋体"/>
        <family val="3"/>
        <charset val="134"/>
      </rPr>
      <t>年起</t>
    </r>
    <r>
      <rPr>
        <sz val="9"/>
        <rFont val="Arial"/>
        <family val="2"/>
      </rPr>
      <t>Ctrip</t>
    </r>
    <r>
      <rPr>
        <sz val="9"/>
        <rFont val="宋体"/>
        <family val="3"/>
        <charset val="134"/>
      </rPr>
      <t>每年</t>
    </r>
    <r>
      <rPr>
        <sz val="9"/>
        <rFont val="Arial"/>
        <family val="2"/>
      </rPr>
      <t>revenue</t>
    </r>
    <r>
      <rPr>
        <sz val="9"/>
        <rFont val="宋体"/>
        <family val="3"/>
        <charset val="134"/>
      </rPr>
      <t>成长率为</t>
    </r>
    <r>
      <rPr>
        <sz val="9"/>
        <rFont val="Arial"/>
        <family val="2"/>
      </rPr>
      <t>50%</t>
    </r>
    <r>
      <rPr>
        <sz val="9"/>
        <rFont val="宋体"/>
        <family val="3"/>
        <charset val="134"/>
      </rPr>
      <t>，</t>
    </r>
    <r>
      <rPr>
        <sz val="9"/>
        <rFont val="Arial"/>
        <family val="2"/>
      </rPr>
      <t>ez</t>
    </r>
    <r>
      <rPr>
        <sz val="9"/>
        <rFont val="宋体"/>
        <family val="3"/>
        <charset val="134"/>
      </rPr>
      <t>、</t>
    </r>
    <r>
      <rPr>
        <sz val="9"/>
        <rFont val="Arial"/>
        <family val="2"/>
      </rPr>
      <t>wingon</t>
    </r>
    <r>
      <rPr>
        <sz val="9"/>
        <rFont val="宋体"/>
        <family val="3"/>
        <charset val="134"/>
      </rPr>
      <t>每年</t>
    </r>
    <r>
      <rPr>
        <sz val="9"/>
        <rFont val="Arial"/>
        <family val="2"/>
      </rPr>
      <t>revenue</t>
    </r>
    <r>
      <rPr>
        <sz val="9"/>
        <rFont val="宋体"/>
        <family val="3"/>
        <charset val="134"/>
      </rPr>
      <t>成长率为</t>
    </r>
    <r>
      <rPr>
        <sz val="9"/>
        <rFont val="Arial"/>
        <family val="2"/>
      </rPr>
      <t>15%</t>
    </r>
    <r>
      <rPr>
        <sz val="9"/>
        <rFont val="宋体"/>
        <family val="3"/>
        <charset val="134"/>
      </rPr>
      <t>，广告收入每年成长率为</t>
    </r>
    <r>
      <rPr>
        <sz val="9"/>
        <rFont val="Arial"/>
        <family val="2"/>
      </rPr>
      <t>25%</t>
    </r>
    <phoneticPr fontId="11" type="noConversion"/>
  </si>
  <si>
    <r>
      <t>假设</t>
    </r>
    <r>
      <rPr>
        <sz val="9"/>
        <rFont val="Arial"/>
        <family val="2"/>
      </rPr>
      <t>2013</t>
    </r>
    <r>
      <rPr>
        <sz val="9"/>
        <rFont val="宋体"/>
        <family val="3"/>
        <charset val="134"/>
      </rPr>
      <t>年</t>
    </r>
    <r>
      <rPr>
        <sz val="9"/>
        <rFont val="Arial"/>
        <family val="2"/>
      </rPr>
      <t>Ctrip</t>
    </r>
    <r>
      <rPr>
        <sz val="9"/>
        <rFont val="宋体"/>
        <family val="3"/>
        <charset val="134"/>
      </rPr>
      <t>的</t>
    </r>
    <r>
      <rPr>
        <sz val="9"/>
        <rFont val="Arial"/>
        <family val="2"/>
      </rPr>
      <t>OP margin</t>
    </r>
    <r>
      <rPr>
        <sz val="9"/>
        <rFont val="宋体"/>
        <family val="3"/>
        <charset val="134"/>
      </rPr>
      <t>提高</t>
    </r>
    <r>
      <rPr>
        <sz val="9"/>
        <rFont val="Arial"/>
        <family val="2"/>
      </rPr>
      <t>4%</t>
    </r>
    <r>
      <rPr>
        <sz val="9"/>
        <rFont val="宋体"/>
        <family val="3"/>
        <charset val="134"/>
      </rPr>
      <t>，其中预定成本降</t>
    </r>
    <r>
      <rPr>
        <sz val="9"/>
        <rFont val="Arial"/>
        <family val="2"/>
      </rPr>
      <t>2%</t>
    </r>
    <r>
      <rPr>
        <sz val="9"/>
        <rFont val="宋体"/>
        <family val="3"/>
        <charset val="134"/>
      </rPr>
      <t>，旅游业务部费用降</t>
    </r>
    <r>
      <rPr>
        <sz val="9"/>
        <rFont val="Arial"/>
        <family val="2"/>
      </rPr>
      <t>2%</t>
    </r>
    <r>
      <rPr>
        <sz val="9"/>
        <rFont val="宋体"/>
        <family val="3"/>
        <charset val="134"/>
      </rPr>
      <t>；</t>
    </r>
    <r>
      <rPr>
        <sz val="9"/>
        <rFont val="Arial"/>
        <family val="2"/>
      </rPr>
      <t>2014</t>
    </r>
    <r>
      <rPr>
        <sz val="9"/>
        <rFont val="宋体"/>
        <family val="3"/>
        <charset val="134"/>
      </rPr>
      <t>年与</t>
    </r>
    <r>
      <rPr>
        <sz val="9"/>
        <rFont val="Arial"/>
        <family val="2"/>
      </rPr>
      <t>2015</t>
    </r>
    <r>
      <rPr>
        <sz val="9"/>
        <rFont val="宋体"/>
        <family val="3"/>
        <charset val="134"/>
      </rPr>
      <t>年</t>
    </r>
    <r>
      <rPr>
        <sz val="9"/>
        <rFont val="Arial"/>
        <family val="2"/>
      </rPr>
      <t>Ctrip</t>
    </r>
    <r>
      <rPr>
        <sz val="9"/>
        <rFont val="宋体"/>
        <family val="3"/>
        <charset val="134"/>
      </rPr>
      <t>的</t>
    </r>
    <r>
      <rPr>
        <sz val="9"/>
        <rFont val="Arial"/>
        <family val="2"/>
      </rPr>
      <t>OP margin</t>
    </r>
    <r>
      <rPr>
        <sz val="9"/>
        <rFont val="宋体"/>
        <family val="3"/>
        <charset val="134"/>
      </rPr>
      <t>提高</t>
    </r>
    <r>
      <rPr>
        <sz val="9"/>
        <rFont val="Arial"/>
        <family val="2"/>
      </rPr>
      <t>2%</t>
    </r>
    <r>
      <rPr>
        <sz val="9"/>
        <rFont val="宋体"/>
        <family val="3"/>
        <charset val="134"/>
      </rPr>
      <t>，其中预定成本降</t>
    </r>
    <r>
      <rPr>
        <sz val="9"/>
        <rFont val="Arial"/>
        <family val="2"/>
      </rPr>
      <t>1%</t>
    </r>
    <r>
      <rPr>
        <sz val="9"/>
        <rFont val="宋体"/>
        <family val="3"/>
        <charset val="134"/>
      </rPr>
      <t>，旅游业务部费用降</t>
    </r>
    <r>
      <rPr>
        <sz val="9"/>
        <rFont val="Arial"/>
        <family val="2"/>
      </rPr>
      <t>1%</t>
    </r>
    <phoneticPr fontId="11" type="noConversion"/>
  </si>
  <si>
    <r>
      <t>Note A: 2011</t>
    </r>
    <r>
      <rPr>
        <b/>
        <sz val="9"/>
        <color indexed="10"/>
        <rFont val="宋体"/>
        <family val="3"/>
        <charset val="134"/>
      </rPr>
      <t>年客服费用根据各版块考核业绩分摊；</t>
    </r>
    <r>
      <rPr>
        <b/>
        <sz val="9"/>
        <color indexed="10"/>
        <rFont val="Arial"/>
        <family val="2"/>
      </rPr>
      <t>2012</t>
    </r>
    <r>
      <rPr>
        <b/>
        <sz val="9"/>
        <color indexed="10"/>
        <rFont val="宋体"/>
        <family val="3"/>
        <charset val="134"/>
      </rPr>
      <t>年按照为各版块服务的客服人员进行分摊；</t>
    </r>
    <r>
      <rPr>
        <b/>
        <sz val="9"/>
        <color indexed="10"/>
        <rFont val="Arial"/>
        <family val="2"/>
      </rPr>
      <t>2013</t>
    </r>
    <r>
      <rPr>
        <b/>
        <sz val="9"/>
        <color indexed="10"/>
        <rFont val="宋体"/>
        <family val="3"/>
        <charset val="134"/>
      </rPr>
      <t>年开始旅游业务部有自己单独的客服人员，因此这部分费用计入旅游业务部费用中</t>
    </r>
    <phoneticPr fontId="11" type="noConversion"/>
  </si>
  <si>
    <r>
      <t>Note B: 2013</t>
    </r>
    <r>
      <rPr>
        <b/>
        <sz val="9"/>
        <color indexed="10"/>
        <rFont val="宋体"/>
        <family val="3"/>
        <charset val="134"/>
      </rPr>
      <t>年开始旅游结算的可控直接费用并入旅游业务部费用中；结算部中收银人员分摊给旅游板块的费用在非可控直接费用中体现</t>
    </r>
    <phoneticPr fontId="11" type="noConversion"/>
  </si>
  <si>
    <r>
      <t>Note C: 2012</t>
    </r>
    <r>
      <rPr>
        <b/>
        <sz val="9"/>
        <color indexed="10"/>
        <rFont val="宋体"/>
        <family val="3"/>
        <charset val="134"/>
      </rPr>
      <t>年</t>
    </r>
    <r>
      <rPr>
        <b/>
        <sz val="9"/>
        <color indexed="10"/>
        <rFont val="Arial"/>
        <family val="2"/>
      </rPr>
      <t>Q3</t>
    </r>
    <r>
      <rPr>
        <b/>
        <sz val="9"/>
        <color indexed="10"/>
        <rFont val="宋体"/>
        <family val="3"/>
        <charset val="134"/>
      </rPr>
      <t>开始旅游有技术开发的直接费用，以前都为技术开发的分摊费用。除技术开发和无线之外其余的技术运营等费用在间接</t>
    </r>
    <r>
      <rPr>
        <b/>
        <sz val="9"/>
        <color indexed="10"/>
        <rFont val="Arial"/>
        <family val="2"/>
      </rPr>
      <t>PD</t>
    </r>
    <r>
      <rPr>
        <b/>
        <sz val="9"/>
        <color indexed="10"/>
        <rFont val="宋体"/>
        <family val="3"/>
        <charset val="134"/>
      </rPr>
      <t>费用中体现</t>
    </r>
    <phoneticPr fontId="11" type="noConversion"/>
  </si>
  <si>
    <r>
      <t xml:space="preserve">Note D: </t>
    </r>
    <r>
      <rPr>
        <b/>
        <sz val="9"/>
        <color indexed="10"/>
        <rFont val="宋体"/>
        <family val="3"/>
        <charset val="134"/>
      </rPr>
      <t>根据分部门期权成本计算表计算所得，包含</t>
    </r>
    <r>
      <rPr>
        <b/>
        <sz val="9"/>
        <color indexed="10"/>
        <rFont val="Arial"/>
        <family val="2"/>
      </rPr>
      <t>P-1</t>
    </r>
    <r>
      <rPr>
        <b/>
        <sz val="9"/>
        <color indexed="10"/>
        <rFont val="宋体"/>
        <family val="3"/>
        <charset val="134"/>
      </rPr>
      <t>旅游业务部以及</t>
    </r>
    <r>
      <rPr>
        <b/>
        <sz val="9"/>
        <color indexed="10"/>
        <rFont val="Arial"/>
        <family val="2"/>
      </rPr>
      <t>P-2</t>
    </r>
    <r>
      <rPr>
        <b/>
        <sz val="9"/>
        <color indexed="10"/>
        <rFont val="宋体"/>
        <family val="3"/>
        <charset val="134"/>
      </rPr>
      <t>旅游结算部</t>
    </r>
    <r>
      <rPr>
        <b/>
        <sz val="9"/>
        <color indexed="10"/>
        <rFont val="Arial"/>
        <family val="2"/>
      </rPr>
      <t>2</t>
    </r>
    <r>
      <rPr>
        <b/>
        <sz val="9"/>
        <color indexed="10"/>
        <rFont val="宋体"/>
        <family val="3"/>
        <charset val="134"/>
      </rPr>
      <t>个部门。</t>
    </r>
    <phoneticPr fontId="11" type="noConversion"/>
  </si>
  <si>
    <r>
      <t>Note E: 2011</t>
    </r>
    <r>
      <rPr>
        <b/>
        <sz val="9"/>
        <color indexed="10"/>
        <rFont val="宋体"/>
        <family val="3"/>
        <charset val="134"/>
      </rPr>
      <t>年全部的</t>
    </r>
    <r>
      <rPr>
        <b/>
        <sz val="9"/>
        <color indexed="10"/>
        <rFont val="Arial"/>
        <family val="2"/>
      </rPr>
      <t>S&amp;M</t>
    </r>
    <r>
      <rPr>
        <b/>
        <sz val="9"/>
        <color indexed="10"/>
        <rFont val="宋体"/>
        <family val="3"/>
        <charset val="134"/>
      </rPr>
      <t>的费用根据各版块的考核业绩分摊；</t>
    </r>
    <r>
      <rPr>
        <b/>
        <sz val="9"/>
        <color indexed="10"/>
        <rFont val="Arial"/>
        <family val="2"/>
      </rPr>
      <t>2012</t>
    </r>
    <r>
      <rPr>
        <b/>
        <sz val="9"/>
        <color indexed="10"/>
        <rFont val="宋体"/>
        <family val="3"/>
        <charset val="134"/>
      </rPr>
      <t>年将全部的</t>
    </r>
    <r>
      <rPr>
        <b/>
        <sz val="9"/>
        <color indexed="10"/>
        <rFont val="Arial"/>
        <family val="2"/>
      </rPr>
      <t>S&amp;M</t>
    </r>
    <r>
      <rPr>
        <b/>
        <sz val="9"/>
        <color indexed="10"/>
        <rFont val="宋体"/>
        <family val="3"/>
        <charset val="134"/>
      </rPr>
      <t>费用提出旅游营销本身费用后根据各版块的考核业绩分摊；</t>
    </r>
    <r>
      <rPr>
        <b/>
        <sz val="9"/>
        <color indexed="10"/>
        <rFont val="Arial"/>
        <family val="2"/>
      </rPr>
      <t>2013</t>
    </r>
    <r>
      <rPr>
        <b/>
        <sz val="9"/>
        <color indexed="10"/>
        <rFont val="宋体"/>
        <family val="3"/>
        <charset val="134"/>
      </rPr>
      <t>年将全部的</t>
    </r>
    <r>
      <rPr>
        <b/>
        <sz val="9"/>
        <color indexed="10"/>
        <rFont val="Arial"/>
        <family val="2"/>
      </rPr>
      <t>S&amp;M</t>
    </r>
    <r>
      <rPr>
        <b/>
        <sz val="9"/>
        <color indexed="10"/>
        <rFont val="宋体"/>
        <family val="3"/>
        <charset val="134"/>
      </rPr>
      <t>费用分为直接分摊费用与间接分摊费用，直接分摊费用直接分摊给相应的版块，间接分摊费用再按照各版块的考核业绩分摊</t>
    </r>
    <phoneticPr fontId="11" type="noConversion"/>
  </si>
  <si>
    <t>Gross Booking</t>
    <phoneticPr fontId="11" type="noConversion"/>
  </si>
  <si>
    <t>Total Revenues</t>
    <phoneticPr fontId="11" type="noConversion"/>
  </si>
  <si>
    <t>Revenue / Gross booking ratio</t>
    <phoneticPr fontId="11" type="noConversion"/>
  </si>
  <si>
    <t>Net Revenues</t>
    <phoneticPr fontId="11" type="noConversion"/>
  </si>
  <si>
    <t>Gross profit</t>
    <phoneticPr fontId="11" type="noConversion"/>
  </si>
  <si>
    <t>Gross Margin</t>
    <phoneticPr fontId="11" type="noConversion"/>
  </si>
  <si>
    <t>Income (loss) from Operations</t>
    <phoneticPr fontId="11" type="noConversion"/>
  </si>
  <si>
    <t>Operating Margin</t>
    <phoneticPr fontId="11" type="noConversion"/>
  </si>
  <si>
    <t>Net Income</t>
    <phoneticPr fontId="11" type="noConversion"/>
  </si>
  <si>
    <t>Net Profit Margin</t>
    <phoneticPr fontId="11" type="noConversion"/>
  </si>
  <si>
    <t>国旅</t>
    <phoneticPr fontId="11" type="noConversion"/>
  </si>
  <si>
    <t>中青旅</t>
    <phoneticPr fontId="11" type="noConversion"/>
  </si>
  <si>
    <t>港中旅</t>
    <phoneticPr fontId="11" type="noConversion"/>
  </si>
  <si>
    <t>Expedia</t>
    <phoneticPr fontId="11" type="noConversion"/>
  </si>
  <si>
    <t>Priceline</t>
    <phoneticPr fontId="11" type="noConversion"/>
  </si>
  <si>
    <t>Thomas Cook</t>
    <phoneticPr fontId="11" type="noConversion"/>
  </si>
  <si>
    <t>TUI</t>
    <phoneticPr fontId="11" type="noConversion"/>
  </si>
  <si>
    <t>Ctrip Package (organic)</t>
    <phoneticPr fontId="11" type="noConversion"/>
  </si>
  <si>
    <t>Ctrip Package (Ctrip + WO)</t>
    <phoneticPr fontId="11" type="noConversion"/>
  </si>
  <si>
    <t>Cash, Restricated cash and short-term investment</t>
    <phoneticPr fontId="11" type="noConversion"/>
  </si>
  <si>
    <t>MakeMyTrip (Yr.ending Mar 31)</t>
    <phoneticPr fontId="11" type="noConversion"/>
  </si>
  <si>
    <t>USA (in million USD)</t>
    <phoneticPr fontId="11" type="noConversion"/>
  </si>
  <si>
    <t>Europe (in million GBP)</t>
    <phoneticPr fontId="11" type="noConversion"/>
  </si>
  <si>
    <t>ASSETS</t>
    <phoneticPr fontId="11" type="noConversion"/>
  </si>
  <si>
    <t>Total assets</t>
    <phoneticPr fontId="11" type="noConversion"/>
  </si>
  <si>
    <t>Total assets</t>
    <phoneticPr fontId="11" type="noConversion"/>
  </si>
  <si>
    <t>Total Liabilities</t>
    <phoneticPr fontId="11" type="noConversion"/>
  </si>
  <si>
    <t>Outstanding shares (in million)</t>
    <phoneticPr fontId="11" type="noConversion"/>
  </si>
  <si>
    <t>PEG</t>
    <phoneticPr fontId="11" type="noConversion"/>
  </si>
  <si>
    <t>Market Cap</t>
    <phoneticPr fontId="11" type="noConversion"/>
  </si>
  <si>
    <t>Stock price Dec. 31/Sep. 12, 2013</t>
    <phoneticPr fontId="11" type="noConversion"/>
  </si>
  <si>
    <t>Stock price Dec. 31/Sep. 12, 2013</t>
    <phoneticPr fontId="11" type="noConversion"/>
  </si>
  <si>
    <t>Enterprice Value</t>
    <phoneticPr fontId="11" type="noConversion"/>
  </si>
  <si>
    <t>EV/Revenues</t>
    <phoneticPr fontId="11" type="noConversion"/>
  </si>
  <si>
    <t>Market Cap/Revenues</t>
    <phoneticPr fontId="11" type="noConversion"/>
  </si>
  <si>
    <t>RMB</t>
    <phoneticPr fontId="11" type="noConversion"/>
  </si>
  <si>
    <t>USD</t>
    <phoneticPr fontId="11" type="noConversion"/>
  </si>
  <si>
    <t>HKD</t>
    <phoneticPr fontId="11" type="noConversion"/>
  </si>
  <si>
    <t>中国国旅A股601888/上市 2009-10-15/招股价11.78</t>
    <phoneticPr fontId="11" type="noConversion"/>
  </si>
  <si>
    <t>中青旅A股600138/上市 1997-11-14/ 招股价6.57</t>
    <phoneticPr fontId="11" type="noConversion"/>
  </si>
  <si>
    <t>港中旅HKE 00308/上市时间1992-11-11，上市价格2.88</t>
    <phoneticPr fontId="11" type="noConversion"/>
  </si>
  <si>
    <t>P&amp;L</t>
    <phoneticPr fontId="11" type="noConversion"/>
  </si>
  <si>
    <t>2013 E</t>
    <phoneticPr fontId="11" type="noConversion"/>
  </si>
  <si>
    <t>Transaction volume</t>
    <phoneticPr fontId="11" type="noConversion"/>
  </si>
  <si>
    <t>Gross booking value</t>
    <phoneticPr fontId="11" type="noConversion"/>
  </si>
  <si>
    <t>Revenue / Gross booking ratio</t>
    <phoneticPr fontId="11" type="noConversion"/>
  </si>
  <si>
    <t>Gross profit / Gross booking ratio</t>
    <phoneticPr fontId="11" type="noConversion"/>
  </si>
  <si>
    <t>Merchant vs. Agency by</t>
    <phoneticPr fontId="11" type="noConversion"/>
  </si>
  <si>
    <t>Revenue</t>
    <phoneticPr fontId="11" type="noConversion"/>
  </si>
  <si>
    <t>Gross profit</t>
    <phoneticPr fontId="11" type="noConversion"/>
  </si>
  <si>
    <t>Revenues:</t>
    <phoneticPr fontId="11" type="noConversion"/>
  </si>
  <si>
    <t xml:space="preserve">   Hotel reservation</t>
    <phoneticPr fontId="11" type="noConversion"/>
  </si>
  <si>
    <t xml:space="preserve">   Air-ticketing</t>
    <phoneticPr fontId="11" type="noConversion"/>
  </si>
  <si>
    <t xml:space="preserve">   Packaged tour</t>
    <phoneticPr fontId="11" type="noConversion"/>
  </si>
  <si>
    <t xml:space="preserve">   Corporate travel</t>
    <phoneticPr fontId="11" type="noConversion"/>
  </si>
  <si>
    <t xml:space="preserve">   Others</t>
    <phoneticPr fontId="11" type="noConversion"/>
  </si>
  <si>
    <t>Total revenues</t>
    <phoneticPr fontId="11" type="noConversion"/>
  </si>
  <si>
    <t>Less: business tax and related surcharges</t>
    <phoneticPr fontId="11" type="noConversion"/>
  </si>
  <si>
    <t>Net revenues</t>
    <phoneticPr fontId="11" type="noConversion"/>
  </si>
  <si>
    <t>Cost of services</t>
    <phoneticPr fontId="11" type="noConversion"/>
  </si>
  <si>
    <t>Gross profit</t>
    <phoneticPr fontId="11" type="noConversion"/>
  </si>
  <si>
    <t>GP margin</t>
    <phoneticPr fontId="11" type="noConversion"/>
  </si>
  <si>
    <r>
      <t xml:space="preserve">Operating expenses </t>
    </r>
    <r>
      <rPr>
        <b/>
        <sz val="9"/>
        <rFont val="宋体"/>
        <family val="3"/>
        <charset val="134"/>
      </rPr>
      <t>（不同GAAP分类）</t>
    </r>
    <phoneticPr fontId="11" type="noConversion"/>
  </si>
  <si>
    <t>占历年收入比重</t>
    <phoneticPr fontId="11" type="noConversion"/>
  </si>
  <si>
    <t xml:space="preserve">   Product development</t>
    <phoneticPr fontId="11" type="noConversion"/>
  </si>
  <si>
    <r>
      <t xml:space="preserve">   Sales and marketing </t>
    </r>
    <r>
      <rPr>
        <sz val="9"/>
        <rFont val="宋体"/>
        <family val="3"/>
        <charset val="134"/>
      </rPr>
      <t>销售费用</t>
    </r>
    <phoneticPr fontId="11" type="noConversion"/>
  </si>
  <si>
    <t>30-35%</t>
    <phoneticPr fontId="11" type="noConversion"/>
  </si>
  <si>
    <t>37-42%</t>
    <phoneticPr fontId="11" type="noConversion"/>
  </si>
  <si>
    <t>29-32%</t>
    <phoneticPr fontId="11" type="noConversion"/>
  </si>
  <si>
    <r>
      <t xml:space="preserve">   General and administrative </t>
    </r>
    <r>
      <rPr>
        <sz val="9"/>
        <rFont val="宋体"/>
        <family val="3"/>
        <charset val="134"/>
      </rPr>
      <t>管理费用</t>
    </r>
    <phoneticPr fontId="11" type="noConversion"/>
  </si>
  <si>
    <t>24-27%</t>
    <phoneticPr fontId="11" type="noConversion"/>
  </si>
  <si>
    <t>14-19%</t>
    <phoneticPr fontId="11" type="noConversion"/>
  </si>
  <si>
    <t>48-63%</t>
    <phoneticPr fontId="11" type="noConversion"/>
  </si>
  <si>
    <t xml:space="preserve">   Amortization of intangible assets</t>
    <phoneticPr fontId="11" type="noConversion"/>
  </si>
  <si>
    <t xml:space="preserve">  Charges related to property and equipment</t>
    <phoneticPr fontId="11" type="noConversion"/>
  </si>
  <si>
    <t xml:space="preserve">  Other expenses</t>
    <phoneticPr fontId="11" type="noConversion"/>
  </si>
  <si>
    <t xml:space="preserve">  Impairment</t>
    <phoneticPr fontId="11" type="noConversion"/>
  </si>
  <si>
    <t xml:space="preserve">   Share-based compensation</t>
    <phoneticPr fontId="11" type="noConversion"/>
  </si>
  <si>
    <t>Total operating expenses (GAAP)</t>
    <phoneticPr fontId="11" type="noConversion"/>
  </si>
  <si>
    <r>
      <t xml:space="preserve">   Financial Expenses </t>
    </r>
    <r>
      <rPr>
        <sz val="9"/>
        <rFont val="宋体"/>
        <family val="3"/>
        <charset val="134"/>
      </rPr>
      <t>财务费用</t>
    </r>
    <phoneticPr fontId="11" type="noConversion"/>
  </si>
  <si>
    <r>
      <t>Other expenses(</t>
    </r>
    <r>
      <rPr>
        <sz val="9"/>
        <rFont val="宋体"/>
        <family val="3"/>
        <charset val="134"/>
      </rPr>
      <t>资产减值损失，投资损益，汇兑收益）</t>
    </r>
    <phoneticPr fontId="11" type="noConversion"/>
  </si>
  <si>
    <r>
      <t>Income (loss) from Operations</t>
    </r>
    <r>
      <rPr>
        <b/>
        <sz val="9"/>
        <rFont val="宋体"/>
        <family val="3"/>
        <charset val="134"/>
      </rPr>
      <t>（GAAP可比）</t>
    </r>
    <phoneticPr fontId="11" type="noConversion"/>
  </si>
  <si>
    <r>
      <t xml:space="preserve">Operation  </t>
    </r>
    <r>
      <rPr>
        <sz val="9"/>
        <rFont val="宋体"/>
        <family val="3"/>
        <charset val="134"/>
      </rPr>
      <t>（</t>
    </r>
    <r>
      <rPr>
        <sz val="9"/>
        <rFont val="Arial"/>
        <family val="2"/>
      </rPr>
      <t>GAAP</t>
    </r>
    <r>
      <rPr>
        <sz val="9"/>
        <rFont val="宋体"/>
        <family val="3"/>
        <charset val="134"/>
      </rPr>
      <t>可比）</t>
    </r>
    <phoneticPr fontId="11" type="noConversion"/>
  </si>
  <si>
    <r>
      <t>Income (loss) from Operations(</t>
    </r>
    <r>
      <rPr>
        <b/>
        <sz val="9"/>
        <rFont val="宋体"/>
        <family val="3"/>
        <charset val="134"/>
      </rPr>
      <t>中国规则）</t>
    </r>
    <phoneticPr fontId="11" type="noConversion"/>
  </si>
  <si>
    <r>
      <t>Operation margin (</t>
    </r>
    <r>
      <rPr>
        <sz val="9"/>
        <rFont val="宋体"/>
        <family val="3"/>
        <charset val="134"/>
      </rPr>
      <t>中国规则）</t>
    </r>
    <phoneticPr fontId="11" type="noConversion"/>
  </si>
  <si>
    <t>Interest income (expense)</t>
    <phoneticPr fontId="11" type="noConversion"/>
  </si>
  <si>
    <t>Other income (expense)</t>
    <phoneticPr fontId="11" type="noConversion"/>
  </si>
  <si>
    <t>Other</t>
    <phoneticPr fontId="11" type="noConversion"/>
  </si>
  <si>
    <t>Income before income tax expense and noncontrolling interests</t>
    <phoneticPr fontId="11" type="noConversion"/>
  </si>
  <si>
    <t>Income tax (expense) benefit</t>
    <phoneticPr fontId="11" type="noConversion"/>
  </si>
  <si>
    <t>Equity in loss (gain) of affiliates</t>
    <phoneticPr fontId="11" type="noConversion"/>
  </si>
  <si>
    <t>Noncontrolling interests</t>
    <phoneticPr fontId="11" type="noConversion"/>
  </si>
  <si>
    <t>Net income (loss) attributable to noncontrolling interests</t>
    <phoneticPr fontId="11" type="noConversion"/>
  </si>
  <si>
    <t>Net income</t>
    <phoneticPr fontId="11" type="noConversion"/>
  </si>
  <si>
    <t>Net profit margin</t>
    <phoneticPr fontId="11" type="noConversion"/>
  </si>
  <si>
    <t>Effective tax rate</t>
    <phoneticPr fontId="11" type="noConversion"/>
  </si>
  <si>
    <t>NI Attributed to the common shareholders</t>
    <phoneticPr fontId="11" type="noConversion"/>
  </si>
  <si>
    <t>Earning per Share</t>
    <phoneticPr fontId="11" type="noConversion"/>
  </si>
  <si>
    <t xml:space="preserve">  - Baisc</t>
    <phoneticPr fontId="11" type="noConversion"/>
  </si>
  <si>
    <t xml:space="preserve">  - Diluted</t>
    <phoneticPr fontId="11" type="noConversion"/>
  </si>
  <si>
    <t>%</t>
    <phoneticPr fontId="11" type="noConversion"/>
  </si>
  <si>
    <t>Revenue mix % of totlal revenue</t>
    <phoneticPr fontId="11" type="noConversion"/>
  </si>
  <si>
    <t xml:space="preserve">   Hotel reservation</t>
    <phoneticPr fontId="11" type="noConversion"/>
  </si>
  <si>
    <t xml:space="preserve">   Air-ticketing</t>
    <phoneticPr fontId="11" type="noConversion"/>
  </si>
  <si>
    <t xml:space="preserve">   Packaged tour</t>
    <phoneticPr fontId="11" type="noConversion"/>
  </si>
  <si>
    <t xml:space="preserve">   Corporate travel</t>
    <phoneticPr fontId="11" type="noConversion"/>
  </si>
  <si>
    <t xml:space="preserve">   Others</t>
    <phoneticPr fontId="11" type="noConversion"/>
  </si>
  <si>
    <t>As % of Net Revenue (GAAP)</t>
    <phoneticPr fontId="11" type="noConversion"/>
  </si>
  <si>
    <t>Product development</t>
    <phoneticPr fontId="11" type="noConversion"/>
  </si>
  <si>
    <t>Sales and marketing</t>
    <phoneticPr fontId="11" type="noConversion"/>
  </si>
  <si>
    <t>General and administrative</t>
    <phoneticPr fontId="11" type="noConversion"/>
  </si>
  <si>
    <t>SBC %</t>
    <phoneticPr fontId="11" type="noConversion"/>
  </si>
  <si>
    <t>CAPEX</t>
    <phoneticPr fontId="11" type="noConversion"/>
  </si>
  <si>
    <t>YoY growth rate</t>
    <phoneticPr fontId="11" type="noConversion"/>
  </si>
  <si>
    <t>Revenues:</t>
    <phoneticPr fontId="11" type="noConversion"/>
  </si>
  <si>
    <t>Total revenues</t>
    <phoneticPr fontId="11" type="noConversion"/>
  </si>
  <si>
    <t>Less: business tax and related surcharges</t>
    <phoneticPr fontId="11" type="noConversion"/>
  </si>
  <si>
    <t>Net revenues</t>
    <phoneticPr fontId="11" type="noConversion"/>
  </si>
  <si>
    <t>Operating expenses: (GAAP)</t>
    <phoneticPr fontId="11" type="noConversion"/>
  </si>
  <si>
    <t xml:space="preserve">   Product development</t>
    <phoneticPr fontId="11" type="noConversion"/>
  </si>
  <si>
    <t xml:space="preserve">   Sales and marketing</t>
    <phoneticPr fontId="11" type="noConversion"/>
  </si>
  <si>
    <t xml:space="preserve">   General and administrative</t>
    <phoneticPr fontId="11" type="noConversion"/>
  </si>
  <si>
    <t>Income (loss) from Operations</t>
    <phoneticPr fontId="11" type="noConversion"/>
  </si>
  <si>
    <t>(in million, USD)</t>
    <phoneticPr fontId="11" type="noConversion"/>
  </si>
  <si>
    <t>Earnings Growth Rate</t>
    <phoneticPr fontId="11" type="noConversion"/>
  </si>
  <si>
    <t>Balance Sheet, Million</t>
    <phoneticPr fontId="11" type="noConversion"/>
  </si>
  <si>
    <t>Short-term investment</t>
    <phoneticPr fontId="11" type="noConversion"/>
  </si>
  <si>
    <t>Prepayments and other current assets</t>
    <phoneticPr fontId="11" type="noConversion"/>
  </si>
  <si>
    <t>Advances from customers</t>
    <phoneticPr fontId="11" type="noConversion"/>
  </si>
  <si>
    <t>Short term debt</t>
    <phoneticPr fontId="11" type="noConversion"/>
  </si>
  <si>
    <t>Long term debt</t>
    <phoneticPr fontId="11" type="noConversion"/>
  </si>
  <si>
    <t>Total Debt</t>
    <phoneticPr fontId="11" type="noConversion"/>
  </si>
  <si>
    <t>Total liabilities</t>
    <phoneticPr fontId="11" type="noConversion"/>
  </si>
  <si>
    <t xml:space="preserve">Total shareholders' equity  </t>
    <phoneticPr fontId="11" type="noConversion"/>
  </si>
  <si>
    <t>Net Asset</t>
    <phoneticPr fontId="11" type="noConversion"/>
  </si>
  <si>
    <t>D/A ratio</t>
    <phoneticPr fontId="11" type="noConversion"/>
  </si>
  <si>
    <t>NA Attributed to the common shareholders</t>
    <phoneticPr fontId="11" type="noConversion"/>
  </si>
  <si>
    <t>Cash Flow</t>
    <phoneticPr fontId="11" type="noConversion"/>
  </si>
  <si>
    <t>Cash Flow from (used in) Operating</t>
    <phoneticPr fontId="11" type="noConversion"/>
  </si>
  <si>
    <t>Cash Flow from (used in) Investing</t>
    <phoneticPr fontId="11" type="noConversion"/>
  </si>
  <si>
    <t>Cash Flow from (used in) Financing</t>
    <phoneticPr fontId="11" type="noConversion"/>
  </si>
  <si>
    <t xml:space="preserve">CAPEX (Purchase or sale of property, equipment and software) </t>
    <phoneticPr fontId="11" type="noConversion"/>
  </si>
  <si>
    <t>Purchase of land use right</t>
    <phoneticPr fontId="11" type="noConversion"/>
  </si>
  <si>
    <t>Operation Data</t>
    <phoneticPr fontId="11" type="noConversion"/>
  </si>
  <si>
    <t>Countries covered</t>
    <phoneticPr fontId="11" type="noConversion"/>
  </si>
  <si>
    <t># of active users</t>
    <phoneticPr fontId="11" type="noConversion"/>
  </si>
  <si>
    <t># of registered users</t>
    <phoneticPr fontId="11" type="noConversion"/>
  </si>
  <si>
    <t># of hotels</t>
    <phoneticPr fontId="11" type="noConversion"/>
  </si>
  <si>
    <t># of roomnights</t>
    <phoneticPr fontId="11" type="noConversion"/>
  </si>
  <si>
    <t># of air tickets</t>
    <phoneticPr fontId="11" type="noConversion"/>
  </si>
  <si>
    <t>Hotel commission rate</t>
    <phoneticPr fontId="11" type="noConversion"/>
  </si>
  <si>
    <t>Average revenue per roomnight</t>
    <phoneticPr fontId="11" type="noConversion"/>
  </si>
  <si>
    <t>Air commission rate (including all services)</t>
    <phoneticPr fontId="11" type="noConversion"/>
  </si>
  <si>
    <t>Average revenue per ticket</t>
    <phoneticPr fontId="11" type="noConversion"/>
  </si>
  <si>
    <t># of employees</t>
    <phoneticPr fontId="11" type="noConversion"/>
  </si>
  <si>
    <t># of employees in P&amp;D</t>
    <phoneticPr fontId="11" type="noConversion"/>
  </si>
  <si>
    <t># of employees in S&amp;M</t>
    <phoneticPr fontId="11" type="noConversion"/>
  </si>
  <si>
    <t># of employees in G&amp;A</t>
    <phoneticPr fontId="11" type="noConversion"/>
  </si>
  <si>
    <t># of employees in call center</t>
    <phoneticPr fontId="11" type="noConversion"/>
  </si>
  <si>
    <t># of employees growth rate</t>
    <phoneticPr fontId="11" type="noConversion"/>
  </si>
  <si>
    <t>AR Days</t>
    <phoneticPr fontId="11" type="noConversion"/>
  </si>
  <si>
    <t xml:space="preserve">Stock </t>
    <phoneticPr fontId="11" type="noConversion"/>
  </si>
  <si>
    <t>Outstanding shares</t>
    <phoneticPr fontId="11" type="noConversion"/>
  </si>
  <si>
    <t>PE</t>
    <phoneticPr fontId="11" type="noConversion"/>
  </si>
  <si>
    <t>PEG</t>
    <phoneticPr fontId="11" type="noConversion"/>
  </si>
  <si>
    <t>-</t>
    <phoneticPr fontId="11" type="noConversion"/>
  </si>
  <si>
    <t>PE-Basic</t>
    <phoneticPr fontId="11" type="noConversion"/>
  </si>
  <si>
    <t>PEG-Basic</t>
    <phoneticPr fontId="11" type="noConversion"/>
  </si>
  <si>
    <t>(in local currency)</t>
    <phoneticPr fontId="11" type="noConversion"/>
  </si>
  <si>
    <t>Mart cap (in Million, RMB)</t>
    <phoneticPr fontId="11" type="noConversion"/>
  </si>
  <si>
    <t>Stock price Dec. 31/Sep. 12, 2013</t>
    <phoneticPr fontId="11" type="noConversion"/>
  </si>
  <si>
    <t>52-Week Low</t>
    <phoneticPr fontId="11" type="noConversion"/>
  </si>
  <si>
    <t>Enterprise Value (EV)</t>
    <phoneticPr fontId="11" type="noConversion"/>
  </si>
  <si>
    <t>EV/OP</t>
    <phoneticPr fontId="11" type="noConversion"/>
  </si>
  <si>
    <t>Market Cap/Revenues</t>
    <phoneticPr fontId="11" type="noConversion"/>
  </si>
  <si>
    <t>Market Cap/OP</t>
    <phoneticPr fontId="11" type="noConversion"/>
  </si>
  <si>
    <r>
      <t xml:space="preserve">1. </t>
    </r>
    <r>
      <rPr>
        <sz val="9"/>
        <rFont val="宋体"/>
        <family val="3"/>
        <charset val="134"/>
      </rPr>
      <t>旅游业务毛利率Revenue/Gross Booking为12-13%水平, 占业务收入60-70%</t>
    </r>
    <phoneticPr fontId="11" type="noConversion"/>
  </si>
  <si>
    <r>
      <t xml:space="preserve">1. </t>
    </r>
    <r>
      <rPr>
        <sz val="9"/>
        <rFont val="宋体"/>
        <family val="3"/>
        <charset val="134"/>
      </rPr>
      <t>旅游及会展业务毛利率Revenue/Gross Booking只有8%左右水平, 占业务收入65%(2013 H1)</t>
    </r>
    <phoneticPr fontId="11" type="noConversion"/>
  </si>
  <si>
    <r>
      <t xml:space="preserve">1. </t>
    </r>
    <r>
      <rPr>
        <sz val="9"/>
        <rFont val="宋体"/>
        <family val="3"/>
        <charset val="134"/>
      </rPr>
      <t>香港，大陆，海外业务分别占集团44%，48%，8%的贡献</t>
    </r>
    <phoneticPr fontId="11" type="noConversion"/>
  </si>
  <si>
    <r>
      <t xml:space="preserve">2. </t>
    </r>
    <r>
      <rPr>
        <sz val="9"/>
        <rFont val="宋体"/>
        <family val="3"/>
        <charset val="134"/>
      </rPr>
      <t>免税店商品业务毛利率更高</t>
    </r>
    <r>
      <rPr>
        <sz val="9"/>
        <rFont val="Arial"/>
        <family val="2"/>
      </rPr>
      <t>35-40%</t>
    </r>
    <r>
      <rPr>
        <sz val="9"/>
        <rFont val="宋体"/>
        <family val="3"/>
        <charset val="134"/>
      </rPr>
      <t>，占业务收入约</t>
    </r>
    <r>
      <rPr>
        <sz val="9"/>
        <rFont val="Arial"/>
        <family val="2"/>
      </rPr>
      <t>30-40%</t>
    </r>
    <phoneticPr fontId="11" type="noConversion"/>
  </si>
  <si>
    <r>
      <t xml:space="preserve">2. </t>
    </r>
    <r>
      <rPr>
        <sz val="9"/>
        <rFont val="宋体"/>
        <family val="3"/>
        <charset val="134"/>
      </rPr>
      <t>景区及酒店业务毛利率高达80</t>
    </r>
    <r>
      <rPr>
        <sz val="9"/>
        <rFont val="Arial"/>
        <family val="2"/>
      </rPr>
      <t>%</t>
    </r>
    <r>
      <rPr>
        <sz val="9"/>
        <rFont val="宋体"/>
        <family val="3"/>
        <charset val="134"/>
      </rPr>
      <t>，占业务收入约</t>
    </r>
    <r>
      <rPr>
        <sz val="9"/>
        <rFont val="Arial"/>
        <family val="2"/>
      </rPr>
      <t>12% (2013 H1)</t>
    </r>
    <phoneticPr fontId="11" type="noConversion"/>
  </si>
  <si>
    <r>
      <t xml:space="preserve">2. </t>
    </r>
    <r>
      <rPr>
        <sz val="9"/>
        <rFont val="宋体"/>
        <family val="3"/>
        <charset val="134"/>
      </rPr>
      <t>旅游，景区，酒店分别占业务贡献为38%， 32%和20%，其他客运，高尔夫及演出占10%</t>
    </r>
    <phoneticPr fontId="11" type="noConversion"/>
  </si>
  <si>
    <r>
      <t xml:space="preserve">3. </t>
    </r>
    <r>
      <rPr>
        <sz val="9"/>
        <rFont val="宋体"/>
        <family val="3"/>
        <charset val="134"/>
      </rPr>
      <t>其他IT和投资（房租）收入占25%</t>
    </r>
    <phoneticPr fontId="11" type="noConversion"/>
  </si>
  <si>
    <r>
      <t>2012</t>
    </r>
    <r>
      <rPr>
        <sz val="9"/>
        <rFont val="宋体"/>
        <family val="3"/>
        <charset val="134"/>
      </rPr>
      <t>年主要运营数据</t>
    </r>
    <phoneticPr fontId="11" type="noConversion"/>
  </si>
  <si>
    <t>交易额</t>
    <phoneticPr fontId="11" type="noConversion"/>
  </si>
  <si>
    <t>Total Revenues</t>
    <phoneticPr fontId="11" type="noConversion"/>
  </si>
  <si>
    <t>佣金率</t>
    <phoneticPr fontId="11" type="noConversion"/>
  </si>
  <si>
    <t>营业利润率</t>
    <phoneticPr fontId="11" type="noConversion"/>
  </si>
  <si>
    <t>Operating Profit</t>
    <phoneticPr fontId="11" type="noConversion"/>
  </si>
  <si>
    <t>OP/Transaction</t>
    <phoneticPr fontId="11" type="noConversion"/>
  </si>
  <si>
    <t>旅游业务</t>
    <phoneticPr fontId="11" type="noConversion"/>
  </si>
  <si>
    <t>旅游产品/服务</t>
    <phoneticPr fontId="11" type="noConversion"/>
  </si>
  <si>
    <t>旅行社服务</t>
    <phoneticPr fontId="11" type="noConversion"/>
  </si>
  <si>
    <t>占比</t>
    <phoneticPr fontId="11" type="noConversion"/>
  </si>
  <si>
    <t>出境旅游业务</t>
    <phoneticPr fontId="11" type="noConversion"/>
  </si>
  <si>
    <t>会展业务</t>
    <phoneticPr fontId="11" type="noConversion"/>
  </si>
  <si>
    <t>景区业务</t>
    <phoneticPr fontId="11" type="noConversion"/>
  </si>
  <si>
    <t>占旅游业务比</t>
    <phoneticPr fontId="11" type="noConversion"/>
  </si>
  <si>
    <t>国内旅游业务</t>
    <phoneticPr fontId="11" type="noConversion"/>
  </si>
  <si>
    <t>酒店业务</t>
    <phoneticPr fontId="11" type="noConversion"/>
  </si>
  <si>
    <t>入境旅游业务</t>
    <phoneticPr fontId="11" type="noConversion"/>
  </si>
  <si>
    <t>客运业务</t>
    <phoneticPr fontId="11" type="noConversion"/>
  </si>
  <si>
    <t>票务业务(净）</t>
    <phoneticPr fontId="11" type="noConversion"/>
  </si>
  <si>
    <t>房产销售/租金</t>
    <phoneticPr fontId="11" type="noConversion"/>
  </si>
  <si>
    <t>高尔夫业务</t>
    <phoneticPr fontId="11" type="noConversion"/>
  </si>
  <si>
    <t>其他</t>
    <phoneticPr fontId="11" type="noConversion"/>
  </si>
  <si>
    <t>软件销售/服务</t>
    <phoneticPr fontId="11" type="noConversion"/>
  </si>
  <si>
    <t>演艺业务</t>
    <phoneticPr fontId="11" type="noConversion"/>
  </si>
  <si>
    <t>发电业务(51% 投资）</t>
    <phoneticPr fontId="11" type="noConversion"/>
  </si>
  <si>
    <t>免税店商品业务</t>
    <phoneticPr fontId="11" type="noConversion"/>
  </si>
  <si>
    <t>PE</t>
    <phoneticPr fontId="11" type="noConversion"/>
  </si>
  <si>
    <t>Great China (in million RMB)</t>
    <phoneticPr fontId="11" type="noConversion"/>
  </si>
  <si>
    <t>L6</t>
    <phoneticPr fontId="11" type="noConversion"/>
  </si>
  <si>
    <t>L20</t>
    <phoneticPr fontId="11" type="noConversion"/>
  </si>
  <si>
    <t>L22</t>
    <phoneticPr fontId="11" type="noConversion"/>
  </si>
  <si>
    <t>L7</t>
    <phoneticPr fontId="11" type="noConversion"/>
  </si>
  <si>
    <t>L24</t>
    <phoneticPr fontId="11" type="noConversion"/>
  </si>
  <si>
    <t>L40 GAAP可比</t>
    <phoneticPr fontId="11" type="noConversion"/>
  </si>
  <si>
    <t>L41</t>
    <phoneticPr fontId="11" type="noConversion"/>
  </si>
  <si>
    <t>L54</t>
    <phoneticPr fontId="11" type="noConversion"/>
  </si>
  <si>
    <t>L55</t>
    <phoneticPr fontId="11" type="noConversion"/>
  </si>
  <si>
    <t>L107</t>
    <phoneticPr fontId="11" type="noConversion"/>
  </si>
  <si>
    <t>L113</t>
    <phoneticPr fontId="11" type="noConversion"/>
  </si>
  <si>
    <t xml:space="preserve">L116 </t>
    <phoneticPr fontId="11" type="noConversion"/>
  </si>
  <si>
    <t>Total Shareholders' Equity</t>
    <phoneticPr fontId="11" type="noConversion"/>
  </si>
  <si>
    <t>L155</t>
    <phoneticPr fontId="11" type="noConversion"/>
  </si>
  <si>
    <t>L156</t>
    <phoneticPr fontId="11" type="noConversion"/>
  </si>
  <si>
    <t>L157</t>
    <phoneticPr fontId="11" type="noConversion"/>
  </si>
  <si>
    <t>L163</t>
    <phoneticPr fontId="11" type="noConversion"/>
  </si>
  <si>
    <t>L164</t>
    <phoneticPr fontId="11" type="noConversion"/>
  </si>
  <si>
    <t>L168</t>
    <phoneticPr fontId="11" type="noConversion"/>
  </si>
  <si>
    <t>L169</t>
    <phoneticPr fontId="11" type="noConversion"/>
  </si>
  <si>
    <t>L170</t>
    <phoneticPr fontId="11" type="noConversion"/>
  </si>
  <si>
    <t>L171</t>
    <phoneticPr fontId="11" type="noConversion"/>
  </si>
  <si>
    <t>L172</t>
    <phoneticPr fontId="11" type="noConversion"/>
  </si>
  <si>
    <t>Market Cap/OP(GAAP)</t>
    <phoneticPr fontId="11" type="noConversion"/>
  </si>
  <si>
    <t>EV/OP(GAAP)</t>
    <phoneticPr fontId="11" type="noConversion"/>
  </si>
  <si>
    <t>L25</t>
    <phoneticPr fontId="11" type="noConversion"/>
  </si>
  <si>
    <t>L40</t>
    <phoneticPr fontId="11" type="noConversion"/>
  </si>
  <si>
    <t>L57</t>
    <phoneticPr fontId="11" type="noConversion"/>
  </si>
  <si>
    <t>L124</t>
    <phoneticPr fontId="11" type="noConversion"/>
  </si>
  <si>
    <t>L130</t>
    <phoneticPr fontId="11" type="noConversion"/>
  </si>
  <si>
    <t>L131</t>
    <phoneticPr fontId="11" type="noConversion"/>
  </si>
  <si>
    <t>L173</t>
    <phoneticPr fontId="11" type="noConversion"/>
  </si>
  <si>
    <t>L174</t>
    <phoneticPr fontId="11" type="noConversion"/>
  </si>
  <si>
    <t>L175</t>
    <phoneticPr fontId="11" type="noConversion"/>
  </si>
  <si>
    <t>L181</t>
    <phoneticPr fontId="11" type="noConversion"/>
  </si>
  <si>
    <t>L182</t>
    <phoneticPr fontId="11" type="noConversion"/>
  </si>
  <si>
    <t>L184</t>
    <phoneticPr fontId="11" type="noConversion"/>
  </si>
  <si>
    <t>L185</t>
    <phoneticPr fontId="11" type="noConversion"/>
  </si>
  <si>
    <t>L186</t>
    <phoneticPr fontId="11" type="noConversion"/>
  </si>
  <si>
    <t>L187</t>
    <phoneticPr fontId="11" type="noConversion"/>
  </si>
  <si>
    <t>L188</t>
    <phoneticPr fontId="11" type="noConversion"/>
  </si>
  <si>
    <t>L60</t>
    <phoneticPr fontId="11" type="noConversion"/>
  </si>
  <si>
    <t>L38</t>
    <phoneticPr fontId="11" type="noConversion"/>
  </si>
  <si>
    <t>L39</t>
    <phoneticPr fontId="11" type="noConversion"/>
  </si>
  <si>
    <t>L49</t>
    <phoneticPr fontId="11" type="noConversion"/>
  </si>
  <si>
    <t>L50</t>
    <phoneticPr fontId="11" type="noConversion"/>
  </si>
  <si>
    <t>L102</t>
    <phoneticPr fontId="11" type="noConversion"/>
  </si>
  <si>
    <t>L108</t>
    <phoneticPr fontId="11" type="noConversion"/>
  </si>
  <si>
    <t>L111</t>
    <phoneticPr fontId="11" type="noConversion"/>
  </si>
  <si>
    <t>L150</t>
    <phoneticPr fontId="11" type="noConversion"/>
  </si>
  <si>
    <t>L152</t>
    <phoneticPr fontId="11" type="noConversion"/>
  </si>
  <si>
    <t>L151</t>
    <phoneticPr fontId="11" type="noConversion"/>
  </si>
  <si>
    <t>L158</t>
    <phoneticPr fontId="11" type="noConversion"/>
  </si>
  <si>
    <t>L159</t>
    <phoneticPr fontId="11" type="noConversion"/>
  </si>
  <si>
    <t>L165</t>
    <phoneticPr fontId="11" type="noConversion"/>
  </si>
  <si>
    <t>L166</t>
    <phoneticPr fontId="11" type="noConversion"/>
  </si>
  <si>
    <t>L167</t>
    <phoneticPr fontId="11" type="noConversion"/>
  </si>
  <si>
    <t>Ctrip (in million RMB)</t>
    <phoneticPr fontId="11" type="noConversion"/>
  </si>
  <si>
    <t>(in million,except EPS data and percentages)</t>
    <phoneticPr fontId="11" type="noConversion"/>
  </si>
  <si>
    <t>Ctrip organic as % of it</t>
    <phoneticPr fontId="11" type="noConversion"/>
  </si>
  <si>
    <t>Ctrip+Wing as % of it</t>
    <phoneticPr fontId="11" type="noConversion"/>
  </si>
  <si>
    <t>Stock price (Last day of financial year)</t>
    <phoneticPr fontId="11" type="noConversion"/>
  </si>
  <si>
    <t>-</t>
    <phoneticPr fontId="11" type="noConversion"/>
  </si>
  <si>
    <t>-</t>
    <phoneticPr fontId="11" type="noConversion"/>
  </si>
  <si>
    <t>Enterprise Value (EV)</t>
    <phoneticPr fontId="11" type="noConversion"/>
  </si>
  <si>
    <r>
      <t>Gross profit margin non-GAAP</t>
    </r>
    <r>
      <rPr>
        <b/>
        <sz val="9"/>
        <rFont val="arial"/>
        <family val="2"/>
      </rPr>
      <t xml:space="preserve"> (/Gross profit)</t>
    </r>
    <phoneticPr fontId="11" type="noConversion"/>
  </si>
  <si>
    <t>N/A</t>
    <phoneticPr fontId="11" type="noConversion"/>
  </si>
  <si>
    <t>EPS Growth Rate(Basic)</t>
    <phoneticPr fontId="11" type="noConversion"/>
  </si>
  <si>
    <t>Ctrip</t>
    <phoneticPr fontId="11" type="noConversion"/>
  </si>
  <si>
    <t xml:space="preserve">   Air-ticketing</t>
    <phoneticPr fontId="11" type="noConversion"/>
  </si>
  <si>
    <t xml:space="preserve">   Packaged tour</t>
    <phoneticPr fontId="11" type="noConversion"/>
  </si>
  <si>
    <t xml:space="preserve">   Corporate travel</t>
    <phoneticPr fontId="11" type="noConversion"/>
  </si>
  <si>
    <t xml:space="preserve">   Others</t>
    <phoneticPr fontId="11" type="noConversion"/>
  </si>
  <si>
    <t xml:space="preserve">   Product development</t>
    <phoneticPr fontId="11" type="noConversion"/>
  </si>
  <si>
    <t xml:space="preserve">   Sales and marketing</t>
    <phoneticPr fontId="11" type="noConversion"/>
  </si>
  <si>
    <t xml:space="preserve">   General and administrative</t>
    <phoneticPr fontId="11" type="noConversion"/>
  </si>
  <si>
    <t xml:space="preserve">   SBC %</t>
    <phoneticPr fontId="11" type="noConversion"/>
  </si>
  <si>
    <t xml:space="preserve">   CAPEX %</t>
    <phoneticPr fontId="11" type="noConversion"/>
  </si>
  <si>
    <t>Gross booking value YoY Growth on a constant currency basis</t>
    <phoneticPr fontId="11" type="noConversion"/>
  </si>
  <si>
    <r>
      <t>1</t>
    </r>
    <r>
      <rPr>
        <sz val="12"/>
        <rFont val="宋体"/>
        <family val="3"/>
        <charset val="134"/>
      </rPr>
      <t>Q10</t>
    </r>
    <phoneticPr fontId="11" type="noConversion"/>
  </si>
  <si>
    <r>
      <t>2</t>
    </r>
    <r>
      <rPr>
        <sz val="12"/>
        <rFont val="宋体"/>
        <family val="3"/>
        <charset val="134"/>
      </rPr>
      <t>Q10</t>
    </r>
    <phoneticPr fontId="11" type="noConversion"/>
  </si>
  <si>
    <r>
      <t>3</t>
    </r>
    <r>
      <rPr>
        <sz val="12"/>
        <rFont val="宋体"/>
        <family val="3"/>
        <charset val="134"/>
      </rPr>
      <t>Q10</t>
    </r>
    <phoneticPr fontId="11" type="noConversion"/>
  </si>
  <si>
    <r>
      <t>4</t>
    </r>
    <r>
      <rPr>
        <sz val="12"/>
        <rFont val="宋体"/>
        <family val="3"/>
        <charset val="134"/>
      </rPr>
      <t>Q10</t>
    </r>
    <phoneticPr fontId="11" type="noConversion"/>
  </si>
  <si>
    <t>1Q11</t>
    <phoneticPr fontId="11" type="noConversion"/>
  </si>
  <si>
    <t>2Q11</t>
    <phoneticPr fontId="11" type="noConversion"/>
  </si>
  <si>
    <t>3Q11</t>
    <phoneticPr fontId="11" type="noConversion"/>
  </si>
  <si>
    <t>4Q11</t>
    <phoneticPr fontId="11" type="noConversion"/>
  </si>
  <si>
    <t>Total revenues on a constant currency basis</t>
    <phoneticPr fontId="11" type="noConversion"/>
  </si>
  <si>
    <t>Trip Advisor</t>
  </si>
  <si>
    <t>Trip Advisor</t>
    <phoneticPr fontId="11" type="noConversion"/>
  </si>
  <si>
    <t># of user reviews</t>
    <phoneticPr fontId="11" type="noConversion"/>
  </si>
  <si>
    <t>double-digit</t>
    <phoneticPr fontId="11" type="noConversion"/>
  </si>
  <si>
    <t># of bookable hotels of instant booking</t>
    <phoneticPr fontId="11" type="noConversion"/>
  </si>
  <si>
    <t>N/A</t>
    <phoneticPr fontId="11" type="noConversion"/>
  </si>
  <si>
    <t>Net revenues on a constant currency basis</t>
    <phoneticPr fontId="11" type="noConversion"/>
  </si>
  <si>
    <t>Orbitz</t>
  </si>
  <si>
    <t>roomnights growth YoY</t>
    <phoneticPr fontId="11" type="noConversion"/>
  </si>
  <si>
    <t># of employees growth rate</t>
    <phoneticPr fontId="11" type="noConversion"/>
  </si>
  <si>
    <t>2016Q1</t>
    <phoneticPr fontId="11" type="noConversion"/>
  </si>
  <si>
    <t>2016Q1</t>
    <phoneticPr fontId="11" type="noConversion"/>
  </si>
  <si>
    <t>Priceline</t>
  </si>
  <si>
    <t>2015Q2</t>
  </si>
  <si>
    <t>2015Q3</t>
  </si>
  <si>
    <t>2015Q4</t>
  </si>
  <si>
    <t>2015Q2</t>
    <phoneticPr fontId="11" type="noConversion"/>
  </si>
  <si>
    <t>Expedia</t>
  </si>
  <si>
    <t>2015Q2</t>
    <phoneticPr fontId="11" type="noConversion"/>
  </si>
  <si>
    <t>Unit: RMB, billions</t>
    <phoneticPr fontId="31" type="noConversion"/>
  </si>
  <si>
    <t>CTRP 2020</t>
    <phoneticPr fontId="31" type="noConversion"/>
  </si>
  <si>
    <t>PCLN LTM</t>
    <phoneticPr fontId="31" type="noConversion"/>
  </si>
  <si>
    <t>EXPE LTM</t>
    <phoneticPr fontId="31" type="noConversion"/>
  </si>
  <si>
    <t xml:space="preserve">Low End </t>
    <phoneticPr fontId="31" type="noConversion"/>
  </si>
  <si>
    <t>High End</t>
    <phoneticPr fontId="31" type="noConversion"/>
  </si>
  <si>
    <t>GMV</t>
    <phoneticPr fontId="31" type="noConversion"/>
  </si>
  <si>
    <t>in dollars</t>
    <phoneticPr fontId="31" type="noConversion"/>
  </si>
  <si>
    <t xml:space="preserve">2020 Estimated GMV </t>
    <phoneticPr fontId="31" type="noConversion"/>
  </si>
  <si>
    <t>Revenue</t>
    <phoneticPr fontId="31" type="noConversion"/>
  </si>
  <si>
    <t>in dollars</t>
    <phoneticPr fontId="31" type="noConversion"/>
  </si>
  <si>
    <t>Take Rate</t>
    <phoneticPr fontId="31" type="noConversion"/>
  </si>
  <si>
    <t>Non-GAAP Operating Margin Calculation</t>
    <phoneticPr fontId="31" type="noConversion"/>
  </si>
  <si>
    <t>2020 Estimated Revenue</t>
    <phoneticPr fontId="31" type="noConversion"/>
  </si>
  <si>
    <t>Non-GAAP Operating Profits</t>
    <phoneticPr fontId="31" type="noConversion"/>
  </si>
  <si>
    <t>PCLN</t>
    <phoneticPr fontId="31" type="noConversion"/>
  </si>
  <si>
    <t>Non-GAAP Operating Income</t>
    <phoneticPr fontId="31" type="noConversion"/>
  </si>
  <si>
    <t>Mon-GAAP Oparating Margin</t>
    <phoneticPr fontId="31" type="noConversion"/>
  </si>
  <si>
    <t>2Q15</t>
    <phoneticPr fontId="31" type="noConversion"/>
  </si>
  <si>
    <t>3Q15</t>
    <phoneticPr fontId="31" type="noConversion"/>
  </si>
  <si>
    <t>2020 Estimated Revenue</t>
    <phoneticPr fontId="31" type="noConversion"/>
  </si>
  <si>
    <t>4Q15</t>
    <phoneticPr fontId="31" type="noConversion"/>
  </si>
  <si>
    <t>1Q16</t>
    <phoneticPr fontId="31" type="noConversion"/>
  </si>
  <si>
    <t>Revenue Growth Rate (Future revenue growth rates are based on consensus data)</t>
    <phoneticPr fontId="31" type="noConversion"/>
  </si>
  <si>
    <t>EXPE</t>
    <phoneticPr fontId="31" type="noConversion"/>
  </si>
  <si>
    <t>Operating income</t>
    <phoneticPr fontId="31" type="noConversion"/>
  </si>
  <si>
    <t>SBC</t>
    <phoneticPr fontId="31" type="noConversion"/>
  </si>
  <si>
    <t>Restructuring</t>
    <phoneticPr fontId="31" type="noConversion"/>
  </si>
  <si>
    <t>Non-GAAP OP</t>
    <phoneticPr fontId="31" type="noConversion"/>
  </si>
  <si>
    <t>Average of 2016-2020</t>
    <phoneticPr fontId="31" type="noConversion"/>
  </si>
  <si>
    <t>1Q16</t>
    <phoneticPr fontId="31" type="noConversion"/>
  </si>
  <si>
    <t>* Assuming the exchange Rate (CNY/UDS) of 6.700</t>
    <phoneticPr fontId="31" type="noConversion"/>
  </si>
  <si>
    <t>CTRP</t>
    <phoneticPr fontId="31" type="noConversion"/>
  </si>
  <si>
    <t>EXPE</t>
    <phoneticPr fontId="31" type="noConversion"/>
  </si>
  <si>
    <t>QUNR</t>
    <phoneticPr fontId="31" type="noConversion"/>
  </si>
  <si>
    <t>Annual Revenue</t>
    <phoneticPr fontId="31" type="noConversion"/>
  </si>
  <si>
    <t>RMB</t>
    <phoneticPr fontId="31" type="noConversion"/>
  </si>
  <si>
    <t>USD</t>
    <phoneticPr fontId="31" type="noConversion"/>
  </si>
  <si>
    <t xml:space="preserve"> </t>
    <phoneticPr fontId="31" type="noConversion"/>
  </si>
  <si>
    <t>2016Q2</t>
  </si>
  <si>
    <t>2016Q2</t>
    <phoneticPr fontId="11" type="noConversion"/>
  </si>
  <si>
    <t>2016Q1</t>
    <phoneticPr fontId="11" type="noConversion"/>
  </si>
  <si>
    <t># of employees QoQ growth rate</t>
    <phoneticPr fontId="11" type="noConversion"/>
  </si>
  <si>
    <t>2016Q4</t>
  </si>
  <si>
    <t>2015Q1</t>
    <phoneticPr fontId="11" type="noConversion"/>
  </si>
  <si>
    <t>2015Q1</t>
    <phoneticPr fontId="11" type="noConversion"/>
  </si>
  <si>
    <t>PCLN Gross booking value</t>
    <phoneticPr fontId="11" type="noConversion"/>
  </si>
  <si>
    <t>PCLN Gross booking value YoY Growth on a constant currency basis</t>
    <phoneticPr fontId="11" type="noConversion"/>
  </si>
  <si>
    <t>EXPE Gross booking value</t>
    <phoneticPr fontId="11" type="noConversion"/>
  </si>
  <si>
    <t>EXPE Gross booking value YoY Growth on a constant currency basis</t>
    <phoneticPr fontId="11" type="noConversion"/>
  </si>
  <si>
    <t>PCLN Gross booking value YoY Growth on a non-constant currency basis</t>
    <phoneticPr fontId="11" type="noConversion"/>
  </si>
  <si>
    <t>Adjusted EBITDA</t>
    <phoneticPr fontId="11" type="noConversion"/>
  </si>
  <si>
    <t>Adjusted EBIT</t>
    <phoneticPr fontId="11" type="noConversion"/>
  </si>
  <si>
    <t>Total revenues on a non-constant currency basis</t>
    <phoneticPr fontId="11" type="noConversion"/>
  </si>
  <si>
    <t>PCLN</t>
    <phoneticPr fontId="11" type="noConversion"/>
  </si>
  <si>
    <t>excl. eLong</t>
    <phoneticPr fontId="11" type="noConversion"/>
  </si>
  <si>
    <t>2016Q3</t>
  </si>
  <si>
    <r>
      <t xml:space="preserve">Cash Flow </t>
    </r>
    <r>
      <rPr>
        <b/>
        <sz val="9"/>
        <rFont val="宋体"/>
        <family val="3"/>
        <charset val="134"/>
      </rPr>
      <t>（</t>
    </r>
    <r>
      <rPr>
        <b/>
        <sz val="9"/>
        <rFont val="arial"/>
        <family val="2"/>
      </rPr>
      <t>3 months)</t>
    </r>
    <phoneticPr fontId="11" type="noConversion"/>
  </si>
  <si>
    <r>
      <t>1</t>
    </r>
    <r>
      <rPr>
        <sz val="12"/>
        <rFont val="宋体"/>
        <family val="3"/>
        <charset val="134"/>
      </rPr>
      <t>Q16</t>
    </r>
    <phoneticPr fontId="11" type="noConversion"/>
  </si>
  <si>
    <r>
      <t>2</t>
    </r>
    <r>
      <rPr>
        <sz val="12"/>
        <rFont val="宋体"/>
        <family val="3"/>
        <charset val="134"/>
      </rPr>
      <t>Q16</t>
    </r>
    <phoneticPr fontId="11" type="noConversion"/>
  </si>
  <si>
    <r>
      <t>3</t>
    </r>
    <r>
      <rPr>
        <sz val="12"/>
        <rFont val="宋体"/>
        <family val="3"/>
        <charset val="134"/>
      </rPr>
      <t>Q16</t>
    </r>
    <phoneticPr fontId="11" type="noConversion"/>
  </si>
  <si>
    <r>
      <t>4</t>
    </r>
    <r>
      <rPr>
        <sz val="12"/>
        <rFont val="宋体"/>
        <family val="3"/>
        <charset val="134"/>
      </rPr>
      <t>Q16</t>
    </r>
    <phoneticPr fontId="11" type="noConversion"/>
  </si>
  <si>
    <r>
      <t>A</t>
    </r>
    <r>
      <rPr>
        <sz val="12"/>
        <rFont val="宋体"/>
        <family val="3"/>
        <charset val="134"/>
      </rPr>
      <t>gency</t>
    </r>
    <phoneticPr fontId="11" type="noConversion"/>
  </si>
  <si>
    <r>
      <t>M</t>
    </r>
    <r>
      <rPr>
        <sz val="12"/>
        <rFont val="宋体"/>
        <family val="3"/>
        <charset val="134"/>
      </rPr>
      <t>erchant</t>
    </r>
    <phoneticPr fontId="11" type="noConversion"/>
  </si>
  <si>
    <r>
      <t>T</t>
    </r>
    <r>
      <rPr>
        <sz val="12"/>
        <rFont val="宋体"/>
        <family val="3"/>
        <charset val="134"/>
      </rPr>
      <t>otal</t>
    </r>
    <phoneticPr fontId="11" type="noConversion"/>
  </si>
  <si>
    <t>Full Year</t>
    <phoneticPr fontId="11" type="noConversion"/>
  </si>
  <si>
    <t>2017Q1</t>
  </si>
  <si>
    <t>2017Q1</t>
    <phoneticPr fontId="11" type="noConversion"/>
  </si>
  <si>
    <t>2017Q2</t>
  </si>
  <si>
    <t>2017Q3</t>
  </si>
  <si>
    <t>2017Q4</t>
  </si>
  <si>
    <t>2016Q4</t>
    <phoneticPr fontId="11" type="noConversion"/>
  </si>
  <si>
    <t>Trip Advisor</t>
    <phoneticPr fontId="11" type="noConversion"/>
  </si>
  <si>
    <t>2017Q1</t>
    <phoneticPr fontId="11" type="noConversion"/>
  </si>
  <si>
    <t>2017Q4</t>
    <phoneticPr fontId="11" type="noConversion"/>
  </si>
  <si>
    <t>EPS Growth Rate(Diluted)</t>
    <phoneticPr fontId="11" type="noConversion"/>
  </si>
  <si>
    <t>Adjusted EBITDA margin</t>
    <phoneticPr fontId="11" type="noConversion"/>
  </si>
  <si>
    <t>EXPE</t>
    <phoneticPr fontId="11" type="noConversion"/>
  </si>
  <si>
    <t>CTRP</t>
    <phoneticPr fontId="11" type="noConversion"/>
  </si>
  <si>
    <t>CTRP Gross booking value</t>
    <phoneticPr fontId="11" type="noConversion"/>
  </si>
  <si>
    <t>EXPE Gross booking value YoY Growth on a non-constant currency basis</t>
    <phoneticPr fontId="11" type="noConversion"/>
  </si>
  <si>
    <t>CTRP Gross booking value YoY Growth on a non-constant currency basis</t>
    <phoneticPr fontId="11" type="noConversion"/>
  </si>
  <si>
    <t xml:space="preserve">CTRP's GMV as a pencentage of PCLN's </t>
    <phoneticPr fontId="11" type="noConversion"/>
  </si>
  <si>
    <t xml:space="preserve">CTRP's GMV as a pencentage of EXPE's </t>
    <phoneticPr fontId="11" type="noConversion"/>
  </si>
  <si>
    <t>Net Revenue</t>
  </si>
  <si>
    <t>15Q1</t>
  </si>
  <si>
    <t>15Q2</t>
  </si>
  <si>
    <t>15Q3</t>
  </si>
  <si>
    <t>15Q4</t>
  </si>
  <si>
    <t>16Q1</t>
  </si>
  <si>
    <t>16Q2</t>
  </si>
  <si>
    <t>16Q3</t>
  </si>
  <si>
    <t>16Q4</t>
  </si>
  <si>
    <t>Ctrip as % of Priceline</t>
    <phoneticPr fontId="74" type="noConversion"/>
  </si>
  <si>
    <t>Ctrip as % of Expedia</t>
    <phoneticPr fontId="74" type="noConversion"/>
  </si>
  <si>
    <t>Non-GAAP OPM</t>
    <phoneticPr fontId="74" type="noConversion"/>
  </si>
  <si>
    <t>Priceline - Ctrip</t>
    <phoneticPr fontId="74" type="noConversion"/>
  </si>
  <si>
    <t>Expedia - Ctrip</t>
    <phoneticPr fontId="74" type="noConversion"/>
  </si>
  <si>
    <t>Roomnights</t>
    <phoneticPr fontId="74" type="noConversion"/>
  </si>
  <si>
    <t>17Q1</t>
  </si>
  <si>
    <t>17Q2</t>
  </si>
  <si>
    <t>17Q3</t>
  </si>
  <si>
    <t>17Q4</t>
  </si>
  <si>
    <t>20%-25%</t>
  </si>
  <si>
    <t>17%-22%</t>
  </si>
  <si>
    <t>19%-24%</t>
  </si>
  <si>
    <t>毛利润同比增长</t>
  </si>
  <si>
    <t>9.5%-14.5%</t>
  </si>
  <si>
    <t>毛利润同比增长（以当地货币计算）</t>
  </si>
  <si>
    <t>11%-16%</t>
  </si>
  <si>
    <t>稀释后每股净利润</t>
  </si>
  <si>
    <t>非公认会计准则稀释后每股净利润</t>
  </si>
  <si>
    <t>Priceline预期</t>
  </si>
  <si>
    <t>实际业绩</t>
    <phoneticPr fontId="11" type="noConversion"/>
  </si>
  <si>
    <r>
      <t>B</t>
    </r>
    <r>
      <rPr>
        <sz val="12"/>
        <rFont val="宋体"/>
        <family val="3"/>
        <charset val="134"/>
      </rPr>
      <t>loomberg Consensus</t>
    </r>
    <phoneticPr fontId="11" type="noConversion"/>
  </si>
  <si>
    <t>间夜量同比增长</t>
    <phoneticPr fontId="11" type="noConversion"/>
  </si>
  <si>
    <t>总交易额同比增长</t>
    <phoneticPr fontId="11" type="noConversion"/>
  </si>
  <si>
    <t>总交易额（以当地货币计算）同比增长</t>
    <phoneticPr fontId="11" type="noConversion"/>
  </si>
  <si>
    <t>调整后息税折旧摊销前利润</t>
    <phoneticPr fontId="11" type="noConversion"/>
  </si>
  <si>
    <t>6.3亿美元</t>
    <phoneticPr fontId="11" type="noConversion"/>
  </si>
  <si>
    <t>$7.5-$7.9</t>
    <phoneticPr fontId="11" type="noConversion"/>
  </si>
  <si>
    <r>
      <t>$5.5亿-</t>
    </r>
    <r>
      <rPr>
        <sz val="12"/>
        <rFont val="宋体"/>
        <family val="3"/>
        <charset val="134"/>
      </rPr>
      <t>$</t>
    </r>
    <r>
      <rPr>
        <sz val="12"/>
        <rFont val="宋体"/>
        <family val="3"/>
        <charset val="134"/>
      </rPr>
      <t>5.8亿</t>
    </r>
    <phoneticPr fontId="11" type="noConversion"/>
  </si>
  <si>
    <r>
      <t>$8.25-</t>
    </r>
    <r>
      <rPr>
        <sz val="12"/>
        <rFont val="宋体"/>
        <family val="3"/>
        <charset val="134"/>
      </rPr>
      <t>$</t>
    </r>
    <r>
      <rPr>
        <sz val="12"/>
        <rFont val="宋体"/>
        <family val="3"/>
        <charset val="134"/>
      </rPr>
      <t>5.65</t>
    </r>
    <phoneticPr fontId="11" type="noConversion"/>
  </si>
  <si>
    <t>T1 Consensus</t>
    <phoneticPr fontId="11" type="noConversion"/>
  </si>
  <si>
    <t>2015Q1</t>
    <phoneticPr fontId="11" type="noConversion"/>
  </si>
  <si>
    <t>2014Q2</t>
  </si>
  <si>
    <t>2014Q3</t>
  </si>
  <si>
    <t>2014Q4</t>
  </si>
  <si>
    <t>2014Q1</t>
    <phoneticPr fontId="11" type="noConversion"/>
  </si>
  <si>
    <t>Adjusted EBITDA margin</t>
    <phoneticPr fontId="11" type="noConversion"/>
  </si>
  <si>
    <t>Adjusted EBITDA</t>
    <phoneticPr fontId="11" type="noConversion"/>
  </si>
  <si>
    <t xml:space="preserve">     TripAdvisor-branded click-based and transaction</t>
    <phoneticPr fontId="11" type="noConversion"/>
  </si>
  <si>
    <t xml:space="preserve">     TripAdvisor-branded display based advertising and subscription</t>
    <phoneticPr fontId="11" type="noConversion"/>
  </si>
  <si>
    <t xml:space="preserve">     Other hotel revenue</t>
    <phoneticPr fontId="11" type="noConversion"/>
  </si>
  <si>
    <t xml:space="preserve">  Hotel Segment Revenue</t>
    <phoneticPr fontId="11" type="noConversion"/>
  </si>
  <si>
    <t xml:space="preserve">  Non-Hotel Segment Revenue</t>
    <phoneticPr fontId="11" type="noConversion"/>
  </si>
  <si>
    <t>Average Monthly Unique Visitors (mn)</t>
    <phoneticPr fontId="11" type="noConversion"/>
  </si>
  <si>
    <t>Average Monthly Unique Hotel Shoppers (mn)</t>
    <phoneticPr fontId="11" type="noConversion"/>
  </si>
  <si>
    <t>YoY Growth %</t>
    <phoneticPr fontId="11" type="noConversion"/>
  </si>
  <si>
    <t>MMYT</t>
  </si>
  <si>
    <t xml:space="preserve"> Share-based compensation</t>
    <phoneticPr fontId="11" type="noConversion"/>
  </si>
  <si>
    <t>Income (loss) from Operations (GAAP)</t>
    <phoneticPr fontId="11" type="noConversion"/>
  </si>
  <si>
    <t>Adjusted EBITDA margin</t>
    <phoneticPr fontId="11" type="noConversion"/>
  </si>
  <si>
    <t>Adjusted EBITDA</t>
    <phoneticPr fontId="11" type="noConversion"/>
  </si>
  <si>
    <t xml:space="preserve">  Depreciation, amortization and impairment</t>
    <phoneticPr fontId="11" type="noConversion"/>
  </si>
  <si>
    <t>Net income (GAAP)</t>
    <phoneticPr fontId="11" type="noConversion"/>
  </si>
  <si>
    <t xml:space="preserve">  - Basic</t>
    <phoneticPr fontId="11" type="noConversion"/>
  </si>
  <si>
    <t xml:space="preserve">Total liabilities and shareholders' equity   </t>
    <phoneticPr fontId="11" type="noConversion"/>
  </si>
  <si>
    <t>Cash, Restricted cash and short-term investment</t>
    <phoneticPr fontId="11" type="noConversion"/>
  </si>
  <si>
    <t>%  share of domestic air market</t>
    <phoneticPr fontId="11" type="noConversion"/>
  </si>
  <si>
    <t>%  share of OTA market</t>
    <phoneticPr fontId="11" type="noConversion"/>
  </si>
  <si>
    <t>%  share of domestic hotel transactions booked via OTAs</t>
    <phoneticPr fontId="11" type="noConversion"/>
  </si>
  <si>
    <t>%  share of outbound air market</t>
    <phoneticPr fontId="11" type="noConversion"/>
  </si>
  <si>
    <t>% share of domestic hotel market(offline+online)</t>
    <phoneticPr fontId="11" type="noConversion"/>
  </si>
  <si>
    <t>in millions</t>
    <phoneticPr fontId="11" type="noConversion"/>
  </si>
  <si>
    <t>15Q4</t>
    <phoneticPr fontId="11" type="noConversion"/>
  </si>
  <si>
    <t>14Q4</t>
    <phoneticPr fontId="11" type="noConversion"/>
  </si>
  <si>
    <t>Adjusted EBITDA margin</t>
    <phoneticPr fontId="11" type="noConversion"/>
  </si>
  <si>
    <t>17Q1</t>
    <phoneticPr fontId="11" type="noConversion"/>
  </si>
  <si>
    <t>14Q1</t>
    <phoneticPr fontId="11" type="noConversion"/>
  </si>
  <si>
    <t>14Q2</t>
    <phoneticPr fontId="11" type="noConversion"/>
  </si>
  <si>
    <t>14Q3</t>
    <phoneticPr fontId="11" type="noConversion"/>
  </si>
  <si>
    <t>15Q1</t>
    <phoneticPr fontId="11" type="noConversion"/>
  </si>
  <si>
    <t>15Q2</t>
    <phoneticPr fontId="11" type="noConversion"/>
  </si>
  <si>
    <t>15Q3</t>
    <phoneticPr fontId="11" type="noConversion"/>
  </si>
  <si>
    <t>16Q1</t>
    <phoneticPr fontId="11" type="noConversion"/>
  </si>
  <si>
    <r>
      <t>16Q2</t>
    </r>
    <r>
      <rPr>
        <sz val="11"/>
        <color theme="1"/>
        <rFont val="宋体"/>
        <family val="2"/>
        <charset val="134"/>
        <scheme val="minor"/>
      </rPr>
      <t/>
    </r>
  </si>
  <si>
    <r>
      <t>16Q3</t>
    </r>
    <r>
      <rPr>
        <sz val="11"/>
        <color theme="1"/>
        <rFont val="宋体"/>
        <family val="2"/>
        <charset val="134"/>
        <scheme val="minor"/>
      </rPr>
      <t/>
    </r>
  </si>
  <si>
    <r>
      <t>16Q4</t>
    </r>
    <r>
      <rPr>
        <sz val="11"/>
        <color theme="1"/>
        <rFont val="宋体"/>
        <family val="2"/>
        <charset val="134"/>
        <scheme val="minor"/>
      </rPr>
      <t/>
    </r>
  </si>
  <si>
    <t>Gross booking</t>
    <phoneticPr fontId="11" type="noConversion"/>
  </si>
  <si>
    <t>Revenue</t>
    <phoneticPr fontId="11" type="noConversion"/>
  </si>
  <si>
    <t>17Q2</t>
    <phoneticPr fontId="11" type="noConversion"/>
  </si>
  <si>
    <t xml:space="preserve"> YoY growth rate</t>
    <phoneticPr fontId="11" type="noConversion"/>
  </si>
  <si>
    <t>Company Data</t>
    <phoneticPr fontId="11" type="noConversion"/>
  </si>
  <si>
    <t>14Q2</t>
  </si>
  <si>
    <t>14Q3</t>
  </si>
  <si>
    <t>14Q4</t>
  </si>
  <si>
    <t>Q1-15</t>
    <phoneticPr fontId="11" type="noConversion"/>
  </si>
  <si>
    <t>Q2-15</t>
    <phoneticPr fontId="11" type="noConversion"/>
  </si>
  <si>
    <t>Q3-15</t>
    <phoneticPr fontId="11" type="noConversion"/>
  </si>
  <si>
    <t>Q4-15</t>
    <phoneticPr fontId="11" type="noConversion"/>
  </si>
  <si>
    <t>Q1-16</t>
    <phoneticPr fontId="11" type="noConversion"/>
  </si>
  <si>
    <t>Q2-16</t>
    <phoneticPr fontId="11" type="noConversion"/>
  </si>
  <si>
    <t>Q3-16</t>
    <phoneticPr fontId="11" type="noConversion"/>
  </si>
  <si>
    <t>Q4-16</t>
    <phoneticPr fontId="11" type="noConversion"/>
  </si>
  <si>
    <t>Q1-17</t>
    <phoneticPr fontId="11" type="noConversion"/>
  </si>
  <si>
    <t>Q3-17</t>
    <phoneticPr fontId="11" type="noConversion"/>
  </si>
  <si>
    <t>Q4-17</t>
    <phoneticPr fontId="11" type="noConversion"/>
  </si>
  <si>
    <r>
      <t xml:space="preserve">  </t>
    </r>
    <r>
      <rPr>
        <b/>
        <i/>
        <sz val="10"/>
        <rFont val="Arial"/>
        <family val="2"/>
      </rPr>
      <t>YoY change</t>
    </r>
    <phoneticPr fontId="11" type="noConversion"/>
  </si>
  <si>
    <t xml:space="preserve">  General and administrative</t>
    <phoneticPr fontId="11" type="noConversion"/>
  </si>
  <si>
    <t xml:space="preserve">  Technology and content</t>
    <phoneticPr fontId="11" type="noConversion"/>
  </si>
  <si>
    <t xml:space="preserve">  Selling and marketing expenses</t>
    <phoneticPr fontId="11" type="noConversion"/>
  </si>
  <si>
    <t xml:space="preserve">  Marketing and sales promotion expenses as % of GMV</t>
    <phoneticPr fontId="11" type="noConversion"/>
  </si>
  <si>
    <t>Revenue</t>
    <phoneticPr fontId="11" type="noConversion"/>
  </si>
  <si>
    <t>Cost of revenue</t>
    <phoneticPr fontId="11" type="noConversion"/>
  </si>
  <si>
    <t>Q2-17</t>
    <phoneticPr fontId="11" type="noConversion"/>
  </si>
  <si>
    <t xml:space="preserve">  Share-based compensation</t>
    <phoneticPr fontId="11" type="noConversion"/>
  </si>
  <si>
    <t>Gross margin</t>
    <phoneticPr fontId="11" type="noConversion"/>
  </si>
  <si>
    <t>Cost of revenue YoY growth rate</t>
    <phoneticPr fontId="11" type="noConversion"/>
  </si>
  <si>
    <r>
      <t xml:space="preserve">  </t>
    </r>
    <r>
      <rPr>
        <b/>
        <i/>
        <sz val="10"/>
        <rFont val="Arial"/>
        <family val="2"/>
      </rPr>
      <t>YoY change</t>
    </r>
    <phoneticPr fontId="11" type="noConversion"/>
  </si>
  <si>
    <r>
      <t xml:space="preserve">  </t>
    </r>
    <r>
      <rPr>
        <sz val="10"/>
        <rFont val="Arial"/>
        <family val="2"/>
      </rPr>
      <t>Air</t>
    </r>
    <phoneticPr fontId="11" type="noConversion"/>
  </si>
  <si>
    <r>
      <t xml:space="preserve">  </t>
    </r>
    <r>
      <rPr>
        <sz val="10"/>
        <rFont val="Arial"/>
        <family val="2"/>
      </rPr>
      <t>Packages, hotels, and other travel products</t>
    </r>
    <phoneticPr fontId="11" type="noConversion"/>
  </si>
  <si>
    <t>Unallocated corporate expenses</t>
    <phoneticPr fontId="11" type="noConversion"/>
  </si>
  <si>
    <r>
      <t>Cash Flow</t>
    </r>
    <r>
      <rPr>
        <b/>
        <sz val="10"/>
        <rFont val="宋体"/>
        <family val="3"/>
        <charset val="134"/>
      </rPr>
      <t/>
    </r>
    <phoneticPr fontId="11" type="noConversion"/>
  </si>
  <si>
    <r>
      <t>OP Margin</t>
    </r>
    <r>
      <rPr>
        <b/>
        <sz val="10"/>
        <rFont val="Arial"/>
        <family val="2"/>
      </rPr>
      <t xml:space="preserve">  GAAP (OP/revenue)</t>
    </r>
    <phoneticPr fontId="11" type="noConversion"/>
  </si>
  <si>
    <t>Net profit margin GAAP  (/revenue)</t>
    <phoneticPr fontId="11" type="noConversion"/>
  </si>
  <si>
    <t>Gross profit margin</t>
    <phoneticPr fontId="11" type="noConversion"/>
  </si>
  <si>
    <t>Shares used in computing earnings per share-Diluted (thousands)</t>
    <phoneticPr fontId="11" type="noConversion"/>
  </si>
  <si>
    <t>Net profit margin GAAP  (/ Revenue)</t>
    <phoneticPr fontId="11" type="noConversion"/>
  </si>
  <si>
    <t>-</t>
    <phoneticPr fontId="11" type="noConversion"/>
  </si>
  <si>
    <t>-</t>
    <phoneticPr fontId="11" type="noConversion"/>
  </si>
  <si>
    <t>Operating Data</t>
    <phoneticPr fontId="11" type="noConversion"/>
  </si>
  <si>
    <t xml:space="preserve">  Brazil</t>
    <phoneticPr fontId="11" type="noConversion"/>
  </si>
  <si>
    <t xml:space="preserve">  Argentina</t>
    <phoneticPr fontId="11" type="noConversion"/>
  </si>
  <si>
    <t xml:space="preserve">  Other</t>
    <phoneticPr fontId="11" type="noConversion"/>
  </si>
  <si>
    <t>Travel market size</t>
    <phoneticPr fontId="11" type="noConversion"/>
  </si>
  <si>
    <t>Occupancy rate</t>
    <phoneticPr fontId="11" type="noConversion"/>
  </si>
  <si>
    <t>Total online travel bookings</t>
    <phoneticPr fontId="11" type="noConversion"/>
  </si>
  <si>
    <t>Company market share of online travel market</t>
    <phoneticPr fontId="11" type="noConversion"/>
  </si>
  <si>
    <t>Online penetration</t>
    <phoneticPr fontId="11" type="noConversion"/>
  </si>
  <si>
    <t>Search engine keyword share (Latin America)</t>
    <phoneticPr fontId="11" type="noConversion"/>
  </si>
  <si>
    <t xml:space="preserve">  Chile</t>
    <phoneticPr fontId="11" type="noConversion"/>
  </si>
  <si>
    <t xml:space="preserve">  Colombia</t>
    <phoneticPr fontId="11" type="noConversion"/>
  </si>
  <si>
    <t xml:space="preserve">  Mexico</t>
    <phoneticPr fontId="11" type="noConversion"/>
  </si>
  <si>
    <t>Mobile app downloads</t>
    <phoneticPr fontId="11" type="noConversion"/>
  </si>
  <si>
    <t>Mobile share of visits</t>
    <phoneticPr fontId="11" type="noConversion"/>
  </si>
  <si>
    <t>Mobile share of transactions</t>
    <phoneticPr fontId="11" type="noConversion"/>
  </si>
  <si>
    <t>Online customers</t>
    <phoneticPr fontId="11" type="noConversion"/>
  </si>
  <si>
    <t>User reviews</t>
    <phoneticPr fontId="11" type="noConversion"/>
  </si>
  <si>
    <t>% of hotel gross bookings supplied through Expedia</t>
    <phoneticPr fontId="11" type="noConversion"/>
  </si>
  <si>
    <t xml:space="preserve">    Destination services</t>
    <phoneticPr fontId="11" type="noConversion"/>
  </si>
  <si>
    <t xml:space="preserve">    Car rentals</t>
    <phoneticPr fontId="11" type="noConversion"/>
  </si>
  <si>
    <t xml:space="preserve">    Cruise tickets</t>
    <phoneticPr fontId="11" type="noConversion"/>
  </si>
  <si>
    <t xml:space="preserve">    Bus tickets</t>
    <phoneticPr fontId="11" type="noConversion"/>
  </si>
  <si>
    <t>Brazilian share of transactions</t>
    <phoneticPr fontId="11" type="noConversion"/>
  </si>
  <si>
    <t>Argentinian share of transactions</t>
    <phoneticPr fontId="11" type="noConversion"/>
  </si>
  <si>
    <t>Number of transactions by segment:</t>
    <phoneticPr fontId="11" type="noConversion"/>
  </si>
  <si>
    <t xml:space="preserve">   Air</t>
    <phoneticPr fontId="11" type="noConversion"/>
  </si>
  <si>
    <t xml:space="preserve">   Hotels and packages</t>
    <phoneticPr fontId="11" type="noConversion"/>
  </si>
  <si>
    <t>Listed airlines (ones)</t>
    <phoneticPr fontId="11" type="noConversion"/>
  </si>
  <si>
    <t>Listed car rental agencies (ones)</t>
    <phoneticPr fontId="11" type="noConversion"/>
  </si>
  <si>
    <t>Listed destination service suppliers (ones)</t>
    <phoneticPr fontId="11" type="noConversion"/>
  </si>
  <si>
    <t>Listed hotels (ones)</t>
    <phoneticPr fontId="11" type="noConversion"/>
  </si>
  <si>
    <t>Latin America Travel Industry Data</t>
    <phoneticPr fontId="11" type="noConversion"/>
  </si>
  <si>
    <t>Data from Phocuswright:</t>
    <phoneticPr fontId="11" type="noConversion"/>
  </si>
  <si>
    <t>Total travel market</t>
    <phoneticPr fontId="11" type="noConversion"/>
  </si>
  <si>
    <t>2018e</t>
    <phoneticPr fontId="11" type="noConversion"/>
  </si>
  <si>
    <t>2019e</t>
    <phoneticPr fontId="11" type="noConversion"/>
  </si>
  <si>
    <t>2020e</t>
    <phoneticPr fontId="11" type="noConversion"/>
  </si>
  <si>
    <t>Share of gross bookings by country:</t>
    <phoneticPr fontId="11" type="noConversion"/>
  </si>
  <si>
    <t xml:space="preserve">  Chile</t>
    <phoneticPr fontId="11" type="noConversion"/>
  </si>
  <si>
    <t>Online travel market</t>
    <phoneticPr fontId="11" type="noConversion"/>
  </si>
  <si>
    <t>OTA share of market</t>
    <phoneticPr fontId="11" type="noConversion"/>
  </si>
  <si>
    <t>Year</t>
    <phoneticPr fontId="11" type="noConversion"/>
  </si>
  <si>
    <r>
      <t>OP Margin</t>
    </r>
    <r>
      <rPr>
        <b/>
        <sz val="10"/>
        <rFont val="Arial"/>
        <family val="2"/>
      </rPr>
      <t xml:space="preserve"> GAAP (OP/Revenue)</t>
    </r>
    <phoneticPr fontId="11" type="noConversion"/>
  </si>
  <si>
    <t>Income (loss) from Operations (GAAP)</t>
    <phoneticPr fontId="11" type="noConversion"/>
  </si>
  <si>
    <t xml:space="preserve">  Total market YoY change</t>
    <phoneticPr fontId="11" type="noConversion"/>
  </si>
  <si>
    <t xml:space="preserve">  Online market YoY change</t>
    <phoneticPr fontId="11" type="noConversion"/>
  </si>
  <si>
    <t>Full year</t>
    <phoneticPr fontId="11" type="noConversion"/>
  </si>
  <si>
    <t>Half year</t>
    <phoneticPr fontId="11" type="noConversion"/>
  </si>
  <si>
    <t>2017e</t>
    <phoneticPr fontId="11" type="noConversion"/>
  </si>
  <si>
    <t>Total transaction volume</t>
    <phoneticPr fontId="11" type="noConversion"/>
  </si>
  <si>
    <t>Year</t>
    <phoneticPr fontId="11" type="noConversion"/>
  </si>
  <si>
    <t>Top ten hotel chains market share</t>
    <phoneticPr fontId="11" type="noConversion"/>
  </si>
  <si>
    <t>Gross booking value</t>
    <phoneticPr fontId="11" type="noConversion"/>
  </si>
  <si>
    <t>Gross booking value YoY Growth on a non-constant currency basis</t>
    <phoneticPr fontId="11" type="noConversion"/>
  </si>
  <si>
    <t>Hotels &amp; Packages gross booking value YoY Growth on a constant currency basis</t>
  </si>
  <si>
    <t>Total operating expenses (GAAP)</t>
    <phoneticPr fontId="11" type="noConversion"/>
  </si>
  <si>
    <t>Net income (GAAP)</t>
    <phoneticPr fontId="11" type="noConversion"/>
  </si>
  <si>
    <t xml:space="preserve">Effective tax rate </t>
    <phoneticPr fontId="11" type="noConversion"/>
  </si>
  <si>
    <t xml:space="preserve">  - Diluted EPS</t>
    <phoneticPr fontId="11" type="noConversion"/>
  </si>
  <si>
    <t>Balance Sheet ((in million, USD))</t>
    <phoneticPr fontId="11" type="noConversion"/>
  </si>
  <si>
    <t xml:space="preserve">Total shareholders' equity  </t>
    <phoneticPr fontId="11" type="noConversion"/>
  </si>
  <si>
    <t>Cash Flow from (used in) Investing</t>
    <phoneticPr fontId="11" type="noConversion"/>
  </si>
  <si>
    <t>ended Mar.31</t>
    <phoneticPr fontId="11" type="noConversion"/>
  </si>
  <si>
    <t>Priceline</t>
    <phoneticPr fontId="11" type="noConversion"/>
  </si>
  <si>
    <t>2015Q3</t>
    <phoneticPr fontId="11" type="noConversion"/>
  </si>
  <si>
    <t>2015Q4</t>
    <phoneticPr fontId="11" type="noConversion"/>
  </si>
  <si>
    <t>2016Q1</t>
    <phoneticPr fontId="11" type="noConversion"/>
  </si>
  <si>
    <t>2016Q2</t>
    <phoneticPr fontId="11" type="noConversion"/>
  </si>
  <si>
    <t>2017Q1</t>
    <phoneticPr fontId="11" type="noConversion"/>
  </si>
  <si>
    <t>-</t>
    <phoneticPr fontId="11" type="noConversion"/>
  </si>
  <si>
    <t>Gross booking value YoY Growth on a constant currency basis</t>
    <phoneticPr fontId="11" type="noConversion"/>
  </si>
  <si>
    <t>Revenue / Gross booking ratio</t>
    <phoneticPr fontId="11" type="noConversion"/>
  </si>
  <si>
    <t>-</t>
    <phoneticPr fontId="11" type="noConversion"/>
  </si>
  <si>
    <t>Gross profit / Gross booking ratio</t>
    <phoneticPr fontId="11" type="noConversion"/>
  </si>
  <si>
    <t>Merchant vs. Agency by</t>
    <phoneticPr fontId="11" type="noConversion"/>
  </si>
  <si>
    <t>23% vs.77%</t>
    <phoneticPr fontId="11" type="noConversion"/>
  </si>
  <si>
    <t>21% vs.79%</t>
    <phoneticPr fontId="11" type="noConversion"/>
  </si>
  <si>
    <t>19% vs. 81%</t>
    <phoneticPr fontId="11" type="noConversion"/>
  </si>
  <si>
    <t>18% vs. 82%</t>
    <phoneticPr fontId="11" type="noConversion"/>
  </si>
  <si>
    <t>17% vs. 83%</t>
    <phoneticPr fontId="11" type="noConversion"/>
  </si>
  <si>
    <t>16%vs.84%</t>
    <phoneticPr fontId="11" type="noConversion"/>
  </si>
  <si>
    <t>14%vs.86%</t>
    <phoneticPr fontId="11" type="noConversion"/>
  </si>
  <si>
    <t>13%vs.87%</t>
    <phoneticPr fontId="11" type="noConversion"/>
  </si>
  <si>
    <t>12.7%vs.87.2%</t>
    <phoneticPr fontId="11" type="noConversion"/>
  </si>
  <si>
    <t>14.6%vs.85.4%</t>
    <phoneticPr fontId="11" type="noConversion"/>
  </si>
  <si>
    <t>14.1% vs. 85.9%</t>
    <phoneticPr fontId="11" type="noConversion"/>
  </si>
  <si>
    <t>13.9% vs. 86.1%</t>
    <phoneticPr fontId="11" type="noConversion"/>
  </si>
  <si>
    <t>12.3% vs. 87.7%</t>
    <phoneticPr fontId="11" type="noConversion"/>
  </si>
  <si>
    <t>13.7% vs. 86.3%</t>
    <phoneticPr fontId="11" type="noConversion"/>
  </si>
  <si>
    <t>14.6% vs. 85.4%</t>
    <phoneticPr fontId="11" type="noConversion"/>
  </si>
  <si>
    <t>37% vs.62%</t>
    <phoneticPr fontId="11" type="noConversion"/>
  </si>
  <si>
    <t>45% vs. 55%</t>
    <phoneticPr fontId="11" type="noConversion"/>
  </si>
  <si>
    <t>19.0% vs. 74.3%</t>
    <phoneticPr fontId="11" type="noConversion"/>
  </si>
  <si>
    <t>18.3% vs. 73.8%</t>
    <phoneticPr fontId="11" type="noConversion"/>
  </si>
  <si>
    <t>16.5% vs. 77.1%</t>
    <phoneticPr fontId="11" type="noConversion"/>
  </si>
  <si>
    <t>15.4% vs. 79.5%</t>
    <phoneticPr fontId="11" type="noConversion"/>
  </si>
  <si>
    <t xml:space="preserve">   Packaged tour</t>
    <phoneticPr fontId="11" type="noConversion"/>
  </si>
  <si>
    <t xml:space="preserve">   Corporate travel</t>
    <phoneticPr fontId="11" type="noConversion"/>
  </si>
  <si>
    <t>Less: business tax and related surcharges</t>
    <phoneticPr fontId="11" type="noConversion"/>
  </si>
  <si>
    <t>Net revenues</t>
    <phoneticPr fontId="11" type="noConversion"/>
  </si>
  <si>
    <t>GP margin</t>
    <phoneticPr fontId="11" type="noConversion"/>
  </si>
  <si>
    <t>Operating expenses (GAAP)</t>
    <phoneticPr fontId="11" type="noConversion"/>
  </si>
  <si>
    <t xml:space="preserve">  Personnel (excl. SBC)</t>
    <phoneticPr fontId="11" type="noConversion"/>
  </si>
  <si>
    <t xml:space="preserve">  Impairment</t>
    <phoneticPr fontId="11" type="noConversion"/>
  </si>
  <si>
    <t xml:space="preserve">   Share-based compensation</t>
    <phoneticPr fontId="11" type="noConversion"/>
  </si>
  <si>
    <t>Income (loss) from Operations (non-GAAP)</t>
    <phoneticPr fontId="11" type="noConversion"/>
  </si>
  <si>
    <t>Adjusted EBIT margin</t>
    <phoneticPr fontId="11" type="noConversion"/>
  </si>
  <si>
    <t>Interest (expense)</t>
    <phoneticPr fontId="11" type="noConversion"/>
  </si>
  <si>
    <t>Income tax (expense) benefit</t>
    <phoneticPr fontId="11" type="noConversion"/>
  </si>
  <si>
    <t>Income from continuing operations</t>
    <phoneticPr fontId="11" type="noConversion"/>
  </si>
  <si>
    <t>Discontinued operations, net of taxes</t>
    <phoneticPr fontId="11" type="noConversion"/>
  </si>
  <si>
    <t>Net income (GAAP)</t>
    <phoneticPr fontId="11" type="noConversion"/>
  </si>
  <si>
    <t xml:space="preserve">Effective tax rate </t>
    <phoneticPr fontId="11" type="noConversion"/>
  </si>
  <si>
    <t>Normal tax rate</t>
    <phoneticPr fontId="11" type="noConversion"/>
  </si>
  <si>
    <t>Shares used in computing earnings per share-Diluted</t>
    <phoneticPr fontId="11" type="noConversion"/>
  </si>
  <si>
    <t>EPS Growth Rate(Basic)</t>
    <phoneticPr fontId="11" type="noConversion"/>
  </si>
  <si>
    <t>eLong</t>
    <phoneticPr fontId="11" type="noConversion"/>
  </si>
  <si>
    <t xml:space="preserve">   Product development</t>
    <phoneticPr fontId="11" type="noConversion"/>
  </si>
  <si>
    <t xml:space="preserve">   SBC %</t>
    <phoneticPr fontId="11" type="noConversion"/>
  </si>
  <si>
    <t xml:space="preserve">   CAPEX %</t>
    <phoneticPr fontId="11" type="noConversion"/>
  </si>
  <si>
    <t>eLong</t>
    <phoneticPr fontId="11" type="noConversion"/>
  </si>
  <si>
    <t>MakeMyTrip</t>
    <phoneticPr fontId="11" type="noConversion"/>
  </si>
  <si>
    <t>2016Q2</t>
    <phoneticPr fontId="11" type="noConversion"/>
  </si>
  <si>
    <t>2016Q3</t>
    <phoneticPr fontId="11" type="noConversion"/>
  </si>
  <si>
    <t>2017Q1</t>
    <phoneticPr fontId="11" type="noConversion"/>
  </si>
  <si>
    <t>Cash, Restricated cash and short-term investment</t>
    <phoneticPr fontId="11" type="noConversion"/>
  </si>
  <si>
    <t>Prepayments and other current assets</t>
    <phoneticPr fontId="11" type="noConversion"/>
  </si>
  <si>
    <t>Total assets</t>
    <phoneticPr fontId="11" type="noConversion"/>
  </si>
  <si>
    <t>Cash Flow(YTD)</t>
    <phoneticPr fontId="11" type="noConversion"/>
  </si>
  <si>
    <t xml:space="preserve">CAPEX (Purchase of property, equipment and software) </t>
    <phoneticPr fontId="11" type="noConversion"/>
  </si>
  <si>
    <t xml:space="preserve">CAPEX (Purchase of property, equipment and software) </t>
    <phoneticPr fontId="11" type="noConversion"/>
  </si>
  <si>
    <t>In local currency</t>
    <phoneticPr fontId="11" type="noConversion"/>
  </si>
  <si>
    <t>2017Q3</t>
    <phoneticPr fontId="11" type="noConversion"/>
  </si>
  <si>
    <t># of registered users</t>
    <phoneticPr fontId="11" type="noConversion"/>
  </si>
  <si>
    <t xml:space="preserve">  YoY Growth</t>
    <phoneticPr fontId="11" type="noConversion"/>
  </si>
  <si>
    <t>Hotel reviews</t>
    <phoneticPr fontId="11" type="noConversion"/>
  </si>
  <si>
    <t>exc. eLong</t>
    <phoneticPr fontId="11" type="noConversion"/>
  </si>
  <si>
    <t>MakeMyTrip</t>
    <phoneticPr fontId="11" type="noConversion"/>
  </si>
  <si>
    <t>2016Q4</t>
    <phoneticPr fontId="11" type="noConversion"/>
  </si>
  <si>
    <t>46% vs. 54%</t>
    <phoneticPr fontId="11" type="noConversion"/>
  </si>
  <si>
    <t>Revenues:</t>
    <phoneticPr fontId="11" type="noConversion"/>
  </si>
  <si>
    <t xml:space="preserve">   Hotel reservation</t>
    <phoneticPr fontId="11" type="noConversion"/>
  </si>
  <si>
    <t xml:space="preserve">   Homeaway</t>
    <phoneticPr fontId="11" type="noConversion"/>
  </si>
  <si>
    <t xml:space="preserve">   General and administrative (&amp; Persneelfor PCLN)</t>
    <phoneticPr fontId="11" type="noConversion"/>
  </si>
  <si>
    <t>Preferred stock dividend</t>
    <phoneticPr fontId="11" type="noConversion"/>
  </si>
  <si>
    <t>Accretion on preferred stock</t>
    <phoneticPr fontId="11" type="noConversion"/>
  </si>
  <si>
    <t>Net income (non-GAAP)</t>
    <phoneticPr fontId="11" type="noConversion"/>
  </si>
  <si>
    <t>Earning per ADS</t>
    <phoneticPr fontId="11" type="noConversion"/>
  </si>
  <si>
    <t xml:space="preserve">  - Diluted EPS</t>
    <phoneticPr fontId="11" type="noConversion"/>
  </si>
  <si>
    <t>EPS Growth Rate(Basic)</t>
    <phoneticPr fontId="11" type="noConversion"/>
  </si>
  <si>
    <t xml:space="preserve">   CAPEX %</t>
    <phoneticPr fontId="11" type="noConversion"/>
  </si>
  <si>
    <t>2014 E</t>
    <phoneticPr fontId="11" type="noConversion"/>
  </si>
  <si>
    <t>Short term debt</t>
    <phoneticPr fontId="11" type="noConversion"/>
  </si>
  <si>
    <t>(in million USD)</t>
    <phoneticPr fontId="11" type="noConversion"/>
  </si>
  <si>
    <t>Cash Flow(YTD)</t>
    <phoneticPr fontId="11" type="noConversion"/>
  </si>
  <si>
    <t>Room Nights YoY growth</t>
    <phoneticPr fontId="11" type="noConversion"/>
  </si>
  <si>
    <t>Room Nights YoY growth incl. HomeAway</t>
    <phoneticPr fontId="11" type="noConversion"/>
  </si>
  <si>
    <t>Organic Room nights YoY Growth</t>
    <phoneticPr fontId="11" type="noConversion"/>
  </si>
  <si>
    <t>AR Days</t>
    <phoneticPr fontId="11" type="noConversion"/>
  </si>
  <si>
    <t>Expedia</t>
    <phoneticPr fontId="11" type="noConversion"/>
  </si>
  <si>
    <t xml:space="preserve">Stock </t>
    <phoneticPr fontId="11" type="noConversion"/>
  </si>
  <si>
    <t>2015Q2</t>
    <phoneticPr fontId="11" type="noConversion"/>
  </si>
  <si>
    <t>2016Q4</t>
    <phoneticPr fontId="11" type="noConversion"/>
  </si>
  <si>
    <t>PE-Diluted</t>
    <phoneticPr fontId="11" type="noConversion"/>
  </si>
  <si>
    <t>N/A</t>
    <phoneticPr fontId="11" type="noConversion"/>
  </si>
  <si>
    <t>PEG-Diluted</t>
    <phoneticPr fontId="11" type="noConversion"/>
  </si>
  <si>
    <t>PE-Basic</t>
    <phoneticPr fontId="11" type="noConversion"/>
  </si>
  <si>
    <t>PEG-Basic</t>
    <phoneticPr fontId="11" type="noConversion"/>
  </si>
  <si>
    <t>Expedia</t>
    <phoneticPr fontId="11" type="noConversion"/>
  </si>
  <si>
    <t>(in local currency)</t>
    <phoneticPr fontId="11" type="noConversion"/>
  </si>
  <si>
    <t>USD</t>
    <phoneticPr fontId="11" type="noConversion"/>
  </si>
  <si>
    <t>Mart cap (in mil, US$, Price*outstanding shares)</t>
    <phoneticPr fontId="11" type="noConversion"/>
  </si>
  <si>
    <t>Enterprise Value (EV)</t>
    <phoneticPr fontId="11" type="noConversion"/>
  </si>
  <si>
    <t>EV/Revenues</t>
    <phoneticPr fontId="11" type="noConversion"/>
  </si>
  <si>
    <t>EV/OP</t>
    <phoneticPr fontId="11" type="noConversion"/>
  </si>
  <si>
    <t>Market Cap/Revenue</t>
    <phoneticPr fontId="11" type="noConversion"/>
  </si>
  <si>
    <t>Makret Cap/OP</t>
    <phoneticPr fontId="11" type="noConversion"/>
  </si>
  <si>
    <t>MMYT:</t>
    <phoneticPr fontId="11" type="noConversion"/>
  </si>
  <si>
    <t>Current Trading Outstanding Shares</t>
    <phoneticPr fontId="11" type="noConversion"/>
  </si>
  <si>
    <t>Stock price</t>
    <phoneticPr fontId="11" type="noConversion"/>
  </si>
  <si>
    <t>52-Week Low</t>
    <phoneticPr fontId="11" type="noConversion"/>
  </si>
  <si>
    <t>16;06</t>
    <phoneticPr fontId="11" type="noConversion"/>
  </si>
  <si>
    <t>Cost of services includes: hotel&amp;package purcument cost, air coupon cost</t>
    <phoneticPr fontId="11" type="noConversion"/>
  </si>
  <si>
    <t>2018Q4</t>
    <phoneticPr fontId="11" type="noConversion"/>
  </si>
  <si>
    <t>EXPE Gross booking value</t>
    <phoneticPr fontId="11" type="noConversion"/>
  </si>
  <si>
    <t>EXPE Revenue YoY Growth on a constant currency basis</t>
    <phoneticPr fontId="11" type="noConversion"/>
  </si>
  <si>
    <t>EXPE Non-GAAP OPM</t>
    <phoneticPr fontId="11" type="noConversion"/>
  </si>
  <si>
    <t>EXPE non-GAAP S&amp;M expenses as % of revenue</t>
    <phoneticPr fontId="11" type="noConversion"/>
  </si>
  <si>
    <t>16.5% vs. 83.5%</t>
    <phoneticPr fontId="11" type="noConversion"/>
  </si>
  <si>
    <t>14.2% vs. 85.8%</t>
    <phoneticPr fontId="11" type="noConversion"/>
  </si>
  <si>
    <t>40% va. 60%</t>
    <phoneticPr fontId="11" type="noConversion"/>
  </si>
  <si>
    <t>32% va. 68%</t>
    <phoneticPr fontId="11" type="noConversion"/>
  </si>
  <si>
    <t>26%vs.69%</t>
    <phoneticPr fontId="11" type="noConversion"/>
  </si>
  <si>
    <t>26%vs.74%</t>
    <phoneticPr fontId="11" type="noConversion"/>
  </si>
  <si>
    <t>20%vs.80%</t>
    <phoneticPr fontId="11" type="noConversion"/>
  </si>
  <si>
    <t>24%vs.76%</t>
    <phoneticPr fontId="11" type="noConversion"/>
  </si>
  <si>
    <t>23%vs.71%</t>
    <phoneticPr fontId="11" type="noConversion"/>
  </si>
  <si>
    <t>21.9%vs.79.1%</t>
    <phoneticPr fontId="11" type="noConversion"/>
  </si>
  <si>
    <t>20.2%vs.72.5%</t>
    <phoneticPr fontId="11" type="noConversion"/>
  </si>
  <si>
    <t>16.8%vs.78.4%</t>
    <phoneticPr fontId="11" type="noConversion"/>
  </si>
  <si>
    <t>18.7% vs. 74.0%</t>
    <phoneticPr fontId="11" type="noConversion"/>
  </si>
  <si>
    <t>18.1% vs. 73.9%</t>
    <phoneticPr fontId="11" type="noConversion"/>
  </si>
  <si>
    <t>16.8% vs. 76.6%</t>
    <phoneticPr fontId="11" type="noConversion"/>
  </si>
  <si>
    <t>Adjusted EBIT</t>
    <phoneticPr fontId="11" type="noConversion"/>
  </si>
  <si>
    <t>Adjusted EBIT margin</t>
    <phoneticPr fontId="11" type="noConversion"/>
  </si>
  <si>
    <t>Other income (expense)</t>
    <phoneticPr fontId="11" type="noConversion"/>
  </si>
  <si>
    <t>Income before income tax expense and noncontrolling interests</t>
    <phoneticPr fontId="11" type="noConversion"/>
  </si>
  <si>
    <t>Income from continuing operations</t>
    <phoneticPr fontId="11" type="noConversion"/>
  </si>
  <si>
    <t>2017Q2</t>
    <phoneticPr fontId="11" type="noConversion"/>
  </si>
  <si>
    <t xml:space="preserve">   SBC %</t>
    <phoneticPr fontId="11" type="noConversion"/>
  </si>
  <si>
    <t>Cash Flow from (used in) Financing</t>
    <phoneticPr fontId="11" type="noConversion"/>
  </si>
  <si>
    <t>-</t>
    <phoneticPr fontId="11" type="noConversion"/>
  </si>
  <si>
    <t># of employees in S&amp;M</t>
    <phoneticPr fontId="11" type="noConversion"/>
  </si>
  <si>
    <t># of employees in G&amp;A</t>
    <phoneticPr fontId="11" type="noConversion"/>
  </si>
  <si>
    <t>-</t>
    <phoneticPr fontId="11" type="noConversion"/>
  </si>
  <si>
    <t># of employees in call center</t>
    <phoneticPr fontId="11" type="noConversion"/>
  </si>
  <si>
    <t># of employees growth rate</t>
    <phoneticPr fontId="11" type="noConversion"/>
  </si>
  <si>
    <t># of employees in P&amp;D</t>
    <phoneticPr fontId="11" type="noConversion"/>
  </si>
  <si>
    <t># of employees in S&amp;M</t>
    <phoneticPr fontId="11" type="noConversion"/>
  </si>
  <si>
    <t># of employees in G&amp;A</t>
    <phoneticPr fontId="11" type="noConversion"/>
  </si>
  <si>
    <t>AR Days</t>
    <phoneticPr fontId="11" type="noConversion"/>
  </si>
  <si>
    <t>Priceline</t>
    <phoneticPr fontId="11" type="noConversion"/>
  </si>
  <si>
    <t xml:space="preserve">Stock </t>
    <phoneticPr fontId="11" type="noConversion"/>
  </si>
  <si>
    <t>Outstanding shares (ADS, in mil)-Diluted</t>
    <phoneticPr fontId="11" type="noConversion"/>
  </si>
  <si>
    <t>PE-Diluted (LTM)</t>
    <phoneticPr fontId="11" type="noConversion"/>
  </si>
  <si>
    <t xml:space="preserve">PEG-Diluted </t>
    <phoneticPr fontId="11" type="noConversion"/>
  </si>
  <si>
    <t>PE-Basic (LTM)</t>
    <phoneticPr fontId="11" type="noConversion"/>
  </si>
  <si>
    <t>PEG-Basic</t>
    <phoneticPr fontId="11" type="noConversion"/>
  </si>
  <si>
    <t>(in local currency)</t>
    <phoneticPr fontId="11" type="noConversion"/>
  </si>
  <si>
    <t>Mart cap (in mil, US$, Price*outstanding shares)</t>
    <phoneticPr fontId="11" type="noConversion"/>
  </si>
  <si>
    <t>Stock price (Last day of the quarter/financial year)</t>
    <phoneticPr fontId="11" type="noConversion"/>
  </si>
  <si>
    <t>Enterprise Value (EV) (LTM)</t>
    <phoneticPr fontId="11" type="noConversion"/>
  </si>
  <si>
    <t>EV/Revenues (LTM)</t>
    <phoneticPr fontId="11" type="noConversion"/>
  </si>
  <si>
    <t>EV/OP (LTM)</t>
    <phoneticPr fontId="11" type="noConversion"/>
  </si>
  <si>
    <t>Market Cap/Revenue (LTM)</t>
    <phoneticPr fontId="11" type="noConversion"/>
  </si>
  <si>
    <t>Makret Cap/OP (LTM)</t>
    <phoneticPr fontId="11" type="noConversion"/>
  </si>
  <si>
    <t>Current Trading Outstanding Shares</t>
    <phoneticPr fontId="11" type="noConversion"/>
  </si>
  <si>
    <t>Stock price</t>
    <phoneticPr fontId="11" type="noConversion"/>
  </si>
  <si>
    <t>52-Week Low</t>
    <phoneticPr fontId="11" type="noConversion"/>
  </si>
  <si>
    <t>BKNG Gross booking value</t>
  </si>
  <si>
    <t>BKNG Gross booking value YoY Growth on a non-constant currency basis</t>
  </si>
  <si>
    <t>BKNG Gross booking value YoY Growth on a constant currency basis</t>
  </si>
  <si>
    <t>BKNG Room Nights</t>
  </si>
  <si>
    <t>BKNG Room Nights YoY Growth</t>
  </si>
  <si>
    <t>Less: Business and related taxes</t>
    <phoneticPr fontId="11" type="noConversion"/>
  </si>
  <si>
    <t>Net revenue</t>
    <phoneticPr fontId="11" type="noConversion"/>
  </si>
  <si>
    <t>Cost of revenues</t>
    <phoneticPr fontId="11" type="noConversion"/>
  </si>
  <si>
    <t>Mobile traffic:</t>
    <phoneticPr fontId="11" type="noConversion"/>
  </si>
  <si>
    <t>Mobile % of total orders</t>
    <phoneticPr fontId="11" type="noConversion"/>
  </si>
  <si>
    <t>Mobile % of orders breakdown:</t>
    <phoneticPr fontId="11" type="noConversion"/>
  </si>
  <si>
    <t xml:space="preserve">   Train tickets</t>
    <phoneticPr fontId="11" type="noConversion"/>
  </si>
  <si>
    <t xml:space="preserve">   Cruise lines</t>
    <phoneticPr fontId="11" type="noConversion"/>
  </si>
  <si>
    <t>Cumulative mobile app downloads (millions)</t>
    <phoneticPr fontId="11" type="noConversion"/>
  </si>
  <si>
    <t>Daily unique visitor YoY growth</t>
    <phoneticPr fontId="11" type="noConversion"/>
  </si>
  <si>
    <t>Number of outbound destination countries/regions</t>
    <phoneticPr fontId="11" type="noConversion"/>
  </si>
  <si>
    <t>Number of departure cities</t>
    <phoneticPr fontId="11" type="noConversion"/>
  </si>
  <si>
    <t>Number of regional service centers</t>
    <phoneticPr fontId="11" type="noConversion"/>
  </si>
  <si>
    <t>Number of tour advisors</t>
    <phoneticPr fontId="11" type="noConversion"/>
  </si>
  <si>
    <t>Total SKUs</t>
    <phoneticPr fontId="11" type="noConversion"/>
  </si>
  <si>
    <t>Self-guided tour SKUs</t>
    <phoneticPr fontId="11" type="noConversion"/>
  </si>
  <si>
    <t>2018Q1</t>
  </si>
  <si>
    <t>2018Q2</t>
  </si>
  <si>
    <t>2018Q3</t>
  </si>
  <si>
    <t>2018Q4</t>
  </si>
  <si>
    <t>Stock price (Last day of reporting period)</t>
    <phoneticPr fontId="11" type="noConversion"/>
  </si>
  <si>
    <t>2018Q1</t>
    <phoneticPr fontId="11" type="noConversion"/>
  </si>
  <si>
    <t>2018Q1</t>
    <phoneticPr fontId="11" type="noConversion"/>
  </si>
  <si>
    <t xml:space="preserve">   General and administrative (&amp; Personnel for PCLN)</t>
    <phoneticPr fontId="11" type="noConversion"/>
  </si>
  <si>
    <t>Short term debt (accounts payable)</t>
    <phoneticPr fontId="11" type="noConversion"/>
  </si>
  <si>
    <t>Long term debt (Non-current liabilities)</t>
    <phoneticPr fontId="11" type="noConversion"/>
  </si>
  <si>
    <t>(in million, USD, except EPS data)</t>
  </si>
  <si>
    <t>14Q1</t>
  </si>
  <si>
    <t>1Q17</t>
  </si>
  <si>
    <t>2Q17</t>
  </si>
  <si>
    <t>3Q17</t>
  </si>
  <si>
    <t>4Q17</t>
  </si>
  <si>
    <t>1Q18</t>
  </si>
  <si>
    <t>2Q18</t>
  </si>
  <si>
    <t>P&amp;L</t>
  </si>
  <si>
    <t>4QF14</t>
  </si>
  <si>
    <t>1QF15</t>
  </si>
  <si>
    <t>2QF15</t>
  </si>
  <si>
    <t>3QF15</t>
  </si>
  <si>
    <t>4QF15</t>
  </si>
  <si>
    <t>1QF16</t>
  </si>
  <si>
    <t>2QF16</t>
  </si>
  <si>
    <t>3QF16</t>
  </si>
  <si>
    <t>4QF16</t>
  </si>
  <si>
    <t>1QF17</t>
  </si>
  <si>
    <t>2QF17</t>
  </si>
  <si>
    <t>3QF17</t>
  </si>
  <si>
    <t>4QF17</t>
  </si>
  <si>
    <t>1QF18</t>
  </si>
  <si>
    <t>2QF18</t>
  </si>
  <si>
    <t>3QF18</t>
  </si>
  <si>
    <t>4QF18</t>
  </si>
  <si>
    <t>1QF19</t>
  </si>
  <si>
    <t>Consolidated ibibo at the end of January</t>
  </si>
  <si>
    <t>Industry Data</t>
  </si>
  <si>
    <t>Travel Market</t>
  </si>
  <si>
    <t>Online Travel Market</t>
  </si>
  <si>
    <t>Online Penetration Rate (%)</t>
  </si>
  <si>
    <t>YoY % growth rate</t>
  </si>
  <si>
    <t>Number of roomnights</t>
  </si>
  <si>
    <t>Company Data</t>
  </si>
  <si>
    <t>Gross booking value</t>
  </si>
  <si>
    <t>Gross booking value YoY Growth on a non-constant currency basis</t>
  </si>
  <si>
    <t>Air ticketing gross booking value YoY Growth on a constant currency basis</t>
  </si>
  <si>
    <t>Service cost</t>
  </si>
  <si>
    <t xml:space="preserve">    Cost of air tickets coupon</t>
  </si>
  <si>
    <t>Operating expenses (GAAP)</t>
  </si>
  <si>
    <t>next 3 to 5 years</t>
  </si>
  <si>
    <t>Adjusted S&amp;M expenses</t>
  </si>
  <si>
    <t>Total operating expenses (GAAP)</t>
  </si>
  <si>
    <t>Total operating expenses (non-GAAP)</t>
  </si>
  <si>
    <t>Income (loss) from Operations (GAAP)</t>
  </si>
  <si>
    <t>Income (loss) from Operations (non-GAAP)</t>
  </si>
  <si>
    <t>Adjusted OPM</t>
  </si>
  <si>
    <t xml:space="preserve">Effective tax rate </t>
  </si>
  <si>
    <t>Net income (non-GAAP)</t>
  </si>
  <si>
    <t>Adjusted EBITDA</t>
  </si>
  <si>
    <t>Adjusted EBITDA margin</t>
  </si>
  <si>
    <t>Shares used in computing earnings per share-Diluted</t>
  </si>
  <si>
    <t>Earning per ADS</t>
  </si>
  <si>
    <t xml:space="preserve">  - Basic</t>
  </si>
  <si>
    <t xml:space="preserve">  - Diluted EPS</t>
  </si>
  <si>
    <t>% of revenue less service costs</t>
  </si>
  <si>
    <t>As % of revenue less service costs  (GAAP)</t>
  </si>
  <si>
    <t>YoY growth rate</t>
  </si>
  <si>
    <t>Total revenues on a constant currency basis</t>
  </si>
  <si>
    <t>Operating expenses: (GAAP)</t>
  </si>
  <si>
    <t>Net income (GAAP)</t>
  </si>
  <si>
    <t>Balance Sheet ((in million, USD))</t>
  </si>
  <si>
    <t>Short-term investment</t>
  </si>
  <si>
    <t>Prepayments and other current assets</t>
  </si>
  <si>
    <t>Advances from customers</t>
  </si>
  <si>
    <t>Total Debt</t>
  </si>
  <si>
    <t>Total liabilities</t>
  </si>
  <si>
    <t xml:space="preserve">Total shareholders' equity  </t>
  </si>
  <si>
    <t xml:space="preserve">Total liabilities and shareholders' equity   </t>
  </si>
  <si>
    <t>D/A ratio</t>
  </si>
  <si>
    <t>(in million USD)</t>
  </si>
  <si>
    <t>Cash Flow from (used in) Operating</t>
  </si>
  <si>
    <t>Cash Flow from (used in) Investing</t>
  </si>
  <si>
    <t>Cash Flow from (used in) Financing</t>
  </si>
  <si>
    <t>Purchase of land use right</t>
  </si>
  <si>
    <t>Operation Data</t>
  </si>
  <si>
    <t>(Unless otherwise stated, millions)</t>
  </si>
  <si>
    <t>No. of hotels covered (Thousand)</t>
  </si>
  <si>
    <t>International</t>
  </si>
  <si>
    <t>Total hotels in India(Thousand)</t>
  </si>
  <si>
    <t xml:space="preserve">  Hotels and packages</t>
  </si>
  <si>
    <t xml:space="preserve">  MMYT India Standalone hotels booked online (PC+mobile)</t>
  </si>
  <si>
    <t xml:space="preserve">  Online Standardalone hotel YoY % growth rate</t>
  </si>
  <si>
    <t xml:space="preserve">  Standalone hotels booked on  mobile</t>
  </si>
  <si>
    <t>Total Roomnights - Hotels &amp; Packages</t>
  </si>
  <si>
    <t>Total Roomnights - Hotels &amp; Packages YoY % growth rate</t>
  </si>
  <si>
    <t>Standalone hotels booked online -room nights</t>
  </si>
  <si>
    <t>Standalone hotels booked online -room nights YoY % growth rate</t>
  </si>
  <si>
    <t>Standalone hotels booked online -room nights Pro Forma growth rate</t>
  </si>
  <si>
    <t>Bus</t>
  </si>
  <si>
    <t>Pro Forma growth rate</t>
  </si>
  <si>
    <t xml:space="preserve">  Other revenues</t>
  </si>
  <si>
    <t xml:space="preserve">  Air ticketing % </t>
  </si>
  <si>
    <t>Total</t>
  </si>
  <si>
    <t xml:space="preserve">  Hotels and packages %</t>
  </si>
  <si>
    <t xml:space="preserve">  Other revenues %</t>
  </si>
  <si>
    <t>Gross bookings</t>
  </si>
  <si>
    <t xml:space="preserve">  Air ticketing</t>
  </si>
  <si>
    <t>Net revenue margins(take rates)</t>
  </si>
  <si>
    <t>4-5%</t>
  </si>
  <si>
    <t>medium to long term</t>
  </si>
  <si>
    <t>15%-18%</t>
  </si>
  <si>
    <t>MMT India standard alone hotels(transactions)</t>
  </si>
  <si>
    <t>Monthly generated reviews(mn)</t>
  </si>
  <si>
    <t>YoY Growth %</t>
  </si>
  <si>
    <t xml:space="preserve">Stock </t>
  </si>
  <si>
    <t>Mart cap (in mil, US$, Price*outstanding shares)</t>
  </si>
  <si>
    <t>Enterprise Value (EV)</t>
  </si>
  <si>
    <t>EV/Revenue less service costs</t>
  </si>
  <si>
    <t>Market Cap/Revenue less service costs</t>
  </si>
  <si>
    <t>Current Trading Outstanding Shares</t>
  </si>
  <si>
    <t>Stock price</t>
  </si>
  <si>
    <t>52-Week Low</t>
  </si>
  <si>
    <r>
      <rPr>
        <i/>
        <u/>
        <sz val="9"/>
        <color theme="0"/>
        <rFont val="Arial"/>
        <family val="2"/>
      </rPr>
      <t>Unit</t>
    </r>
    <r>
      <rPr>
        <i/>
        <u/>
        <sz val="9"/>
        <color theme="0"/>
        <rFont val="宋体"/>
        <family val="3"/>
        <charset val="134"/>
      </rPr>
      <t>：</t>
    </r>
    <r>
      <rPr>
        <i/>
        <u/>
        <sz val="9"/>
        <color theme="0"/>
        <rFont val="Arial"/>
        <family val="2"/>
      </rPr>
      <t>mn</t>
    </r>
  </si>
  <si>
    <t>18Q1</t>
  </si>
  <si>
    <t>18Q2</t>
  </si>
  <si>
    <t>Air ticketing - flight segments</t>
  </si>
  <si>
    <t>Total Roomnights</t>
  </si>
  <si>
    <t xml:space="preserve">   Standalone hotels booked online -room nights</t>
  </si>
  <si>
    <t>Bus tickets sold</t>
  </si>
  <si>
    <t>CEQ Room Nights</t>
    <phoneticPr fontId="11" type="noConversion"/>
  </si>
  <si>
    <t>Outstanding shares (ADS, in mil)-Diluted</t>
    <phoneticPr fontId="11" type="noConversion"/>
  </si>
  <si>
    <t>3Q18</t>
  </si>
  <si>
    <t>18Q3</t>
  </si>
  <si>
    <t>Flight segments YoY % growth rate</t>
  </si>
  <si>
    <t>Used room nights (K)</t>
  </si>
  <si>
    <t>Air Passenger count (mn)</t>
  </si>
  <si>
    <t xml:space="preserve">    </t>
  </si>
  <si>
    <t>Expense in nature of promotions adjusted against revenue</t>
  </si>
  <si>
    <t>Number of international air passengers(scheduled)</t>
  </si>
  <si>
    <t>Number of domestic air passengers(scheduled and non-scheduled)</t>
  </si>
  <si>
    <t>2QF19</t>
  </si>
  <si>
    <t>Other income</t>
    <phoneticPr fontId="11" type="noConversion"/>
  </si>
  <si>
    <t>Net profit margin GAAP  (/ Adjusted revenue)</t>
    <phoneticPr fontId="11" type="noConversion"/>
  </si>
  <si>
    <t>Net profit margin non-GAAP  (/Adjusted revenue)</t>
    <phoneticPr fontId="11" type="noConversion"/>
  </si>
  <si>
    <t>Gross booking breakdown by geography</t>
    <phoneticPr fontId="11" type="noConversion"/>
  </si>
  <si>
    <t>US</t>
    <phoneticPr fontId="11" type="noConversion"/>
  </si>
  <si>
    <t>International</t>
    <phoneticPr fontId="11" type="noConversion"/>
  </si>
  <si>
    <t>US YoY growth</t>
    <phoneticPr fontId="11" type="noConversion"/>
  </si>
  <si>
    <t>Int'l YoY growth</t>
    <phoneticPr fontId="11" type="noConversion"/>
  </si>
  <si>
    <t>US contribution</t>
    <phoneticPr fontId="11" type="noConversion"/>
  </si>
  <si>
    <t>Int'l contribution</t>
    <phoneticPr fontId="11" type="noConversion"/>
  </si>
  <si>
    <t>Merchant</t>
    <phoneticPr fontId="11" type="noConversion"/>
  </si>
  <si>
    <t>Merchant YoY growth</t>
  </si>
  <si>
    <t>Merchant contribution</t>
  </si>
  <si>
    <t>Agency YoY growth</t>
    <phoneticPr fontId="11" type="noConversion"/>
  </si>
  <si>
    <t>Agency contribution</t>
    <phoneticPr fontId="11" type="noConversion"/>
  </si>
  <si>
    <t>Hotel</t>
    <phoneticPr fontId="11" type="noConversion"/>
  </si>
  <si>
    <t>Hotel YoY growth</t>
  </si>
  <si>
    <t>Hotel contribution</t>
  </si>
  <si>
    <t>Air YoY growth</t>
  </si>
  <si>
    <t>Air contribution</t>
  </si>
  <si>
    <t>Other businesses YoY growth</t>
  </si>
  <si>
    <t>Other businesses contribution</t>
  </si>
  <si>
    <t>Revenue breakdown by geography</t>
  </si>
  <si>
    <t>Revenue breakdown by business model</t>
  </si>
  <si>
    <t xml:space="preserve">Revenue breakdown by product lines </t>
    <phoneticPr fontId="11" type="noConversion"/>
  </si>
  <si>
    <t>Advertising&amp;media YoY growth</t>
  </si>
  <si>
    <t>P&amp;D</t>
    <phoneticPr fontId="11" type="noConversion"/>
  </si>
  <si>
    <t>S&amp;M</t>
    <phoneticPr fontId="11" type="noConversion"/>
  </si>
  <si>
    <t>G&amp;A</t>
    <phoneticPr fontId="11" type="noConversion"/>
  </si>
  <si>
    <t>Room nights breakdown by geography</t>
    <phoneticPr fontId="11" type="noConversion"/>
  </si>
  <si>
    <t>Revenue per night YoY growth</t>
    <phoneticPr fontId="11" type="noConversion"/>
  </si>
  <si>
    <t>Revenue per ticket YoY growth</t>
    <phoneticPr fontId="11" type="noConversion"/>
  </si>
  <si>
    <t>Air ASP YoY growth</t>
    <phoneticPr fontId="11" type="noConversion"/>
  </si>
  <si>
    <t>Air take rate(MS estimates)</t>
    <phoneticPr fontId="11" type="noConversion"/>
  </si>
  <si>
    <t>Core OTA Update</t>
    <phoneticPr fontId="11" type="noConversion"/>
  </si>
  <si>
    <t>Gross booking YoY growth</t>
    <phoneticPr fontId="11" type="noConversion"/>
  </si>
  <si>
    <t xml:space="preserve"> Adjusted EBITDA</t>
    <phoneticPr fontId="11" type="noConversion"/>
  </si>
  <si>
    <t>Revenue YoY growth</t>
    <phoneticPr fontId="11" type="noConversion"/>
  </si>
  <si>
    <t xml:space="preserve"> Adjusted EBITDA margin</t>
    <phoneticPr fontId="11" type="noConversion"/>
  </si>
  <si>
    <t>Egencia  Update</t>
    <phoneticPr fontId="11" type="noConversion"/>
  </si>
  <si>
    <t>Gross booking breakdown by business model</t>
    <phoneticPr fontId="11" type="noConversion"/>
  </si>
  <si>
    <t>Agency</t>
    <phoneticPr fontId="11" type="noConversion"/>
  </si>
  <si>
    <t>Air</t>
    <phoneticPr fontId="11" type="noConversion"/>
  </si>
  <si>
    <t>Other businesses</t>
    <phoneticPr fontId="11" type="noConversion"/>
  </si>
  <si>
    <t>Consolidated AWAY room nights and gross bookings since 17Q1</t>
    <phoneticPr fontId="11" type="noConversion"/>
  </si>
  <si>
    <t>US</t>
    <phoneticPr fontId="11" type="noConversion"/>
  </si>
  <si>
    <t>International</t>
    <phoneticPr fontId="11" type="noConversion"/>
  </si>
  <si>
    <t>Agency</t>
    <phoneticPr fontId="11" type="noConversion"/>
  </si>
  <si>
    <t>Advertising&amp;media</t>
    <phoneticPr fontId="11" type="noConversion"/>
  </si>
  <si>
    <t>Net revenues excl. eLong</t>
    <phoneticPr fontId="11" type="noConversion"/>
  </si>
  <si>
    <t>US contribution</t>
    <phoneticPr fontId="11" type="noConversion"/>
  </si>
  <si>
    <t>Merchant contribution</t>
    <phoneticPr fontId="11" type="noConversion"/>
  </si>
  <si>
    <t>Advertising&amp;media contribution</t>
    <phoneticPr fontId="11" type="noConversion"/>
  </si>
  <si>
    <t>Advertising&amp;media</t>
    <phoneticPr fontId="11" type="noConversion"/>
  </si>
  <si>
    <t>Hotel YoY growth</t>
    <phoneticPr fontId="11" type="noConversion"/>
  </si>
  <si>
    <t>Air YoY growth</t>
    <phoneticPr fontId="11" type="noConversion"/>
  </si>
  <si>
    <t>Air contribution</t>
    <phoneticPr fontId="11" type="noConversion"/>
  </si>
  <si>
    <t>Advertising&amp;media YoY growth</t>
    <phoneticPr fontId="11" type="noConversion"/>
  </si>
  <si>
    <t>Other businesses YoY growth</t>
    <phoneticPr fontId="11" type="noConversion"/>
  </si>
  <si>
    <t>Other businesses contribution</t>
    <phoneticPr fontId="11" type="noConversion"/>
  </si>
  <si>
    <t>2015Q1</t>
    <phoneticPr fontId="11" type="noConversion"/>
  </si>
  <si>
    <t>Lodging take rate(MS estimates)</t>
    <phoneticPr fontId="11" type="noConversion"/>
  </si>
  <si>
    <t>incl. AWAY in 2016</t>
    <phoneticPr fontId="11" type="noConversion"/>
  </si>
  <si>
    <t>Revenue per night</t>
    <phoneticPr fontId="11" type="noConversion"/>
  </si>
  <si>
    <t>Air ASP(MS estimates)</t>
    <phoneticPr fontId="11" type="noConversion"/>
  </si>
  <si>
    <t>Revenue per ticket (MS estimates)</t>
    <phoneticPr fontId="11" type="noConversion"/>
  </si>
  <si>
    <t>Cost of services(GAAP)</t>
    <phoneticPr fontId="11" type="noConversion"/>
  </si>
  <si>
    <t>Lodging coverage on core loding platforms(mn)</t>
    <phoneticPr fontId="11" type="noConversion"/>
  </si>
  <si>
    <t>Take rate</t>
    <phoneticPr fontId="11" type="noConversion"/>
  </si>
  <si>
    <t>Trivago  Update</t>
    <phoneticPr fontId="11" type="noConversion"/>
  </si>
  <si>
    <t>Gross booking value(mn)</t>
    <phoneticPr fontId="11" type="noConversion"/>
  </si>
  <si>
    <t>Total revenues(mn)</t>
    <phoneticPr fontId="11" type="noConversion"/>
  </si>
  <si>
    <t>Adjusted EBITDA(mn)</t>
    <phoneticPr fontId="11" type="noConversion"/>
  </si>
  <si>
    <t>US(MS estimates)(mn)</t>
    <phoneticPr fontId="11" type="noConversion"/>
  </si>
  <si>
    <t>International(MS estimates)(mn)</t>
    <phoneticPr fontId="11" type="noConversion"/>
  </si>
  <si>
    <t>ADR(MS estimates)</t>
    <phoneticPr fontId="11" type="noConversion"/>
  </si>
  <si>
    <t>Gross booking(mn)</t>
    <phoneticPr fontId="11" type="noConversion"/>
  </si>
  <si>
    <t>Revenue(mn)</t>
    <phoneticPr fontId="11" type="noConversion"/>
  </si>
  <si>
    <t xml:space="preserve"> Adjusted EBITDA(mn)</t>
    <phoneticPr fontId="11" type="noConversion"/>
  </si>
  <si>
    <t>New lodging properties added each quarter</t>
    <phoneticPr fontId="11" type="noConversion"/>
  </si>
  <si>
    <t>Adjusted EBITDA margin</t>
    <phoneticPr fontId="11" type="noConversion"/>
  </si>
  <si>
    <t>Depreciation &amp; Amortization</t>
    <phoneticPr fontId="11" type="noConversion"/>
  </si>
  <si>
    <t>Net revenue/Gross profit</t>
    <phoneticPr fontId="11" type="noConversion"/>
  </si>
  <si>
    <t>Performance advertising</t>
    <phoneticPr fontId="11" type="noConversion"/>
  </si>
  <si>
    <t>Brand advertising</t>
    <phoneticPr fontId="11" type="noConversion"/>
  </si>
  <si>
    <t>Personnel</t>
    <phoneticPr fontId="11" type="noConversion"/>
  </si>
  <si>
    <t>General and administrative</t>
    <phoneticPr fontId="11" type="noConversion"/>
  </si>
  <si>
    <t>Information technology</t>
    <phoneticPr fontId="11" type="noConversion"/>
  </si>
  <si>
    <t>Depreciation and amortization</t>
    <phoneticPr fontId="11" type="noConversion"/>
  </si>
  <si>
    <t>Agency</t>
    <phoneticPr fontId="11" type="noConversion"/>
  </si>
  <si>
    <t>Merchant</t>
    <phoneticPr fontId="11" type="noConversion"/>
  </si>
  <si>
    <t>Take rate by business model</t>
    <phoneticPr fontId="11" type="noConversion"/>
  </si>
  <si>
    <t xml:space="preserve">Advertising &amp; Other revenues </t>
    <phoneticPr fontId="11" type="noConversion"/>
  </si>
  <si>
    <t>Adjusted EBITDA YoY Growth</t>
    <phoneticPr fontId="11" type="noConversion"/>
  </si>
  <si>
    <t># of air tickets(mn)</t>
    <phoneticPr fontId="11" type="noConversion"/>
  </si>
  <si>
    <t>2018Q4</t>
    <phoneticPr fontId="11" type="noConversion"/>
  </si>
  <si>
    <t>(in million, USD, except EPS data)</t>
    <phoneticPr fontId="11" type="noConversion"/>
  </si>
  <si>
    <t>P&amp;L</t>
    <phoneticPr fontId="11" type="noConversion"/>
  </si>
  <si>
    <t>Rental car days(mn)</t>
    <phoneticPr fontId="11" type="noConversion"/>
  </si>
  <si>
    <t>Reported listings(mn)</t>
    <phoneticPr fontId="11" type="noConversion"/>
  </si>
  <si>
    <t>Listings - homes, apartments, and other unique places to stay(mn)</t>
    <phoneticPr fontId="11" type="noConversion"/>
  </si>
  <si>
    <t>Blended take rate</t>
    <phoneticPr fontId="11" type="noConversion"/>
  </si>
  <si>
    <t xml:space="preserve">Priceline </t>
    <phoneticPr fontId="11" type="noConversion"/>
  </si>
  <si>
    <t>Sales and other expenses</t>
    <phoneticPr fontId="11" type="noConversion"/>
  </si>
  <si>
    <t>Listings - hotels, motels and resorts(mn)</t>
    <phoneticPr fontId="11" type="noConversion"/>
  </si>
  <si>
    <t>Hotel count  YoY Growth</t>
    <phoneticPr fontId="11" type="noConversion"/>
  </si>
  <si>
    <t>Alternative accomodation property count</t>
    <phoneticPr fontId="11" type="noConversion"/>
  </si>
  <si>
    <t>Worldwide property count</t>
    <phoneticPr fontId="11" type="noConversion"/>
  </si>
  <si>
    <t xml:space="preserve">  Worldwide property count YoY Growth</t>
    <phoneticPr fontId="11" type="noConversion"/>
  </si>
  <si>
    <t>hotel count</t>
    <phoneticPr fontId="11" type="noConversion"/>
  </si>
  <si>
    <t xml:space="preserve"> Alternative property count YoY Growth</t>
    <phoneticPr fontId="11" type="noConversion"/>
  </si>
  <si>
    <t>4Q18</t>
  </si>
  <si>
    <t xml:space="preserve">Total cross border </t>
    <phoneticPr fontId="11" type="noConversion"/>
  </si>
  <si>
    <t xml:space="preserve"> </t>
    <phoneticPr fontId="11" type="noConversion"/>
  </si>
  <si>
    <t>Gross booking value YoY Growth on a constant currency basis</t>
    <phoneticPr fontId="11" type="noConversion"/>
  </si>
  <si>
    <t>Please Use Reported Constant Growth Rate</t>
    <phoneticPr fontId="11" type="noConversion"/>
  </si>
  <si>
    <t>Air ticketing gross booking value - reported</t>
    <phoneticPr fontId="11" type="noConversion"/>
  </si>
  <si>
    <t>Please Use Reported GMV</t>
    <phoneticPr fontId="11" type="noConversion"/>
  </si>
  <si>
    <t>Air ticketing gross booking value on a constant currency basis</t>
    <phoneticPr fontId="11" type="noConversion"/>
  </si>
  <si>
    <t xml:space="preserve"> </t>
    <phoneticPr fontId="11" type="noConversion"/>
  </si>
  <si>
    <t>Hotels &amp; Packages gross booking value - reported</t>
    <phoneticPr fontId="11" type="noConversion"/>
  </si>
  <si>
    <t>Hotels &amp; Packages gross booking value on a constant currency basis</t>
    <phoneticPr fontId="11" type="noConversion"/>
  </si>
  <si>
    <t>Bus ticketing gross booking value on a constant currency basis</t>
    <phoneticPr fontId="11" type="noConversion"/>
  </si>
  <si>
    <t>Bus ticketing gross booking value YoY Growth on a constant currency basis</t>
    <phoneticPr fontId="11" type="noConversion"/>
  </si>
  <si>
    <t>Revenues</t>
    <phoneticPr fontId="11" type="noConversion"/>
  </si>
  <si>
    <t xml:space="preserve">    Other cost of providing services</t>
    <phoneticPr fontId="11" type="noConversion"/>
  </si>
  <si>
    <t>Adjusted revenue (Revenue less service costs)</t>
    <phoneticPr fontId="11" type="noConversion"/>
  </si>
  <si>
    <t>Adjusted operating profit (loss)</t>
    <phoneticPr fontId="11" type="noConversion"/>
  </si>
  <si>
    <t>Adjusted revenue(Revenue less service costs) YoY growth rate</t>
    <phoneticPr fontId="11" type="noConversion"/>
  </si>
  <si>
    <t>Adjusted revenue(Revenue less service costs) YoY growth rate on a constant currency basis</t>
    <phoneticPr fontId="11" type="noConversion"/>
  </si>
  <si>
    <t>India hotels</t>
    <phoneticPr fontId="11" type="noConversion"/>
  </si>
  <si>
    <t>YoY % Change</t>
    <phoneticPr fontId="11" type="noConversion"/>
  </si>
  <si>
    <t xml:space="preserve">Holiday packages passengers traveled </t>
    <phoneticPr fontId="11" type="noConversion"/>
  </si>
  <si>
    <t>Transacting members (mm)</t>
    <phoneticPr fontId="11" type="noConversion"/>
  </si>
  <si>
    <t>Membership</t>
    <phoneticPr fontId="11" type="noConversion"/>
  </si>
  <si>
    <t>Black</t>
    <phoneticPr fontId="11" type="noConversion"/>
  </si>
  <si>
    <t>Double Black</t>
    <phoneticPr fontId="11" type="noConversion"/>
  </si>
  <si>
    <t>Number of transactions</t>
    <phoneticPr fontId="11" type="noConversion"/>
  </si>
  <si>
    <t xml:space="preserve">  Air ticketing</t>
    <phoneticPr fontId="11" type="noConversion"/>
  </si>
  <si>
    <t>Air ticketing - flight segments</t>
    <phoneticPr fontId="11" type="noConversion"/>
  </si>
  <si>
    <t>Flight segments Pro Forma growth rate</t>
    <phoneticPr fontId="11" type="noConversion"/>
  </si>
  <si>
    <t>OYO</t>
    <phoneticPr fontId="11" type="noConversion"/>
  </si>
  <si>
    <t>vs. MMYT standalone rooms</t>
    <phoneticPr fontId="11" type="noConversion"/>
  </si>
  <si>
    <t xml:space="preserve">  Hotels and packages</t>
    <phoneticPr fontId="11" type="noConversion"/>
  </si>
  <si>
    <t xml:space="preserve">  Bus</t>
    <phoneticPr fontId="11" type="noConversion"/>
  </si>
  <si>
    <t>Cumulative app downloads (millions)</t>
    <phoneticPr fontId="11" type="noConversion"/>
  </si>
  <si>
    <t>Total unique visitors (millions)</t>
    <phoneticPr fontId="11" type="noConversion"/>
  </si>
  <si>
    <t>Monthly shopper visits</t>
    <phoneticPr fontId="11" type="noConversion"/>
  </si>
  <si>
    <t>Moblie App MAU</t>
    <phoneticPr fontId="11" type="noConversion"/>
  </si>
  <si>
    <t>Total transacted customers</t>
    <phoneticPr fontId="11" type="noConversion"/>
  </si>
  <si>
    <t>% of transactions on mobile:</t>
    <phoneticPr fontId="11" type="noConversion"/>
  </si>
  <si>
    <t xml:space="preserve"> Domestic Air ticketing</t>
    <phoneticPr fontId="11" type="noConversion"/>
  </si>
  <si>
    <t>Stock price (quarter-end)</t>
    <phoneticPr fontId="11" type="noConversion"/>
  </si>
  <si>
    <t>Bus tickets (Pro Forma) growth rate</t>
    <phoneticPr fontId="11" type="noConversion"/>
  </si>
  <si>
    <t>Standalone hotels (Pro Forma) growth rate</t>
    <phoneticPr fontId="11" type="noConversion"/>
  </si>
  <si>
    <t>Air ticheting (Pro Forma) growth rate</t>
    <phoneticPr fontId="11" type="noConversion"/>
  </si>
  <si>
    <t>18Q4</t>
  </si>
  <si>
    <t>OYO</t>
    <phoneticPr fontId="11" type="noConversion"/>
  </si>
  <si>
    <t>3QF19</t>
    <phoneticPr fontId="11" type="noConversion"/>
  </si>
  <si>
    <t>Old GAAP</t>
    <phoneticPr fontId="11" type="noConversion"/>
  </si>
  <si>
    <t>New GAAP</t>
    <phoneticPr fontId="11" type="noConversion"/>
  </si>
  <si>
    <t>2019E</t>
    <phoneticPr fontId="11" type="noConversion"/>
  </si>
  <si>
    <t>P&amp;L (RMB million, except for share &amp; per share data)</t>
    <phoneticPr fontId="11" type="noConversion"/>
  </si>
  <si>
    <t>Gross merchandising value (GMV)</t>
    <phoneticPr fontId="11" type="noConversion"/>
  </si>
  <si>
    <t>Revenues</t>
    <phoneticPr fontId="11" type="noConversion"/>
  </si>
  <si>
    <t xml:space="preserve">     Other revenue</t>
    <phoneticPr fontId="11" type="noConversion"/>
  </si>
  <si>
    <t>Total revenues</t>
    <phoneticPr fontId="11" type="noConversion"/>
  </si>
  <si>
    <t>Operating expenses (GAAP)</t>
    <phoneticPr fontId="11" type="noConversion"/>
  </si>
  <si>
    <t xml:space="preserve">  Research and product development</t>
    <phoneticPr fontId="11" type="noConversion"/>
  </si>
  <si>
    <t xml:space="preserve">  Marketing and sales promotion expenses</t>
    <phoneticPr fontId="11" type="noConversion"/>
  </si>
  <si>
    <t xml:space="preserve">  General and administrative</t>
    <phoneticPr fontId="11" type="noConversion"/>
  </si>
  <si>
    <t xml:space="preserve">  Other operating income</t>
    <phoneticPr fontId="11" type="noConversion"/>
  </si>
  <si>
    <t>Total Operating Expenses (GAAP)</t>
    <phoneticPr fontId="11" type="noConversion"/>
  </si>
  <si>
    <t>Share-based compensation expenses</t>
    <phoneticPr fontId="11" type="noConversion"/>
  </si>
  <si>
    <t xml:space="preserve">  Cost of revenues</t>
    <phoneticPr fontId="11" type="noConversion"/>
  </si>
  <si>
    <t>Total SBC</t>
    <phoneticPr fontId="11" type="noConversion"/>
  </si>
  <si>
    <t>Operating expenses (Non-GAAP)</t>
    <phoneticPr fontId="11" type="noConversion"/>
  </si>
  <si>
    <t>Total Operating Expenses (non-GAAP)</t>
    <phoneticPr fontId="11" type="noConversion"/>
  </si>
  <si>
    <t>Income (loss) from Operations (GAAP)</t>
    <phoneticPr fontId="11" type="noConversion"/>
  </si>
  <si>
    <t>Income (loss) from Operations (non-GAAP - comparable to Ctrip)</t>
    <phoneticPr fontId="11" type="noConversion"/>
  </si>
  <si>
    <t>Net (loss)/income attributable to ordinary shareholders (GAAP)</t>
    <phoneticPr fontId="11" type="noConversion"/>
  </si>
  <si>
    <t>Shares used in computing earnings per share-Diluted</t>
    <phoneticPr fontId="11" type="noConversion"/>
  </si>
  <si>
    <t>Earning per ADS</t>
    <phoneticPr fontId="11" type="noConversion"/>
  </si>
  <si>
    <t xml:space="preserve">  - Basic</t>
    <phoneticPr fontId="11" type="noConversion"/>
  </si>
  <si>
    <t xml:space="preserve">  - Diluted EPS</t>
    <phoneticPr fontId="11" type="noConversion"/>
  </si>
  <si>
    <t>YoY Growth</t>
    <phoneticPr fontId="11" type="noConversion"/>
  </si>
  <si>
    <t>GMV</t>
    <phoneticPr fontId="11" type="noConversion"/>
  </si>
  <si>
    <t xml:space="preserve">     Organized tours</t>
    <phoneticPr fontId="11" type="noConversion"/>
  </si>
  <si>
    <t xml:space="preserve">     Self-guided tours</t>
    <phoneticPr fontId="11" type="noConversion"/>
  </si>
  <si>
    <t xml:space="preserve">     Packaged tours (organized+self-guided)</t>
    <phoneticPr fontId="11" type="noConversion"/>
  </si>
  <si>
    <t>Net Revenue</t>
    <phoneticPr fontId="11" type="noConversion"/>
  </si>
  <si>
    <t>Gross Profit</t>
    <phoneticPr fontId="11" type="noConversion"/>
  </si>
  <si>
    <t>Marketing and sales expenses (non-GAAP)</t>
    <phoneticPr fontId="11" type="noConversion"/>
  </si>
  <si>
    <t>Margins</t>
    <phoneticPr fontId="11" type="noConversion"/>
  </si>
  <si>
    <t>Take Rate (Gross Profit/GMV)</t>
    <phoneticPr fontId="11" type="noConversion"/>
  </si>
  <si>
    <t>Gross Margin (Gross Profit / Net Revenue)</t>
    <phoneticPr fontId="11" type="noConversion"/>
  </si>
  <si>
    <t>As % of gross profit</t>
    <phoneticPr fontId="11" type="noConversion"/>
  </si>
  <si>
    <t xml:space="preserve">  Research and product development (non-GAAP)</t>
    <phoneticPr fontId="11" type="noConversion"/>
  </si>
  <si>
    <t xml:space="preserve">  General and administrative  (non-GAAP)</t>
    <phoneticPr fontId="11" type="noConversion"/>
  </si>
  <si>
    <t xml:space="preserve">  Marketing and sales  (non-GAAP)</t>
    <phoneticPr fontId="11" type="noConversion"/>
  </si>
  <si>
    <t xml:space="preserve">  SBC</t>
    <phoneticPr fontId="11" type="noConversion"/>
  </si>
  <si>
    <t>Operating Margin (Non-GAAP, comprable to Ctrip)</t>
    <phoneticPr fontId="11" type="noConversion"/>
  </si>
  <si>
    <t>As % of net revenues</t>
    <phoneticPr fontId="11" type="noConversion"/>
  </si>
  <si>
    <t>Balance Sheet (RMB million)</t>
    <phoneticPr fontId="11" type="noConversion"/>
  </si>
  <si>
    <t>ASSETS</t>
    <phoneticPr fontId="11" type="noConversion"/>
  </si>
  <si>
    <t>Restricted cash</t>
    <phoneticPr fontId="11" type="noConversion"/>
  </si>
  <si>
    <t>Short-term investment</t>
    <phoneticPr fontId="11" type="noConversion"/>
  </si>
  <si>
    <t>Cash, Restricted cash and short-term investment</t>
    <phoneticPr fontId="11" type="noConversion"/>
  </si>
  <si>
    <t>TOTAL ASSETS</t>
    <phoneticPr fontId="11" type="noConversion"/>
  </si>
  <si>
    <t>Mezzanine equity</t>
    <phoneticPr fontId="11" type="noConversion"/>
  </si>
  <si>
    <t>Total shareholders' equity</t>
    <phoneticPr fontId="11" type="noConversion"/>
  </si>
  <si>
    <t>D/A Ratio</t>
    <phoneticPr fontId="11" type="noConversion"/>
  </si>
  <si>
    <t>Cash Flow (RMB million)</t>
    <phoneticPr fontId="11" type="noConversion"/>
  </si>
  <si>
    <t>CAPEX (Purches in land use right)</t>
    <phoneticPr fontId="11" type="noConversion"/>
  </si>
  <si>
    <t>Mobile % of total traffic</t>
    <phoneticPr fontId="11" type="noConversion"/>
  </si>
  <si>
    <t xml:space="preserve">   Tour attraction tickets</t>
    <phoneticPr fontId="11" type="noConversion"/>
  </si>
  <si>
    <t xml:space="preserve">   Local tours</t>
    <phoneticPr fontId="11" type="noConversion"/>
  </si>
  <si>
    <t>Inventory / Operations</t>
    <phoneticPr fontId="11" type="noConversion"/>
  </si>
  <si>
    <t>Organized tour SKUs</t>
    <phoneticPr fontId="11" type="noConversion"/>
  </si>
  <si>
    <t>No. of Departing Cities in China</t>
    <phoneticPr fontId="11" type="noConversion"/>
  </si>
  <si>
    <t>Sales Channels</t>
    <phoneticPr fontId="11" type="noConversion"/>
  </si>
  <si>
    <t>Offline Retail Stores</t>
    <phoneticPr fontId="11" type="noConversion"/>
  </si>
  <si>
    <t>GMV contributed by offline retail stores (as % of packaged tour)</t>
    <phoneticPr fontId="11" type="noConversion"/>
  </si>
  <si>
    <t>Customers in Loyalty Program</t>
    <phoneticPr fontId="11" type="noConversion"/>
  </si>
  <si>
    <t>60m</t>
    <phoneticPr fontId="11" type="noConversion"/>
  </si>
  <si>
    <t>GMV contributed by repeating customers</t>
    <phoneticPr fontId="11" type="noConversion"/>
  </si>
  <si>
    <t>TMC channel GMV YoY growth</t>
    <phoneticPr fontId="11" type="noConversion"/>
  </si>
  <si>
    <t>B2B channel-Difeng Cloud</t>
    <phoneticPr fontId="11" type="noConversion"/>
  </si>
  <si>
    <t>GMV growth</t>
    <phoneticPr fontId="11" type="noConversion"/>
  </si>
  <si>
    <t>Service Network</t>
    <phoneticPr fontId="11" type="noConversion"/>
  </si>
  <si>
    <t>GMV contributed by Direct Pourcument (as % of packaged tour)</t>
    <phoneticPr fontId="11" type="noConversion"/>
  </si>
  <si>
    <t>Of which, Domestic Tour Operators</t>
    <phoneticPr fontId="11" type="noConversion"/>
  </si>
  <si>
    <t>Of which, International Tour Operators</t>
    <phoneticPr fontId="11" type="noConversion"/>
  </si>
  <si>
    <t>YoY growth of Domestic Tour Operators GMV</t>
    <phoneticPr fontId="11" type="noConversion"/>
  </si>
  <si>
    <t>Local Tour Operator GMV as % of Packaged Tour GMV</t>
    <phoneticPr fontId="11" type="noConversion"/>
  </si>
  <si>
    <t>Total number of trips</t>
    <phoneticPr fontId="11" type="noConversion"/>
  </si>
  <si>
    <t xml:space="preserve"> YoY change</t>
    <phoneticPr fontId="11" type="noConversion"/>
  </si>
  <si>
    <t>Organized tour trips</t>
    <phoneticPr fontId="11" type="noConversion"/>
  </si>
  <si>
    <t xml:space="preserve"> YoY change,organized tours</t>
    <phoneticPr fontId="11" type="noConversion"/>
  </si>
  <si>
    <t>Local tour trips</t>
    <phoneticPr fontId="11" type="noConversion"/>
  </si>
  <si>
    <t xml:space="preserve"> YoY change, local tours</t>
    <phoneticPr fontId="11" type="noConversion"/>
  </si>
  <si>
    <t>Self-guided tour trips</t>
    <phoneticPr fontId="11" type="noConversion"/>
  </si>
  <si>
    <t xml:space="preserve"> YoY change, self-guided tours</t>
    <phoneticPr fontId="11" type="noConversion"/>
  </si>
  <si>
    <t>Number of suppliers</t>
    <phoneticPr fontId="11" type="noConversion"/>
  </si>
  <si>
    <t>Number of hotels</t>
    <phoneticPr fontId="11" type="noConversion"/>
  </si>
  <si>
    <t>x as % of GMV</t>
    <phoneticPr fontId="11" type="noConversion"/>
  </si>
  <si>
    <t>Regional service center cities as % of GMV</t>
    <phoneticPr fontId="11" type="noConversion"/>
  </si>
  <si>
    <t>First-tier city customers as % of GMV</t>
    <phoneticPr fontId="11" type="noConversion"/>
  </si>
  <si>
    <t>Region as % of GMV:</t>
    <phoneticPr fontId="11" type="noConversion"/>
  </si>
  <si>
    <t xml:space="preserve">  Domestic</t>
    <phoneticPr fontId="11" type="noConversion"/>
  </si>
  <si>
    <t xml:space="preserve">  Europe</t>
    <phoneticPr fontId="11" type="noConversion"/>
  </si>
  <si>
    <t xml:space="preserve">  Southeast Asia</t>
    <phoneticPr fontId="11" type="noConversion"/>
  </si>
  <si>
    <t xml:space="preserve">  Japan</t>
    <phoneticPr fontId="11" type="noConversion"/>
  </si>
  <si>
    <t xml:space="preserve">  Korea</t>
    <phoneticPr fontId="11" type="noConversion"/>
  </si>
  <si>
    <t xml:space="preserve">  Cruiseline</t>
    <phoneticPr fontId="11" type="noConversion"/>
  </si>
  <si>
    <t xml:space="preserve">  Islands excl. Maldives</t>
    <phoneticPr fontId="11" type="noConversion"/>
  </si>
  <si>
    <t xml:space="preserve">  Maldives</t>
    <phoneticPr fontId="11" type="noConversion"/>
  </si>
  <si>
    <t xml:space="preserve">  US</t>
    <phoneticPr fontId="11" type="noConversion"/>
  </si>
  <si>
    <t xml:space="preserve">  Australia, New Zealand</t>
    <phoneticPr fontId="11" type="noConversion"/>
  </si>
  <si>
    <t>% of total revenue contributed by new customers</t>
    <phoneticPr fontId="11" type="noConversion"/>
  </si>
  <si>
    <t>% of total revenue contributed by repeat customers</t>
    <phoneticPr fontId="11" type="noConversion"/>
  </si>
  <si>
    <t>Direct procurement as % of GMV</t>
    <phoneticPr fontId="11" type="noConversion"/>
  </si>
  <si>
    <t>Segment as % of GMV:</t>
    <phoneticPr fontId="11" type="noConversion"/>
  </si>
  <si>
    <t xml:space="preserve">  Transportation</t>
    <phoneticPr fontId="11" type="noConversion"/>
  </si>
  <si>
    <t xml:space="preserve">  Organized tours</t>
    <phoneticPr fontId="11" type="noConversion"/>
  </si>
  <si>
    <t xml:space="preserve">  Local tours</t>
    <phoneticPr fontId="11" type="noConversion"/>
  </si>
  <si>
    <t xml:space="preserve">  Self-guided tours</t>
    <phoneticPr fontId="11" type="noConversion"/>
  </si>
  <si>
    <t xml:space="preserve">  Accomodation</t>
    <phoneticPr fontId="11" type="noConversion"/>
  </si>
  <si>
    <t>Take rate by segment</t>
    <phoneticPr fontId="11" type="noConversion"/>
  </si>
  <si>
    <t>Overall</t>
    <phoneticPr fontId="11" type="noConversion"/>
  </si>
  <si>
    <t>Hotel</t>
    <phoneticPr fontId="11" type="noConversion"/>
  </si>
  <si>
    <t>Air</t>
    <phoneticPr fontId="11" type="noConversion"/>
  </si>
  <si>
    <t>Organized tours</t>
    <phoneticPr fontId="11" type="noConversion"/>
  </si>
  <si>
    <t>Self-guided tours</t>
    <phoneticPr fontId="11" type="noConversion"/>
  </si>
  <si>
    <t>Q4-2017</t>
    <phoneticPr fontId="11" type="noConversion"/>
  </si>
  <si>
    <t>Q1-2018</t>
    <phoneticPr fontId="11" type="noConversion"/>
  </si>
  <si>
    <t>Q2-2018</t>
    <phoneticPr fontId="11" type="noConversion"/>
  </si>
  <si>
    <t>Q3-2018</t>
    <phoneticPr fontId="11" type="noConversion"/>
  </si>
  <si>
    <t>Q4-2018</t>
    <phoneticPr fontId="11" type="noConversion"/>
  </si>
  <si>
    <t>线下门店数</t>
    <phoneticPr fontId="11" type="noConversion"/>
  </si>
  <si>
    <t>门店GMV占度假业务的比例</t>
    <phoneticPr fontId="11" type="noConversion"/>
  </si>
  <si>
    <r>
      <t>商旅G</t>
    </r>
    <r>
      <rPr>
        <sz val="12"/>
        <rFont val="宋体"/>
        <family val="3"/>
        <charset val="134"/>
      </rPr>
      <t>MV增速</t>
    </r>
    <phoneticPr fontId="11" type="noConversion"/>
  </si>
  <si>
    <t>"随往"地接社数量</t>
    <phoneticPr fontId="11" type="noConversion"/>
  </si>
  <si>
    <t>国内</t>
    <phoneticPr fontId="11" type="noConversion"/>
  </si>
  <si>
    <t>国际</t>
    <phoneticPr fontId="11" type="noConversion"/>
  </si>
  <si>
    <t>地接社GMV增速</t>
    <phoneticPr fontId="11" type="noConversion"/>
  </si>
  <si>
    <t>&gt;100%</t>
    <phoneticPr fontId="11" type="noConversion"/>
  </si>
  <si>
    <t>&gt;150%</t>
    <phoneticPr fontId="11" type="noConversion"/>
  </si>
  <si>
    <t>地接社服务人次</t>
    <phoneticPr fontId="11" type="noConversion"/>
  </si>
  <si>
    <t>60万</t>
    <phoneticPr fontId="11" type="noConversion"/>
  </si>
  <si>
    <t>87万</t>
    <phoneticPr fontId="11" type="noConversion"/>
  </si>
  <si>
    <r>
      <t>T</t>
    </r>
    <r>
      <rPr>
        <sz val="12"/>
        <color theme="0"/>
        <rFont val="Arial Unicode MS"/>
        <family val="2"/>
        <charset val="134"/>
      </rPr>
      <t>uniu vs. Ctrip GMV</t>
    </r>
    <phoneticPr fontId="11" type="noConversion"/>
  </si>
  <si>
    <t xml:space="preserve">Tuniu Package GMV </t>
  </si>
  <si>
    <r>
      <t>C</t>
    </r>
    <r>
      <rPr>
        <sz val="12"/>
        <rFont val="宋体"/>
        <family val="3"/>
        <charset val="134"/>
      </rPr>
      <t>-Group</t>
    </r>
    <r>
      <rPr>
        <sz val="12"/>
        <rFont val="宋体"/>
        <family val="3"/>
        <charset val="134"/>
      </rPr>
      <t xml:space="preserve"> Package GMV</t>
    </r>
    <phoneticPr fontId="11" type="noConversion"/>
  </si>
  <si>
    <t>Tuniu YoY % chg</t>
  </si>
  <si>
    <t>C-Group YoY % chg</t>
    <phoneticPr fontId="11" type="noConversion"/>
  </si>
  <si>
    <r>
      <t>T</t>
    </r>
    <r>
      <rPr>
        <sz val="12"/>
        <rFont val="宋体"/>
        <family val="3"/>
        <charset val="134"/>
      </rPr>
      <t>uniu Take Rate</t>
    </r>
    <phoneticPr fontId="11" type="noConversion"/>
  </si>
  <si>
    <r>
      <t>C</t>
    </r>
    <r>
      <rPr>
        <sz val="12"/>
        <rFont val="宋体"/>
        <family val="3"/>
        <charset val="134"/>
      </rPr>
      <t>trip Take Rate</t>
    </r>
    <phoneticPr fontId="11" type="noConversion"/>
  </si>
  <si>
    <t>Tuniu - Assumptions</t>
  </si>
  <si>
    <t>in Rmb mn</t>
  </si>
  <si>
    <t>2019E</t>
  </si>
  <si>
    <t>1Q13</t>
  </si>
  <si>
    <t>2Q13</t>
  </si>
  <si>
    <t>3Q13</t>
  </si>
  <si>
    <t>4Q13</t>
  </si>
  <si>
    <t>1Q14</t>
  </si>
  <si>
    <t>2Q14</t>
  </si>
  <si>
    <t>3Q14</t>
  </si>
  <si>
    <t>4Q14</t>
  </si>
  <si>
    <t>1Q15</t>
  </si>
  <si>
    <t>2Q15</t>
  </si>
  <si>
    <t>3Q15</t>
  </si>
  <si>
    <t>4Q15</t>
  </si>
  <si>
    <t>1Q16</t>
  </si>
  <si>
    <t>2Q16</t>
  </si>
  <si>
    <t>3Q16</t>
  </si>
  <si>
    <t>4Q16</t>
  </si>
  <si>
    <t>Income Statement</t>
  </si>
  <si>
    <t>Revenue</t>
  </si>
  <si>
    <t>Orgaized tours</t>
  </si>
  <si>
    <t>Self-guided tours</t>
  </si>
  <si>
    <t>Others</t>
  </si>
  <si>
    <t>Total revenue</t>
  </si>
  <si>
    <t>Less: business and related taxes</t>
  </si>
  <si>
    <t>Net revenue</t>
  </si>
  <si>
    <t>Cost of revenues (excl. SBC)</t>
  </si>
  <si>
    <t>GAAP gross profit</t>
  </si>
  <si>
    <t>Non-GAAP gross profit</t>
  </si>
  <si>
    <t>Non-GAAP gross margin</t>
  </si>
  <si>
    <t>Operating expense</t>
  </si>
  <si>
    <t>Research and development</t>
  </si>
  <si>
    <t>Sales and marketing</t>
  </si>
  <si>
    <t>General and administrative</t>
  </si>
  <si>
    <t>Share-based compensation</t>
  </si>
  <si>
    <t>Amortization of acquired intangibles</t>
  </si>
  <si>
    <t>GAAP operating expenses</t>
  </si>
  <si>
    <t>GAAP operating income/(loss)</t>
  </si>
  <si>
    <t>Non-GAAP operating income/(loss)</t>
  </si>
  <si>
    <t>Other income/(expenses)</t>
  </si>
  <si>
    <t>Interest income</t>
  </si>
  <si>
    <t>FX gain/(losses)</t>
  </si>
  <si>
    <t>Other loss, net</t>
  </si>
  <si>
    <t>Income/(Loss) before tax</t>
  </si>
  <si>
    <t>Income taxes</t>
  </si>
  <si>
    <t>Net income/(loss)</t>
  </si>
  <si>
    <t>Minority interest</t>
  </si>
  <si>
    <t>Deemed dividends to preferred shareholders</t>
  </si>
  <si>
    <t>Attributable net income/(loss)</t>
  </si>
  <si>
    <t>Non-GAAP net income/(loss)</t>
  </si>
  <si>
    <t>Cost of revenue</t>
  </si>
  <si>
    <t>Balance sheet</t>
  </si>
  <si>
    <t>Current assets</t>
  </si>
  <si>
    <t>Cash and cash equivalents</t>
  </si>
  <si>
    <t>Ristricted cash</t>
  </si>
  <si>
    <t>Short-term investments</t>
  </si>
  <si>
    <t>Accounts receivable, net</t>
  </si>
  <si>
    <t>Prepayment and other current assets</t>
  </si>
  <si>
    <t>Yield enhancement products and accrued interest</t>
  </si>
  <si>
    <t>Total current assets</t>
  </si>
  <si>
    <t>Non-current assets</t>
  </si>
  <si>
    <t>Long-term investments</t>
  </si>
  <si>
    <t>Property and equipment</t>
  </si>
  <si>
    <t>Intangible assets, net</t>
  </si>
  <si>
    <t>Goodwill</t>
  </si>
  <si>
    <t>Other non-current assets</t>
  </si>
  <si>
    <t>Long-term amounts due from related parties</t>
  </si>
  <si>
    <t>Total non-current assets</t>
  </si>
  <si>
    <t>Current liabilities</t>
  </si>
  <si>
    <t>Short-term borrowing</t>
  </si>
  <si>
    <t>Accounts payables</t>
  </si>
  <si>
    <t>Salaries and welfare payable</t>
  </si>
  <si>
    <t>Taxes payable</t>
  </si>
  <si>
    <t>Accrued expenses and other current liabilities</t>
  </si>
  <si>
    <t>Amounts due to the individual investors of yield enhancement products</t>
  </si>
  <si>
    <t>Total current liabilities</t>
  </si>
  <si>
    <t>Non-current liabilities</t>
  </si>
  <si>
    <t>Mezzanine equity</t>
  </si>
  <si>
    <t>Shareholders' equity</t>
  </si>
  <si>
    <t>Ordinary share</t>
  </si>
  <si>
    <t>Paid-in capital</t>
  </si>
  <si>
    <t>Accumulated other comprehensive income</t>
  </si>
  <si>
    <t>Accumulated deficits</t>
  </si>
  <si>
    <t>Common shareholders equity/(deficits)</t>
  </si>
  <si>
    <t>Non-controlling interest</t>
  </si>
  <si>
    <t>Total shareholders equity/(deficits)</t>
  </si>
  <si>
    <t>Check</t>
  </si>
  <si>
    <t>Cashflow statetment</t>
  </si>
  <si>
    <t>Adjust for:</t>
  </si>
  <si>
    <t>Depreciation of property and equipment</t>
  </si>
  <si>
    <t>Amortization of intangible assets</t>
  </si>
  <si>
    <t>Allowance for doubtful accounts</t>
  </si>
  <si>
    <t>Change in fair value of contingent consideration</t>
  </si>
  <si>
    <t>FX (gain)/loss</t>
  </si>
  <si>
    <t>Loss from disposal of property and equipment</t>
  </si>
  <si>
    <t>Change of deferred tax liabilities</t>
  </si>
  <si>
    <t>Change in working capital</t>
  </si>
  <si>
    <t>Net cash from operating activities</t>
  </si>
  <si>
    <t>Purchase of short-term investments</t>
  </si>
  <si>
    <t>Proceeds from maturity of ST investments</t>
  </si>
  <si>
    <t>Change in restricted cash</t>
  </si>
  <si>
    <t>Purchase of PP&amp;E and intangible assets</t>
  </si>
  <si>
    <t>Proceeds disposal of PP&amp;E</t>
  </si>
  <si>
    <t>Acquisition</t>
  </si>
  <si>
    <t>Purchase of yield enhancement products</t>
  </si>
  <si>
    <t>Proceeds from yield enhancement products</t>
  </si>
  <si>
    <t>Net cash used in investing activities</t>
  </si>
  <si>
    <t>Repurchase of ordinary/preferred shares</t>
  </si>
  <si>
    <t>Proceeds from issuance of convertible preferred shares</t>
  </si>
  <si>
    <t>Proceeds from equity issuance</t>
  </si>
  <si>
    <t>Proceeds from option exercies</t>
  </si>
  <si>
    <t>Cash contribution from non-controlling shareholders</t>
  </si>
  <si>
    <t>Repayment of short-term debt</t>
  </si>
  <si>
    <t>Proceeds from sale of yield enhancement products</t>
  </si>
  <si>
    <t>Acquisition of non-controlling interest</t>
  </si>
  <si>
    <t>Net cash provided by financing activities</t>
  </si>
  <si>
    <t>FX impact</t>
  </si>
  <si>
    <t>Net increase/(decrease) in cash and cash equivalents</t>
  </si>
  <si>
    <t>Cash balance, beginning of year</t>
  </si>
  <si>
    <t>Cash balance, end of year</t>
  </si>
  <si>
    <t>Net debt/cash</t>
  </si>
  <si>
    <t>Total cash balance</t>
  </si>
  <si>
    <t>Debt</t>
  </si>
  <si>
    <t>Net cash balance</t>
  </si>
  <si>
    <t>USD/CNY - Period average</t>
  </si>
  <si>
    <t>USD/CNY - Period end</t>
  </si>
  <si>
    <t>Per share information</t>
  </si>
  <si>
    <t>Share price</t>
  </si>
  <si>
    <t>Market cap</t>
  </si>
  <si>
    <t>No. of shares outstanding</t>
  </si>
  <si>
    <t>No. of ADS outstanding</t>
  </si>
  <si>
    <t>Weighted no. of shares</t>
  </si>
  <si>
    <t>Weighted no. of ADS</t>
  </si>
  <si>
    <t>Net loss per ADS - Rmb</t>
  </si>
  <si>
    <t>Net loss per ADS - USD</t>
  </si>
  <si>
    <t>Net cash per ADS - USD</t>
  </si>
  <si>
    <t>Net cash as % of market cap</t>
  </si>
  <si>
    <t>Ex-cash share price</t>
  </si>
  <si>
    <t>Price to GMV</t>
  </si>
  <si>
    <t>Price to sales</t>
  </si>
  <si>
    <t>Working capital</t>
  </si>
  <si>
    <t>Prepayment turnover</t>
  </si>
  <si>
    <t>Advances from customers turnover</t>
  </si>
  <si>
    <t>Account payable turnover</t>
  </si>
  <si>
    <t>Gross book value</t>
  </si>
  <si>
    <t>Less: accumulated depreciation</t>
  </si>
  <si>
    <t>Net book value</t>
  </si>
  <si>
    <t>Construction in progress</t>
  </si>
  <si>
    <t>Depreciation</t>
  </si>
  <si>
    <t>Depreciation rate</t>
  </si>
  <si>
    <t>1Q19</t>
  </si>
  <si>
    <t>2Q19</t>
  </si>
  <si>
    <t>3Q19</t>
  </si>
  <si>
    <t>4Q19</t>
  </si>
  <si>
    <t>No. of trips (in thousands)</t>
  </si>
  <si>
    <t>YoY % chg</t>
  </si>
  <si>
    <t>Non-local tours</t>
  </si>
  <si>
    <t>Local tours</t>
  </si>
  <si>
    <t>Booking per trip (Rmb)</t>
  </si>
  <si>
    <t>Organized tours</t>
  </si>
  <si>
    <t>GMV</t>
  </si>
  <si>
    <t>Take rate</t>
  </si>
  <si>
    <t>Travel gross booking</t>
  </si>
  <si>
    <t>Total GMV</t>
  </si>
  <si>
    <t>Blended take rate</t>
  </si>
  <si>
    <t>GMV mix</t>
  </si>
  <si>
    <t>From repeat customers</t>
  </si>
  <si>
    <t>From lower tier cities</t>
  </si>
  <si>
    <t>Direct procurement</t>
  </si>
  <si>
    <t xml:space="preserve">n.a. </t>
  </si>
  <si>
    <t>Orgaized tours (before 1Q17)</t>
  </si>
  <si>
    <t>Total packaged tours</t>
  </si>
  <si>
    <t>Others (before 1Q17)</t>
  </si>
  <si>
    <t>Total revenues (before 1Q17)</t>
  </si>
  <si>
    <t>Revenue mix</t>
  </si>
  <si>
    <t>% of gross revenue</t>
  </si>
  <si>
    <t>Net revenues (before 1Q17)</t>
  </si>
  <si>
    <t>Cost of revenues (excl. SBC, before 1Q17)</t>
  </si>
  <si>
    <t>Cost to organized tour suppliers</t>
  </si>
  <si>
    <t>% of revenue</t>
  </si>
  <si>
    <t>Shared cost</t>
  </si>
  <si>
    <t>Non-GAAP gross profit (before 1Q17)</t>
  </si>
  <si>
    <t>Non-GAAP gross margin (before 1Q17)</t>
  </si>
  <si>
    <t>Operating expenses</t>
  </si>
  <si>
    <t>Research and development (Adj.)</t>
  </si>
  <si>
    <t>% of GMV</t>
  </si>
  <si>
    <t>% of revenue (before 1Q17)</t>
  </si>
  <si>
    <t>Sales and marketing (Adj.)</t>
  </si>
  <si>
    <t>General and administrative (Adj.)</t>
  </si>
  <si>
    <t>Amortization of acquired intangible assets</t>
  </si>
  <si>
    <t>Other operating income</t>
  </si>
  <si>
    <t>Adj. operating margin</t>
  </si>
  <si>
    <t>Average cash balance</t>
  </si>
  <si>
    <t>Implied interest rate</t>
  </si>
  <si>
    <t>Effective tax rate</t>
  </si>
  <si>
    <t>Non-GAAP net profit/(loss)</t>
  </si>
  <si>
    <t>GAAP operating costs</t>
  </si>
  <si>
    <t>Cost of revenue (before 1Q17)</t>
  </si>
  <si>
    <t>Ctrip Package GMV</t>
    <phoneticPr fontId="11" type="noConversion"/>
  </si>
  <si>
    <t>Tuniu YoY % chg</t>
    <phoneticPr fontId="11" type="noConversion"/>
  </si>
  <si>
    <t>Ctrip YoY % chg</t>
    <phoneticPr fontId="11" type="noConversion"/>
  </si>
  <si>
    <t xml:space="preserve">Tuniu Package GMV </t>
    <phoneticPr fontId="11" type="noConversion"/>
  </si>
  <si>
    <t>Tuniu - DCF Valuation</t>
  </si>
  <si>
    <t>Non-GAAP operating income</t>
  </si>
  <si>
    <t>EBIT margin</t>
  </si>
  <si>
    <t>D&amp;A</t>
  </si>
  <si>
    <t>EBITDA</t>
  </si>
  <si>
    <t>EBITDA margin</t>
  </si>
  <si>
    <t>Tax</t>
  </si>
  <si>
    <t>Chang in working capital</t>
  </si>
  <si>
    <t>CAPEX</t>
  </si>
  <si>
    <t>FCF</t>
  </si>
  <si>
    <t>Terminal growth rate</t>
  </si>
  <si>
    <t>WACC</t>
  </si>
  <si>
    <t>Terminal value</t>
  </si>
  <si>
    <t>PV of terminal value</t>
  </si>
  <si>
    <t>PV of FCF</t>
  </si>
  <si>
    <t>Enterprise value</t>
  </si>
  <si>
    <t>Less: net debt/(cash)</t>
  </si>
  <si>
    <t>Equity value - in Rmb mn</t>
  </si>
  <si>
    <t>CNYUSD</t>
  </si>
  <si>
    <t>Equity value - in US$mn</t>
  </si>
  <si>
    <t>No. of ADS</t>
  </si>
  <si>
    <t>Target price - US$</t>
  </si>
  <si>
    <t>Current price</t>
  </si>
  <si>
    <t>Potential up/(down)side</t>
  </si>
  <si>
    <t>Implied 2017e P/S</t>
  </si>
  <si>
    <t>Implied 2018e P/S</t>
  </si>
  <si>
    <t>Share count movement</t>
  </si>
  <si>
    <t>Balance as of Dec 2013</t>
  </si>
  <si>
    <t>IPO - preferred shares conversion</t>
  </si>
  <si>
    <t>IPO - New share issuance</t>
  </si>
  <si>
    <t>2014 private placement</t>
  </si>
  <si>
    <t>&lt;-- $148mn from a group of investors (Hony, JD, Ctrip)</t>
  </si>
  <si>
    <t>Share incentive plan</t>
  </si>
  <si>
    <t>Balance as of Dec 2014</t>
  </si>
  <si>
    <t>2015 private placement</t>
  </si>
  <si>
    <t>&lt;-- $500mn from a group of investors, including $350mn from JD.com; 1 board seats</t>
  </si>
  <si>
    <t>Balance as of Dec 2015</t>
  </si>
  <si>
    <t>2016 private placement</t>
  </si>
  <si>
    <t>&lt;-- $500mn from HNA Group completed in January 2016, 2 board seats</t>
  </si>
  <si>
    <t>Balance as of Dec 2016</t>
  </si>
  <si>
    <t>Shareholders</t>
  </si>
  <si>
    <t>% shares</t>
  </si>
  <si>
    <t>% voting power</t>
  </si>
  <si>
    <t>Affliate of HNA Tourism</t>
  </si>
  <si>
    <t>Affiliates of JD.com</t>
  </si>
  <si>
    <t>Subsidiary of Hony Capital</t>
  </si>
  <si>
    <t>Yu and family</t>
  </si>
  <si>
    <t>Fullshares</t>
  </si>
  <si>
    <t>Net income (GAAP) (Total comprehensive income (loss) for the period)</t>
    <phoneticPr fontId="11" type="noConversion"/>
  </si>
  <si>
    <t xml:space="preserve">Yatra                                    </t>
    <phoneticPr fontId="11" type="noConversion"/>
  </si>
  <si>
    <t>Adjusted revenue(Revenue less service cost):</t>
    <phoneticPr fontId="11" type="noConversion"/>
  </si>
  <si>
    <t>Number of air passengers</t>
    <phoneticPr fontId="11" type="noConversion"/>
  </si>
  <si>
    <t xml:space="preserve">  Combined</t>
    <phoneticPr fontId="11" type="noConversion"/>
  </si>
  <si>
    <t>OP Margin  GAAP (OP/Revenue less service costs)</t>
  </si>
  <si>
    <t xml:space="preserve">    Procurement cost of hotel and packages </t>
    <phoneticPr fontId="11" type="noConversion"/>
  </si>
  <si>
    <t xml:space="preserve">    Others</t>
    <phoneticPr fontId="11" type="noConversion"/>
  </si>
  <si>
    <t xml:space="preserve">    Bus  ticketing</t>
    <phoneticPr fontId="11" type="noConversion"/>
  </si>
  <si>
    <t xml:space="preserve">    Other revenue(bus+others) - OLD</t>
    <phoneticPr fontId="11" type="noConversion"/>
  </si>
  <si>
    <t xml:space="preserve">    Hotel and packages</t>
    <phoneticPr fontId="11" type="noConversion"/>
  </si>
  <si>
    <t xml:space="preserve">    Air ticketing</t>
    <phoneticPr fontId="11" type="noConversion"/>
  </si>
  <si>
    <t xml:space="preserve">    Personnel expenses</t>
    <phoneticPr fontId="11" type="noConversion"/>
  </si>
  <si>
    <t xml:space="preserve">    Marketing and sales promotion expenses</t>
    <phoneticPr fontId="11" type="noConversion"/>
  </si>
  <si>
    <t xml:space="preserve">    Other operating expenses</t>
    <phoneticPr fontId="11" type="noConversion"/>
  </si>
  <si>
    <t xml:space="preserve">    Depreciation, amortization and impairment</t>
    <phoneticPr fontId="11" type="noConversion"/>
  </si>
  <si>
    <t xml:space="preserve">    Share-based compensation</t>
    <phoneticPr fontId="11" type="noConversion"/>
  </si>
  <si>
    <t>YoY % growth rate</t>
    <phoneticPr fontId="11" type="noConversion"/>
  </si>
  <si>
    <t xml:space="preserve">          Marketing and sales promotion expenses as % of GMV</t>
    <phoneticPr fontId="11" type="noConversion"/>
  </si>
  <si>
    <t xml:space="preserve">    Personnel expenses</t>
    <phoneticPr fontId="11" type="noConversion"/>
  </si>
  <si>
    <t xml:space="preserve">    Other operating expenses</t>
    <phoneticPr fontId="11" type="noConversion"/>
  </si>
  <si>
    <t xml:space="preserve">   SBC %</t>
    <phoneticPr fontId="11" type="noConversion"/>
  </si>
  <si>
    <t xml:space="preserve">    Share-based compensation</t>
    <phoneticPr fontId="11" type="noConversion"/>
  </si>
  <si>
    <t xml:space="preserve">    Current assets:</t>
    <phoneticPr fontId="11" type="noConversion"/>
  </si>
  <si>
    <t xml:space="preserve">    Cash  </t>
    <phoneticPr fontId="11" type="noConversion"/>
  </si>
  <si>
    <t xml:space="preserve">    Restricted cash</t>
    <phoneticPr fontId="11" type="noConversion"/>
  </si>
  <si>
    <t xml:space="preserve">    Short-term investment</t>
    <phoneticPr fontId="11" type="noConversion"/>
  </si>
  <si>
    <t>Total assets</t>
    <phoneticPr fontId="11" type="noConversion"/>
  </si>
  <si>
    <t xml:space="preserve"> Cash, Restricted cash and short-term investment</t>
    <phoneticPr fontId="11" type="noConversion"/>
  </si>
  <si>
    <t xml:space="preserve">    Long term debt</t>
    <phoneticPr fontId="11" type="noConversion"/>
  </si>
  <si>
    <t xml:space="preserve">    Short term debt</t>
    <phoneticPr fontId="11" type="noConversion"/>
  </si>
  <si>
    <t>Market Share</t>
    <phoneticPr fontId="11" type="noConversion"/>
  </si>
  <si>
    <t xml:space="preserve">    %  share of domestic air market</t>
    <phoneticPr fontId="11" type="noConversion"/>
  </si>
  <si>
    <t xml:space="preserve">    %  share of outbound air market</t>
    <phoneticPr fontId="11" type="noConversion"/>
  </si>
  <si>
    <t xml:space="preserve">    %  share of domestic hotel transactions booked via OTAs</t>
    <phoneticPr fontId="11" type="noConversion"/>
  </si>
  <si>
    <t xml:space="preserve">    % share of domestic hotel market(offline+online)</t>
    <phoneticPr fontId="11" type="noConversion"/>
  </si>
  <si>
    <t xml:space="preserve">    %  share of OTA market</t>
    <phoneticPr fontId="11" type="noConversion"/>
  </si>
  <si>
    <t xml:space="preserve">      Market Share (%)</t>
    <phoneticPr fontId="11" type="noConversion"/>
  </si>
  <si>
    <t xml:space="preserve">      Air ticketing YoY growth rate</t>
    <phoneticPr fontId="11" type="noConversion"/>
  </si>
  <si>
    <t xml:space="preserve">      H&amp;P YoY growth rate</t>
    <phoneticPr fontId="11" type="noConversion"/>
  </si>
  <si>
    <t xml:space="preserve">  Bus</t>
    <phoneticPr fontId="11" type="noConversion"/>
  </si>
  <si>
    <t xml:space="preserve"> Standalone Hotel booking</t>
    <phoneticPr fontId="11" type="noConversion"/>
  </si>
  <si>
    <t xml:space="preserve"> Intercity Bus ticketing</t>
    <phoneticPr fontId="11" type="noConversion"/>
  </si>
  <si>
    <t xml:space="preserve">   Mobile % of monthly unique visitors</t>
    <phoneticPr fontId="11" type="noConversion"/>
  </si>
  <si>
    <t>% of mobile transactions</t>
    <phoneticPr fontId="11" type="noConversion"/>
  </si>
  <si>
    <t>India total hotels</t>
    <phoneticPr fontId="11" type="noConversion"/>
  </si>
  <si>
    <t>India non-hotels (alternative accomodations)</t>
    <phoneticPr fontId="11" type="noConversion"/>
  </si>
  <si>
    <t xml:space="preserve">   Other expenses</t>
    <phoneticPr fontId="11" type="noConversion"/>
  </si>
  <si>
    <t xml:space="preserve">    Impairment</t>
    <phoneticPr fontId="11" type="noConversion"/>
  </si>
  <si>
    <t xml:space="preserve">                                Restricted cash</t>
    <phoneticPr fontId="11" type="noConversion"/>
  </si>
  <si>
    <t xml:space="preserve">                                Short-term investment</t>
    <phoneticPr fontId="11" type="noConversion"/>
  </si>
  <si>
    <t xml:space="preserve">Cash </t>
    <phoneticPr fontId="11" type="noConversion"/>
  </si>
  <si>
    <t>Air tickets YoY growth</t>
    <phoneticPr fontId="11" type="noConversion"/>
  </si>
  <si>
    <t>Air tickets sold  (MS estimates)(mn)</t>
    <phoneticPr fontId="11" type="noConversion"/>
  </si>
  <si>
    <t>2019Q1</t>
    <phoneticPr fontId="11" type="noConversion"/>
  </si>
  <si>
    <t>Int'l take rate</t>
    <phoneticPr fontId="11" type="noConversion"/>
  </si>
  <si>
    <t>US take rate</t>
    <phoneticPr fontId="11" type="noConversion"/>
  </si>
  <si>
    <t>Share-based compensation</t>
    <phoneticPr fontId="11" type="noConversion"/>
  </si>
  <si>
    <t xml:space="preserve"> Adjusted EBITDA YoY growth</t>
    <phoneticPr fontId="11" type="noConversion"/>
  </si>
  <si>
    <t>Depreciation &amp; Amortization</t>
    <phoneticPr fontId="11" type="noConversion"/>
  </si>
  <si>
    <t>Net profit margin non-GAAP  (/ Revenue)</t>
    <phoneticPr fontId="11" type="noConversion"/>
  </si>
  <si>
    <t>Gross profit margin non-GAAP (/Gross profit)</t>
    <phoneticPr fontId="11" type="noConversion"/>
  </si>
  <si>
    <t xml:space="preserve">                                Cash, Restricated cash and           short-term investment</t>
    <phoneticPr fontId="11" type="noConversion"/>
  </si>
  <si>
    <t>Advances from customers(Deferred bookings)</t>
    <phoneticPr fontId="11" type="noConversion"/>
  </si>
  <si>
    <t xml:space="preserve"> roomnights in millions incl. HomeAway(mn)</t>
    <phoneticPr fontId="11" type="noConversion"/>
  </si>
  <si>
    <t># of bookable listings on HomeAway(Vrbo) (mn)</t>
    <phoneticPr fontId="11" type="noConversion"/>
  </si>
  <si>
    <t>Gross booking breakdown by product lines (MS Estimates)</t>
    <phoneticPr fontId="11" type="noConversion"/>
  </si>
  <si>
    <t>in millions</t>
    <phoneticPr fontId="11" type="noConversion"/>
  </si>
  <si>
    <t>14Q1</t>
    <phoneticPr fontId="11" type="noConversion"/>
  </si>
  <si>
    <t>14Q2</t>
    <phoneticPr fontId="11" type="noConversion"/>
  </si>
  <si>
    <t>14Q3</t>
    <phoneticPr fontId="11" type="noConversion"/>
  </si>
  <si>
    <t>14Q4</t>
    <phoneticPr fontId="11" type="noConversion"/>
  </si>
  <si>
    <t>15Q1</t>
    <phoneticPr fontId="11" type="noConversion"/>
  </si>
  <si>
    <t>15Q2</t>
    <phoneticPr fontId="11" type="noConversion"/>
  </si>
  <si>
    <t>15Q3</t>
    <phoneticPr fontId="11" type="noConversion"/>
  </si>
  <si>
    <t>15Q4</t>
    <phoneticPr fontId="11" type="noConversion"/>
  </si>
  <si>
    <t>16Q1</t>
    <phoneticPr fontId="11" type="noConversion"/>
  </si>
  <si>
    <r>
      <t>16Q2</t>
    </r>
    <r>
      <rPr>
        <sz val="12"/>
        <rFont val="宋体"/>
        <family val="3"/>
        <charset val="134"/>
      </rPr>
      <t/>
    </r>
  </si>
  <si>
    <r>
      <t>16Q3</t>
    </r>
    <r>
      <rPr>
        <sz val="12"/>
        <rFont val="宋体"/>
        <family val="3"/>
        <charset val="134"/>
      </rPr>
      <t/>
    </r>
  </si>
  <si>
    <r>
      <t>16Q4</t>
    </r>
    <r>
      <rPr>
        <sz val="12"/>
        <rFont val="宋体"/>
        <family val="3"/>
        <charset val="134"/>
      </rPr>
      <t/>
    </r>
  </si>
  <si>
    <t>17Q1</t>
    <phoneticPr fontId="11" type="noConversion"/>
  </si>
  <si>
    <t>17Q2</t>
    <phoneticPr fontId="11" type="noConversion"/>
  </si>
  <si>
    <t>17Q3</t>
    <phoneticPr fontId="11" type="noConversion"/>
  </si>
  <si>
    <t>17Q4</t>
    <phoneticPr fontId="11" type="noConversion"/>
  </si>
  <si>
    <t>18Q1</t>
    <phoneticPr fontId="11" type="noConversion"/>
  </si>
  <si>
    <t>18Q2</t>
    <phoneticPr fontId="11" type="noConversion"/>
  </si>
  <si>
    <t>18Q3</t>
    <phoneticPr fontId="11" type="noConversion"/>
  </si>
  <si>
    <t>18Q4</t>
    <phoneticPr fontId="11" type="noConversion"/>
  </si>
  <si>
    <t>19Q1</t>
    <phoneticPr fontId="11" type="noConversion"/>
  </si>
  <si>
    <t>Gross booking</t>
    <phoneticPr fontId="11" type="noConversion"/>
  </si>
  <si>
    <t xml:space="preserve"> YoY growth rate</t>
    <phoneticPr fontId="11" type="noConversion"/>
  </si>
  <si>
    <t>Revenue</t>
    <phoneticPr fontId="11" type="noConversion"/>
  </si>
  <si>
    <t>Adjusted EBITDA</t>
    <phoneticPr fontId="11" type="noConversion"/>
  </si>
  <si>
    <t>Sales and other expenses</t>
    <phoneticPr fontId="11" type="noConversion"/>
  </si>
  <si>
    <t xml:space="preserve">        Adjusted EBITDA margin</t>
    <phoneticPr fontId="11" type="noConversion"/>
  </si>
  <si>
    <t>Vrbo (HomeAway)</t>
    <phoneticPr fontId="11" type="noConversion"/>
  </si>
  <si>
    <t>Vrbo YoY growth</t>
    <phoneticPr fontId="11" type="noConversion"/>
  </si>
  <si>
    <t>Vrbo contribution</t>
    <phoneticPr fontId="11" type="noConversion"/>
  </si>
  <si>
    <t>Vrbo (HomeAway) Update</t>
    <phoneticPr fontId="11" type="noConversion"/>
  </si>
  <si>
    <r>
      <t xml:space="preserve">Cash Flow </t>
    </r>
    <r>
      <rPr>
        <b/>
        <sz val="9"/>
        <rFont val="宋体"/>
        <family val="3"/>
        <charset val="134"/>
      </rPr>
      <t>（</t>
    </r>
    <r>
      <rPr>
        <b/>
        <sz val="9"/>
        <rFont val="arial"/>
        <family val="2"/>
      </rPr>
      <t>3 months)</t>
    </r>
  </si>
  <si>
    <r>
      <t>OP Margin</t>
    </r>
    <r>
      <rPr>
        <b/>
        <sz val="9"/>
        <rFont val="arial"/>
        <family val="2"/>
      </rPr>
      <t xml:space="preserve"> non-GAAP (OP/Adjusted revenue)</t>
    </r>
    <phoneticPr fontId="11" type="noConversion"/>
  </si>
  <si>
    <t>check</t>
    <phoneticPr fontId="11" type="noConversion"/>
  </si>
  <si>
    <t>Agency %</t>
    <phoneticPr fontId="11" type="noConversion"/>
  </si>
  <si>
    <t>Merchant %</t>
    <phoneticPr fontId="11" type="noConversion"/>
  </si>
  <si>
    <r>
      <t xml:space="preserve">Opex </t>
    </r>
    <r>
      <rPr>
        <b/>
        <sz val="9"/>
        <rFont val="宋体"/>
        <family val="3"/>
        <charset val="134"/>
      </rPr>
      <t>同</t>
    </r>
    <r>
      <rPr>
        <b/>
        <sz val="9"/>
        <rFont val="arial"/>
        <family val="2"/>
      </rPr>
      <t>Ctrip</t>
    </r>
    <r>
      <rPr>
        <b/>
        <sz val="9"/>
        <rFont val="宋体"/>
        <family val="3"/>
        <charset val="134"/>
      </rPr>
      <t>口径：</t>
    </r>
    <phoneticPr fontId="11" type="noConversion"/>
  </si>
  <si>
    <r>
      <t>OP Margin</t>
    </r>
    <r>
      <rPr>
        <b/>
        <sz val="9"/>
        <rFont val="arial"/>
        <family val="2"/>
      </rPr>
      <t xml:space="preserve">  GAAP (OP/Revenue)</t>
    </r>
    <phoneticPr fontId="11" type="noConversion"/>
  </si>
  <si>
    <r>
      <t xml:space="preserve">OP Margin  </t>
    </r>
    <r>
      <rPr>
        <b/>
        <sz val="9"/>
        <rFont val="arial"/>
        <family val="2"/>
      </rPr>
      <t>GAAP (OP/Gross Profit)</t>
    </r>
    <phoneticPr fontId="11" type="noConversion"/>
  </si>
  <si>
    <r>
      <t>OP Margin</t>
    </r>
    <r>
      <rPr>
        <b/>
        <sz val="9"/>
        <rFont val="arial"/>
        <family val="2"/>
      </rPr>
      <t xml:space="preserve"> non- GAAP (OP/Revenue)</t>
    </r>
    <phoneticPr fontId="11" type="noConversion"/>
  </si>
  <si>
    <r>
      <t>OP Margin</t>
    </r>
    <r>
      <rPr>
        <b/>
        <sz val="9"/>
        <rFont val="arial"/>
        <family val="2"/>
      </rPr>
      <t xml:space="preserve">  non - GAAP (OP/Gross Profit)</t>
    </r>
    <phoneticPr fontId="11" type="noConversion"/>
  </si>
  <si>
    <r>
      <t xml:space="preserve">Net profit margin GAAP </t>
    </r>
    <r>
      <rPr>
        <b/>
        <sz val="9"/>
        <rFont val="arial"/>
        <family val="2"/>
      </rPr>
      <t xml:space="preserve"> (/ Revenue)</t>
    </r>
    <phoneticPr fontId="11" type="noConversion"/>
  </si>
  <si>
    <r>
      <t>Net profit margin GAAP</t>
    </r>
    <r>
      <rPr>
        <b/>
        <sz val="9"/>
        <rFont val="arial"/>
        <family val="2"/>
      </rPr>
      <t xml:space="preserve"> (/Gross profit)</t>
    </r>
    <phoneticPr fontId="11" type="noConversion"/>
  </si>
  <si>
    <r>
      <t xml:space="preserve">Net profit margin non-GAAP </t>
    </r>
    <r>
      <rPr>
        <b/>
        <sz val="9"/>
        <rFont val="arial"/>
        <family val="2"/>
      </rPr>
      <t xml:space="preserve"> (/ Revenue)</t>
    </r>
    <phoneticPr fontId="11" type="noConversion"/>
  </si>
  <si>
    <r>
      <t>Gross profit margin non-GAAP</t>
    </r>
    <r>
      <rPr>
        <b/>
        <sz val="9"/>
        <rFont val="arial"/>
        <family val="2"/>
      </rPr>
      <t xml:space="preserve"> (/Gross profit)</t>
    </r>
    <phoneticPr fontId="11" type="noConversion"/>
  </si>
  <si>
    <r>
      <t>As % of Net Revenue (Reporting</t>
    </r>
    <r>
      <rPr>
        <b/>
        <sz val="9"/>
        <rFont val="宋体"/>
        <family val="3"/>
        <charset val="134"/>
      </rPr>
      <t>口径</t>
    </r>
    <r>
      <rPr>
        <b/>
        <sz val="9"/>
        <rFont val="arial"/>
        <family val="2"/>
      </rPr>
      <t>)</t>
    </r>
    <phoneticPr fontId="11" type="noConversion"/>
  </si>
  <si>
    <r>
      <t>As % of Net Revenue (</t>
    </r>
    <r>
      <rPr>
        <b/>
        <sz val="9"/>
        <rFont val="宋体"/>
        <family val="3"/>
        <charset val="134"/>
      </rPr>
      <t>同</t>
    </r>
    <r>
      <rPr>
        <b/>
        <sz val="9"/>
        <rFont val="arial"/>
        <family val="2"/>
      </rPr>
      <t>Ctrip</t>
    </r>
    <r>
      <rPr>
        <b/>
        <sz val="9"/>
        <rFont val="宋体"/>
        <family val="3"/>
        <charset val="134"/>
      </rPr>
      <t>口径</t>
    </r>
    <r>
      <rPr>
        <b/>
        <sz val="9"/>
        <rFont val="arial"/>
        <family val="2"/>
      </rPr>
      <t>)</t>
    </r>
    <phoneticPr fontId="11" type="noConversion"/>
  </si>
  <si>
    <t>Agency %</t>
    <phoneticPr fontId="11" type="noConversion"/>
  </si>
  <si>
    <t>Merchant %</t>
    <phoneticPr fontId="11" type="noConversion"/>
  </si>
  <si>
    <t>Advertising&amp;media %</t>
    <phoneticPr fontId="11" type="noConversion"/>
  </si>
  <si>
    <t xml:space="preserve">                                                                                                                                                                                                                            </t>
    <phoneticPr fontId="11" type="noConversion"/>
  </si>
  <si>
    <t>1Q19</t>
    <phoneticPr fontId="11" type="noConversion"/>
  </si>
  <si>
    <t>4QF19</t>
    <phoneticPr fontId="11" type="noConversion"/>
  </si>
  <si>
    <t xml:space="preserve">         Adjusted S&amp;M expenses as % of GMV</t>
    <phoneticPr fontId="11" type="noConversion"/>
  </si>
  <si>
    <t xml:space="preserve">         Revenue less service costs - Adj S&amp;M exp</t>
    <phoneticPr fontId="11" type="noConversion"/>
  </si>
  <si>
    <t>Outbound (Domestic &amp; Foreign)</t>
    <phoneticPr fontId="11" type="noConversion"/>
  </si>
  <si>
    <t>Inbound (Domestic &amp; Foreign)</t>
    <phoneticPr fontId="11" type="noConversion"/>
  </si>
  <si>
    <t>Total</t>
    <phoneticPr fontId="11" type="noConversion"/>
  </si>
  <si>
    <r>
      <t xml:space="preserve">YoY </t>
    </r>
    <r>
      <rPr>
        <strike/>
        <sz val="9"/>
        <rFont val="Arial"/>
        <family val="2"/>
      </rPr>
      <t>%</t>
    </r>
    <r>
      <rPr>
        <sz val="9"/>
        <rFont val="Arial"/>
        <family val="2"/>
      </rPr>
      <t xml:space="preserve"> Growth on a constant currency basis</t>
    </r>
    <phoneticPr fontId="11" type="noConversion"/>
  </si>
  <si>
    <t>YoY % Growth on a constant currency basis</t>
  </si>
  <si>
    <t>YoY % Growth on a constant currency basis</t>
    <phoneticPr fontId="11" type="noConversion"/>
  </si>
  <si>
    <t xml:space="preserve">  Bus ticketing</t>
    <phoneticPr fontId="11" type="noConversion"/>
  </si>
  <si>
    <t>19Q1</t>
    <phoneticPr fontId="11" type="noConversion"/>
  </si>
  <si>
    <t>2015Q1</t>
    <phoneticPr fontId="11" type="noConversion"/>
  </si>
  <si>
    <t>2015Q2</t>
    <phoneticPr fontId="11" type="noConversion"/>
  </si>
  <si>
    <t>2015Q3</t>
    <phoneticPr fontId="11" type="noConversion"/>
  </si>
  <si>
    <t>2015Q4</t>
    <phoneticPr fontId="11" type="noConversion"/>
  </si>
  <si>
    <t>2016Q1</t>
    <phoneticPr fontId="11" type="noConversion"/>
  </si>
  <si>
    <t>2016Q2</t>
    <phoneticPr fontId="11" type="noConversion"/>
  </si>
  <si>
    <t>2016Q3</t>
    <phoneticPr fontId="11" type="noConversion"/>
  </si>
  <si>
    <t>2016Q4</t>
    <phoneticPr fontId="11" type="noConversion"/>
  </si>
  <si>
    <t>2017Q1</t>
    <phoneticPr fontId="11" type="noConversion"/>
  </si>
  <si>
    <t>2017Q2</t>
    <phoneticPr fontId="11" type="noConversion"/>
  </si>
  <si>
    <t>2017Q3</t>
    <phoneticPr fontId="11" type="noConversion"/>
  </si>
  <si>
    <t>2017Q4</t>
    <phoneticPr fontId="11" type="noConversion"/>
  </si>
  <si>
    <t>2018Q1</t>
    <phoneticPr fontId="11" type="noConversion"/>
  </si>
  <si>
    <t>2018Q2</t>
    <phoneticPr fontId="11" type="noConversion"/>
  </si>
  <si>
    <t>2018Q3</t>
    <phoneticPr fontId="11" type="noConversion"/>
  </si>
  <si>
    <t>2018Q4</t>
    <phoneticPr fontId="11" type="noConversion"/>
  </si>
  <si>
    <t>EXPE Gross booking value YoY Growth on a constant currency basis</t>
    <phoneticPr fontId="11" type="noConversion"/>
  </si>
  <si>
    <t>EXPE Revenue</t>
    <phoneticPr fontId="11" type="noConversion"/>
  </si>
  <si>
    <t>EXPE Revenue YoY Growth on a non-constant currency basis</t>
    <phoneticPr fontId="11" type="noConversion"/>
  </si>
  <si>
    <t>EXPE Non-GAAP OP</t>
    <phoneticPr fontId="11" type="noConversion"/>
  </si>
  <si>
    <t>EXPE Room Nights</t>
    <phoneticPr fontId="11" type="noConversion"/>
  </si>
  <si>
    <t>EXPE Room Nights YoY Growth</t>
    <phoneticPr fontId="11" type="noConversion"/>
  </si>
  <si>
    <t>EXPE Organic Room Nights YoY Growth</t>
    <phoneticPr fontId="11" type="noConversion"/>
  </si>
  <si>
    <t xml:space="preserve">  Middle East and Africa</t>
    <phoneticPr fontId="11" type="noConversion"/>
  </si>
  <si>
    <t>2013Q2</t>
    <phoneticPr fontId="11" type="noConversion"/>
  </si>
  <si>
    <t>2013Q3</t>
  </si>
  <si>
    <t>2013Q4</t>
  </si>
  <si>
    <t>2014Q1</t>
    <phoneticPr fontId="11" type="noConversion"/>
  </si>
  <si>
    <t>2015Q1</t>
    <phoneticPr fontId="11" type="noConversion"/>
  </si>
  <si>
    <t>2016Q1</t>
    <phoneticPr fontId="11" type="noConversion"/>
  </si>
  <si>
    <t>2017Q1</t>
    <phoneticPr fontId="11" type="noConversion"/>
  </si>
  <si>
    <t>2018Q1</t>
    <phoneticPr fontId="11" type="noConversion"/>
  </si>
  <si>
    <t>2019Q1</t>
    <phoneticPr fontId="11" type="noConversion"/>
  </si>
  <si>
    <t>2019Q2</t>
  </si>
  <si>
    <t>2019Q3</t>
  </si>
  <si>
    <t>2019Q4</t>
  </si>
  <si>
    <t>Net income (non-GAAP, excl. SBC &amp; intangeble D&amp;A)</t>
    <phoneticPr fontId="11" type="noConversion"/>
  </si>
  <si>
    <t>Q1-2019</t>
    <phoneticPr fontId="11" type="noConversion"/>
  </si>
  <si>
    <t>Packaged tours (organized+self-guided)</t>
    <phoneticPr fontId="11" type="noConversion"/>
  </si>
  <si>
    <t>Self-guided tours</t>
    <phoneticPr fontId="11" type="noConversion"/>
  </si>
  <si>
    <t>Organized tours</t>
    <phoneticPr fontId="11" type="noConversion"/>
  </si>
  <si>
    <t>Other revenue</t>
    <phoneticPr fontId="11" type="noConversion"/>
  </si>
  <si>
    <t>Operating Margin (GAAP)</t>
    <phoneticPr fontId="11" type="noConversion"/>
  </si>
  <si>
    <t>2019Q2</t>
    <phoneticPr fontId="11" type="noConversion"/>
  </si>
  <si>
    <t>Depreciation &amp; Amortization</t>
    <phoneticPr fontId="11" type="noConversion"/>
  </si>
  <si>
    <t>Bus ticketing gross booking value - reported</t>
    <phoneticPr fontId="11" type="noConversion"/>
  </si>
  <si>
    <t>Volumes</t>
    <phoneticPr fontId="11" type="noConversion"/>
  </si>
  <si>
    <t>Hotel contribution</t>
    <phoneticPr fontId="11" type="noConversion"/>
  </si>
  <si>
    <t>Operating expenses (non-GAAP,excl. SBC)</t>
    <phoneticPr fontId="11" type="noConversion"/>
  </si>
  <si>
    <t>Gross booking value YoY Growth on a constant currency basis</t>
    <phoneticPr fontId="11" type="noConversion"/>
  </si>
  <si>
    <t xml:space="preserve"> roomnights in millions</t>
    <phoneticPr fontId="11" type="noConversion"/>
  </si>
  <si>
    <t>19Q2</t>
  </si>
  <si>
    <t>2Q19</t>
    <phoneticPr fontId="11" type="noConversion"/>
  </si>
  <si>
    <t>1QF20</t>
    <phoneticPr fontId="11" type="noConversion"/>
  </si>
  <si>
    <t>Total revenue</t>
    <phoneticPr fontId="11" type="noConversion"/>
  </si>
  <si>
    <t>YoY</t>
    <phoneticPr fontId="11" type="noConversion"/>
  </si>
  <si>
    <t>Gross Profit</t>
    <phoneticPr fontId="11" type="noConversion"/>
  </si>
  <si>
    <t>Non-GAAP Opex</t>
    <phoneticPr fontId="11" type="noConversion"/>
  </si>
  <si>
    <t>Non-GAAP Opex (Ctrip comparable)</t>
    <phoneticPr fontId="11" type="noConversion"/>
  </si>
  <si>
    <t>Other operating income</t>
    <phoneticPr fontId="11" type="noConversion"/>
  </si>
  <si>
    <t>Non-GAAP OP</t>
    <phoneticPr fontId="11" type="noConversion"/>
  </si>
  <si>
    <t>Non-GAAP OPM%</t>
    <phoneticPr fontId="11" type="noConversion"/>
  </si>
  <si>
    <t>Blue - key in; Black - fomular</t>
    <phoneticPr fontId="11" type="noConversion"/>
  </si>
  <si>
    <r>
      <t>Operation Data</t>
    </r>
    <r>
      <rPr>
        <sz val="10"/>
        <rFont val="Arial"/>
        <family val="2"/>
      </rPr>
      <t xml:space="preserve"> (in real units, unless otherwise stated)</t>
    </r>
    <phoneticPr fontId="11" type="noConversion"/>
  </si>
  <si>
    <t>NA</t>
    <phoneticPr fontId="11" type="noConversion"/>
  </si>
  <si>
    <t>&gt;500</t>
    <phoneticPr fontId="11" type="noConversion"/>
  </si>
  <si>
    <t xml:space="preserve">  America</t>
    <phoneticPr fontId="11" type="noConversion"/>
  </si>
  <si>
    <t>Q2-2019</t>
    <phoneticPr fontId="11" type="noConversion"/>
  </si>
  <si>
    <t>2Q19</t>
    <phoneticPr fontId="11" type="noConversion"/>
  </si>
  <si>
    <t>自采产品GMV占度假业务的比例</t>
    <phoneticPr fontId="11" type="noConversion"/>
  </si>
  <si>
    <t>3Q19</t>
    <phoneticPr fontId="11" type="noConversion"/>
  </si>
  <si>
    <t>2QF20</t>
    <phoneticPr fontId="11" type="noConversion"/>
  </si>
  <si>
    <t>19Q3</t>
    <phoneticPr fontId="11" type="noConversion"/>
  </si>
  <si>
    <t>Issue of ordinary shares on exercise of share based awards</t>
    <phoneticPr fontId="11" type="noConversion"/>
  </si>
  <si>
    <t>Fiscal 2019 Third Quarter Financial Results</t>
    <phoneticPr fontId="11" type="noConversion"/>
  </si>
  <si>
    <t>For the six months ended
September 30</t>
    <phoneticPr fontId="11" type="noConversion"/>
  </si>
  <si>
    <t>19Q3</t>
  </si>
  <si>
    <t>2019Q3</t>
    <phoneticPr fontId="11" type="noConversion"/>
  </si>
  <si>
    <t>Q3-2019</t>
    <phoneticPr fontId="11" type="noConversion"/>
  </si>
  <si>
    <t>Total Local Tour Operators</t>
    <phoneticPr fontId="11" type="noConversion"/>
  </si>
  <si>
    <t>19Q4</t>
  </si>
  <si>
    <t>TCOM</t>
    <phoneticPr fontId="11" type="noConversion"/>
  </si>
  <si>
    <t>~500</t>
    <phoneticPr fontId="11" type="noConversion"/>
  </si>
  <si>
    <t>NA</t>
    <phoneticPr fontId="11" type="noConversion"/>
  </si>
  <si>
    <t>2020Q1</t>
    <phoneticPr fontId="11" type="noConversion"/>
  </si>
  <si>
    <t>Marketing expense</t>
    <phoneticPr fontId="11" type="noConversion"/>
  </si>
  <si>
    <t>Impairment of investment</t>
    <phoneticPr fontId="11" type="noConversion"/>
  </si>
  <si>
    <t>Convertible Debt</t>
    <phoneticPr fontId="11" type="noConversion"/>
  </si>
  <si>
    <r>
      <t>S</t>
    </r>
    <r>
      <rPr>
        <sz val="12"/>
        <rFont val="宋体"/>
        <family val="3"/>
        <charset val="134"/>
      </rPr>
      <t>ales and marketing</t>
    </r>
    <phoneticPr fontId="11" type="noConversion"/>
  </si>
  <si>
    <r>
      <t>A</t>
    </r>
    <r>
      <rPr>
        <sz val="12"/>
        <rFont val="宋体"/>
        <family val="3"/>
        <charset val="134"/>
      </rPr>
      <t>dvertising (Online+Offline)</t>
    </r>
    <phoneticPr fontId="11" type="noConversion"/>
  </si>
  <si>
    <t>Gross Booking per Marketing Dollar</t>
    <phoneticPr fontId="11" type="noConversion"/>
  </si>
  <si>
    <t>Incremental</t>
    <phoneticPr fontId="11" type="noConversion"/>
  </si>
  <si>
    <t>Total Revenue</t>
    <phoneticPr fontId="11" type="noConversion"/>
  </si>
  <si>
    <t xml:space="preserve">   Depreciation and Amortization</t>
    <phoneticPr fontId="11" type="noConversion"/>
  </si>
  <si>
    <t>TCOM Revenue YoY Growth in RMB</t>
    <phoneticPr fontId="11" type="noConversion"/>
  </si>
  <si>
    <t>TCOM Room Nights(C group incl. Corp)</t>
    <phoneticPr fontId="11" type="noConversion"/>
  </si>
  <si>
    <t>TCOM Room Nights YoY Growth</t>
    <phoneticPr fontId="11" type="noConversion"/>
  </si>
  <si>
    <t>TCOM + CQ2E Room Nights</t>
    <phoneticPr fontId="11" type="noConversion"/>
  </si>
  <si>
    <t>TCOM non-GAAP S&amp;M expenses as % of net revenue</t>
    <phoneticPr fontId="11" type="noConversion"/>
  </si>
  <si>
    <t>4Q19</t>
    <phoneticPr fontId="11" type="noConversion"/>
  </si>
  <si>
    <t>3QF20</t>
    <phoneticPr fontId="11" type="noConversion"/>
  </si>
  <si>
    <t xml:space="preserve"> </t>
    <phoneticPr fontId="11" type="noConversion"/>
  </si>
  <si>
    <r>
      <t xml:space="preserve">    Short-term investment </t>
    </r>
    <r>
      <rPr>
        <sz val="9"/>
        <rFont val="宋体"/>
        <family val="3"/>
        <charset val="134"/>
      </rPr>
      <t>（</t>
    </r>
    <r>
      <rPr>
        <sz val="9"/>
        <rFont val="Arial"/>
        <family val="2"/>
      </rPr>
      <t>term deposits</t>
    </r>
    <r>
      <rPr>
        <sz val="9"/>
        <rFont val="宋体"/>
        <family val="3"/>
        <charset val="134"/>
      </rPr>
      <t>）</t>
    </r>
    <phoneticPr fontId="11" type="noConversion"/>
  </si>
  <si>
    <t>For the nine months ended
Dec 31</t>
    <phoneticPr fontId="11" type="noConversion"/>
  </si>
  <si>
    <t>YoY % Change</t>
    <phoneticPr fontId="11" type="noConversion"/>
  </si>
  <si>
    <t xml:space="preserve">  Air Hotel Combined</t>
    <phoneticPr fontId="11" type="noConversion"/>
  </si>
  <si>
    <t>19Q4</t>
    <phoneticPr fontId="11" type="noConversion"/>
  </si>
  <si>
    <t>Air ticheting (Pro Forma) growth rate</t>
    <phoneticPr fontId="11" type="noConversion"/>
  </si>
  <si>
    <t>Standalone hotels (Pro Forma) growth rate</t>
    <phoneticPr fontId="11" type="noConversion"/>
  </si>
  <si>
    <t>Bus tickets (Pro Forma) growth rate</t>
    <phoneticPr fontId="11" type="noConversion"/>
  </si>
  <si>
    <t>Unit: RMB in million</t>
    <phoneticPr fontId="74" type="noConversion"/>
  </si>
  <si>
    <t>2018Q2</t>
    <phoneticPr fontId="11" type="noConversion"/>
  </si>
  <si>
    <t>2018H1</t>
    <phoneticPr fontId="11" type="noConversion"/>
  </si>
  <si>
    <t>2019Q1</t>
    <phoneticPr fontId="11" type="noConversion"/>
  </si>
  <si>
    <t>2019Q3</t>
    <phoneticPr fontId="11" type="noConversion"/>
  </si>
  <si>
    <t>2019Q4</t>
    <phoneticPr fontId="11" type="noConversion"/>
  </si>
  <si>
    <t>GMV Break Down (RMB in million) - combined basis</t>
    <phoneticPr fontId="11" type="noConversion"/>
  </si>
  <si>
    <t>in thousand initial, need to divide 1000 to get mm numbers</t>
    <phoneticPr fontId="74" type="noConversion"/>
  </si>
  <si>
    <t>Growth</t>
    <phoneticPr fontId="11" type="noConversion"/>
  </si>
  <si>
    <r>
      <rPr>
        <b/>
        <sz val="10"/>
        <rFont val="楷体"/>
        <family val="3"/>
        <charset val="134"/>
      </rPr>
      <t>交通交易额</t>
    </r>
    <phoneticPr fontId="74" type="noConversion"/>
  </si>
  <si>
    <t>Growth</t>
    <phoneticPr fontId="11" type="noConversion"/>
  </si>
  <si>
    <r>
      <t xml:space="preserve">  - </t>
    </r>
    <r>
      <rPr>
        <b/>
        <sz val="10"/>
        <rFont val="楷体"/>
        <family val="3"/>
        <charset val="134"/>
      </rPr>
      <t>机票交易额</t>
    </r>
    <phoneticPr fontId="74" type="noConversion"/>
  </si>
  <si>
    <r>
      <t xml:space="preserve">  -</t>
    </r>
    <r>
      <rPr>
        <sz val="10"/>
        <rFont val="楷体"/>
        <family val="3"/>
        <charset val="134"/>
      </rPr>
      <t>机票出售数量</t>
    </r>
    <r>
      <rPr>
        <sz val="10"/>
        <rFont val="Arial"/>
        <family val="2"/>
      </rPr>
      <t xml:space="preserve"> segments</t>
    </r>
    <phoneticPr fontId="74" type="noConversion"/>
  </si>
  <si>
    <r>
      <t xml:space="preserve">   </t>
    </r>
    <r>
      <rPr>
        <i/>
        <sz val="10"/>
        <color theme="1"/>
        <rFont val="楷体"/>
        <family val="3"/>
        <charset val="134"/>
      </rPr>
      <t>机票交易额占交通交易额比例</t>
    </r>
    <phoneticPr fontId="74" type="noConversion"/>
  </si>
  <si>
    <r>
      <t xml:space="preserve">   - </t>
    </r>
    <r>
      <rPr>
        <sz val="10"/>
        <rFont val="楷体"/>
        <family val="3"/>
        <charset val="134"/>
      </rPr>
      <t>来自同城</t>
    </r>
    <phoneticPr fontId="74" type="noConversion"/>
  </si>
  <si>
    <r>
      <t xml:space="preserve">   - </t>
    </r>
    <r>
      <rPr>
        <sz val="10"/>
        <rFont val="楷体"/>
        <family val="3"/>
        <charset val="134"/>
      </rPr>
      <t>来自艺龙</t>
    </r>
    <phoneticPr fontId="74" type="noConversion"/>
  </si>
  <si>
    <r>
      <rPr>
        <b/>
        <sz val="10"/>
        <rFont val="楷体"/>
        <family val="3"/>
        <charset val="134"/>
      </rPr>
      <t>住宿交易额</t>
    </r>
    <phoneticPr fontId="74" type="noConversion"/>
  </si>
  <si>
    <t>Growth</t>
    <phoneticPr fontId="11" type="noConversion"/>
  </si>
  <si>
    <r>
      <t xml:space="preserve">   - </t>
    </r>
    <r>
      <rPr>
        <sz val="10"/>
        <rFont val="楷体"/>
        <family val="3"/>
        <charset val="134"/>
      </rPr>
      <t>来自同城</t>
    </r>
    <phoneticPr fontId="74" type="noConversion"/>
  </si>
  <si>
    <r>
      <t xml:space="preserve">Rev Break Down (RMB in million) - </t>
    </r>
    <r>
      <rPr>
        <b/>
        <sz val="10"/>
        <rFont val="宋体"/>
        <family val="3"/>
        <charset val="134"/>
      </rPr>
      <t>同程艺龙</t>
    </r>
    <r>
      <rPr>
        <b/>
        <sz val="10"/>
        <rFont val="Arial"/>
        <family val="2"/>
      </rPr>
      <t xml:space="preserve"> combined basis</t>
    </r>
    <phoneticPr fontId="11" type="noConversion"/>
  </si>
  <si>
    <r>
      <t>Revenue (combined basis</t>
    </r>
    <r>
      <rPr>
        <b/>
        <sz val="10"/>
        <rFont val="宋体"/>
        <family val="3"/>
        <charset val="134"/>
      </rPr>
      <t>，同程</t>
    </r>
    <r>
      <rPr>
        <b/>
        <sz val="10"/>
        <rFont val="Arial"/>
        <family val="2"/>
      </rPr>
      <t>+</t>
    </r>
    <r>
      <rPr>
        <b/>
        <sz val="10"/>
        <rFont val="宋体"/>
        <family val="3"/>
        <charset val="134"/>
      </rPr>
      <t>艺龙</t>
    </r>
    <r>
      <rPr>
        <b/>
        <sz val="10"/>
        <rFont val="Arial"/>
        <family val="2"/>
      </rPr>
      <t>)</t>
    </r>
    <phoneticPr fontId="74" type="noConversion"/>
  </si>
  <si>
    <t>Growth</t>
    <phoneticPr fontId="11" type="noConversion"/>
  </si>
  <si>
    <t>Cost of revenue</t>
    <phoneticPr fontId="74" type="noConversion"/>
  </si>
  <si>
    <t>Gross profit</t>
    <phoneticPr fontId="74" type="noConversion"/>
  </si>
  <si>
    <t>Margin</t>
    <phoneticPr fontId="11" type="noConversion"/>
  </si>
  <si>
    <t>Total expense</t>
    <phoneticPr fontId="74" type="noConversion"/>
  </si>
  <si>
    <t>% of revenue</t>
    <phoneticPr fontId="11" type="noConversion"/>
  </si>
  <si>
    <t>R&amp;D</t>
    <phoneticPr fontId="74" type="noConversion"/>
  </si>
  <si>
    <t>Growth</t>
    <phoneticPr fontId="11" type="noConversion"/>
  </si>
  <si>
    <t>S&amp;M</t>
    <phoneticPr fontId="74" type="noConversion"/>
  </si>
  <si>
    <t>% of revenue</t>
    <phoneticPr fontId="11" type="noConversion"/>
  </si>
  <si>
    <t>G&amp;A</t>
    <phoneticPr fontId="74" type="noConversion"/>
  </si>
  <si>
    <t>Operating (loss)/profit</t>
    <phoneticPr fontId="74" type="noConversion"/>
  </si>
  <si>
    <t>Margin</t>
    <phoneticPr fontId="11" type="noConversion"/>
  </si>
  <si>
    <t>Adjusted EBITDA</t>
    <phoneticPr fontId="74" type="noConversion"/>
  </si>
  <si>
    <t>Growth</t>
    <phoneticPr fontId="11" type="noConversion"/>
  </si>
  <si>
    <t>Margin</t>
    <phoneticPr fontId="74" type="noConversion"/>
  </si>
  <si>
    <t>Adjusted profit for the year</t>
    <phoneticPr fontId="74" type="noConversion"/>
  </si>
  <si>
    <t>Rev Break Down (RMB in million) - accounting basis</t>
    <phoneticPr fontId="11" type="noConversion"/>
  </si>
  <si>
    <r>
      <t xml:space="preserve">总收入 </t>
    </r>
    <r>
      <rPr>
        <b/>
        <sz val="10"/>
        <rFont val="Arial"/>
        <family val="2"/>
      </rPr>
      <t>- accounting</t>
    </r>
    <phoneticPr fontId="11" type="noConversion"/>
  </si>
  <si>
    <r>
      <rPr>
        <b/>
        <sz val="10"/>
        <rFont val="楷体"/>
        <family val="3"/>
        <charset val="134"/>
      </rPr>
      <t>交通收入</t>
    </r>
    <phoneticPr fontId="74" type="noConversion"/>
  </si>
  <si>
    <t>Growth</t>
    <phoneticPr fontId="11" type="noConversion"/>
  </si>
  <si>
    <r>
      <t xml:space="preserve">   </t>
    </r>
    <r>
      <rPr>
        <i/>
        <sz val="10"/>
        <color theme="1"/>
        <rFont val="楷体"/>
        <family val="3"/>
        <charset val="134"/>
      </rPr>
      <t>交通收入占比</t>
    </r>
    <phoneticPr fontId="74" type="noConversion"/>
  </si>
  <si>
    <r>
      <rPr>
        <b/>
        <sz val="10"/>
        <rFont val="楷体"/>
        <family val="3"/>
        <charset val="134"/>
      </rPr>
      <t>住宿收入</t>
    </r>
    <phoneticPr fontId="74" type="noConversion"/>
  </si>
  <si>
    <t>Growth</t>
    <phoneticPr fontId="11" type="noConversion"/>
  </si>
  <si>
    <r>
      <t xml:space="preserve">   </t>
    </r>
    <r>
      <rPr>
        <i/>
        <sz val="10"/>
        <color theme="1"/>
        <rFont val="楷体"/>
        <family val="3"/>
        <charset val="134"/>
      </rPr>
      <t>住宿收入占比</t>
    </r>
    <phoneticPr fontId="74" type="noConversion"/>
  </si>
  <si>
    <t>% of Distribution Channel Revenue as Total Accommodation Revenue</t>
    <phoneticPr fontId="11" type="noConversion"/>
  </si>
  <si>
    <r>
      <rPr>
        <b/>
        <sz val="10"/>
        <color theme="1"/>
        <rFont val="楷体"/>
        <family val="3"/>
        <charset val="134"/>
      </rPr>
      <t>其他业务收入</t>
    </r>
    <phoneticPr fontId="74" type="noConversion"/>
  </si>
  <si>
    <r>
      <t xml:space="preserve">  </t>
    </r>
    <r>
      <rPr>
        <i/>
        <sz val="10"/>
        <color theme="1"/>
        <rFont val="楷体"/>
        <family val="3"/>
        <charset val="134"/>
      </rPr>
      <t>其他业务收入占比</t>
    </r>
    <phoneticPr fontId="74" type="noConversion"/>
  </si>
  <si>
    <r>
      <t xml:space="preserve">Take rate </t>
    </r>
    <r>
      <rPr>
        <b/>
        <sz val="10"/>
        <rFont val="宋体"/>
        <family val="3"/>
        <charset val="134"/>
      </rPr>
      <t>（变现率</t>
    </r>
    <r>
      <rPr>
        <b/>
        <sz val="10"/>
        <rFont val="Arial"/>
        <family val="2"/>
      </rPr>
      <t xml:space="preserve"> = </t>
    </r>
    <r>
      <rPr>
        <b/>
        <sz val="10"/>
        <rFont val="宋体"/>
        <family val="3"/>
        <charset val="134"/>
      </rPr>
      <t>收入</t>
    </r>
    <r>
      <rPr>
        <b/>
        <sz val="10"/>
        <rFont val="Arial"/>
        <family val="2"/>
      </rPr>
      <t xml:space="preserve"> / </t>
    </r>
    <r>
      <rPr>
        <b/>
        <sz val="10"/>
        <rFont val="宋体"/>
        <family val="3"/>
        <charset val="134"/>
      </rPr>
      <t>交易额）</t>
    </r>
    <phoneticPr fontId="11" type="noConversion"/>
  </si>
  <si>
    <t>Blended take rate</t>
    <phoneticPr fontId="74" type="noConversion"/>
  </si>
  <si>
    <t>Transportation take rate</t>
    <phoneticPr fontId="11" type="noConversion"/>
  </si>
  <si>
    <t>Accommodation take rate</t>
    <phoneticPr fontId="11" type="noConversion"/>
  </si>
  <si>
    <r>
      <rPr>
        <sz val="10"/>
        <rFont val="楷体"/>
        <family val="3"/>
        <charset val="134"/>
      </rPr>
      <t>同程</t>
    </r>
    <phoneticPr fontId="11" type="noConversion"/>
  </si>
  <si>
    <r>
      <rPr>
        <sz val="10"/>
        <rFont val="宋体"/>
        <family val="3"/>
        <charset val="134"/>
      </rPr>
      <t>腾讯平台</t>
    </r>
    <r>
      <rPr>
        <sz val="10"/>
        <rFont val="Arial"/>
        <family val="2"/>
      </rPr>
      <t>MAU</t>
    </r>
    <r>
      <rPr>
        <sz val="10"/>
        <rFont val="宋体"/>
        <family val="3"/>
        <charset val="134"/>
      </rPr>
      <t>按入口划分</t>
    </r>
    <phoneticPr fontId="11" type="noConversion"/>
  </si>
  <si>
    <r>
      <rPr>
        <sz val="10"/>
        <rFont val="楷体"/>
        <family val="3"/>
        <charset val="134"/>
      </rPr>
      <t>交通</t>
    </r>
    <phoneticPr fontId="11" type="noConversion"/>
  </si>
  <si>
    <t>微信钱包</t>
    <phoneticPr fontId="11" type="noConversion"/>
  </si>
  <si>
    <r>
      <rPr>
        <sz val="10"/>
        <rFont val="楷体"/>
        <family val="3"/>
        <charset val="134"/>
      </rPr>
      <t>住宿</t>
    </r>
    <phoneticPr fontId="11" type="noConversion"/>
  </si>
  <si>
    <r>
      <rPr>
        <sz val="10"/>
        <rFont val="宋体"/>
        <family val="3"/>
        <charset val="134"/>
      </rPr>
      <t>可交互广告</t>
    </r>
    <r>
      <rPr>
        <sz val="10"/>
        <rFont val="Arial"/>
        <family val="2"/>
      </rPr>
      <t>/</t>
    </r>
    <r>
      <rPr>
        <sz val="10"/>
        <rFont val="宋体"/>
        <family val="3"/>
        <charset val="134"/>
      </rPr>
      <t>微信广告</t>
    </r>
    <phoneticPr fontId="11" type="noConversion"/>
  </si>
  <si>
    <r>
      <rPr>
        <sz val="10"/>
        <rFont val="楷体"/>
        <family val="3"/>
        <charset val="134"/>
      </rPr>
      <t>艺龙</t>
    </r>
    <phoneticPr fontId="11" type="noConversion"/>
  </si>
  <si>
    <t>微信的分享与搜索功能</t>
    <phoneticPr fontId="11" type="noConversion"/>
  </si>
  <si>
    <t>2018Q1</t>
    <phoneticPr fontId="11" type="noConversion"/>
  </si>
  <si>
    <t>2018Q2</t>
    <phoneticPr fontId="11" type="noConversion"/>
  </si>
  <si>
    <t>2018H1</t>
    <phoneticPr fontId="11" type="noConversion"/>
  </si>
  <si>
    <t>2018Q4</t>
    <phoneticPr fontId="11" type="noConversion"/>
  </si>
  <si>
    <t>2019Q1</t>
    <phoneticPr fontId="11" type="noConversion"/>
  </si>
  <si>
    <t>2019Q2</t>
    <phoneticPr fontId="11" type="noConversion"/>
  </si>
  <si>
    <t>2019Q3</t>
    <phoneticPr fontId="11" type="noConversion"/>
  </si>
  <si>
    <t>2019Q4</t>
    <phoneticPr fontId="11" type="noConversion"/>
  </si>
  <si>
    <t>Users (mm) - Combined basis</t>
    <phoneticPr fontId="11" type="noConversion"/>
  </si>
  <si>
    <t>MAU</t>
    <phoneticPr fontId="74" type="noConversion"/>
  </si>
  <si>
    <t>MPU</t>
    <phoneticPr fontId="74" type="noConversion"/>
  </si>
  <si>
    <t>Paying ratio</t>
    <phoneticPr fontId="74" type="noConversion"/>
  </si>
  <si>
    <r>
      <t>MAU</t>
    </r>
    <r>
      <rPr>
        <b/>
        <sz val="10"/>
        <rFont val="楷体"/>
        <family val="3"/>
        <charset val="134"/>
      </rPr>
      <t>（来自腾讯平台</t>
    </r>
    <r>
      <rPr>
        <b/>
        <sz val="10"/>
        <rFont val="Arial"/>
        <family val="2"/>
      </rPr>
      <t>, Tencent-based platforms</t>
    </r>
    <r>
      <rPr>
        <b/>
        <sz val="10"/>
        <rFont val="楷体"/>
        <family val="3"/>
        <charset val="134"/>
      </rPr>
      <t>）</t>
    </r>
    <phoneticPr fontId="74" type="noConversion"/>
  </si>
  <si>
    <t xml:space="preserve">                           </t>
    <phoneticPr fontId="11" type="noConversion"/>
  </si>
  <si>
    <t>% of total MAU</t>
    <phoneticPr fontId="74" type="noConversion"/>
  </si>
  <si>
    <t>Among total average MAUs of our Tencent-based platforms</t>
    <phoneticPr fontId="74" type="noConversion"/>
  </si>
  <si>
    <t>Weixin Payment (Wallet)</t>
    <phoneticPr fontId="74" type="noConversion"/>
  </si>
  <si>
    <t>Interactive advertisements / Weixin based ad</t>
    <phoneticPr fontId="74" type="noConversion"/>
  </si>
  <si>
    <t>Sharing and search functions in Weixin</t>
    <phoneticPr fontId="74" type="noConversion"/>
  </si>
  <si>
    <r>
      <t>MPU</t>
    </r>
    <r>
      <rPr>
        <b/>
        <sz val="10"/>
        <rFont val="楷体"/>
        <family val="3"/>
        <charset val="134"/>
      </rPr>
      <t>（来自腾讯平台）</t>
    </r>
    <phoneticPr fontId="74" type="noConversion"/>
  </si>
  <si>
    <r>
      <rPr>
        <sz val="10"/>
        <rFont val="楷体"/>
        <family val="3"/>
        <charset val="134"/>
      </rPr>
      <t>复购率（占</t>
    </r>
    <r>
      <rPr>
        <sz val="10"/>
        <rFont val="Arial"/>
        <family val="2"/>
      </rPr>
      <t>GMV</t>
    </r>
    <r>
      <rPr>
        <sz val="10"/>
        <rFont val="楷体"/>
        <family val="3"/>
        <charset val="134"/>
      </rPr>
      <t>）</t>
    </r>
    <phoneticPr fontId="11" type="noConversion"/>
  </si>
  <si>
    <t>Cross-selling ratio</t>
    <phoneticPr fontId="11" type="noConversion"/>
  </si>
  <si>
    <t>2018Q2</t>
    <phoneticPr fontId="11" type="noConversion"/>
  </si>
  <si>
    <t>2019Q3</t>
    <phoneticPr fontId="11" type="noConversion"/>
  </si>
  <si>
    <t>2019Q4</t>
    <phoneticPr fontId="11" type="noConversion"/>
  </si>
  <si>
    <t>Financials (RMB in million) - accounting basis</t>
    <phoneticPr fontId="11" type="noConversion"/>
  </si>
  <si>
    <t>Total Revenue</t>
  </si>
  <si>
    <t xml:space="preserve">Accommodation </t>
    <phoneticPr fontId="11" type="noConversion"/>
  </si>
  <si>
    <t>Transportation</t>
    <phoneticPr fontId="11" type="noConversion"/>
  </si>
  <si>
    <t>Others</t>
    <phoneticPr fontId="11" type="noConversion"/>
  </si>
  <si>
    <t>COGS</t>
    <phoneticPr fontId="11" type="noConversion"/>
  </si>
  <si>
    <t>as % of Total Revenue</t>
    <phoneticPr fontId="11" type="noConversion"/>
  </si>
  <si>
    <t>Employee benefit expenses</t>
    <phoneticPr fontId="11" type="noConversion"/>
  </si>
  <si>
    <t>Order processing cost</t>
    <phoneticPr fontId="11" type="noConversion"/>
  </si>
  <si>
    <t>as % of Total Revenue</t>
    <phoneticPr fontId="11" type="noConversion"/>
  </si>
  <si>
    <t>Cost of pre-purchased inventory risk taking products</t>
    <phoneticPr fontId="11" type="noConversion"/>
  </si>
  <si>
    <t>Depreciations of PP&amp;E</t>
    <phoneticPr fontId="11" type="noConversion"/>
  </si>
  <si>
    <t>as % of Total Revenue</t>
    <phoneticPr fontId="11" type="noConversion"/>
  </si>
  <si>
    <t>Procurement cost</t>
    <phoneticPr fontId="11" type="noConversion"/>
  </si>
  <si>
    <t>Gross Profit</t>
    <phoneticPr fontId="11" type="noConversion"/>
  </si>
  <si>
    <t>Growth</t>
    <phoneticPr fontId="11" type="noConversion"/>
  </si>
  <si>
    <t>Gross Margin</t>
    <phoneticPr fontId="11" type="noConversion"/>
  </si>
  <si>
    <t xml:space="preserve">  R&amp;D Cost</t>
    <phoneticPr fontId="11" type="noConversion"/>
  </si>
  <si>
    <t xml:space="preserve">  Sales &amp; Marketing Cost</t>
    <phoneticPr fontId="11" type="noConversion"/>
  </si>
  <si>
    <t xml:space="preserve">  G&amp;A Cost (administrative)</t>
    <phoneticPr fontId="11" type="noConversion"/>
  </si>
  <si>
    <r>
      <t xml:space="preserve">  </t>
    </r>
    <r>
      <rPr>
        <sz val="10"/>
        <rFont val="楷体"/>
        <family val="3"/>
        <charset val="134"/>
      </rPr>
      <t>其他收入</t>
    </r>
    <phoneticPr fontId="11" type="noConversion"/>
  </si>
  <si>
    <r>
      <t xml:space="preserve">  </t>
    </r>
    <r>
      <rPr>
        <sz val="10"/>
        <rFont val="楷体"/>
        <family val="3"/>
        <charset val="134"/>
      </rPr>
      <t>按公允价值计量且其变动计入当期损益的投资公允价值变动</t>
    </r>
    <phoneticPr fontId="11" type="noConversion"/>
  </si>
  <si>
    <r>
      <t xml:space="preserve">  </t>
    </r>
    <r>
      <rPr>
        <sz val="10"/>
        <rFont val="楷体"/>
        <family val="3"/>
        <charset val="134"/>
      </rPr>
      <t>其他收益</t>
    </r>
    <r>
      <rPr>
        <sz val="10"/>
        <rFont val="Arial"/>
        <family val="2"/>
      </rPr>
      <t>/</t>
    </r>
    <r>
      <rPr>
        <sz val="10"/>
        <rFont val="楷体"/>
        <family val="3"/>
        <charset val="134"/>
      </rPr>
      <t>（亏损）净额</t>
    </r>
    <phoneticPr fontId="11" type="noConversion"/>
  </si>
  <si>
    <r>
      <rPr>
        <b/>
        <sz val="10"/>
        <rFont val="楷体"/>
        <family val="3"/>
        <charset val="134"/>
      </rPr>
      <t>经营（亏损）</t>
    </r>
    <r>
      <rPr>
        <b/>
        <sz val="10"/>
        <rFont val="Arial"/>
        <family val="2"/>
      </rPr>
      <t>/</t>
    </r>
    <r>
      <rPr>
        <b/>
        <sz val="10"/>
        <rFont val="楷体"/>
        <family val="3"/>
        <charset val="134"/>
      </rPr>
      <t>利润</t>
    </r>
    <r>
      <rPr>
        <b/>
        <sz val="10"/>
        <rFont val="Arial"/>
        <family val="2"/>
      </rPr>
      <t xml:space="preserve"> - </t>
    </r>
    <r>
      <rPr>
        <b/>
        <sz val="10"/>
        <rFont val="楷体"/>
        <family val="3"/>
        <charset val="134"/>
      </rPr>
      <t>年报披露</t>
    </r>
    <phoneticPr fontId="11" type="noConversion"/>
  </si>
  <si>
    <t>Operating Margin</t>
    <phoneticPr fontId="11" type="noConversion"/>
  </si>
  <si>
    <r>
      <t xml:space="preserve">     </t>
    </r>
    <r>
      <rPr>
        <b/>
        <sz val="10"/>
        <rFont val="楷体"/>
        <family val="3"/>
        <charset val="134"/>
      </rPr>
      <t>经调整后的</t>
    </r>
    <r>
      <rPr>
        <b/>
        <sz val="10"/>
        <rFont val="Arial"/>
        <family val="2"/>
      </rPr>
      <t>EBITDA</t>
    </r>
    <r>
      <rPr>
        <b/>
        <sz val="10"/>
        <rFont val="楷体"/>
        <family val="3"/>
        <charset val="134"/>
      </rPr>
      <t>（由下面的利润率倒算）</t>
    </r>
    <r>
      <rPr>
        <b/>
        <sz val="10"/>
        <rFont val="Arial"/>
        <family val="2"/>
      </rPr>
      <t xml:space="preserve">- </t>
    </r>
    <r>
      <rPr>
        <b/>
        <sz val="10"/>
        <rFont val="楷体"/>
        <family val="3"/>
        <charset val="134"/>
      </rPr>
      <t>年报披露</t>
    </r>
    <phoneticPr fontId="11" type="noConversion"/>
  </si>
  <si>
    <t>Growth</t>
    <phoneticPr fontId="11" type="noConversion"/>
  </si>
  <si>
    <r>
      <t xml:space="preserve">    </t>
    </r>
    <r>
      <rPr>
        <i/>
        <sz val="10"/>
        <rFont val="Arial"/>
        <family val="2"/>
      </rPr>
      <t xml:space="preserve"> </t>
    </r>
    <r>
      <rPr>
        <i/>
        <sz val="10"/>
        <rFont val="楷体"/>
        <family val="3"/>
        <charset val="134"/>
      </rPr>
      <t>经调整</t>
    </r>
    <r>
      <rPr>
        <i/>
        <sz val="10"/>
        <rFont val="Arial"/>
        <family val="2"/>
      </rPr>
      <t>EBITDA</t>
    </r>
    <r>
      <rPr>
        <i/>
        <sz val="10"/>
        <rFont val="楷体"/>
        <family val="3"/>
        <charset val="134"/>
      </rPr>
      <t>利润率</t>
    </r>
    <r>
      <rPr>
        <i/>
        <sz val="10"/>
        <rFont val="Arial"/>
        <family val="2"/>
      </rPr>
      <t xml:space="preserve"> - </t>
    </r>
    <r>
      <rPr>
        <i/>
        <sz val="10"/>
        <rFont val="楷体"/>
        <family val="3"/>
        <charset val="134"/>
      </rPr>
      <t>年报披露</t>
    </r>
    <phoneticPr fontId="11" type="noConversion"/>
  </si>
  <si>
    <r>
      <rPr>
        <b/>
        <sz val="10"/>
        <rFont val="楷体"/>
        <family val="3"/>
        <charset val="134"/>
      </rPr>
      <t>除所得税前（亏损）</t>
    </r>
    <r>
      <rPr>
        <b/>
        <sz val="10"/>
        <rFont val="Arial"/>
        <family val="2"/>
      </rPr>
      <t>/</t>
    </r>
    <r>
      <rPr>
        <b/>
        <sz val="10"/>
        <rFont val="楷体"/>
        <family val="3"/>
        <charset val="134"/>
      </rPr>
      <t>利润</t>
    </r>
    <phoneticPr fontId="11" type="noConversion"/>
  </si>
  <si>
    <r>
      <rPr>
        <b/>
        <sz val="10"/>
        <rFont val="楷体"/>
        <family val="3"/>
        <charset val="134"/>
      </rPr>
      <t>净（亏损）</t>
    </r>
    <r>
      <rPr>
        <b/>
        <sz val="10"/>
        <rFont val="Arial"/>
        <family val="2"/>
      </rPr>
      <t>/</t>
    </r>
    <r>
      <rPr>
        <b/>
        <sz val="10"/>
        <rFont val="楷体"/>
        <family val="3"/>
        <charset val="134"/>
      </rPr>
      <t>利润</t>
    </r>
    <phoneticPr fontId="11" type="noConversion"/>
  </si>
  <si>
    <t>n.m.</t>
    <phoneticPr fontId="74" type="noConversion"/>
  </si>
  <si>
    <t>Net Margin</t>
    <phoneticPr fontId="11" type="noConversion"/>
  </si>
  <si>
    <t>Adjusted profit for the year</t>
    <phoneticPr fontId="74" type="noConversion"/>
  </si>
  <si>
    <t>Net Margin</t>
    <phoneticPr fontId="11" type="noConversion"/>
  </si>
  <si>
    <r>
      <t>EBITDA</t>
    </r>
    <r>
      <rPr>
        <sz val="10"/>
        <rFont val="宋体"/>
        <family val="3"/>
        <charset val="134"/>
      </rPr>
      <t>手算</t>
    </r>
    <r>
      <rPr>
        <sz val="10"/>
        <rFont val="Arial"/>
        <family val="2"/>
      </rPr>
      <t xml:space="preserve"> (RMB in million)</t>
    </r>
    <phoneticPr fontId="74" type="noConversion"/>
  </si>
  <si>
    <r>
      <t xml:space="preserve">     EBIT(</t>
    </r>
    <r>
      <rPr>
        <b/>
        <sz val="10"/>
        <rFont val="楷体"/>
        <family val="3"/>
        <charset val="134"/>
      </rPr>
      <t>经营利润扣回其他收入其他收益和投资价值变动）</t>
    </r>
    <phoneticPr fontId="11" type="noConversion"/>
  </si>
  <si>
    <t>物业、厂房及设备折旧</t>
    <phoneticPr fontId="11" type="noConversion"/>
  </si>
  <si>
    <t>无形资产摊销</t>
    <phoneticPr fontId="11" type="noConversion"/>
  </si>
  <si>
    <t>SBC</t>
    <phoneticPr fontId="11" type="noConversion"/>
  </si>
  <si>
    <t>Other one time adj.</t>
    <phoneticPr fontId="74" type="noConversion"/>
  </si>
  <si>
    <t>S&amp;M expense in form of newly issued preferred shares</t>
    <phoneticPr fontId="74" type="noConversion"/>
  </si>
  <si>
    <t>Charges related to re-designation of ordinary shares to preferred shares (privatization)</t>
    <phoneticPr fontId="74" type="noConversion"/>
  </si>
  <si>
    <t>Reorg. Cost</t>
    <phoneticPr fontId="74" type="noConversion"/>
  </si>
  <si>
    <t>Issuance of ordinary shares at discount</t>
    <phoneticPr fontId="74" type="noConversion"/>
  </si>
  <si>
    <t>Listing expense</t>
    <phoneticPr fontId="74" type="noConversion"/>
  </si>
  <si>
    <t>Acquisition cost</t>
    <phoneticPr fontId="74" type="noConversion"/>
  </si>
  <si>
    <r>
      <t xml:space="preserve">     EBITDA</t>
    </r>
    <r>
      <rPr>
        <b/>
        <sz val="10"/>
        <rFont val="楷体"/>
        <family val="3"/>
        <charset val="134"/>
      </rPr>
      <t>（手算</t>
    </r>
    <r>
      <rPr>
        <b/>
        <sz val="10"/>
        <rFont val="Arial"/>
        <family val="2"/>
      </rPr>
      <t>, adding back SBC</t>
    </r>
    <r>
      <rPr>
        <b/>
        <sz val="10"/>
        <rFont val="楷体"/>
        <family val="3"/>
        <charset val="134"/>
      </rPr>
      <t>）</t>
    </r>
    <phoneticPr fontId="11" type="noConversion"/>
  </si>
  <si>
    <t>Growth</t>
    <phoneticPr fontId="11" type="noConversion"/>
  </si>
  <si>
    <t>n.a.</t>
    <phoneticPr fontId="74" type="noConversion"/>
  </si>
  <si>
    <r>
      <t>EBITDA</t>
    </r>
    <r>
      <rPr>
        <i/>
        <sz val="10"/>
        <rFont val="宋体"/>
        <family val="3"/>
        <charset val="134"/>
      </rPr>
      <t>利润率</t>
    </r>
    <phoneticPr fontId="11" type="noConversion"/>
  </si>
  <si>
    <t>Adjusted Profit</t>
    <phoneticPr fontId="11" type="noConversion"/>
  </si>
  <si>
    <r>
      <t xml:space="preserve">同程线上 </t>
    </r>
    <r>
      <rPr>
        <sz val="10"/>
        <rFont val="Arial"/>
        <family val="2"/>
      </rPr>
      <t>(RMB in million)</t>
    </r>
    <phoneticPr fontId="74" type="noConversion"/>
  </si>
  <si>
    <t>Transportation</t>
    <phoneticPr fontId="74" type="noConversion"/>
  </si>
  <si>
    <t>Accommodation</t>
  </si>
  <si>
    <t>Cost of revenue</t>
    <phoneticPr fontId="74" type="noConversion"/>
  </si>
  <si>
    <t>Gross profit</t>
    <phoneticPr fontId="74" type="noConversion"/>
  </si>
  <si>
    <t>Gross Margin</t>
    <phoneticPr fontId="11" type="noConversion"/>
  </si>
  <si>
    <t>R&amp;D</t>
    <phoneticPr fontId="74" type="noConversion"/>
  </si>
  <si>
    <t>S&amp;M</t>
    <phoneticPr fontId="74" type="noConversion"/>
  </si>
  <si>
    <t>G&amp;A</t>
    <phoneticPr fontId="74" type="noConversion"/>
  </si>
  <si>
    <t>Other income</t>
    <phoneticPr fontId="74" type="noConversion"/>
  </si>
  <si>
    <t>Other gains/(losses), net</t>
    <phoneticPr fontId="74" type="noConversion"/>
  </si>
  <si>
    <t>Operating (loss)/profit</t>
    <phoneticPr fontId="74" type="noConversion"/>
  </si>
  <si>
    <t>Finance income</t>
    <phoneticPr fontId="74" type="noConversion"/>
  </si>
  <si>
    <t>(Loss)/profit before income tax</t>
    <phoneticPr fontId="74" type="noConversion"/>
  </si>
  <si>
    <t>Income tax credit / (expense)</t>
    <phoneticPr fontId="74" type="noConversion"/>
  </si>
  <si>
    <t>(Loss)/profit for the year</t>
    <phoneticPr fontId="74" type="noConversion"/>
  </si>
  <si>
    <t>Margin</t>
    <phoneticPr fontId="11" type="noConversion"/>
  </si>
  <si>
    <t>D&amp;A related</t>
    <phoneticPr fontId="74" type="noConversion"/>
  </si>
  <si>
    <t>Cost of revenue</t>
    <phoneticPr fontId="74" type="noConversion"/>
  </si>
  <si>
    <t>G&amp;A</t>
    <phoneticPr fontId="74" type="noConversion"/>
  </si>
  <si>
    <t>Adjusted EBITDA</t>
    <phoneticPr fontId="74" type="noConversion"/>
  </si>
  <si>
    <t>Growth</t>
    <phoneticPr fontId="11" type="noConversion"/>
  </si>
  <si>
    <t>2018Q2</t>
    <phoneticPr fontId="11" type="noConversion"/>
  </si>
  <si>
    <t>Transportation Breakdown</t>
    <phoneticPr fontId="11" type="noConversion"/>
  </si>
  <si>
    <t>YoY</t>
  </si>
  <si>
    <t>Air</t>
    <phoneticPr fontId="11" type="noConversion"/>
  </si>
  <si>
    <t>Volume</t>
  </si>
  <si>
    <t>ASP</t>
  </si>
  <si>
    <t>Train</t>
    <phoneticPr fontId="11" type="noConversion"/>
  </si>
  <si>
    <t>Market Cap (RMB bn)</t>
    <phoneticPr fontId="11" type="noConversion"/>
  </si>
  <si>
    <t>Debt at Market Value (RMB bn)</t>
    <phoneticPr fontId="11" type="noConversion"/>
  </si>
  <si>
    <t>EV (RMB bn)</t>
    <phoneticPr fontId="11" type="noConversion"/>
  </si>
  <si>
    <t>EBITDA TTM (RMB mn)</t>
    <phoneticPr fontId="11" type="noConversion"/>
  </si>
  <si>
    <t>Earning TTM (RMB mn)</t>
    <phoneticPr fontId="11" type="noConversion"/>
  </si>
  <si>
    <t>Sales TTM (RMB mn)</t>
    <phoneticPr fontId="11" type="noConversion"/>
  </si>
  <si>
    <t>EV/EBITDA</t>
    <phoneticPr fontId="11" type="noConversion"/>
  </si>
  <si>
    <t>P/E</t>
    <phoneticPr fontId="11" type="noConversion"/>
  </si>
  <si>
    <t>EV/Sales</t>
    <phoneticPr fontId="11" type="noConversion"/>
  </si>
  <si>
    <t>P/S</t>
    <phoneticPr fontId="11" type="noConversion"/>
  </si>
  <si>
    <t>As of Mar 31 2019</t>
    <phoneticPr fontId="11" type="noConversion"/>
  </si>
  <si>
    <t>As of Dec 31 2018</t>
    <phoneticPr fontId="11" type="noConversion"/>
  </si>
  <si>
    <t>Cash and cash equivalent</t>
    <phoneticPr fontId="11" type="noConversion"/>
  </si>
  <si>
    <t>2019Q3</t>
    <phoneticPr fontId="11" type="noConversion"/>
  </si>
  <si>
    <t>Tongcheng-Elong</t>
    <phoneticPr fontId="11" type="noConversion"/>
  </si>
  <si>
    <t>Meituan
In-store, Hotel &amp; Travel</t>
    <phoneticPr fontId="11" type="noConversion"/>
  </si>
  <si>
    <t>Ctrip</t>
    <phoneticPr fontId="11" type="noConversion"/>
  </si>
  <si>
    <t>GMV (mn)</t>
    <phoneticPr fontId="11" type="noConversion"/>
  </si>
  <si>
    <t>YoY Growth</t>
    <phoneticPr fontId="11" type="noConversion"/>
  </si>
  <si>
    <t>Transportation</t>
    <phoneticPr fontId="11" type="noConversion"/>
  </si>
  <si>
    <t>Accommodation</t>
    <phoneticPr fontId="11" type="noConversion"/>
  </si>
  <si>
    <t>同程控股</t>
    <phoneticPr fontId="11" type="noConversion"/>
  </si>
  <si>
    <t>旅行社收入</t>
    <phoneticPr fontId="11" type="noConversion"/>
  </si>
  <si>
    <t>Revenue</t>
    <phoneticPr fontId="11" type="noConversion"/>
  </si>
  <si>
    <t>航空</t>
    <phoneticPr fontId="11" type="noConversion"/>
  </si>
  <si>
    <t>金服</t>
    <phoneticPr fontId="11" type="noConversion"/>
  </si>
  <si>
    <t>Transportation Revenue</t>
    <phoneticPr fontId="11" type="noConversion"/>
  </si>
  <si>
    <t>as % of Total Revenue</t>
    <phoneticPr fontId="11" type="noConversion"/>
  </si>
  <si>
    <t>Accommodation Revenue</t>
    <phoneticPr fontId="11" type="noConversion"/>
  </si>
  <si>
    <t>as % of Total Revenue</t>
    <phoneticPr fontId="11" type="noConversion"/>
  </si>
  <si>
    <t>Packaged Tour</t>
    <phoneticPr fontId="11" type="noConversion"/>
  </si>
  <si>
    <t>YoY Growth</t>
    <phoneticPr fontId="11" type="noConversion"/>
  </si>
  <si>
    <t>Corporate Travel</t>
    <phoneticPr fontId="11" type="noConversion"/>
  </si>
  <si>
    <t>Others</t>
    <phoneticPr fontId="11" type="noConversion"/>
  </si>
  <si>
    <t>Take Rate</t>
    <phoneticPr fontId="11" type="noConversion"/>
  </si>
  <si>
    <t>Transportation Revenue</t>
    <phoneticPr fontId="11" type="noConversion"/>
  </si>
  <si>
    <t>Gross Profit</t>
    <phoneticPr fontId="11" type="noConversion"/>
  </si>
  <si>
    <t>Gross Margin</t>
    <phoneticPr fontId="11" type="noConversion"/>
  </si>
  <si>
    <t>Operating Profit</t>
    <phoneticPr fontId="11" type="noConversion"/>
  </si>
  <si>
    <t>Operating Margin</t>
    <phoneticPr fontId="11" type="noConversion"/>
  </si>
  <si>
    <t>Hotel Room Nights (mn)</t>
    <phoneticPr fontId="11" type="noConversion"/>
  </si>
  <si>
    <t>ADR</t>
    <phoneticPr fontId="11" type="noConversion"/>
  </si>
  <si>
    <t>2018Q3</t>
    <phoneticPr fontId="11" type="noConversion"/>
  </si>
  <si>
    <r>
      <t>2</t>
    </r>
    <r>
      <rPr>
        <sz val="12"/>
        <rFont val="宋体"/>
        <family val="3"/>
        <charset val="134"/>
      </rPr>
      <t>019Q2</t>
    </r>
    <phoneticPr fontId="11" type="noConversion"/>
  </si>
  <si>
    <r>
      <t>2</t>
    </r>
    <r>
      <rPr>
        <sz val="12"/>
        <rFont val="宋体"/>
        <family val="3"/>
        <charset val="134"/>
      </rPr>
      <t>019Q3</t>
    </r>
    <phoneticPr fontId="11" type="noConversion"/>
  </si>
  <si>
    <r>
      <t>T</t>
    </r>
    <r>
      <rPr>
        <sz val="12"/>
        <rFont val="宋体"/>
        <family val="3"/>
        <charset val="134"/>
      </rPr>
      <t>ransportation</t>
    </r>
    <phoneticPr fontId="11" type="noConversion"/>
  </si>
  <si>
    <r>
      <t>A</t>
    </r>
    <r>
      <rPr>
        <sz val="12"/>
        <rFont val="宋体"/>
        <family val="3"/>
        <charset val="134"/>
      </rPr>
      <t>ccommodation</t>
    </r>
    <phoneticPr fontId="11" type="noConversion"/>
  </si>
  <si>
    <r>
      <t>O</t>
    </r>
    <r>
      <rPr>
        <sz val="12"/>
        <rFont val="宋体"/>
        <family val="3"/>
        <charset val="134"/>
      </rPr>
      <t>thers</t>
    </r>
    <phoneticPr fontId="11" type="noConversion"/>
  </si>
  <si>
    <t>Q1</t>
    <phoneticPr fontId="11" type="noConversion"/>
  </si>
  <si>
    <t>Q2</t>
    <phoneticPr fontId="11" type="noConversion"/>
  </si>
  <si>
    <t>Q3</t>
    <phoneticPr fontId="11" type="noConversion"/>
  </si>
  <si>
    <r>
      <t>Q</t>
    </r>
    <r>
      <rPr>
        <sz val="12"/>
        <rFont val="宋体"/>
        <family val="3"/>
        <charset val="134"/>
      </rPr>
      <t>4</t>
    </r>
    <phoneticPr fontId="11" type="noConversion"/>
  </si>
  <si>
    <r>
      <t>G</t>
    </r>
    <r>
      <rPr>
        <sz val="12"/>
        <rFont val="宋体"/>
        <family val="3"/>
        <charset val="134"/>
      </rPr>
      <t>MV</t>
    </r>
    <phoneticPr fontId="11" type="noConversion"/>
  </si>
  <si>
    <r>
      <t>R</t>
    </r>
    <r>
      <rPr>
        <sz val="12"/>
        <rFont val="宋体"/>
        <family val="3"/>
        <charset val="134"/>
      </rPr>
      <t>evenue</t>
    </r>
    <phoneticPr fontId="11" type="noConversion"/>
  </si>
  <si>
    <r>
      <t>G</t>
    </r>
    <r>
      <rPr>
        <sz val="12"/>
        <rFont val="宋体"/>
        <family val="3"/>
        <charset val="134"/>
      </rPr>
      <t>MV YoY Growth</t>
    </r>
    <phoneticPr fontId="11" type="noConversion"/>
  </si>
  <si>
    <t>Revenue YoY Growth</t>
    <phoneticPr fontId="11" type="noConversion"/>
  </si>
  <si>
    <t>Take Rate</t>
    <phoneticPr fontId="11" type="noConversion"/>
  </si>
  <si>
    <r>
      <t>2</t>
    </r>
    <r>
      <rPr>
        <sz val="12"/>
        <rFont val="宋体"/>
        <family val="3"/>
        <charset val="134"/>
      </rPr>
      <t>018Q2</t>
    </r>
    <phoneticPr fontId="11" type="noConversion"/>
  </si>
  <si>
    <r>
      <t>2</t>
    </r>
    <r>
      <rPr>
        <sz val="12"/>
        <rFont val="宋体"/>
        <family val="3"/>
        <charset val="134"/>
      </rPr>
      <t>018Q3</t>
    </r>
    <phoneticPr fontId="11" type="noConversion"/>
  </si>
  <si>
    <t>2019Q2</t>
    <phoneticPr fontId="11" type="noConversion"/>
  </si>
  <si>
    <t>2019Q4</t>
    <phoneticPr fontId="11" type="noConversion"/>
  </si>
  <si>
    <t>Cost of pre-purchased inventory risk taking products</t>
    <phoneticPr fontId="11" type="noConversion"/>
  </si>
  <si>
    <t>Depreciations of PP&amp;E</t>
    <phoneticPr fontId="11" type="noConversion"/>
  </si>
  <si>
    <t>Procurement cost</t>
    <phoneticPr fontId="11" type="noConversion"/>
  </si>
  <si>
    <t>Others</t>
    <phoneticPr fontId="11" type="noConversion"/>
  </si>
  <si>
    <r>
      <t>2</t>
    </r>
    <r>
      <rPr>
        <sz val="12"/>
        <rFont val="宋体"/>
        <family val="3"/>
        <charset val="134"/>
      </rPr>
      <t>018Q2</t>
    </r>
    <phoneticPr fontId="11" type="noConversion"/>
  </si>
  <si>
    <t>2018Q4</t>
    <phoneticPr fontId="11" type="noConversion"/>
  </si>
  <si>
    <t>2019Q3</t>
    <phoneticPr fontId="11" type="noConversion"/>
  </si>
  <si>
    <t>Employee benefit expenses</t>
    <phoneticPr fontId="11" type="noConversion"/>
  </si>
  <si>
    <t>Depreciations of PP&amp;E</t>
    <phoneticPr fontId="11" type="noConversion"/>
  </si>
  <si>
    <t>Procurement cost</t>
    <phoneticPr fontId="11" type="noConversion"/>
  </si>
  <si>
    <r>
      <t>G</t>
    </r>
    <r>
      <rPr>
        <sz val="12"/>
        <rFont val="宋体"/>
        <family val="3"/>
        <charset val="134"/>
      </rPr>
      <t>ross Margin</t>
    </r>
    <phoneticPr fontId="11" type="noConversion"/>
  </si>
  <si>
    <r>
      <t>R</t>
    </r>
    <r>
      <rPr>
        <sz val="12"/>
        <rFont val="宋体"/>
        <family val="3"/>
        <charset val="134"/>
      </rPr>
      <t>&amp;D Cost as % of Revenue</t>
    </r>
    <phoneticPr fontId="11" type="noConversion"/>
  </si>
  <si>
    <r>
      <t>S</t>
    </r>
    <r>
      <rPr>
        <sz val="12"/>
        <rFont val="宋体"/>
        <family val="3"/>
        <charset val="134"/>
      </rPr>
      <t>&amp;M Cost as % of Revenue</t>
    </r>
    <phoneticPr fontId="11" type="noConversion"/>
  </si>
  <si>
    <t>G&amp;A Cost as % of Revenue</t>
    <phoneticPr fontId="11" type="noConversion"/>
  </si>
  <si>
    <t>Operating Margin</t>
    <phoneticPr fontId="11" type="noConversion"/>
  </si>
  <si>
    <r>
      <t>2</t>
    </r>
    <r>
      <rPr>
        <sz val="12"/>
        <rFont val="宋体"/>
        <family val="3"/>
        <charset val="134"/>
      </rPr>
      <t>018Q1</t>
    </r>
    <phoneticPr fontId="11" type="noConversion"/>
  </si>
  <si>
    <t>2018Q2</t>
    <phoneticPr fontId="11" type="noConversion"/>
  </si>
  <si>
    <r>
      <t>2</t>
    </r>
    <r>
      <rPr>
        <sz val="12"/>
        <rFont val="宋体"/>
        <family val="3"/>
        <charset val="134"/>
      </rPr>
      <t>018Q3</t>
    </r>
    <phoneticPr fontId="11" type="noConversion"/>
  </si>
  <si>
    <t>2018Q4</t>
    <phoneticPr fontId="11" type="noConversion"/>
  </si>
  <si>
    <t>2019Q1</t>
    <phoneticPr fontId="11" type="noConversion"/>
  </si>
  <si>
    <t>2019Q2</t>
    <phoneticPr fontId="11" type="noConversion"/>
  </si>
  <si>
    <t>2019Q3</t>
    <phoneticPr fontId="11" type="noConversion"/>
  </si>
  <si>
    <t>2019Q4</t>
    <phoneticPr fontId="11" type="noConversion"/>
  </si>
  <si>
    <r>
      <t>P</t>
    </r>
    <r>
      <rPr>
        <sz val="12"/>
        <rFont val="宋体"/>
        <family val="3"/>
        <charset val="134"/>
      </rPr>
      <t>aying Ratio</t>
    </r>
    <phoneticPr fontId="11" type="noConversion"/>
  </si>
  <si>
    <r>
      <t>2</t>
    </r>
    <r>
      <rPr>
        <sz val="12"/>
        <rFont val="宋体"/>
        <family val="3"/>
        <charset val="134"/>
      </rPr>
      <t>019Q1</t>
    </r>
    <phoneticPr fontId="11" type="noConversion"/>
  </si>
  <si>
    <r>
      <t>2</t>
    </r>
    <r>
      <rPr>
        <sz val="12"/>
        <rFont val="宋体"/>
        <family val="3"/>
        <charset val="134"/>
      </rPr>
      <t>019Q2</t>
    </r>
    <phoneticPr fontId="11" type="noConversion"/>
  </si>
  <si>
    <t>2019Q4</t>
    <phoneticPr fontId="11" type="noConversion"/>
  </si>
  <si>
    <t>MAU from Tencent</t>
    <phoneticPr fontId="11" type="noConversion"/>
  </si>
  <si>
    <r>
      <t>M</t>
    </r>
    <r>
      <rPr>
        <sz val="12"/>
        <rFont val="宋体"/>
        <family val="3"/>
        <charset val="134"/>
      </rPr>
      <t>AU from Own Channel</t>
    </r>
    <phoneticPr fontId="11" type="noConversion"/>
  </si>
  <si>
    <t xml:space="preserve">% of Tencent Traffic </t>
    <phoneticPr fontId="11" type="noConversion"/>
  </si>
  <si>
    <r>
      <t>2</t>
    </r>
    <r>
      <rPr>
        <sz val="12"/>
        <rFont val="宋体"/>
        <family val="3"/>
        <charset val="134"/>
      </rPr>
      <t>019Q1</t>
    </r>
    <phoneticPr fontId="11" type="noConversion"/>
  </si>
  <si>
    <r>
      <t>2</t>
    </r>
    <r>
      <rPr>
        <sz val="12"/>
        <rFont val="宋体"/>
        <family val="3"/>
        <charset val="134"/>
      </rPr>
      <t>019Q2</t>
    </r>
    <phoneticPr fontId="11" type="noConversion"/>
  </si>
  <si>
    <r>
      <t>2</t>
    </r>
    <r>
      <rPr>
        <sz val="12"/>
        <rFont val="宋体"/>
        <family val="3"/>
        <charset val="134"/>
      </rPr>
      <t>019Q3</t>
    </r>
    <phoneticPr fontId="11" type="noConversion"/>
  </si>
  <si>
    <t>Weixin Payment (Wallet)</t>
    <phoneticPr fontId="74" type="noConversion"/>
  </si>
  <si>
    <t>Interactive advertisements / Weixin based ad</t>
    <phoneticPr fontId="74" type="noConversion"/>
  </si>
  <si>
    <t>Sharing and search functions in Weixin</t>
    <phoneticPr fontId="74" type="noConversion"/>
  </si>
  <si>
    <r>
      <t>2</t>
    </r>
    <r>
      <rPr>
        <sz val="12"/>
        <rFont val="宋体"/>
        <family val="3"/>
        <charset val="134"/>
      </rPr>
      <t>018Q4</t>
    </r>
    <phoneticPr fontId="11" type="noConversion"/>
  </si>
  <si>
    <r>
      <t>2</t>
    </r>
    <r>
      <rPr>
        <sz val="12"/>
        <rFont val="宋体"/>
        <family val="3"/>
        <charset val="134"/>
      </rPr>
      <t>019Q1</t>
    </r>
    <phoneticPr fontId="11" type="noConversion"/>
  </si>
  <si>
    <t>2019Q2</t>
    <phoneticPr fontId="11" type="noConversion"/>
  </si>
  <si>
    <r>
      <t>C</t>
    </r>
    <r>
      <rPr>
        <sz val="12"/>
        <rFont val="宋体"/>
        <family val="3"/>
        <charset val="134"/>
      </rPr>
      <t>ross-selling Rate</t>
    </r>
    <phoneticPr fontId="11" type="noConversion"/>
  </si>
  <si>
    <t>% of Distribution Channel Revenue as Total Accommodation Revenue</t>
    <phoneticPr fontId="11" type="noConversion"/>
  </si>
  <si>
    <t>Year</t>
  </si>
  <si>
    <t>Q1-15</t>
  </si>
  <si>
    <t>Q2-15</t>
  </si>
  <si>
    <t>Q3-15</t>
  </si>
  <si>
    <t>Q4-15</t>
  </si>
  <si>
    <t>Q1-16</t>
  </si>
  <si>
    <t>Q2-16</t>
  </si>
  <si>
    <t>Q3-16</t>
  </si>
  <si>
    <t>Q4-16</t>
  </si>
  <si>
    <t>Q1-17</t>
  </si>
  <si>
    <t>Q2-17</t>
  </si>
  <si>
    <t>Q3-17</t>
  </si>
  <si>
    <t>Q4-17</t>
  </si>
  <si>
    <t>Q1-18</t>
  </si>
  <si>
    <t>Q2-18</t>
  </si>
  <si>
    <t>Q3-18</t>
    <phoneticPr fontId="11" type="noConversion"/>
  </si>
  <si>
    <t>Q4-18</t>
    <phoneticPr fontId="11" type="noConversion"/>
  </si>
  <si>
    <t>Q1-19</t>
    <phoneticPr fontId="11" type="noConversion"/>
  </si>
  <si>
    <t>Q2-19</t>
    <phoneticPr fontId="11" type="noConversion"/>
  </si>
  <si>
    <t>Q3-19</t>
    <phoneticPr fontId="11" type="noConversion"/>
  </si>
  <si>
    <t>Q4-19</t>
    <phoneticPr fontId="11" type="noConversion"/>
  </si>
  <si>
    <t>Company Data (in million of USD, unless specified)</t>
  </si>
  <si>
    <r>
      <rPr>
        <b/>
        <sz val="10"/>
        <rFont val="Arial"/>
        <family val="2"/>
      </rPr>
      <t xml:space="preserve">  </t>
    </r>
    <r>
      <rPr>
        <b/>
        <i/>
        <sz val="10"/>
        <rFont val="Arial"/>
        <family val="2"/>
      </rPr>
      <t>YoY change</t>
    </r>
  </si>
  <si>
    <t xml:space="preserve">  Revenue recognition adjustment</t>
  </si>
  <si>
    <t>Revenue after Adjustment</t>
    <phoneticPr fontId="11" type="noConversion"/>
  </si>
  <si>
    <t>Air</t>
    <phoneticPr fontId="11" type="noConversion"/>
  </si>
  <si>
    <t>Packages, Hotels &amp; Other Travel Products</t>
    <phoneticPr fontId="11" type="noConversion"/>
  </si>
  <si>
    <t xml:space="preserve">  Take rate</t>
    <phoneticPr fontId="11" type="noConversion"/>
  </si>
  <si>
    <t>Gross margin</t>
  </si>
  <si>
    <t xml:space="preserve">  General and administrative</t>
  </si>
  <si>
    <t>as % of Revenue</t>
    <phoneticPr fontId="11" type="noConversion"/>
  </si>
  <si>
    <t xml:space="preserve">  Technology and content</t>
  </si>
  <si>
    <t>as % of Revenue</t>
    <phoneticPr fontId="11" type="noConversion"/>
  </si>
  <si>
    <t xml:space="preserve">  Selling and marketing expenses</t>
  </si>
  <si>
    <t>as % of Revenue</t>
    <phoneticPr fontId="11" type="noConversion"/>
  </si>
  <si>
    <t xml:space="preserve">  Marketing and sales promotion expenses as % of GMV</t>
  </si>
  <si>
    <t>Operating income/loss</t>
  </si>
  <si>
    <t xml:space="preserve">  Depreciation, amortization and impairment</t>
  </si>
  <si>
    <t xml:space="preserve"> Share-based compensation</t>
  </si>
  <si>
    <r>
      <rPr>
        <sz val="10"/>
        <rFont val="Arial"/>
        <family val="2"/>
      </rPr>
      <t>OP Margin</t>
    </r>
    <r>
      <rPr>
        <b/>
        <sz val="10"/>
        <rFont val="Arial"/>
        <family val="2"/>
      </rPr>
      <t xml:space="preserve"> GAAP (OP/Revenue)</t>
    </r>
  </si>
  <si>
    <t>Net profit margin GAAP  (/ Revenue)</t>
  </si>
  <si>
    <t>Operating Metrics</t>
  </si>
  <si>
    <t>ASPs</t>
  </si>
  <si>
    <t>Number of transactions ('000)</t>
  </si>
  <si>
    <t>Package, Hotels &amp; Other</t>
    <phoneticPr fontId="11" type="noConversion"/>
  </si>
  <si>
    <t>Revenue per Transaction</t>
    <phoneticPr fontId="11" type="noConversion"/>
  </si>
  <si>
    <t>Geographical Breakdown (as reported)</t>
    <phoneticPr fontId="11" type="noConversion"/>
  </si>
  <si>
    <t>Q1-17</t>
    <phoneticPr fontId="11" type="noConversion"/>
  </si>
  <si>
    <t>Q2-17</t>
    <phoneticPr fontId="11" type="noConversion"/>
  </si>
  <si>
    <t>Q3-17</t>
    <phoneticPr fontId="11" type="noConversion"/>
  </si>
  <si>
    <t>Q3-18</t>
  </si>
  <si>
    <t>Q4-18</t>
  </si>
  <si>
    <t>Q1-19</t>
  </si>
  <si>
    <t>Q2-19</t>
  </si>
  <si>
    <t>Q3-19</t>
  </si>
  <si>
    <t>Transactions ('000)</t>
    <phoneticPr fontId="11" type="noConversion"/>
  </si>
  <si>
    <t>YoY % Change</t>
    <phoneticPr fontId="11" type="noConversion"/>
  </si>
  <si>
    <t>Argentina</t>
    <phoneticPr fontId="11" type="noConversion"/>
  </si>
  <si>
    <t>as % of total</t>
    <phoneticPr fontId="11" type="noConversion"/>
  </si>
  <si>
    <t>Brazil</t>
    <phoneticPr fontId="11" type="noConversion"/>
  </si>
  <si>
    <t>YoY % Change</t>
    <phoneticPr fontId="11" type="noConversion"/>
  </si>
  <si>
    <t>as % of total</t>
    <phoneticPr fontId="11" type="noConversion"/>
  </si>
  <si>
    <t>Rest of LATAM</t>
    <phoneticPr fontId="11" type="noConversion"/>
  </si>
  <si>
    <t>Gross Booking</t>
    <phoneticPr fontId="11" type="noConversion"/>
  </si>
  <si>
    <t>Argentina</t>
    <phoneticPr fontId="11" type="noConversion"/>
  </si>
  <si>
    <t>as % of total</t>
    <phoneticPr fontId="11" type="noConversion"/>
  </si>
  <si>
    <t>YoY % Change</t>
    <phoneticPr fontId="11" type="noConversion"/>
  </si>
  <si>
    <t>Rest of LATAM</t>
    <phoneticPr fontId="11" type="noConversion"/>
  </si>
  <si>
    <t>ASP ($)</t>
    <phoneticPr fontId="11" type="noConversion"/>
  </si>
  <si>
    <t>Argentina</t>
    <phoneticPr fontId="11" type="noConversion"/>
  </si>
  <si>
    <t>Geographical Breakdown (FX neutral basis)</t>
    <phoneticPr fontId="11" type="noConversion"/>
  </si>
  <si>
    <t>Q4-19</t>
  </si>
  <si>
    <t>as % of total</t>
    <phoneticPr fontId="11" type="noConversion"/>
  </si>
  <si>
    <t>Rest of LATAM</t>
    <phoneticPr fontId="11" type="noConversion"/>
  </si>
  <si>
    <t>Brazil</t>
    <phoneticPr fontId="11" type="noConversion"/>
  </si>
  <si>
    <t xml:space="preserve">  Share-based compensation</t>
  </si>
  <si>
    <t>Number of transactions</t>
  </si>
  <si>
    <t>Mix of Mobile Share of Transaction</t>
    <phoneticPr fontId="11" type="noConversion"/>
  </si>
  <si>
    <t>Room Night Growth</t>
    <phoneticPr fontId="11" type="noConversion"/>
  </si>
  <si>
    <t>Full year</t>
  </si>
  <si>
    <r>
      <rPr>
        <b/>
        <sz val="10"/>
        <rFont val="Arial"/>
        <family val="2"/>
      </rPr>
      <t xml:space="preserve">  </t>
    </r>
    <r>
      <rPr>
        <sz val="10"/>
        <rFont val="Arial"/>
        <family val="2"/>
      </rPr>
      <t>Air</t>
    </r>
  </si>
  <si>
    <r>
      <rPr>
        <b/>
        <sz val="10"/>
        <rFont val="Arial"/>
        <family val="2"/>
      </rPr>
      <t xml:space="preserve">  </t>
    </r>
    <r>
      <rPr>
        <sz val="10"/>
        <rFont val="Arial"/>
        <family val="2"/>
      </rPr>
      <t>Packages, hotels, and other travel products</t>
    </r>
  </si>
  <si>
    <t>Unallocated corporate expenses</t>
  </si>
  <si>
    <t>% of hotel gross bookings supplied through Expedia</t>
  </si>
  <si>
    <t>Gross profit margin</t>
  </si>
  <si>
    <t xml:space="preserve"> </t>
    <phoneticPr fontId="11" type="noConversion"/>
  </si>
  <si>
    <r>
      <rPr>
        <sz val="10"/>
        <rFont val="Arial"/>
        <family val="2"/>
      </rPr>
      <t>OP Margin</t>
    </r>
    <r>
      <rPr>
        <b/>
        <sz val="10"/>
        <rFont val="Arial"/>
        <family val="2"/>
      </rPr>
      <t xml:space="preserve">  GAAP (OP/revenue)</t>
    </r>
  </si>
  <si>
    <t>Net profit margin GAAP  (/revenue)</t>
  </si>
  <si>
    <t>Shares used in computing earnings per share-Diluted (thousands)</t>
  </si>
  <si>
    <t>Balance Sheet (in million, USD)</t>
    <phoneticPr fontId="11" type="noConversion"/>
  </si>
  <si>
    <t>Cash, Restricted cash and short-term investment</t>
  </si>
  <si>
    <t>Account receivable, net of allowance</t>
    <phoneticPr fontId="11" type="noConversion"/>
  </si>
  <si>
    <t>Related parties receivables (receivables from Expedia)</t>
    <phoneticPr fontId="11" type="noConversion"/>
  </si>
  <si>
    <t>Total Current Asset</t>
    <phoneticPr fontId="11" type="noConversion"/>
  </si>
  <si>
    <t>Other Assets</t>
    <phoneticPr fontId="11" type="noConversion"/>
  </si>
  <si>
    <t>Restricted cash and cash equivalent</t>
    <phoneticPr fontId="11" type="noConversion"/>
  </si>
  <si>
    <t>Right of use</t>
    <phoneticPr fontId="11" type="noConversion"/>
  </si>
  <si>
    <t>PP&amp;E, net</t>
    <phoneticPr fontId="11" type="noConversion"/>
  </si>
  <si>
    <t>Intangible asset, net</t>
    <phoneticPr fontId="11" type="noConversion"/>
  </si>
  <si>
    <t>Goodwill</t>
    <phoneticPr fontId="11" type="noConversion"/>
  </si>
  <si>
    <t>Total Non-current Asset</t>
    <phoneticPr fontId="11" type="noConversion"/>
  </si>
  <si>
    <t>Current Liabilities</t>
    <phoneticPr fontId="11" type="noConversion"/>
  </si>
  <si>
    <t>Account payable and accrued expenses</t>
    <phoneticPr fontId="11" type="noConversion"/>
  </si>
  <si>
    <t>Travel supplier payable</t>
    <phoneticPr fontId="11" type="noConversion"/>
  </si>
  <si>
    <t>Related party payable (payables to Expedia)</t>
    <phoneticPr fontId="11" type="noConversion"/>
  </si>
  <si>
    <t>Loans and other financial liabilities</t>
    <phoneticPr fontId="11" type="noConversion"/>
  </si>
  <si>
    <t>Deferred revenue</t>
    <phoneticPr fontId="11" type="noConversion"/>
  </si>
  <si>
    <t>Other liabilities</t>
    <phoneticPr fontId="11" type="noConversion"/>
  </si>
  <si>
    <t>Contingent liabilities</t>
    <phoneticPr fontId="11" type="noConversion"/>
  </si>
  <si>
    <t>Lease liabilities</t>
    <phoneticPr fontId="11" type="noConversion"/>
  </si>
  <si>
    <t>Total current liabilities</t>
    <phoneticPr fontId="11" type="noConversion"/>
  </si>
  <si>
    <t>Other liabilities</t>
    <phoneticPr fontId="11" type="noConversion"/>
  </si>
  <si>
    <t>Contingent liabilities</t>
    <phoneticPr fontId="11" type="noConversion"/>
  </si>
  <si>
    <t>Lease liabilities</t>
    <phoneticPr fontId="11" type="noConversion"/>
  </si>
  <si>
    <t>Related party liabilities</t>
    <phoneticPr fontId="11" type="noConversion"/>
  </si>
  <si>
    <t>Total non-current liabilities</t>
    <phoneticPr fontId="11" type="noConversion"/>
  </si>
  <si>
    <t>EQUITY</t>
    <phoneticPr fontId="11" type="noConversion"/>
  </si>
  <si>
    <t>Common stock</t>
    <phoneticPr fontId="11" type="noConversion"/>
  </si>
  <si>
    <t>Additional paid-in capital</t>
    <phoneticPr fontId="11" type="noConversion"/>
  </si>
  <si>
    <t>Other reserves</t>
    <phoneticPr fontId="11" type="noConversion"/>
  </si>
  <si>
    <t>Accumulated other comprehensive income</t>
    <phoneticPr fontId="11" type="noConversion"/>
  </si>
  <si>
    <t>Accumulated losses</t>
    <phoneticPr fontId="11" type="noConversion"/>
  </si>
  <si>
    <t>Treasury stock</t>
    <phoneticPr fontId="11" type="noConversion"/>
  </si>
  <si>
    <t xml:space="preserve">Total shareholder's equity </t>
    <phoneticPr fontId="11" type="noConversion"/>
  </si>
  <si>
    <t>Working Capital</t>
    <phoneticPr fontId="11" type="noConversion"/>
  </si>
  <si>
    <t>Change in NWC</t>
    <phoneticPr fontId="11" type="noConversion"/>
  </si>
  <si>
    <r>
      <rPr>
        <b/>
        <sz val="10"/>
        <rFont val="Arial"/>
        <family val="2"/>
      </rPr>
      <t>Cash Flow</t>
    </r>
  </si>
  <si>
    <t>Operating Data</t>
  </si>
  <si>
    <t>Number of transactions by countries</t>
    <phoneticPr fontId="11" type="noConversion"/>
  </si>
  <si>
    <t xml:space="preserve">  Brazil</t>
  </si>
  <si>
    <t xml:space="preserve">  Argentina</t>
  </si>
  <si>
    <t xml:space="preserve">  Other</t>
  </si>
  <si>
    <t>Brazilian share of transactions</t>
  </si>
  <si>
    <t>Argentinian share of transactions</t>
  </si>
  <si>
    <t>Search engine keyword share (Latin America)</t>
  </si>
  <si>
    <t xml:space="preserve">  Chile</t>
  </si>
  <si>
    <t xml:space="preserve">  Colombia</t>
  </si>
  <si>
    <t xml:space="preserve">  Mexico</t>
  </si>
  <si>
    <t>Mobile app downloads</t>
  </si>
  <si>
    <t>Mobile share of visits</t>
  </si>
  <si>
    <t>Mobile share of transactions</t>
  </si>
  <si>
    <t>% GMV Supplied by Affiliates of Expedia</t>
    <phoneticPr fontId="11" type="noConversion"/>
  </si>
  <si>
    <t>GMV Supplied by Affiliates of Expedia</t>
    <phoneticPr fontId="11" type="noConversion"/>
  </si>
  <si>
    <t>Payable to Expedia %</t>
    <phoneticPr fontId="11" type="noConversion"/>
  </si>
  <si>
    <r>
      <t xml:space="preserve">  </t>
    </r>
    <r>
      <rPr>
        <i/>
        <sz val="10"/>
        <rFont val="Arial"/>
        <family val="2"/>
      </rPr>
      <t>YoY change</t>
    </r>
  </si>
  <si>
    <r>
      <t xml:space="preserve">  </t>
    </r>
    <r>
      <rPr>
        <sz val="10"/>
        <rFont val="Arial"/>
        <family val="2"/>
      </rPr>
      <t>Packages, hotels, and others</t>
    </r>
    <phoneticPr fontId="11" type="noConversion"/>
  </si>
  <si>
    <t>Take Rate</t>
    <phoneticPr fontId="11" type="noConversion"/>
  </si>
  <si>
    <t xml:space="preserve">  Gross profit margin</t>
    <phoneticPr fontId="11" type="noConversion"/>
  </si>
  <si>
    <t xml:space="preserve">  G&amp;A</t>
    <phoneticPr fontId="11" type="noConversion"/>
  </si>
  <si>
    <t xml:space="preserve">  R&amp;D</t>
    <phoneticPr fontId="11" type="noConversion"/>
  </si>
  <si>
    <t xml:space="preserve">  S&amp;M</t>
    <phoneticPr fontId="11" type="noConversion"/>
  </si>
  <si>
    <t xml:space="preserve">  D&amp;A</t>
    <phoneticPr fontId="11" type="noConversion"/>
  </si>
  <si>
    <t xml:space="preserve">  SBC</t>
    <phoneticPr fontId="11" type="noConversion"/>
  </si>
  <si>
    <t xml:space="preserve">  OP Margin</t>
    <phoneticPr fontId="11" type="noConversion"/>
  </si>
  <si>
    <t xml:space="preserve">  Net profit margin GAAP  (/revenue)</t>
    <phoneticPr fontId="11" type="noConversion"/>
  </si>
  <si>
    <t xml:space="preserve">  Adjusted EBITDA margin</t>
    <phoneticPr fontId="11" type="noConversion"/>
  </si>
  <si>
    <t>Despegar Captable</t>
    <phoneticPr fontId="11" type="noConversion"/>
  </si>
  <si>
    <t>Expedia</t>
    <phoneticPr fontId="11" type="noConversion"/>
  </si>
  <si>
    <t>Tiger Global</t>
    <phoneticPr fontId="11" type="noConversion"/>
  </si>
  <si>
    <t>Dorsey Asset Management</t>
    <phoneticPr fontId="11" type="noConversion"/>
  </si>
  <si>
    <t>Arisaig Partners Asia</t>
    <phoneticPr fontId="11" type="noConversion"/>
  </si>
  <si>
    <t>Other Shareholders with Less than 5% Stake</t>
    <phoneticPr fontId="11" type="noConversion"/>
  </si>
  <si>
    <t>Board Composition</t>
    <phoneticPr fontId="11" type="noConversion"/>
  </si>
  <si>
    <t>Role</t>
    <phoneticPr fontId="11" type="noConversion"/>
  </si>
  <si>
    <t>Since</t>
    <phoneticPr fontId="11" type="noConversion"/>
  </si>
  <si>
    <t>Damian Scokin</t>
    <phoneticPr fontId="11" type="noConversion"/>
  </si>
  <si>
    <t>CEO, Director</t>
    <phoneticPr fontId="11" type="noConversion"/>
  </si>
  <si>
    <t>Feb 2017</t>
    <phoneticPr fontId="11" type="noConversion"/>
  </si>
  <si>
    <t>Management</t>
    <phoneticPr fontId="11" type="noConversion"/>
  </si>
  <si>
    <t>Nilesh Lakhani</t>
    <phoneticPr fontId="11" type="noConversion"/>
  </si>
  <si>
    <t>Chairman of Board of Director</t>
    <phoneticPr fontId="11" type="noConversion"/>
  </si>
  <si>
    <t>Oct 2012</t>
    <phoneticPr fontId="11" type="noConversion"/>
  </si>
  <si>
    <t>Independent</t>
    <phoneticPr fontId="11" type="noConversion"/>
  </si>
  <si>
    <t>Adam Jay</t>
    <phoneticPr fontId="11" type="noConversion"/>
  </si>
  <si>
    <t>Director</t>
    <phoneticPr fontId="11" type="noConversion"/>
  </si>
  <si>
    <t>Mar 2018</t>
    <phoneticPr fontId="11" type="noConversion"/>
  </si>
  <si>
    <t>Expedia, president at Hotels.com</t>
    <phoneticPr fontId="11" type="noConversion"/>
  </si>
  <si>
    <t>Martin Rastellino</t>
    <phoneticPr fontId="11" type="noConversion"/>
  </si>
  <si>
    <t>COO, Co-founder, Director</t>
    <phoneticPr fontId="11" type="noConversion"/>
  </si>
  <si>
    <t>Jun 2017</t>
    <phoneticPr fontId="11" type="noConversion"/>
  </si>
  <si>
    <t>Mario Eduardo Vazquez</t>
    <phoneticPr fontId="11" type="noConversion"/>
  </si>
  <si>
    <t>Aug 2014</t>
    <phoneticPr fontId="11" type="noConversion"/>
  </si>
  <si>
    <t>Michael James Doyle II</t>
    <phoneticPr fontId="11" type="noConversion"/>
  </si>
  <si>
    <t>Former CFO, Director</t>
    <phoneticPr fontId="11" type="noConversion"/>
  </si>
  <si>
    <t>Sep 2018</t>
    <phoneticPr fontId="11" type="noConversion"/>
  </si>
  <si>
    <t>Former CFO of eLong and Expedia Asia</t>
    <phoneticPr fontId="11" type="noConversion"/>
  </si>
  <si>
    <t>GMV</t>
    <phoneticPr fontId="11" type="noConversion"/>
  </si>
  <si>
    <t>Argentina</t>
    <phoneticPr fontId="11" type="noConversion"/>
  </si>
  <si>
    <t>Rest of LATAM</t>
    <phoneticPr fontId="11" type="noConversion"/>
  </si>
  <si>
    <t>Revenue</t>
    <phoneticPr fontId="11" type="noConversion"/>
  </si>
  <si>
    <t>GMV Growth</t>
    <phoneticPr fontId="11" type="noConversion"/>
  </si>
  <si>
    <t>Revenue Growth</t>
    <phoneticPr fontId="11" type="noConversion"/>
  </si>
  <si>
    <t>Blended Take Rate</t>
    <phoneticPr fontId="11" type="noConversion"/>
  </si>
  <si>
    <t>Revenue Breakdown</t>
    <phoneticPr fontId="11" type="noConversion"/>
  </si>
  <si>
    <t>From Customers</t>
    <phoneticPr fontId="11" type="noConversion"/>
  </si>
  <si>
    <t>From Suppliers</t>
    <phoneticPr fontId="11" type="noConversion"/>
  </si>
  <si>
    <t>Argentina GMV (as reported)</t>
    <phoneticPr fontId="11" type="noConversion"/>
  </si>
  <si>
    <t>Growth (as reported)</t>
    <phoneticPr fontId="11" type="noConversion"/>
  </si>
  <si>
    <t>Growth (FX Neutral)</t>
    <phoneticPr fontId="11" type="noConversion"/>
  </si>
  <si>
    <t>Argentina GMV (FX Neutral)</t>
    <phoneticPr fontId="11" type="noConversion"/>
  </si>
  <si>
    <t>Brazil GMV (as reported)</t>
    <phoneticPr fontId="11" type="noConversion"/>
  </si>
  <si>
    <t>Brazil GMV (FX Neutral)</t>
    <phoneticPr fontId="11" type="noConversion"/>
  </si>
  <si>
    <t>Rest of Latam GMV (as reported)</t>
    <phoneticPr fontId="11" type="noConversion"/>
  </si>
  <si>
    <t>Growth (as reported)</t>
    <phoneticPr fontId="11" type="noConversion"/>
  </si>
  <si>
    <t>Growth (FX Neutral)</t>
    <phoneticPr fontId="11" type="noConversion"/>
  </si>
  <si>
    <t>Rest of Latam GMV (FX Neutral)</t>
    <phoneticPr fontId="11" type="noConversion"/>
  </si>
  <si>
    <t>Paid Traffic</t>
    <phoneticPr fontId="11" type="noConversion"/>
  </si>
  <si>
    <t>Non-Paid Traffic</t>
    <phoneticPr fontId="11" type="noConversion"/>
  </si>
  <si>
    <t>App</t>
    <phoneticPr fontId="11" type="noConversion"/>
  </si>
  <si>
    <t>Site</t>
    <phoneticPr fontId="11" type="noConversion"/>
  </si>
  <si>
    <t>Mobile</t>
    <phoneticPr fontId="11" type="noConversion"/>
  </si>
  <si>
    <t>Desktop</t>
    <phoneticPr fontId="11" type="noConversion"/>
  </si>
  <si>
    <t># of Transaction ('000)</t>
    <phoneticPr fontId="11" type="noConversion"/>
  </si>
  <si>
    <t>Transaction Growth</t>
    <phoneticPr fontId="11" type="noConversion"/>
  </si>
  <si>
    <t>ASP (USD)</t>
    <phoneticPr fontId="11" type="noConversion"/>
  </si>
  <si>
    <t>ASP Growth</t>
    <phoneticPr fontId="11" type="noConversion"/>
  </si>
  <si>
    <t>Rest of Latam</t>
    <phoneticPr fontId="11" type="noConversion"/>
  </si>
  <si>
    <r>
      <t>MAU</t>
    </r>
    <r>
      <rPr>
        <b/>
        <sz val="10"/>
        <rFont val="楷体"/>
        <family val="3"/>
        <charset val="134"/>
      </rPr>
      <t>（非腾讯平台</t>
    </r>
    <r>
      <rPr>
        <b/>
        <sz val="10"/>
        <rFont val="楷体"/>
        <family val="3"/>
        <charset val="134"/>
      </rPr>
      <t>）</t>
    </r>
    <phoneticPr fontId="74" type="noConversion"/>
  </si>
  <si>
    <t>2020Q1</t>
    <phoneticPr fontId="11" type="noConversion"/>
  </si>
  <si>
    <t>1Q20</t>
    <phoneticPr fontId="11" type="noConversion"/>
  </si>
  <si>
    <t>4QF20</t>
    <phoneticPr fontId="11" type="noConversion"/>
  </si>
  <si>
    <t xml:space="preserve">    Impairment of goodwill</t>
    <phoneticPr fontId="11" type="noConversion"/>
  </si>
  <si>
    <t>For the year ended March 31</t>
    <phoneticPr fontId="11" type="noConversion"/>
  </si>
  <si>
    <t>20Q1</t>
    <phoneticPr fontId="11" type="noConversion"/>
  </si>
  <si>
    <t>Adjustment</t>
    <phoneticPr fontId="11" type="noConversion"/>
  </si>
  <si>
    <t>2020Q2</t>
  </si>
  <si>
    <r>
      <t>2</t>
    </r>
    <r>
      <rPr>
        <sz val="12"/>
        <rFont val="宋体"/>
        <family val="3"/>
        <charset val="134"/>
      </rPr>
      <t>0Q1新口径</t>
    </r>
    <phoneticPr fontId="11" type="noConversion"/>
  </si>
  <si>
    <t>Revenue breakdown by product lines</t>
    <phoneticPr fontId="11" type="noConversion"/>
  </si>
  <si>
    <r>
      <t xml:space="preserve">COVID cases in India - </t>
    </r>
    <r>
      <rPr>
        <sz val="9"/>
        <rFont val="宋体"/>
        <family val="3"/>
        <charset val="134"/>
      </rPr>
      <t>现有确诊</t>
    </r>
    <phoneticPr fontId="11" type="noConversion"/>
  </si>
  <si>
    <r>
      <t xml:space="preserve">COVID cases in India  - </t>
    </r>
    <r>
      <rPr>
        <sz val="9"/>
        <rFont val="宋体"/>
        <family val="3"/>
        <charset val="134"/>
      </rPr>
      <t>累积确诊</t>
    </r>
    <phoneticPr fontId="11" type="noConversion"/>
  </si>
  <si>
    <r>
      <t xml:space="preserve">COVID cases in India - </t>
    </r>
    <r>
      <rPr>
        <sz val="9"/>
        <rFont val="宋体"/>
        <family val="3"/>
        <charset val="134"/>
      </rPr>
      <t>新增累计确诊</t>
    </r>
    <phoneticPr fontId="11" type="noConversion"/>
  </si>
  <si>
    <t>累积 # of domestic air passengers</t>
    <phoneticPr fontId="11" type="noConversion"/>
  </si>
  <si>
    <t>N.A.</t>
    <phoneticPr fontId="11" type="noConversion"/>
  </si>
  <si>
    <t>2Q20</t>
    <phoneticPr fontId="11" type="noConversion"/>
  </si>
  <si>
    <t>3Q20</t>
    <phoneticPr fontId="11" type="noConversion"/>
  </si>
  <si>
    <t>1QF21</t>
    <phoneticPr fontId="11" type="noConversion"/>
  </si>
  <si>
    <t>2QF21</t>
    <phoneticPr fontId="11" type="noConversion"/>
  </si>
  <si>
    <r>
      <t>8</t>
    </r>
    <r>
      <rPr>
        <sz val="9"/>
        <rFont val="宋体"/>
        <family val="3"/>
        <charset val="134"/>
      </rPr>
      <t>月</t>
    </r>
    <phoneticPr fontId="11" type="noConversion"/>
  </si>
  <si>
    <r>
      <t>9</t>
    </r>
    <r>
      <rPr>
        <sz val="9"/>
        <rFont val="宋体"/>
        <family val="3"/>
        <charset val="134"/>
      </rPr>
      <t>月</t>
    </r>
    <phoneticPr fontId="11" type="noConversion"/>
  </si>
  <si>
    <t>Vs 2019</t>
    <phoneticPr fontId="11" type="noConversion"/>
  </si>
  <si>
    <t>% of 2019 level</t>
    <phoneticPr fontId="11" type="noConversion"/>
  </si>
  <si>
    <t>(mm)</t>
    <phoneticPr fontId="11" type="noConversion"/>
  </si>
  <si>
    <t># of domestic air passengers</t>
    <phoneticPr fontId="11" type="noConversion"/>
  </si>
  <si>
    <t>Est. MMYT domestic air passengers</t>
    <phoneticPr fontId="11" type="noConversion"/>
  </si>
  <si>
    <t>Market share %</t>
    <phoneticPr fontId="11" type="noConversion"/>
  </si>
  <si>
    <t>Number of domestic air passengers (scheduled and non-scheduled)</t>
    <phoneticPr fontId="11" type="noConversion"/>
  </si>
  <si>
    <t>Implied MMYT domestic air passengers</t>
    <phoneticPr fontId="11" type="noConversion"/>
  </si>
  <si>
    <t>Segments / passengers</t>
    <phoneticPr fontId="11" type="noConversion"/>
  </si>
  <si>
    <t>MMYT air volume - Full FY</t>
    <phoneticPr fontId="11" type="noConversion"/>
  </si>
  <si>
    <t>Indian domestic air travel</t>
    <phoneticPr fontId="11" type="noConversion"/>
  </si>
  <si>
    <t>Outbound air travel</t>
    <phoneticPr fontId="11" type="noConversion"/>
  </si>
  <si>
    <t>Domestic %</t>
    <phoneticPr fontId="11" type="noConversion"/>
  </si>
  <si>
    <t>MMYT air volume - Quarterly</t>
    <phoneticPr fontId="11" type="noConversion"/>
  </si>
  <si>
    <t>Air ticketing GBV on a constant currency basis</t>
    <phoneticPr fontId="11" type="noConversion"/>
  </si>
  <si>
    <t>Air ticketing GBV YoY Growth on a constant currency basis</t>
    <phoneticPr fontId="11" type="noConversion"/>
  </si>
  <si>
    <t>Hotels &amp; Packages GBV on a constant currency basis</t>
    <phoneticPr fontId="11" type="noConversion"/>
  </si>
  <si>
    <t>Hotels &amp; Packages GBV YoY Growth on a constant currency basis</t>
    <phoneticPr fontId="11" type="noConversion"/>
  </si>
  <si>
    <t>Bus ticketing GBV on a constant currency basis</t>
    <phoneticPr fontId="11" type="noConversion"/>
  </si>
  <si>
    <t>Bus ticketing GBV YoY Growth on a constant currency basis</t>
    <phoneticPr fontId="11" type="noConversion"/>
  </si>
  <si>
    <t>Income (loss) from Operations (GAAP) Result from operating activities</t>
    <phoneticPr fontId="11" type="noConversion"/>
  </si>
  <si>
    <t>20Q2</t>
    <phoneticPr fontId="11" type="noConversion"/>
  </si>
  <si>
    <t>20Q3</t>
    <phoneticPr fontId="11" type="noConversion"/>
  </si>
  <si>
    <t>2020Q3</t>
  </si>
  <si>
    <t>Cost of Revenue</t>
    <phoneticPr fontId="11" type="noConversion"/>
  </si>
  <si>
    <t xml:space="preserve">Product Development </t>
    <phoneticPr fontId="11" type="noConversion"/>
  </si>
  <si>
    <t>Sales and Marketing</t>
    <phoneticPr fontId="11" type="noConversion"/>
  </si>
  <si>
    <t>USD mn</t>
    <phoneticPr fontId="11" type="noConversion"/>
  </si>
  <si>
    <t>Restructuring charges</t>
    <phoneticPr fontId="11" type="noConversion"/>
  </si>
  <si>
    <t>Total Operating expenses</t>
    <phoneticPr fontId="11" type="noConversion"/>
  </si>
  <si>
    <t>Operating income (GAAP)</t>
    <phoneticPr fontId="11" type="noConversion"/>
  </si>
  <si>
    <t>Interest income</t>
    <phoneticPr fontId="11" type="noConversion"/>
  </si>
  <si>
    <t>Interest expense</t>
    <phoneticPr fontId="11" type="noConversion"/>
  </si>
  <si>
    <t>Other income (expense)</t>
    <phoneticPr fontId="11" type="noConversion"/>
  </si>
  <si>
    <t>GAAP Operating Income</t>
    <phoneticPr fontId="11" type="noConversion"/>
  </si>
  <si>
    <t>Income (loss) before income taxes</t>
    <phoneticPr fontId="11" type="noConversion"/>
  </si>
  <si>
    <t>Operations and support</t>
    <phoneticPr fontId="11" type="noConversion"/>
  </si>
  <si>
    <t>Net Income (Loss)</t>
    <phoneticPr fontId="11" type="noConversion"/>
  </si>
  <si>
    <t>SBC:</t>
    <phoneticPr fontId="11" type="noConversion"/>
  </si>
  <si>
    <t xml:space="preserve">Product development </t>
    <phoneticPr fontId="11" type="noConversion"/>
  </si>
  <si>
    <t>General and administrative</t>
    <phoneticPr fontId="11" type="noConversion"/>
  </si>
  <si>
    <t>Restructuring charges</t>
    <phoneticPr fontId="11" type="noConversion"/>
  </si>
  <si>
    <t>Total SBC</t>
    <phoneticPr fontId="11" type="noConversion"/>
  </si>
  <si>
    <t>Gross Booking Value</t>
    <phoneticPr fontId="11" type="noConversion"/>
  </si>
  <si>
    <t>YoY</t>
    <phoneticPr fontId="11" type="noConversion"/>
  </si>
  <si>
    <t>Adjusted EBITDA (Reported)</t>
    <phoneticPr fontId="11" type="noConversion"/>
  </si>
  <si>
    <t>Adjusted EBITDA Margin</t>
    <phoneticPr fontId="11" type="noConversion"/>
  </si>
  <si>
    <t>Non-GAAP OP Margin</t>
    <phoneticPr fontId="11" type="noConversion"/>
  </si>
  <si>
    <t>Non-GAAP Operating Income</t>
    <phoneticPr fontId="11" type="noConversion"/>
  </si>
  <si>
    <t>Gross Margin</t>
    <phoneticPr fontId="11" type="noConversion"/>
  </si>
  <si>
    <t>As % of Net Revenue (Non-GAAP)</t>
    <phoneticPr fontId="11" type="noConversion"/>
  </si>
  <si>
    <t xml:space="preserve">YoY Growth </t>
    <phoneticPr fontId="11" type="noConversion"/>
  </si>
  <si>
    <t>Revenue</t>
    <phoneticPr fontId="11" type="noConversion"/>
  </si>
  <si>
    <r>
      <t>As % of Net Revenue (Reporting</t>
    </r>
    <r>
      <rPr>
        <b/>
        <sz val="12"/>
        <rFont val="宋体"/>
        <family val="3"/>
        <charset val="134"/>
      </rPr>
      <t>口径</t>
    </r>
    <r>
      <rPr>
        <b/>
        <sz val="12"/>
        <rFont val="Times New Roman"/>
        <family val="1"/>
      </rPr>
      <t>)</t>
    </r>
    <phoneticPr fontId="11" type="noConversion"/>
  </si>
  <si>
    <t>% of Revenue</t>
    <phoneticPr fontId="11" type="noConversion"/>
  </si>
  <si>
    <t>Operating Expense (GAAP)</t>
    <phoneticPr fontId="11" type="noConversion"/>
  </si>
  <si>
    <t>Operations and support</t>
  </si>
  <si>
    <t xml:space="preserve">Product Development </t>
  </si>
  <si>
    <t>Sales and Marketing</t>
  </si>
  <si>
    <t>Operating Expense (Non-GAAP)</t>
    <phoneticPr fontId="11" type="noConversion"/>
  </si>
  <si>
    <t>FY 2018</t>
  </si>
  <si>
    <t>FY 2019</t>
  </si>
  <si>
    <t>FY 2015</t>
    <phoneticPr fontId="11" type="noConversion"/>
  </si>
  <si>
    <t>FY 2016</t>
  </si>
  <si>
    <t>FY 2017</t>
  </si>
  <si>
    <t>2020Q4</t>
  </si>
  <si>
    <t>Non-GAAP Net Income</t>
    <phoneticPr fontId="11" type="noConversion"/>
  </si>
  <si>
    <t>Active Bookers (in Million)</t>
    <phoneticPr fontId="11" type="noConversion"/>
  </si>
  <si>
    <t>Guest Arrivals (in Million)</t>
    <phoneticPr fontId="11" type="noConversion"/>
  </si>
  <si>
    <t>NM</t>
    <phoneticPr fontId="11" type="noConversion"/>
  </si>
  <si>
    <r>
      <t>Operating expenses: (Ctrip</t>
    </r>
    <r>
      <rPr>
        <sz val="9"/>
        <rFont val="宋体"/>
        <family val="3"/>
        <charset val="134"/>
      </rPr>
      <t>口径）</t>
    </r>
    <phoneticPr fontId="11" type="noConversion"/>
  </si>
  <si>
    <r>
      <t xml:space="preserve">Total operating expenses (Ctrip </t>
    </r>
    <r>
      <rPr>
        <sz val="9"/>
        <rFont val="宋体"/>
        <family val="3"/>
        <charset val="134"/>
      </rPr>
      <t>口径）</t>
    </r>
    <phoneticPr fontId="11" type="noConversion"/>
  </si>
  <si>
    <t>ABNB</t>
    <phoneticPr fontId="11" type="noConversion"/>
  </si>
  <si>
    <t>ABNB Revenue</t>
    <phoneticPr fontId="11" type="noConversion"/>
  </si>
  <si>
    <t>ABNB Revenue YoY Growth</t>
    <phoneticPr fontId="11" type="noConversion"/>
  </si>
  <si>
    <t>ABNB Room Nights</t>
    <phoneticPr fontId="11" type="noConversion"/>
  </si>
  <si>
    <t>ABNB Room Nights YoY Growth</t>
    <phoneticPr fontId="11" type="noConversion"/>
  </si>
  <si>
    <t>BKNG Revenue</t>
    <phoneticPr fontId="11" type="noConversion"/>
  </si>
  <si>
    <t>BKNG Revenue YoY Growth on a non-constant currency basis</t>
    <phoneticPr fontId="11" type="noConversion"/>
  </si>
  <si>
    <t>ABNB non-GAAP S&amp;M expenses as % of revenue</t>
    <phoneticPr fontId="11" type="noConversion"/>
  </si>
  <si>
    <t>FY 2020</t>
  </si>
  <si>
    <t>Stock-settlement obligations related to IPO</t>
    <phoneticPr fontId="11" type="noConversion"/>
  </si>
  <si>
    <t>Total stock-settlement obligations</t>
    <phoneticPr fontId="11" type="noConversion"/>
  </si>
  <si>
    <t>182Q1</t>
    <phoneticPr fontId="22" type="noConversion"/>
  </si>
  <si>
    <t>2021Q1</t>
    <phoneticPr fontId="11" type="noConversion"/>
  </si>
  <si>
    <t>Priceline</t>
    <phoneticPr fontId="11" type="noConversion"/>
  </si>
  <si>
    <t>自21Q1开始，所有的YoY Growth均指2019年</t>
    <phoneticPr fontId="11" type="noConversion"/>
  </si>
  <si>
    <t>2021Q2</t>
    <phoneticPr fontId="11" type="noConversion"/>
  </si>
  <si>
    <t>NM</t>
    <phoneticPr fontId="11" type="noConversion"/>
  </si>
  <si>
    <t>Worldwide property count (mn)</t>
    <phoneticPr fontId="11" type="noConversion"/>
  </si>
  <si>
    <t>2021Q3</t>
    <phoneticPr fontId="11" type="noConversion"/>
  </si>
  <si>
    <t>TCOM Revenue (USD)</t>
    <phoneticPr fontId="11" type="noConversion"/>
  </si>
  <si>
    <t>2021Q4</t>
    <phoneticPr fontId="11" type="noConversion"/>
  </si>
  <si>
    <t>FY 2021</t>
    <phoneticPr fontId="11" type="noConversion"/>
  </si>
  <si>
    <t>Activ listings (in Million)</t>
    <phoneticPr fontId="11" type="noConversion"/>
  </si>
  <si>
    <t>Stays of more than 7 days as of gross nights</t>
    <phoneticPr fontId="11" type="noConversion"/>
  </si>
  <si>
    <t>Stays of 28 nights or more as of gross nights</t>
    <phoneticPr fontId="11" type="noConversion"/>
  </si>
  <si>
    <t>2022Q1</t>
  </si>
  <si>
    <t>2022Q1</t>
    <phoneticPr fontId="11" type="noConversion"/>
  </si>
  <si>
    <t>Growth vs.2019</t>
    <phoneticPr fontId="11" type="noConversion"/>
  </si>
  <si>
    <t>Revenue Growth vs.2019</t>
    <phoneticPr fontId="11" type="noConversion"/>
  </si>
  <si>
    <t>2022Q1</t>
    <phoneticPr fontId="11" type="noConversion"/>
  </si>
  <si>
    <t>over 6 million</t>
    <phoneticPr fontId="11" type="noConversion"/>
  </si>
  <si>
    <t>ABNB Adj. EBITDA Margin</t>
    <phoneticPr fontId="11" type="noConversion"/>
  </si>
  <si>
    <t>TCOM Adj. EBITDA Margin</t>
    <phoneticPr fontId="11" type="noConversion"/>
  </si>
  <si>
    <t>2022Q2</t>
  </si>
  <si>
    <t>Over 6 million</t>
    <phoneticPr fontId="11" type="noConversion"/>
  </si>
  <si>
    <t>22Q3</t>
    <phoneticPr fontId="11" type="noConversion"/>
  </si>
  <si>
    <t>22Q1</t>
    <phoneticPr fontId="11" type="noConversion"/>
  </si>
  <si>
    <t>22Q2</t>
    <phoneticPr fontId="11" type="noConversion"/>
  </si>
  <si>
    <t>19Q4</t>
    <phoneticPr fontId="11" type="noConversion"/>
  </si>
  <si>
    <t>20Q2</t>
    <phoneticPr fontId="11" type="noConversion"/>
  </si>
  <si>
    <t>20Q3</t>
  </si>
  <si>
    <t>20Q4</t>
    <phoneticPr fontId="11" type="noConversion"/>
  </si>
  <si>
    <t>21Q1</t>
    <phoneticPr fontId="11" type="noConversion"/>
  </si>
  <si>
    <t>21Q2</t>
    <phoneticPr fontId="11" type="noConversion"/>
  </si>
  <si>
    <t>21Q3</t>
    <phoneticPr fontId="11" type="noConversion"/>
  </si>
  <si>
    <t>21Q4</t>
    <phoneticPr fontId="11" type="noConversion"/>
  </si>
  <si>
    <t>18Q2</t>
    <phoneticPr fontId="11" type="noConversion"/>
  </si>
  <si>
    <t>18Q3</t>
    <phoneticPr fontId="11" type="noConversion"/>
  </si>
  <si>
    <t>18Q4</t>
    <phoneticPr fontId="11" type="noConversion"/>
  </si>
  <si>
    <t>2022Q3</t>
  </si>
  <si>
    <t xml:space="preserve">Blended Take Rate-Quarterly </t>
    <phoneticPr fontId="11" type="noConversion"/>
  </si>
  <si>
    <t>Blended Take Rate-TTM</t>
    <phoneticPr fontId="11" type="noConversion"/>
  </si>
  <si>
    <t xml:space="preserve">Interest and dividend income </t>
    <phoneticPr fontId="11" type="noConversion"/>
  </si>
  <si>
    <t>Blended take rate-TTM</t>
    <phoneticPr fontId="11" type="noConversion"/>
  </si>
  <si>
    <t>-</t>
    <phoneticPr fontId="11" type="noConversion"/>
  </si>
  <si>
    <t>ADR YoY growth-stayed</t>
    <phoneticPr fontId="11" type="noConversion"/>
  </si>
  <si>
    <t># of roomnights-stayed</t>
    <phoneticPr fontId="11" type="noConversion"/>
  </si>
  <si>
    <t>2022Q2</t>
    <phoneticPr fontId="11" type="noConversion"/>
  </si>
  <si>
    <t>2022Q3</t>
    <phoneticPr fontId="11" type="noConversion"/>
  </si>
  <si>
    <t>2022Q4</t>
  </si>
  <si>
    <r>
      <t>Roomnight Booked -</t>
    </r>
    <r>
      <rPr>
        <b/>
        <sz val="9"/>
        <rFont val="宋体"/>
        <family val="3"/>
        <charset val="134"/>
      </rPr>
      <t>与Booking同口径</t>
    </r>
    <phoneticPr fontId="11" type="noConversion"/>
  </si>
  <si>
    <t>22Q4</t>
    <phoneticPr fontId="11" type="noConversion"/>
  </si>
  <si>
    <t>6.6 million</t>
    <phoneticPr fontId="11" type="noConversion"/>
  </si>
  <si>
    <t>FY 2022</t>
  </si>
  <si>
    <t>2023Q1</t>
    <phoneticPr fontId="11" type="noConversion"/>
  </si>
  <si>
    <t>2023Q2</t>
  </si>
  <si>
    <t>2023Q3</t>
  </si>
  <si>
    <t>2023Q4</t>
  </si>
  <si>
    <t>YOY</t>
    <phoneticPr fontId="11" type="noConversion"/>
  </si>
  <si>
    <t>23Q1</t>
    <phoneticPr fontId="11" type="noConversion"/>
  </si>
  <si>
    <t>Company Dislose</t>
    <phoneticPr fontId="11" type="noConversion"/>
  </si>
  <si>
    <t>2023Q2</t>
    <phoneticPr fontId="11" type="noConversion"/>
  </si>
  <si>
    <t>23Q2</t>
    <phoneticPr fontId="11" type="noConversion"/>
  </si>
  <si>
    <t>2020Q2</t>
    <phoneticPr fontId="11" type="noConversion"/>
  </si>
  <si>
    <t>2020Q3</t>
    <phoneticPr fontId="11" type="noConversion"/>
  </si>
  <si>
    <t>2020Q4</t>
    <phoneticPr fontId="11" type="noConversion"/>
  </si>
  <si>
    <t>20Q2</t>
  </si>
  <si>
    <t>20Q4</t>
  </si>
  <si>
    <t>21Q2</t>
  </si>
  <si>
    <t>21Q3</t>
  </si>
  <si>
    <t>21Q4</t>
  </si>
  <si>
    <t>22Q2</t>
  </si>
  <si>
    <t>22Q3</t>
  </si>
  <si>
    <t>22Q4</t>
  </si>
  <si>
    <t>23Q3</t>
    <phoneticPr fontId="11" type="noConversion"/>
  </si>
  <si>
    <t>19Q2</t>
    <phoneticPr fontId="11" type="noConversion"/>
  </si>
  <si>
    <t>2023Q3</t>
    <phoneticPr fontId="11" type="noConversion"/>
  </si>
  <si>
    <t>2022Q4</t>
    <phoneticPr fontId="11" type="noConversion"/>
  </si>
  <si>
    <t>23Q3</t>
  </si>
  <si>
    <t>23Q4</t>
  </si>
  <si>
    <t>over 7.7 million</t>
    <phoneticPr fontId="11" type="noConversion"/>
  </si>
  <si>
    <t>over 7 millin</t>
    <phoneticPr fontId="11" type="noConversion"/>
  </si>
  <si>
    <t>FY 2023</t>
  </si>
  <si>
    <t>Net Revenue on a non-constant currency basis</t>
    <phoneticPr fontId="11" type="noConversion"/>
  </si>
  <si>
    <t>Net Revenue on a constant currency basis</t>
    <phoneticPr fontId="11" type="noConversion"/>
  </si>
  <si>
    <t>(in million, USD, except EPS data)</t>
    <phoneticPr fontId="11" type="noConversion"/>
  </si>
  <si>
    <t>2023Q4</t>
    <phoneticPr fontId="11" type="noConversion"/>
  </si>
  <si>
    <t>2024Q1</t>
    <phoneticPr fontId="11" type="noConversion"/>
  </si>
  <si>
    <t xml:space="preserve">  Other expenses (Legal reserves + occupancy tax and other)</t>
    <phoneticPr fontId="11" type="noConversion"/>
  </si>
  <si>
    <t>Restructuring and related reorganization charges</t>
    <phoneticPr fontId="11" type="noConversion"/>
  </si>
  <si>
    <t>2024E</t>
    <phoneticPr fontId="2" type="noConversion"/>
  </si>
  <si>
    <t>=</t>
    <phoneticPr fontId="2" type="noConversion"/>
  </si>
  <si>
    <t>24Q1</t>
    <phoneticPr fontId="11" type="noConversion"/>
  </si>
  <si>
    <t>YoY vs 2023</t>
    <phoneticPr fontId="11" type="noConversion"/>
  </si>
  <si>
    <t>24Q1</t>
    <phoneticPr fontId="11" type="noConversion"/>
  </si>
  <si>
    <t>grew 15% compared to a year ago</t>
    <phoneticPr fontId="11" type="noConversion"/>
  </si>
  <si>
    <t>2024Q2</t>
  </si>
  <si>
    <t>24Q2</t>
    <phoneticPr fontId="11" type="noConversion"/>
  </si>
  <si>
    <t>23Q4</t>
    <phoneticPr fontId="11" type="noConversion"/>
  </si>
  <si>
    <t>2024Q2</t>
    <phoneticPr fontId="11" type="noConversion"/>
  </si>
  <si>
    <t>2024Q1</t>
    <phoneticPr fontId="11" type="noConversion"/>
  </si>
  <si>
    <t>2024Q2</t>
    <phoneticPr fontId="11" type="noConversion"/>
  </si>
  <si>
    <t xml:space="preserve">Revenue breakdown by segment </t>
    <phoneticPr fontId="11" type="noConversion"/>
  </si>
  <si>
    <t>B2C</t>
    <phoneticPr fontId="11" type="noConversion"/>
  </si>
  <si>
    <t>B2C YoY growth</t>
    <phoneticPr fontId="11" type="noConversion"/>
  </si>
  <si>
    <t>B2B</t>
    <phoneticPr fontId="11" type="noConversion"/>
  </si>
  <si>
    <t>B2B YoY growth</t>
    <phoneticPr fontId="11" type="noConversion"/>
  </si>
  <si>
    <t>Other YoY growth</t>
    <phoneticPr fontId="11" type="noConversion"/>
  </si>
  <si>
    <t>Other (Trivago)</t>
    <phoneticPr fontId="11" type="noConversion"/>
  </si>
  <si>
    <t>EXPE Adj. EBITDA margin</t>
    <phoneticPr fontId="11" type="noConversion"/>
  </si>
  <si>
    <t>BKNG Adj. EBITDA margin</t>
    <phoneticPr fontId="11" type="noConversion"/>
  </si>
  <si>
    <t>BKNG non-GAAP S&amp;M expenses as % of revenue</t>
    <phoneticPr fontId="11" type="noConversion"/>
  </si>
  <si>
    <t>BKNG GAAP OPM</t>
    <phoneticPr fontId="11" type="noConversion"/>
  </si>
  <si>
    <t>EXPE GAAP OPM</t>
    <phoneticPr fontId="11" type="noConversion"/>
  </si>
  <si>
    <t>ABNB GAAP OPM</t>
    <phoneticPr fontId="11" type="noConversion"/>
  </si>
  <si>
    <t>TCOM GAAP OPM</t>
    <phoneticPr fontId="11" type="noConversion"/>
  </si>
  <si>
    <t>2024Q3</t>
    <phoneticPr fontId="11" type="noConversion"/>
  </si>
  <si>
    <t>24Q3</t>
  </si>
  <si>
    <t>24Q3</t>
    <phoneticPr fontId="11" type="noConversion"/>
  </si>
  <si>
    <t>Nights booked on app as of total</t>
  </si>
  <si>
    <t>2024Q3</t>
    <phoneticPr fontId="11" type="noConversion"/>
  </si>
  <si>
    <t>2024Q4</t>
    <phoneticPr fontId="11" type="noConversion"/>
  </si>
  <si>
    <t>24Q4</t>
  </si>
  <si>
    <t>24Q4</t>
    <phoneticPr fontId="11" type="noConversion"/>
  </si>
  <si>
    <t>FY 2024</t>
    <phoneticPr fontId="11" type="noConversion"/>
  </si>
  <si>
    <t>2024Q4</t>
  </si>
  <si>
    <t>2025Q1</t>
    <phoneticPr fontId="11" type="noConversion"/>
  </si>
  <si>
    <t>25Q1</t>
    <phoneticPr fontId="11" type="noConversion"/>
  </si>
  <si>
    <t>Transformation Costs</t>
    <phoneticPr fontId="11" type="noConversion"/>
  </si>
  <si>
    <t>Expedia</t>
    <phoneticPr fontId="11" type="noConversion"/>
  </si>
  <si>
    <t>2025Q2</t>
  </si>
  <si>
    <t>Total revenue YoY growth</t>
  </si>
  <si>
    <t>OPEX YoY growth</t>
  </si>
  <si>
    <r>
      <t>Opex reporting</t>
    </r>
    <r>
      <rPr>
        <b/>
        <sz val="9"/>
        <rFont val="宋体"/>
        <family val="3"/>
        <charset val="134"/>
      </rPr>
      <t>口径：</t>
    </r>
  </si>
  <si>
    <t>Adjusted EBITDA(mn)-reported</t>
  </si>
  <si>
    <t>Alternative accomodation property count</t>
  </si>
  <si>
    <t>25Q2</t>
  </si>
  <si>
    <t>Non-GAAP Net Income - updated formula</t>
  </si>
  <si>
    <t>Income tax expense (benefit)</t>
  </si>
  <si>
    <t>North America</t>
  </si>
  <si>
    <t>EMEA</t>
  </si>
  <si>
    <t>Asia Pacific</t>
  </si>
  <si>
    <t>Latin America</t>
  </si>
  <si>
    <t>Room Nights by Geography (mn)</t>
  </si>
  <si>
    <t>Room Nights by Geography (%)</t>
  </si>
  <si>
    <t>Room Nights by Geography (YoY)</t>
  </si>
  <si>
    <t>FY 2025(BBG EST.)</t>
  </si>
  <si>
    <t>Hotel(incl. AWAY)</t>
  </si>
  <si>
    <t>2025Q1</t>
  </si>
  <si>
    <t>Total Revenue YoY growth</t>
  </si>
  <si>
    <t>B2C contribution</t>
  </si>
  <si>
    <t>B2B contribution</t>
  </si>
  <si>
    <t>BKNG Revenue YoY Growth on a constant currency basis</t>
  </si>
  <si>
    <t>BKNG (√)</t>
  </si>
  <si>
    <t>2025Q3</t>
  </si>
  <si>
    <t>Impairment</t>
  </si>
  <si>
    <t>Asia</t>
  </si>
  <si>
    <t>US</t>
  </si>
  <si>
    <t>EU</t>
  </si>
  <si>
    <t>ROW</t>
  </si>
  <si>
    <t>By region %</t>
  </si>
  <si>
    <t>Room nights</t>
  </si>
  <si>
    <t>Room nights(mn)</t>
  </si>
  <si>
    <t>By region (mn)</t>
  </si>
  <si>
    <t>By region YoY</t>
  </si>
  <si>
    <t>25Q3</t>
  </si>
  <si>
    <t>Air Ticket</t>
  </si>
  <si>
    <t xml:space="preserve">ADR </t>
    <phoneticPr fontId="166" type="noConversion"/>
  </si>
  <si>
    <t>Hotel</t>
    <phoneticPr fontId="166" type="noConversion"/>
  </si>
  <si>
    <t>YoY (non-constent currency)</t>
    <phoneticPr fontId="166" type="noConversion"/>
  </si>
  <si>
    <t>Implied bookings</t>
    <phoneticPr fontId="166" type="noConversion"/>
  </si>
  <si>
    <t>% of total bookings</t>
    <phoneticPr fontId="166" type="noConversion"/>
  </si>
  <si>
    <t>Air</t>
    <phoneticPr fontId="166" type="noConversion"/>
  </si>
  <si>
    <t>YoY</t>
    <phoneticPr fontId="166" type="noConversion"/>
  </si>
  <si>
    <t>Air tickets vs.2019</t>
  </si>
  <si>
    <t>25Q3</t>
    <phoneticPr fontId="11" type="noConversion"/>
  </si>
  <si>
    <t>2024Q3</t>
  </si>
  <si>
    <t>2025Q4</t>
    <phoneticPr fontId="11" type="noConversion"/>
  </si>
  <si>
    <t>25Q4</t>
    <phoneticPr fontId="11" type="noConversion"/>
  </si>
  <si>
    <t>Nights and Experiences Booked</t>
    <phoneticPr fontId="11" type="noConversion"/>
  </si>
  <si>
    <t>FY 2025</t>
    <phoneticPr fontId="11" type="noConversion"/>
  </si>
  <si>
    <t>2025Q4</t>
  </si>
  <si>
    <t>25Q4</t>
  </si>
  <si>
    <t>2026Q1</t>
  </si>
  <si>
    <t>26Q1</t>
  </si>
  <si>
    <t>2026Q2</t>
    <phoneticPr fontId="11" type="noConversion"/>
  </si>
  <si>
    <t>BL=2026Q2 Source: BKNG 8-K Ex99.1 / Q2-26 Earnings Release Final + Quarterly Earnings Presentation Q2 2026, 2026-08-04; Prepared Remarks; T_E transcript 2026-08-05. Units: $mn except EPS (post 25-for-1 split). Historical EPS/shares restated for 25-for-1 split. Agency/Merchant GBV 13961/36996 per Bloomberg Act (official supplemental prints $14.0B/$37.0B).</t>
    <phoneticPr fontId="166" type="noConversion"/>
  </si>
  <si>
    <t>2026Q2</t>
  </si>
  <si>
    <t>26Q2</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</si>
</sst>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5">
    <numFmt numFmtId="41" formatCode="_ * #,##0_ ;_ * \-#,##0_ ;_ * &quot;-&quot;_ ;_ @_ "/>
    <numFmt numFmtId="44" formatCode="_ &quot;¥&quot;* #,##0.00_ ;_ &quot;¥&quot;* \-#,##0.00_ ;_ &quot;¥&quot;* &quot;-&quot;??_ ;_ @_ "/>
    <numFmt numFmtId="43" formatCode="_ * #,##0.00_ ;_ * \-#,##0.00_ ;_ * &quot;-&quot;??_ ;_ @_ "/>
    <numFmt numFmtId="24" formatCode="\$#,##0_);[Red]\(\$#,##0\)"/>
    <numFmt numFmtId="26" formatCode="\$#,##0.00_);[Red]\(\$#,##0.00\)"/>
    <numFmt numFmtId="176" formatCode="_(&quot;$&quot;* #,##0.00_);_(&quot;$&quot;* \(#,##0.00\);_(&quot;$&quot;* &quot;-&quot;??_);_(@_)"/>
    <numFmt numFmtId="177" formatCode="_(* #,##0.00_);_(* \(#,##0.00\);_(* &quot;-&quot;??_);_(@_)"/>
    <numFmt numFmtId="178" formatCode="_-* #,##0_-;\-* #,##0_-;_-* &quot;-&quot;_-;_-@_-"/>
    <numFmt numFmtId="179" formatCode="_-* #,##0.00_-;\-* #,##0.00_-;_-* &quot;-&quot;??_-;_-@_-"/>
    <numFmt numFmtId="180" formatCode="0.00_)"/>
    <numFmt numFmtId="181" formatCode="0.0%"/>
    <numFmt numFmtId="182" formatCode="0.00_ "/>
    <numFmt numFmtId="183" formatCode="0_ "/>
    <numFmt numFmtId="184" formatCode="_(* #,##0.00_);[Red]_(* \(#,##0.00\);_(* &quot;-&quot;??_)"/>
    <numFmt numFmtId="185" formatCode="_-* #,##0.00_-;\-* #,##0.00_-;_-* &quot;-&quot;_-;_-@_-"/>
    <numFmt numFmtId="186" formatCode="_-* #,##0_-;\-* #,##0_-;_-* &quot;-&quot;??_-;_-@_-"/>
    <numFmt numFmtId="187" formatCode="0;_鐀"/>
    <numFmt numFmtId="188" formatCode="0.00_);[Red]\(0.00\)"/>
    <numFmt numFmtId="189" formatCode="#,##0.0_);[Red]\(#,##0.0\)"/>
    <numFmt numFmtId="190" formatCode="#,##0.000_);[Red]\(#,##0.000\)"/>
    <numFmt numFmtId="191" formatCode="_(* #,##0_);[Red]_(* \(#,##0\);_(* &quot;-&quot;??_)"/>
    <numFmt numFmtId="192" formatCode="_(* #,##0_);_(* \(#,##0\);_(* &quot;-&quot;??_);_(@_)"/>
    <numFmt numFmtId="193" formatCode="0.0"/>
    <numFmt numFmtId="194" formatCode="_ * #,##0_ ;_ * \-#,##0_ ;_ * &quot;-&quot;??_ ;_ @_ "/>
    <numFmt numFmtId="195" formatCode="0.0000"/>
    <numFmt numFmtId="196" formatCode="_ * #,##0.0_ ;_ * \-#,##0.0_ ;_ * &quot;-&quot;??_ ;_ @_ "/>
    <numFmt numFmtId="197" formatCode="0.0_ "/>
    <numFmt numFmtId="198" formatCode="#,##0.0000_);[Red]\(#,##0.0000\)"/>
    <numFmt numFmtId="199" formatCode="_-#,##0_-;\(#,##0\);_-\ \ &quot;-&quot;_-;_-@_-"/>
    <numFmt numFmtId="200" formatCode="_-#,##0.00_-;\(#,##0.00\);_-\ \ &quot;-&quot;_-;_-@_-"/>
    <numFmt numFmtId="201" formatCode="mmm/dd/yyyy;_-\ &quot;N/A&quot;_-;_-\ &quot;-&quot;_-"/>
    <numFmt numFmtId="202" formatCode="mmm/yyyy;_-\ &quot;N/A&quot;_-;_-\ &quot;-&quot;_-"/>
    <numFmt numFmtId="203" formatCode="_-#,##0%_-;\(#,##0%\);_-\ &quot;-&quot;_-"/>
    <numFmt numFmtId="204" formatCode="_-#,###,_-;\(#,###,\);_-\ \ &quot;-&quot;_-;_-@_-"/>
    <numFmt numFmtId="205" formatCode="_-#,###.00,_-;\(#,###.00,\);_-\ \ &quot;-&quot;_-;_-@_-"/>
    <numFmt numFmtId="206" formatCode="_-#0&quot;.&quot;0,_-;\(#0&quot;.&quot;0,\);_-\ \ &quot;-&quot;_-;_-@_-"/>
    <numFmt numFmtId="207" formatCode="_-#0&quot;.&quot;0000_-;\(#0&quot;.&quot;0000\);_-\ \ &quot;-&quot;_-;_-@_-"/>
    <numFmt numFmtId="208" formatCode="#,##0.0;[Red]\-#,##0.0"/>
    <numFmt numFmtId="209" formatCode="0_);[Red]\(0\)"/>
    <numFmt numFmtId="210" formatCode="#,##0_ "/>
    <numFmt numFmtId="211" formatCode="0.0000%"/>
    <numFmt numFmtId="212" formatCode="#,##0.00000"/>
    <numFmt numFmtId="213" formatCode="#,##0.000"/>
    <numFmt numFmtId="214" formatCode="#,##0.000000"/>
    <numFmt numFmtId="215" formatCode="#,##0.000_ "/>
    <numFmt numFmtId="216" formatCode="_(* #,##0.000_);_(* \(#,##0.000\);_(* &quot;-&quot;??_);_(@_)"/>
    <numFmt numFmtId="217" formatCode="0.0_);[Red]\(0.0\)"/>
    <numFmt numFmtId="218" formatCode="_-* #,##0.0_-;\-* #,##0.0_-;_-* &quot;-&quot;_-;_-@_-"/>
    <numFmt numFmtId="219" formatCode="#,##0.0_ "/>
    <numFmt numFmtId="220" formatCode="_(* #,##0.0_);_(* \(#,##0.0\);_(* &quot;-&quot;??_);_(@_)"/>
    <numFmt numFmtId="221" formatCode="#,##0.0_);\(#,##0.0\)"/>
    <numFmt numFmtId="222" formatCode="0000&quot;E&quot;"/>
    <numFmt numFmtId="223" formatCode="#,##0.0"/>
    <numFmt numFmtId="224" formatCode="0.00_);\(0.00\)"/>
    <numFmt numFmtId="225" formatCode="#,##0.000_);\(#,##0.000\)"/>
    <numFmt numFmtId="226" formatCode="_ [$HKD]\ * #,##0.00_ ;_ [$HKD]\ * \-#,##0.00_ ;_ [$HKD]\ * &quot;-&quot;??_ ;_ @_ "/>
    <numFmt numFmtId="227" formatCode="_ [$€-2]\ * #,##0.0_ ;_ [$€-2]\ * \-#,##0.0_ ;_ [$€-2]\ * &quot;-&quot;?_ ;_ @_ "/>
    <numFmt numFmtId="228" formatCode="_(* #,##0_);_(* \(#,##0\)_)\ ;_(* 0_)"/>
    <numFmt numFmtId="229" formatCode="_(* #,##0.0_);_(* \(#,##0.0\)_)\ ;_(* 0_)"/>
    <numFmt numFmtId="230" formatCode="_(* #,##0.00_);_(* \(#,##0.00\);_(* &quot;-&quot;??_);_(@_)\ \X"/>
    <numFmt numFmtId="231" formatCode="_([$€-2]* #,##0.00_);_([$€-2]* \(#,##0.00\);_([$€-2]* &quot;-&quot;??_)"/>
    <numFmt numFmtId="232" formatCode="0_);\(0\)"/>
    <numFmt numFmtId="233" formatCode="#,##0.000;\-#,##0.000"/>
    <numFmt numFmtId="234" formatCode="[$-409]mmm\-yy;@"/>
    <numFmt numFmtId="235" formatCode="_ [$HKD]\ * #,##0.000_ ;_ [$HKD]\ * \-#,##0.000_ ;_ [$HKD]\ * &quot;-&quot;??_ ;_ @_ "/>
  </numFmts>
  <fonts count="184">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2"/>
      <name val="宋体"/>
      <family val="3"/>
      <charset val="134"/>
    </font>
    <font>
      <sz val="10"/>
      <name val="Helv"/>
      <family val="2"/>
    </font>
    <font>
      <sz val="10"/>
      <name val="Arial"/>
      <family val="2"/>
    </font>
    <font>
      <sz val="8"/>
      <name val="Arial"/>
      <family val="2"/>
    </font>
    <font>
      <b/>
      <i/>
      <sz val="16"/>
      <name val="Helv"/>
      <family val="2"/>
    </font>
    <font>
      <sz val="9"/>
      <name val="Arial"/>
      <family val="2"/>
    </font>
    <font>
      <sz val="9"/>
      <name val="宋体"/>
      <family val="3"/>
      <charset val="134"/>
    </font>
    <font>
      <b/>
      <sz val="9"/>
      <name val="arial"/>
      <family val="2"/>
    </font>
    <font>
      <sz val="9"/>
      <color indexed="81"/>
      <name val="宋体"/>
      <family val="3"/>
      <charset val="134"/>
    </font>
    <font>
      <b/>
      <sz val="9"/>
      <color indexed="81"/>
      <name val="宋体"/>
      <family val="3"/>
      <charset val="134"/>
    </font>
    <font>
      <b/>
      <sz val="12"/>
      <name val="宋体"/>
      <family val="3"/>
      <charset val="134"/>
    </font>
    <font>
      <sz val="10"/>
      <color indexed="81"/>
      <name val="宋体"/>
      <family val="3"/>
      <charset val="134"/>
    </font>
    <font>
      <b/>
      <sz val="10"/>
      <color indexed="81"/>
      <name val="宋体"/>
      <family val="3"/>
      <charset val="134"/>
    </font>
    <font>
      <sz val="12"/>
      <name val="宋体"/>
      <family val="3"/>
      <charset val="134"/>
    </font>
    <font>
      <b/>
      <sz val="9"/>
      <color theme="0" tint="-0.14999847407452621"/>
      <name val="arial"/>
      <family val="2"/>
    </font>
    <font>
      <b/>
      <sz val="9"/>
      <name val="宋体"/>
      <family val="3"/>
      <charset val="134"/>
    </font>
    <font>
      <sz val="9"/>
      <color rgb="FFFF0000"/>
      <name val="Arial"/>
      <family val="2"/>
    </font>
    <font>
      <b/>
      <sz val="9"/>
      <color rgb="FFFF0000"/>
      <name val="arial"/>
      <family val="2"/>
    </font>
    <font>
      <i/>
      <sz val="9"/>
      <name val="Arial"/>
      <family val="2"/>
    </font>
    <font>
      <b/>
      <i/>
      <sz val="9"/>
      <name val="arial"/>
      <family val="2"/>
    </font>
    <font>
      <i/>
      <sz val="12"/>
      <name val="宋体"/>
      <family val="3"/>
      <charset val="134"/>
    </font>
    <font>
      <sz val="11"/>
      <color indexed="8"/>
      <name val="宋体"/>
      <family val="3"/>
      <charset val="134"/>
    </font>
    <font>
      <sz val="9"/>
      <color indexed="8"/>
      <name val="Arial"/>
      <family val="2"/>
    </font>
    <font>
      <b/>
      <sz val="9"/>
      <color indexed="8"/>
      <name val="Arial"/>
      <family val="2"/>
    </font>
    <font>
      <b/>
      <sz val="9"/>
      <color indexed="10"/>
      <name val="Arial"/>
      <family val="2"/>
    </font>
    <font>
      <sz val="9"/>
      <color indexed="8"/>
      <name val="宋体"/>
      <family val="3"/>
      <charset val="134"/>
    </font>
    <font>
      <sz val="9"/>
      <name val="宋体"/>
      <family val="2"/>
      <charset val="134"/>
      <scheme val="minor"/>
    </font>
    <font>
      <b/>
      <sz val="9"/>
      <color indexed="10"/>
      <name val="宋体"/>
      <family val="3"/>
      <charset val="134"/>
    </font>
    <font>
      <sz val="10"/>
      <name val="Times New Roman"/>
      <family val="1"/>
    </font>
    <font>
      <sz val="12"/>
      <name val="Times New Roman"/>
      <family val="1"/>
    </font>
    <font>
      <u val="singleAccounting"/>
      <vertAlign val="subscript"/>
      <sz val="10"/>
      <name val="Times New Roman"/>
      <family val="1"/>
    </font>
    <font>
      <i/>
      <sz val="9"/>
      <name val="Times New Roman"/>
      <family val="1"/>
    </font>
    <font>
      <sz val="12"/>
      <color indexed="8"/>
      <name val="新細明體"/>
      <family val="1"/>
    </font>
    <font>
      <sz val="12"/>
      <color indexed="9"/>
      <name val="新細明體"/>
      <family val="1"/>
    </font>
    <font>
      <b/>
      <sz val="18"/>
      <color indexed="56"/>
      <name val="新細明體"/>
      <family val="1"/>
    </font>
    <font>
      <b/>
      <sz val="15"/>
      <color indexed="56"/>
      <name val="新細明體"/>
      <family val="1"/>
    </font>
    <font>
      <b/>
      <sz val="13"/>
      <color indexed="56"/>
      <name val="新細明體"/>
      <family val="1"/>
    </font>
    <font>
      <b/>
      <sz val="11"/>
      <color indexed="56"/>
      <name val="新細明體"/>
      <family val="1"/>
    </font>
    <font>
      <sz val="10"/>
      <color indexed="20"/>
      <name val="微软雅黑"/>
      <family val="2"/>
      <charset val="134"/>
    </font>
    <font>
      <sz val="10"/>
      <color indexed="20"/>
      <name val="Arial"/>
      <family val="2"/>
    </font>
    <font>
      <sz val="11"/>
      <color indexed="20"/>
      <name val="宋体"/>
      <family val="3"/>
      <charset val="134"/>
    </font>
    <font>
      <sz val="11"/>
      <color indexed="20"/>
      <name val="微软雅黑"/>
      <family val="2"/>
      <charset val="134"/>
    </font>
    <font>
      <sz val="10"/>
      <color indexed="17"/>
      <name val="微软雅黑"/>
      <family val="2"/>
      <charset val="134"/>
    </font>
    <font>
      <sz val="10"/>
      <color indexed="17"/>
      <name val="Arial"/>
      <family val="2"/>
    </font>
    <font>
      <sz val="11"/>
      <color indexed="17"/>
      <name val="宋体"/>
      <family val="3"/>
      <charset val="134"/>
    </font>
    <font>
      <sz val="12"/>
      <color indexed="17"/>
      <name val="新細明體"/>
      <family val="1"/>
    </font>
    <font>
      <sz val="11"/>
      <color indexed="17"/>
      <name val="微软雅黑"/>
      <family val="2"/>
      <charset val="134"/>
    </font>
    <font>
      <b/>
      <sz val="12"/>
      <color indexed="8"/>
      <name val="新細明體"/>
      <family val="1"/>
    </font>
    <font>
      <sz val="12"/>
      <color indexed="20"/>
      <name val="新細明體"/>
      <family val="1"/>
    </font>
    <font>
      <b/>
      <sz val="12"/>
      <color indexed="52"/>
      <name val="新細明體"/>
      <family val="1"/>
    </font>
    <font>
      <b/>
      <sz val="12"/>
      <color indexed="9"/>
      <name val="新細明體"/>
      <family val="1"/>
    </font>
    <font>
      <sz val="12"/>
      <color indexed="10"/>
      <name val="新細明體"/>
      <family val="1"/>
    </font>
    <font>
      <sz val="12"/>
      <color indexed="52"/>
      <name val="新細明體"/>
      <family val="1"/>
    </font>
    <font>
      <b/>
      <sz val="12"/>
      <color indexed="63"/>
      <name val="新細明體"/>
      <family val="1"/>
    </font>
    <font>
      <sz val="12"/>
      <color indexed="62"/>
      <name val="新細明體"/>
      <family val="1"/>
    </font>
    <font>
      <i/>
      <sz val="12"/>
      <color indexed="23"/>
      <name val="新細明體"/>
      <family val="1"/>
    </font>
    <font>
      <sz val="12"/>
      <color indexed="60"/>
      <name val="新細明體"/>
      <family val="1"/>
    </font>
    <font>
      <sz val="8"/>
      <color rgb="FFFF0000"/>
      <name val="宋体"/>
      <family val="3"/>
      <charset val="134"/>
    </font>
    <font>
      <sz val="12"/>
      <color rgb="FF0070C0"/>
      <name val="宋体"/>
      <family val="3"/>
      <charset val="134"/>
    </font>
    <font>
      <i/>
      <sz val="9"/>
      <name val="宋体"/>
      <family val="3"/>
      <charset val="134"/>
    </font>
    <font>
      <b/>
      <sz val="12"/>
      <color theme="0" tint="-0.14999847407452621"/>
      <name val="宋体"/>
      <family val="3"/>
      <charset val="134"/>
    </font>
    <font>
      <sz val="11"/>
      <color theme="0"/>
      <name val="宋体"/>
      <family val="2"/>
      <charset val="134"/>
      <scheme val="minor"/>
    </font>
    <font>
      <sz val="9"/>
      <color theme="1"/>
      <name val="宋体"/>
      <family val="2"/>
      <charset val="134"/>
      <scheme val="minor"/>
    </font>
    <font>
      <sz val="11"/>
      <color theme="0"/>
      <name val="宋体"/>
      <family val="3"/>
      <charset val="134"/>
      <scheme val="minor"/>
    </font>
    <font>
      <sz val="11"/>
      <color rgb="FF0000FF"/>
      <name val="宋体"/>
      <family val="2"/>
      <charset val="134"/>
      <scheme val="minor"/>
    </font>
    <font>
      <b/>
      <i/>
      <u/>
      <sz val="10"/>
      <name val="Arial"/>
      <family val="2"/>
    </font>
    <font>
      <sz val="10"/>
      <color theme="2"/>
      <name val="Arial"/>
      <family val="2"/>
    </font>
    <font>
      <sz val="11"/>
      <color theme="1"/>
      <name val="宋体"/>
      <family val="2"/>
      <scheme val="minor"/>
    </font>
    <font>
      <sz val="11"/>
      <color theme="0"/>
      <name val="宋体"/>
      <family val="2"/>
      <scheme val="minor"/>
    </font>
    <font>
      <sz val="9"/>
      <name val="宋体"/>
      <family val="3"/>
      <charset val="134"/>
      <scheme val="minor"/>
    </font>
    <font>
      <b/>
      <sz val="10"/>
      <name val="Arial"/>
      <family val="2"/>
    </font>
    <font>
      <i/>
      <sz val="10"/>
      <name val="Arial"/>
      <family val="2"/>
    </font>
    <font>
      <sz val="9"/>
      <color rgb="FF0000FF"/>
      <name val="Arial"/>
      <family val="2"/>
    </font>
    <font>
      <u/>
      <sz val="9"/>
      <name val="Arial"/>
      <family val="2"/>
    </font>
    <font>
      <sz val="9"/>
      <color theme="0"/>
      <name val="Arial"/>
      <family val="2"/>
    </font>
    <font>
      <b/>
      <i/>
      <sz val="9"/>
      <color rgb="FFFF0000"/>
      <name val="arial"/>
      <family val="2"/>
    </font>
    <font>
      <b/>
      <sz val="10"/>
      <color theme="0"/>
      <name val="arial"/>
      <family val="2"/>
    </font>
    <font>
      <b/>
      <sz val="10"/>
      <name val="宋体"/>
      <family val="3"/>
      <charset val="134"/>
    </font>
    <font>
      <b/>
      <i/>
      <sz val="10"/>
      <name val="Arial"/>
      <family val="2"/>
    </font>
    <font>
      <sz val="10"/>
      <color theme="0"/>
      <name val="Arial"/>
      <family val="2"/>
    </font>
    <font>
      <sz val="9"/>
      <color indexed="81"/>
      <name val="Tahoma"/>
      <family val="2"/>
    </font>
    <font>
      <b/>
      <sz val="9"/>
      <color indexed="81"/>
      <name val="Tahoma"/>
      <family val="2"/>
    </font>
    <font>
      <b/>
      <sz val="9"/>
      <color theme="0"/>
      <name val="Arial"/>
      <family val="2"/>
    </font>
    <font>
      <i/>
      <u/>
      <sz val="9"/>
      <color theme="0"/>
      <name val="Arial"/>
      <family val="2"/>
    </font>
    <font>
      <i/>
      <u/>
      <sz val="9"/>
      <color theme="0"/>
      <name val="宋体"/>
      <family val="3"/>
      <charset val="134"/>
    </font>
    <font>
      <sz val="10"/>
      <color rgb="FF0070C0"/>
      <name val="Arial"/>
      <family val="2"/>
    </font>
    <font>
      <sz val="10"/>
      <name val="宋体"/>
      <family val="3"/>
      <charset val="134"/>
    </font>
    <font>
      <sz val="9"/>
      <color theme="3"/>
      <name val="Arial"/>
      <family val="2"/>
    </font>
    <font>
      <sz val="10"/>
      <color rgb="FF0000FF"/>
      <name val="Arial"/>
      <family val="2"/>
    </font>
    <font>
      <b/>
      <sz val="9"/>
      <color theme="0"/>
      <name val="Arial Unicode MS"/>
      <family val="2"/>
      <charset val="134"/>
    </font>
    <font>
      <sz val="12"/>
      <color theme="0"/>
      <name val="Arial Unicode MS"/>
      <family val="2"/>
      <charset val="134"/>
    </font>
    <font>
      <sz val="11"/>
      <color theme="1"/>
      <name val="Credit Suisse Type Light"/>
      <family val="2"/>
    </font>
    <font>
      <sz val="9"/>
      <color theme="1"/>
      <name val="Arial"/>
      <family val="2"/>
    </font>
    <font>
      <b/>
      <sz val="14"/>
      <color theme="1"/>
      <name val="Arial"/>
      <family val="2"/>
    </font>
    <font>
      <i/>
      <sz val="9"/>
      <color theme="1"/>
      <name val="Arial"/>
      <family val="2"/>
    </font>
    <font>
      <b/>
      <sz val="9"/>
      <color theme="1"/>
      <name val="Arial"/>
      <family val="2"/>
    </font>
    <font>
      <b/>
      <u/>
      <sz val="9"/>
      <color theme="1"/>
      <name val="Arial"/>
      <family val="2"/>
    </font>
    <font>
      <sz val="9"/>
      <color theme="4" tint="-0.249977111117893"/>
      <name val="Arial"/>
      <family val="2"/>
    </font>
    <font>
      <b/>
      <sz val="9"/>
      <color theme="4" tint="-0.249977111117893"/>
      <name val="Arial"/>
      <family val="2"/>
    </font>
    <font>
      <i/>
      <sz val="9"/>
      <color theme="5" tint="-0.249977111117893"/>
      <name val="Arial"/>
      <family val="2"/>
    </font>
    <font>
      <u/>
      <sz val="9"/>
      <color theme="1"/>
      <name val="Arial"/>
      <family val="2"/>
    </font>
    <font>
      <i/>
      <sz val="9"/>
      <color theme="4" tint="-0.249977111117893"/>
      <name val="Arial"/>
      <family val="2"/>
    </font>
    <font>
      <b/>
      <sz val="10"/>
      <color theme="1"/>
      <name val="Arial"/>
      <family val="2"/>
    </font>
    <font>
      <sz val="10"/>
      <color theme="1"/>
      <name val="Arial"/>
      <family val="2"/>
    </font>
    <font>
      <b/>
      <i/>
      <sz val="9"/>
      <color theme="1"/>
      <name val="Arial"/>
      <family val="2"/>
    </font>
    <font>
      <sz val="10"/>
      <color theme="1"/>
      <name val="Arial "/>
      <family val="2"/>
    </font>
    <font>
      <sz val="9"/>
      <color theme="1"/>
      <name val="Arial "/>
      <family val="2"/>
    </font>
    <font>
      <i/>
      <sz val="10"/>
      <color theme="1"/>
      <name val="Arial"/>
      <family val="2"/>
    </font>
    <font>
      <i/>
      <sz val="10"/>
      <color theme="1"/>
      <name val="Arial "/>
      <family val="2"/>
    </font>
    <font>
      <i/>
      <sz val="9"/>
      <color theme="1"/>
      <name val="Arial "/>
      <family val="2"/>
    </font>
    <font>
      <b/>
      <sz val="10"/>
      <color theme="1"/>
      <name val="Arial "/>
      <family val="2"/>
    </font>
    <font>
      <b/>
      <sz val="9"/>
      <color theme="1"/>
      <name val="Arial "/>
      <family val="2"/>
    </font>
    <font>
      <i/>
      <sz val="9"/>
      <color theme="1" tint="0.14999847407452621"/>
      <name val="Arial"/>
      <family val="2"/>
    </font>
    <font>
      <b/>
      <i/>
      <sz val="9"/>
      <color theme="1" tint="0.14999847407452621"/>
      <name val="Arial"/>
      <family val="2"/>
    </font>
    <font>
      <i/>
      <sz val="10"/>
      <color theme="0"/>
      <name val="Arial"/>
      <family val="2"/>
    </font>
    <font>
      <i/>
      <sz val="10"/>
      <color theme="8" tint="-0.499984740745262"/>
      <name val="Arial"/>
      <family val="2"/>
    </font>
    <font>
      <b/>
      <sz val="9"/>
      <color rgb="FF0000FA"/>
      <name val="arial"/>
      <family val="2"/>
    </font>
    <font>
      <sz val="9"/>
      <color rgb="FF0000FA"/>
      <name val="arial"/>
      <family val="2"/>
    </font>
    <font>
      <i/>
      <sz val="9"/>
      <color rgb="FF0000FA"/>
      <name val="arial"/>
      <family val="2"/>
    </font>
    <font>
      <i/>
      <sz val="9"/>
      <color rgb="FFFF0000"/>
      <name val="Arial"/>
      <family val="2"/>
    </font>
    <font>
      <i/>
      <sz val="9"/>
      <color theme="3"/>
      <name val="Arial"/>
      <family val="2"/>
    </font>
    <font>
      <sz val="10"/>
      <color rgb="FF0000FA"/>
      <name val="Arial"/>
      <family val="2"/>
    </font>
    <font>
      <b/>
      <sz val="9"/>
      <color rgb="FF0000FF"/>
      <name val="arial"/>
      <family val="2"/>
    </font>
    <font>
      <i/>
      <sz val="9"/>
      <color rgb="FF0000FF"/>
      <name val="arial"/>
      <family val="2"/>
    </font>
    <font>
      <b/>
      <i/>
      <sz val="9"/>
      <color rgb="FF0000FF"/>
      <name val="Arial"/>
      <family val="2"/>
    </font>
    <font>
      <u/>
      <sz val="8"/>
      <color rgb="FF0000FF"/>
      <name val="Arial"/>
      <family val="2"/>
    </font>
    <font>
      <sz val="8"/>
      <color rgb="FF0000FF"/>
      <name val="Arial"/>
      <family val="2"/>
    </font>
    <font>
      <strike/>
      <sz val="9"/>
      <name val="Arial"/>
      <family val="2"/>
    </font>
    <font>
      <i/>
      <sz val="10"/>
      <color theme="0" tint="-0.14999847407452621"/>
      <name val="Arial"/>
      <family val="2"/>
    </font>
    <font>
      <sz val="11"/>
      <color indexed="8"/>
      <name val="Calibri"/>
      <family val="2"/>
    </font>
    <font>
      <sz val="10"/>
      <name val="MS Sans Serif"/>
      <family val="2"/>
    </font>
    <font>
      <b/>
      <sz val="10"/>
      <color indexed="8"/>
      <name val="Times New Roman"/>
      <family val="1"/>
    </font>
    <font>
      <sz val="9"/>
      <name val="Times New Roman"/>
      <family val="1"/>
    </font>
    <font>
      <sz val="10"/>
      <color indexed="8"/>
      <name val="Times New Roman"/>
      <family val="1"/>
    </font>
    <font>
      <i/>
      <sz val="8"/>
      <name val="Times New Roman"/>
      <family val="1"/>
    </font>
    <font>
      <sz val="12"/>
      <name val="바탕체"/>
      <family val="1"/>
      <charset val="129"/>
    </font>
    <font>
      <u/>
      <sz val="8"/>
      <color indexed="24"/>
      <name val="Arial"/>
      <family val="2"/>
    </font>
    <font>
      <sz val="7"/>
      <color theme="1"/>
      <name val="Avenir LT Std 35 Light"/>
      <family val="2"/>
    </font>
    <font>
      <sz val="10"/>
      <name val="Helv"/>
      <charset val="204"/>
    </font>
    <font>
      <u/>
      <sz val="10"/>
      <color theme="10"/>
      <name val="Arial"/>
      <family val="2"/>
    </font>
    <font>
      <sz val="12"/>
      <name val="바탕체"/>
      <family val="3"/>
    </font>
    <font>
      <b/>
      <sz val="10"/>
      <color rgb="FF0000FF"/>
      <name val="Arial"/>
      <family val="2"/>
    </font>
    <font>
      <b/>
      <sz val="10"/>
      <name val="楷体"/>
      <family val="3"/>
      <charset val="134"/>
    </font>
    <font>
      <sz val="10"/>
      <name val="楷体"/>
      <family val="3"/>
      <charset val="134"/>
    </font>
    <font>
      <i/>
      <sz val="10"/>
      <color theme="1"/>
      <name val="楷体"/>
      <family val="3"/>
      <charset val="134"/>
    </font>
    <font>
      <b/>
      <sz val="10"/>
      <color indexed="8"/>
      <name val="Arial"/>
      <family val="2"/>
    </font>
    <font>
      <sz val="10"/>
      <color indexed="8"/>
      <name val="Arial"/>
      <family val="2"/>
    </font>
    <font>
      <i/>
      <sz val="10"/>
      <color indexed="8"/>
      <name val="Arial"/>
      <family val="2"/>
    </font>
    <font>
      <b/>
      <sz val="10"/>
      <color theme="1"/>
      <name val="楷体"/>
      <family val="3"/>
      <charset val="134"/>
    </font>
    <font>
      <sz val="10"/>
      <color theme="1" tint="0.34998626667073579"/>
      <name val="Arial"/>
      <family val="2"/>
    </font>
    <font>
      <i/>
      <sz val="10"/>
      <name val="楷体"/>
      <family val="3"/>
      <charset val="134"/>
    </font>
    <font>
      <i/>
      <sz val="10"/>
      <name val="宋体"/>
      <family val="3"/>
      <charset val="134"/>
    </font>
    <font>
      <i/>
      <sz val="10"/>
      <color rgb="FF0000FF"/>
      <name val="Arial"/>
      <family val="2"/>
    </font>
    <font>
      <i/>
      <sz val="10"/>
      <color rgb="FF0000FA"/>
      <name val="Arial"/>
      <family val="2"/>
    </font>
    <font>
      <b/>
      <sz val="10"/>
      <color rgb="FFFF0000"/>
      <name val="Arial"/>
      <family val="2"/>
    </font>
    <font>
      <sz val="11"/>
      <color theme="1"/>
      <name val="Times New Roman"/>
      <family val="1"/>
    </font>
    <font>
      <b/>
      <sz val="12"/>
      <name val="Times New Roman"/>
      <family val="1"/>
    </font>
    <font>
      <i/>
      <sz val="12"/>
      <name val="Times New Roman"/>
      <family val="1"/>
    </font>
    <font>
      <i/>
      <sz val="12"/>
      <color theme="3"/>
      <name val="Times New Roman"/>
      <family val="1"/>
    </font>
    <font>
      <sz val="12"/>
      <color theme="3"/>
      <name val="Times New Roman"/>
      <family val="1"/>
    </font>
    <font>
      <sz val="12"/>
      <color rgb="FFFF0000"/>
      <name val="Times New Roman"/>
      <family val="1"/>
    </font>
    <font>
      <b/>
      <i/>
      <sz val="12"/>
      <name val="Times New Roman"/>
      <family val="1"/>
    </font>
    <font>
      <sz val="12"/>
      <color theme="3" tint="-0.249977111117893"/>
      <name val="Times New Roman"/>
      <family val="1"/>
    </font>
    <font>
      <i/>
      <sz val="12"/>
      <color theme="3" tint="-0.249977111117893"/>
      <name val="Times New Roman"/>
      <family val="1"/>
    </font>
    <font>
      <b/>
      <sz val="12"/>
      <color theme="3" tint="-0.249977111117893"/>
      <name val="Times New Roman"/>
      <family val="1"/>
    </font>
    <font>
      <b/>
      <i/>
      <sz val="12"/>
      <color theme="3" tint="-0.249977111117893"/>
      <name val="Times New Roman"/>
      <family val="1"/>
    </font>
    <font>
      <b/>
      <sz val="12"/>
      <color rgb="FFFF0000"/>
      <name val="Times New Roman"/>
      <family val="1"/>
    </font>
    <font>
      <b/>
      <sz val="12"/>
      <color theme="3"/>
      <name val="Times New Roman"/>
      <family val="1"/>
    </font>
    <font>
      <b/>
      <sz val="11"/>
      <name val="Arial"/>
      <family val="2"/>
    </font>
    <font>
      <b/>
      <sz val="14"/>
      <name val="Arial"/>
      <family val="2"/>
    </font>
    <font>
      <sz val="12"/>
      <color rgb="FF000000"/>
      <name val="Times New Roman"/>
      <family val="1"/>
    </font>
    <font>
      <sz val="9"/>
      <color rgb="FF0000FA"/>
      <name val="宋体"/>
      <family val="3"/>
      <charset val="134"/>
    </font>
    <font>
      <b/>
      <sz val="9"/>
      <color rgb="FF0000FA"/>
      <name val="宋体"/>
      <family val="3"/>
      <charset val="134"/>
    </font>
    <font>
      <strike/>
      <sz val="12"/>
      <color theme="3"/>
      <name val="Times New Roman"/>
      <family val="1"/>
    </font>
    <font>
      <b/>
      <strike/>
      <sz val="12"/>
      <color theme="3"/>
      <name val="Times New Roman"/>
      <family val="1"/>
    </font>
    <font>
      <strike/>
      <sz val="12"/>
      <name val="Times New Roman"/>
      <family val="1"/>
    </font>
    <font>
      <b/>
      <sz val="9"/>
      <color rgb="FF000000"/>
      <name val="arial"/>
      <family val="2"/>
    </font>
    <font>
      <sz val="9"/>
      <color rgb="FF000000"/>
      <name val="Arial"/>
      <family val="2"/>
    </font>
    <font>
      <b/>
      <i/>
      <sz val="9"/>
      <color rgb="FF000000"/>
      <name val="Arial"/>
      <family val="2"/>
    </font>
  </fonts>
  <fills count="5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1"/>
        <bgColor indexed="64"/>
      </patternFill>
    </fill>
    <fill>
      <patternFill patternType="solid">
        <fgColor indexed="50"/>
        <bgColor indexed="64"/>
      </patternFill>
    </fill>
    <fill>
      <patternFill patternType="solid">
        <fgColor indexed="45"/>
        <bgColor indexed="64"/>
      </patternFill>
    </fill>
    <fill>
      <patternFill patternType="solid">
        <fgColor theme="9" tint="0.79998168889431442"/>
        <bgColor indexed="64"/>
      </patternFill>
    </fill>
    <fill>
      <patternFill patternType="solid">
        <fgColor indexed="44"/>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theme="0"/>
        <bgColor indexed="64"/>
      </patternFill>
    </fill>
    <fill>
      <patternFill patternType="solid">
        <fgColor theme="1"/>
        <bgColor indexed="64"/>
      </patternFill>
    </fill>
    <fill>
      <patternFill patternType="solid">
        <fgColor theme="0" tint="-0.249977111117893"/>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0" tint="-0.14999847407452621"/>
        <bgColor indexed="64"/>
      </patternFill>
    </fill>
    <fill>
      <patternFill patternType="solid">
        <fgColor theme="9"/>
        <bgColor indexed="64"/>
      </patternFill>
    </fill>
    <fill>
      <patternFill patternType="solid">
        <fgColor rgb="FFFF0000"/>
        <bgColor indexed="64"/>
      </patternFill>
    </fill>
    <fill>
      <patternFill patternType="solid">
        <fgColor theme="3" tint="-0.24997711111789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indexed="43"/>
        <bgColor indexed="64"/>
      </patternFill>
    </fill>
    <fill>
      <patternFill patternType="solid">
        <fgColor rgb="FF002060"/>
        <bgColor indexed="64"/>
      </patternFill>
    </fill>
    <fill>
      <patternFill patternType="solid">
        <fgColor theme="0" tint="-0.499984740745262"/>
        <bgColor indexed="64"/>
      </patternFill>
    </fill>
    <fill>
      <patternFill patternType="solid">
        <fgColor theme="2" tint="-9.9978637043366805E-2"/>
        <bgColor indexed="64"/>
      </patternFill>
    </fill>
    <fill>
      <patternFill patternType="solid">
        <fgColor rgb="FFFF8F8F"/>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92D050"/>
        <bgColor indexed="64"/>
      </patternFill>
    </fill>
    <fill>
      <patternFill patternType="solid">
        <fgColor rgb="FFC00000"/>
        <bgColor indexed="64"/>
      </patternFill>
    </fill>
    <fill>
      <patternFill patternType="solid">
        <fgColor rgb="FFE0A9A8"/>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2"/>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double">
        <color indexed="64"/>
      </right>
      <top style="thin">
        <color auto="1"/>
      </top>
      <bottom style="thin">
        <color auto="1"/>
      </bottom>
      <diagonal/>
    </border>
    <border>
      <left style="double">
        <color indexed="64"/>
      </left>
      <right/>
      <top style="thin">
        <color auto="1"/>
      </top>
      <bottom/>
      <diagonal/>
    </border>
    <border>
      <left style="double">
        <color indexed="64"/>
      </left>
      <right/>
      <top/>
      <bottom/>
      <diagonal/>
    </border>
    <border>
      <left style="thin">
        <color auto="1"/>
      </left>
      <right style="double">
        <color indexed="64"/>
      </right>
      <top style="thin">
        <color auto="1"/>
      </top>
      <bottom style="double">
        <color indexed="64"/>
      </bottom>
      <diagonal/>
    </border>
    <border>
      <left style="thin">
        <color auto="1"/>
      </left>
      <right style="thin">
        <color indexed="64"/>
      </right>
      <top/>
      <bottom style="double">
        <color indexed="64"/>
      </bottom>
      <diagonal/>
    </border>
    <border>
      <left style="thin">
        <color auto="1"/>
      </left>
      <right style="double">
        <color indexed="64"/>
      </right>
      <top/>
      <bottom style="double">
        <color indexed="64"/>
      </bottom>
      <diagonal/>
    </border>
    <border>
      <left style="double">
        <color indexed="64"/>
      </left>
      <right/>
      <top/>
      <bottom style="double">
        <color indexed="64"/>
      </bottom>
      <diagonal/>
    </border>
    <border>
      <left/>
      <right style="thin">
        <color indexed="64"/>
      </right>
      <top/>
      <bottom style="double">
        <color indexed="64"/>
      </bottom>
      <diagonal/>
    </border>
    <border>
      <left style="thin">
        <color auto="1"/>
      </left>
      <right/>
      <top/>
      <bottom style="thin">
        <color auto="1"/>
      </bottom>
      <diagonal/>
    </border>
    <border>
      <left/>
      <right style="double">
        <color indexed="64"/>
      </right>
      <top/>
      <bottom style="thin">
        <color auto="1"/>
      </bottom>
      <diagonal/>
    </border>
    <border>
      <left style="hair">
        <color auto="1"/>
      </left>
      <right/>
      <top/>
      <bottom/>
      <diagonal/>
    </border>
    <border>
      <left style="hair">
        <color auto="1"/>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auto="1"/>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8"/>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style="medium">
        <color indexed="64"/>
      </left>
      <right/>
      <top style="thin">
        <color indexed="64"/>
      </top>
      <bottom/>
      <diagonal/>
    </border>
    <border>
      <left/>
      <right style="medium">
        <color indexed="64"/>
      </right>
      <top style="thin">
        <color indexed="64"/>
      </top>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bottom/>
      <diagonal/>
    </border>
    <border>
      <left/>
      <right/>
      <top style="thin">
        <color indexed="64"/>
      </top>
      <bottom style="double">
        <color indexed="64"/>
      </bottom>
      <diagonal/>
    </border>
  </borders>
  <cellStyleXfs count="239">
    <xf numFmtId="226" fontId="0" fillId="0" borderId="0">
      <alignment vertical="center"/>
    </xf>
    <xf numFmtId="226" fontId="7" fillId="0" borderId="0"/>
    <xf numFmtId="38" fontId="8" fillId="2" borderId="0" applyNumberFormat="0" applyBorder="0" applyAlignment="0" applyProtection="0"/>
    <xf numFmtId="10" fontId="8" fillId="3" borderId="1" applyNumberFormat="0" applyBorder="0" applyAlignment="0" applyProtection="0"/>
    <xf numFmtId="180" fontId="9" fillId="0" borderId="0"/>
    <xf numFmtId="226" fontId="7" fillId="0" borderId="0"/>
    <xf numFmtId="10" fontId="7" fillId="0" borderId="0" applyFont="0" applyFill="0" applyBorder="0" applyAlignment="0" applyProtection="0"/>
    <xf numFmtId="9" fontId="5" fillId="0" borderId="0" applyFont="0" applyFill="0" applyBorder="0" applyAlignment="0" applyProtection="0">
      <alignment vertical="center"/>
    </xf>
    <xf numFmtId="226" fontId="6" fillId="0" borderId="0"/>
    <xf numFmtId="226" fontId="6" fillId="0" borderId="0"/>
    <xf numFmtId="178" fontId="5" fillId="0" borderId="0" applyFont="0" applyFill="0" applyBorder="0" applyAlignment="0" applyProtection="0">
      <alignment vertical="center"/>
    </xf>
    <xf numFmtId="226" fontId="6" fillId="0" borderId="0"/>
    <xf numFmtId="177" fontId="18" fillId="0" borderId="0" applyFont="0" applyFill="0" applyBorder="0" applyAlignment="0" applyProtection="0">
      <alignment vertical="center"/>
    </xf>
    <xf numFmtId="226" fontId="5" fillId="0" borderId="0">
      <alignment vertical="center"/>
    </xf>
    <xf numFmtId="177" fontId="5" fillId="0" borderId="0" applyFont="0" applyFill="0" applyBorder="0" applyAlignment="0" applyProtection="0">
      <alignment vertical="center"/>
    </xf>
    <xf numFmtId="226" fontId="5" fillId="0" borderId="0">
      <protection locked="0"/>
    </xf>
    <xf numFmtId="9" fontId="5" fillId="0" borderId="0" applyFont="0" applyFill="0" applyBorder="0" applyAlignment="0" applyProtection="0">
      <alignment vertical="center"/>
    </xf>
    <xf numFmtId="9" fontId="26" fillId="0" borderId="0" applyFont="0" applyFill="0" applyBorder="0" applyAlignment="0" applyProtection="0">
      <alignment vertical="center"/>
    </xf>
    <xf numFmtId="226" fontId="26" fillId="0" borderId="0">
      <protection locked="0"/>
    </xf>
    <xf numFmtId="43" fontId="5" fillId="0" borderId="0" applyFont="0" applyFill="0" applyBorder="0" applyAlignment="0" applyProtection="0">
      <alignment vertical="center"/>
    </xf>
    <xf numFmtId="43" fontId="26" fillId="0" borderId="0" applyFont="0" applyFill="0" applyBorder="0" applyAlignment="0" applyProtection="0">
      <alignment vertical="center"/>
    </xf>
    <xf numFmtId="9" fontId="4" fillId="0" borderId="0" applyFont="0" applyFill="0" applyBorder="0" applyAlignment="0" applyProtection="0">
      <alignment vertical="center"/>
    </xf>
    <xf numFmtId="49" fontId="33" fillId="0" borderId="0" applyProtection="0">
      <alignment horizontal="left"/>
    </xf>
    <xf numFmtId="49" fontId="33" fillId="0" borderId="0" applyProtection="0">
      <alignment horizontal="left"/>
    </xf>
    <xf numFmtId="49" fontId="33" fillId="0" borderId="0" applyProtection="0">
      <alignment horizontal="left"/>
    </xf>
    <xf numFmtId="49" fontId="33" fillId="0" borderId="0" applyProtection="0">
      <alignment horizontal="left"/>
    </xf>
    <xf numFmtId="49" fontId="33" fillId="0" borderId="0" applyProtection="0">
      <alignment horizontal="left"/>
    </xf>
    <xf numFmtId="226" fontId="7" fillId="0" borderId="0">
      <protection locked="0"/>
    </xf>
    <xf numFmtId="226" fontId="6" fillId="0" borderId="0"/>
    <xf numFmtId="226" fontId="6" fillId="0" borderId="0"/>
    <xf numFmtId="226" fontId="34" fillId="0" borderId="0"/>
    <xf numFmtId="226" fontId="34" fillId="0" borderId="0"/>
    <xf numFmtId="226" fontId="34" fillId="0" borderId="0"/>
    <xf numFmtId="226" fontId="7" fillId="0" borderId="0"/>
    <xf numFmtId="226" fontId="7" fillId="0" borderId="0"/>
    <xf numFmtId="226" fontId="34" fillId="0" borderId="0"/>
    <xf numFmtId="226" fontId="34" fillId="0" borderId="0"/>
    <xf numFmtId="226" fontId="34" fillId="0" borderId="0"/>
    <xf numFmtId="226" fontId="7" fillId="0" borderId="0"/>
    <xf numFmtId="226" fontId="34" fillId="0" borderId="0"/>
    <xf numFmtId="226" fontId="6" fillId="0" borderId="0">
      <protection locked="0"/>
    </xf>
    <xf numFmtId="226" fontId="6" fillId="0" borderId="0">
      <protection locked="0"/>
    </xf>
    <xf numFmtId="226" fontId="6" fillId="0" borderId="0">
      <protection locked="0"/>
    </xf>
    <xf numFmtId="226" fontId="34" fillId="0" borderId="0"/>
    <xf numFmtId="199" fontId="33" fillId="0" borderId="0" applyFill="0" applyBorder="0" applyProtection="0">
      <alignment horizontal="right"/>
    </xf>
    <xf numFmtId="200" fontId="33" fillId="0" borderId="0" applyFill="0" applyBorder="0" applyProtection="0">
      <alignment horizontal="right"/>
    </xf>
    <xf numFmtId="201" fontId="35" fillId="0" borderId="0" applyFill="0" applyBorder="0" applyProtection="0">
      <alignment horizontal="center"/>
    </xf>
    <xf numFmtId="202" fontId="35" fillId="0" borderId="0" applyFill="0" applyBorder="0" applyProtection="0">
      <alignment horizontal="center"/>
    </xf>
    <xf numFmtId="203" fontId="36" fillId="0" borderId="0" applyFill="0" applyBorder="0" applyProtection="0">
      <alignment horizontal="right"/>
    </xf>
    <xf numFmtId="204" fontId="33" fillId="0" borderId="0" applyFill="0" applyBorder="0" applyProtection="0">
      <alignment horizontal="right"/>
    </xf>
    <xf numFmtId="205" fontId="33" fillId="0" borderId="0" applyFill="0" applyBorder="0" applyProtection="0">
      <alignment horizontal="right"/>
    </xf>
    <xf numFmtId="206" fontId="33" fillId="0" borderId="0" applyFill="0" applyBorder="0" applyProtection="0">
      <alignment horizontal="right"/>
    </xf>
    <xf numFmtId="207" fontId="33" fillId="0" borderId="0" applyFill="0" applyBorder="0" applyProtection="0">
      <alignment horizontal="right"/>
    </xf>
    <xf numFmtId="226" fontId="37" fillId="10" borderId="0" applyNumberFormat="0" applyBorder="0" applyAlignment="0" applyProtection="0">
      <alignment vertical="center"/>
    </xf>
    <xf numFmtId="226" fontId="37" fillId="11" borderId="0" applyNumberFormat="0" applyBorder="0" applyAlignment="0" applyProtection="0">
      <alignment vertical="center"/>
    </xf>
    <xf numFmtId="226" fontId="37" fillId="12" borderId="0" applyNumberFormat="0" applyBorder="0" applyAlignment="0" applyProtection="0">
      <alignment vertical="center"/>
    </xf>
    <xf numFmtId="226" fontId="37" fillId="13" borderId="0" applyNumberFormat="0" applyBorder="0" applyAlignment="0" applyProtection="0">
      <alignment vertical="center"/>
    </xf>
    <xf numFmtId="226" fontId="37" fillId="14" borderId="0" applyNumberFormat="0" applyBorder="0" applyAlignment="0" applyProtection="0">
      <alignment vertical="center"/>
    </xf>
    <xf numFmtId="226" fontId="37" fillId="15" borderId="0" applyNumberFormat="0" applyBorder="0" applyAlignment="0" applyProtection="0">
      <alignment vertical="center"/>
    </xf>
    <xf numFmtId="226" fontId="37" fillId="16" borderId="0" applyNumberFormat="0" applyBorder="0" applyAlignment="0" applyProtection="0">
      <alignment vertical="center"/>
    </xf>
    <xf numFmtId="226" fontId="37" fillId="17" borderId="0" applyNumberFormat="0" applyBorder="0" applyAlignment="0" applyProtection="0">
      <alignment vertical="center"/>
    </xf>
    <xf numFmtId="226" fontId="37" fillId="18" borderId="0" applyNumberFormat="0" applyBorder="0" applyAlignment="0" applyProtection="0">
      <alignment vertical="center"/>
    </xf>
    <xf numFmtId="226" fontId="37" fillId="13" borderId="0" applyNumberFormat="0" applyBorder="0" applyAlignment="0" applyProtection="0">
      <alignment vertical="center"/>
    </xf>
    <xf numFmtId="226" fontId="37" fillId="16" borderId="0" applyNumberFormat="0" applyBorder="0" applyAlignment="0" applyProtection="0">
      <alignment vertical="center"/>
    </xf>
    <xf numFmtId="226" fontId="37" fillId="19" borderId="0" applyNumberFormat="0" applyBorder="0" applyAlignment="0" applyProtection="0">
      <alignment vertical="center"/>
    </xf>
    <xf numFmtId="226" fontId="38" fillId="20" borderId="0" applyNumberFormat="0" applyBorder="0" applyAlignment="0" applyProtection="0">
      <alignment vertical="center"/>
    </xf>
    <xf numFmtId="226" fontId="38" fillId="17" borderId="0" applyNumberFormat="0" applyBorder="0" applyAlignment="0" applyProtection="0">
      <alignment vertical="center"/>
    </xf>
    <xf numFmtId="226" fontId="38" fillId="18" borderId="0" applyNumberFormat="0" applyBorder="0" applyAlignment="0" applyProtection="0">
      <alignment vertical="center"/>
    </xf>
    <xf numFmtId="226" fontId="38" fillId="21" borderId="0" applyNumberFormat="0" applyBorder="0" applyAlignment="0" applyProtection="0">
      <alignment vertical="center"/>
    </xf>
    <xf numFmtId="226" fontId="38" fillId="22" borderId="0" applyNumberFormat="0" applyBorder="0" applyAlignment="0" applyProtection="0">
      <alignment vertical="center"/>
    </xf>
    <xf numFmtId="226" fontId="38" fillId="23" borderId="0" applyNumberFormat="0" applyBorder="0" applyAlignment="0" applyProtection="0">
      <alignment vertical="center"/>
    </xf>
    <xf numFmtId="226" fontId="33" fillId="0" borderId="0" applyFont="0" applyFill="0" applyBorder="0" applyAlignment="0" applyProtection="0"/>
    <xf numFmtId="226" fontId="7" fillId="24" borderId="9" applyNumberFormat="0" applyFont="0" applyAlignment="0" applyProtection="0">
      <alignment vertical="center"/>
    </xf>
    <xf numFmtId="226" fontId="39" fillId="0" borderId="0" applyNumberFormat="0" applyFill="0" applyBorder="0" applyAlignment="0" applyProtection="0">
      <alignment vertical="center"/>
    </xf>
    <xf numFmtId="226" fontId="40" fillId="0" borderId="10" applyNumberFormat="0" applyFill="0" applyAlignment="0" applyProtection="0">
      <alignment vertical="center"/>
    </xf>
    <xf numFmtId="226" fontId="41" fillId="0" borderId="11" applyNumberFormat="0" applyFill="0" applyAlignment="0" applyProtection="0">
      <alignment vertical="center"/>
    </xf>
    <xf numFmtId="226" fontId="42" fillId="0" borderId="12" applyNumberFormat="0" applyFill="0" applyAlignment="0" applyProtection="0">
      <alignment vertical="center"/>
    </xf>
    <xf numFmtId="226" fontId="42" fillId="0" borderId="0" applyNumberFormat="0" applyFill="0" applyBorder="0" applyAlignment="0" applyProtection="0">
      <alignment vertical="center"/>
    </xf>
    <xf numFmtId="226" fontId="43" fillId="11" borderId="0" applyNumberFormat="0" applyBorder="0" applyAlignment="0" applyProtection="0">
      <alignment vertical="center"/>
    </xf>
    <xf numFmtId="226" fontId="44" fillId="11" borderId="0" applyNumberFormat="0" applyBorder="0" applyAlignment="0" applyProtection="0">
      <alignment vertical="center"/>
    </xf>
    <xf numFmtId="226" fontId="45" fillId="11" borderId="0" applyNumberFormat="0" applyBorder="0" applyAlignment="0" applyProtection="0">
      <alignment vertical="center"/>
    </xf>
    <xf numFmtId="226" fontId="44" fillId="11" borderId="0" applyNumberFormat="0" applyBorder="0" applyAlignment="0" applyProtection="0">
      <alignment vertical="center"/>
    </xf>
    <xf numFmtId="226" fontId="44" fillId="11" borderId="0" applyNumberFormat="0" applyBorder="0" applyAlignment="0" applyProtection="0">
      <alignment vertical="center"/>
    </xf>
    <xf numFmtId="226" fontId="45" fillId="11" borderId="0" applyNumberFormat="0" applyBorder="0" applyAlignment="0" applyProtection="0">
      <alignment vertical="center"/>
    </xf>
    <xf numFmtId="226" fontId="45" fillId="11" borderId="0" applyNumberFormat="0" applyBorder="0" applyAlignment="0" applyProtection="0">
      <alignment vertical="center"/>
    </xf>
    <xf numFmtId="226" fontId="45" fillId="11" borderId="0" applyNumberFormat="0" applyBorder="0" applyAlignment="0" applyProtection="0">
      <alignment vertical="center"/>
    </xf>
    <xf numFmtId="226" fontId="44" fillId="11" borderId="0" applyNumberFormat="0" applyBorder="0" applyAlignment="0" applyProtection="0">
      <alignment vertical="center"/>
    </xf>
    <xf numFmtId="226" fontId="44" fillId="11" borderId="0" applyNumberFormat="0" applyBorder="0" applyAlignment="0" applyProtection="0">
      <alignment vertical="center"/>
    </xf>
    <xf numFmtId="226" fontId="44" fillId="11" borderId="0" applyNumberFormat="0" applyBorder="0" applyAlignment="0" applyProtection="0">
      <alignment vertical="center"/>
    </xf>
    <xf numFmtId="226" fontId="44" fillId="11" borderId="0" applyNumberFormat="0" applyBorder="0" applyAlignment="0" applyProtection="0">
      <alignment vertical="center"/>
    </xf>
    <xf numFmtId="226" fontId="44" fillId="11" borderId="0" applyNumberFormat="0" applyBorder="0" applyAlignment="0" applyProtection="0">
      <alignment vertical="center"/>
    </xf>
    <xf numFmtId="226" fontId="44" fillId="11" borderId="0" applyNumberFormat="0" applyBorder="0" applyAlignment="0" applyProtection="0">
      <alignment vertical="center"/>
    </xf>
    <xf numFmtId="226" fontId="44" fillId="11" borderId="0" applyNumberFormat="0" applyBorder="0" applyAlignment="0" applyProtection="0">
      <alignment vertical="center"/>
    </xf>
    <xf numFmtId="226" fontId="44" fillId="11" borderId="0" applyNumberFormat="0" applyBorder="0" applyAlignment="0" applyProtection="0">
      <alignment vertical="center"/>
    </xf>
    <xf numFmtId="226" fontId="45" fillId="11" borderId="0" applyNumberFormat="0" applyBorder="0" applyAlignment="0" applyProtection="0">
      <alignment vertical="center"/>
    </xf>
    <xf numFmtId="226" fontId="45" fillId="11" borderId="0" applyNumberFormat="0" applyBorder="0" applyAlignment="0" applyProtection="0">
      <alignment vertical="center"/>
    </xf>
    <xf numFmtId="226" fontId="45" fillId="11" borderId="0" applyNumberFormat="0" applyBorder="0" applyAlignment="0" applyProtection="0">
      <alignment vertical="center"/>
    </xf>
    <xf numFmtId="226" fontId="45" fillId="11" borderId="0" applyNumberFormat="0" applyBorder="0" applyAlignment="0" applyProtection="0">
      <alignment vertical="center"/>
    </xf>
    <xf numFmtId="226" fontId="45" fillId="11" borderId="0" applyNumberFormat="0" applyBorder="0" applyAlignment="0" applyProtection="0">
      <alignment vertical="center"/>
    </xf>
    <xf numFmtId="226" fontId="45" fillId="11" borderId="0" applyNumberFormat="0" applyBorder="0" applyAlignment="0" applyProtection="0">
      <alignment vertical="center"/>
    </xf>
    <xf numFmtId="226" fontId="45" fillId="11" borderId="0" applyNumberFormat="0" applyBorder="0" applyAlignment="0" applyProtection="0">
      <alignment vertical="center"/>
    </xf>
    <xf numFmtId="226" fontId="44" fillId="11" borderId="0" applyNumberFormat="0" applyBorder="0" applyAlignment="0" applyProtection="0">
      <alignment vertical="center"/>
    </xf>
    <xf numFmtId="226" fontId="45" fillId="11" borderId="0" applyNumberFormat="0" applyBorder="0" applyAlignment="0" applyProtection="0">
      <alignment vertical="center"/>
    </xf>
    <xf numFmtId="226" fontId="45" fillId="11" borderId="0" applyNumberFormat="0" applyBorder="0" applyAlignment="0" applyProtection="0">
      <alignment vertical="center"/>
    </xf>
    <xf numFmtId="226" fontId="44" fillId="11" borderId="0" applyNumberFormat="0" applyBorder="0" applyAlignment="0" applyProtection="0">
      <alignment vertical="center"/>
    </xf>
    <xf numFmtId="226" fontId="45" fillId="11" borderId="0" applyNumberFormat="0" applyBorder="0" applyAlignment="0" applyProtection="0">
      <alignment vertical="center"/>
    </xf>
    <xf numFmtId="226" fontId="46" fillId="11" borderId="0" applyNumberFormat="0" applyBorder="0" applyAlignment="0" applyProtection="0">
      <alignment vertical="center"/>
    </xf>
    <xf numFmtId="226" fontId="46" fillId="11" borderId="0" applyNumberFormat="0" applyBorder="0" applyAlignment="0" applyProtection="0">
      <alignment vertical="center"/>
    </xf>
    <xf numFmtId="226" fontId="46" fillId="11" borderId="0" applyNumberFormat="0" applyBorder="0" applyAlignment="0" applyProtection="0">
      <alignment vertical="center"/>
    </xf>
    <xf numFmtId="226" fontId="33" fillId="0" borderId="0">
      <protection locked="0"/>
    </xf>
    <xf numFmtId="226" fontId="38" fillId="25" borderId="0" applyNumberFormat="0" applyBorder="0" applyAlignment="0" applyProtection="0">
      <alignment vertical="center"/>
    </xf>
    <xf numFmtId="226" fontId="38" fillId="26" borderId="0" applyNumberFormat="0" applyBorder="0" applyAlignment="0" applyProtection="0">
      <alignment vertical="center"/>
    </xf>
    <xf numFmtId="226" fontId="38" fillId="27" borderId="0" applyNumberFormat="0" applyBorder="0" applyAlignment="0" applyProtection="0">
      <alignment vertical="center"/>
    </xf>
    <xf numFmtId="226" fontId="38" fillId="21" borderId="0" applyNumberFormat="0" applyBorder="0" applyAlignment="0" applyProtection="0">
      <alignment vertical="center"/>
    </xf>
    <xf numFmtId="226" fontId="38" fillId="22" borderId="0" applyNumberFormat="0" applyBorder="0" applyAlignment="0" applyProtection="0">
      <alignment vertical="center"/>
    </xf>
    <xf numFmtId="226" fontId="38" fillId="28" borderId="0" applyNumberFormat="0" applyBorder="0" applyAlignment="0" applyProtection="0">
      <alignment vertical="center"/>
    </xf>
    <xf numFmtId="226" fontId="47" fillId="12" borderId="0" applyNumberFormat="0" applyBorder="0" applyAlignment="0" applyProtection="0">
      <alignment vertical="center"/>
    </xf>
    <xf numFmtId="226" fontId="48" fillId="12" borderId="0" applyNumberFormat="0" applyBorder="0" applyAlignment="0" applyProtection="0">
      <alignment vertical="center"/>
    </xf>
    <xf numFmtId="226" fontId="49" fillId="12" borderId="0" applyNumberFormat="0" applyBorder="0" applyAlignment="0" applyProtection="0">
      <alignment vertical="center"/>
    </xf>
    <xf numFmtId="226" fontId="48" fillId="12" borderId="0" applyNumberFormat="0" applyBorder="0" applyAlignment="0" applyProtection="0">
      <alignment vertical="center"/>
    </xf>
    <xf numFmtId="226" fontId="48" fillId="12" borderId="0" applyNumberFormat="0" applyBorder="0" applyAlignment="0" applyProtection="0">
      <alignment vertical="center"/>
    </xf>
    <xf numFmtId="226" fontId="49" fillId="12" borderId="0" applyNumberFormat="0" applyBorder="0" applyAlignment="0" applyProtection="0">
      <alignment vertical="center"/>
    </xf>
    <xf numFmtId="226" fontId="49" fillId="12" borderId="0" applyNumberFormat="0" applyBorder="0" applyAlignment="0" applyProtection="0">
      <alignment vertical="center"/>
    </xf>
    <xf numFmtId="226" fontId="49" fillId="12" borderId="0" applyNumberFormat="0" applyBorder="0" applyAlignment="0" applyProtection="0">
      <alignment vertical="center"/>
    </xf>
    <xf numFmtId="226" fontId="48" fillId="12" borderId="0" applyNumberFormat="0" applyBorder="0" applyAlignment="0" applyProtection="0">
      <alignment vertical="center"/>
    </xf>
    <xf numFmtId="226" fontId="48" fillId="12" borderId="0" applyNumberFormat="0" applyBorder="0" applyAlignment="0" applyProtection="0">
      <alignment vertical="center"/>
    </xf>
    <xf numFmtId="226" fontId="48" fillId="12" borderId="0" applyNumberFormat="0" applyBorder="0" applyAlignment="0" applyProtection="0">
      <alignment vertical="center"/>
    </xf>
    <xf numFmtId="226" fontId="48" fillId="12" borderId="0" applyNumberFormat="0" applyBorder="0" applyAlignment="0" applyProtection="0">
      <alignment vertical="center"/>
    </xf>
    <xf numFmtId="226" fontId="48" fillId="12" borderId="0" applyNumberFormat="0" applyBorder="0" applyAlignment="0" applyProtection="0">
      <alignment vertical="center"/>
    </xf>
    <xf numFmtId="226" fontId="48" fillId="12" borderId="0" applyNumberFormat="0" applyBorder="0" applyAlignment="0" applyProtection="0">
      <alignment vertical="center"/>
    </xf>
    <xf numFmtId="226" fontId="48" fillId="12" borderId="0" applyNumberFormat="0" applyBorder="0" applyAlignment="0" applyProtection="0">
      <alignment vertical="center"/>
    </xf>
    <xf numFmtId="226" fontId="48" fillId="12" borderId="0" applyNumberFormat="0" applyBorder="0" applyAlignment="0" applyProtection="0">
      <alignment vertical="center"/>
    </xf>
    <xf numFmtId="226" fontId="49" fillId="12" borderId="0" applyNumberFormat="0" applyBorder="0" applyAlignment="0" applyProtection="0">
      <alignment vertical="center"/>
    </xf>
    <xf numFmtId="226" fontId="49" fillId="12" borderId="0" applyNumberFormat="0" applyBorder="0" applyAlignment="0" applyProtection="0">
      <alignment vertical="center"/>
    </xf>
    <xf numFmtId="226" fontId="49" fillId="12" borderId="0" applyNumberFormat="0" applyBorder="0" applyAlignment="0" applyProtection="0">
      <alignment vertical="center"/>
    </xf>
    <xf numFmtId="226" fontId="49" fillId="12" borderId="0" applyNumberFormat="0" applyBorder="0" applyAlignment="0" applyProtection="0">
      <alignment vertical="center"/>
    </xf>
    <xf numFmtId="226" fontId="49" fillId="12" borderId="0" applyNumberFormat="0" applyBorder="0" applyAlignment="0" applyProtection="0">
      <alignment vertical="center"/>
    </xf>
    <xf numFmtId="226" fontId="49" fillId="12" borderId="0" applyNumberFormat="0" applyBorder="0" applyAlignment="0" applyProtection="0">
      <alignment vertical="center"/>
    </xf>
    <xf numFmtId="226" fontId="49" fillId="12" borderId="0" applyNumberFormat="0" applyBorder="0" applyAlignment="0" applyProtection="0">
      <alignment vertical="center"/>
    </xf>
    <xf numFmtId="226" fontId="48" fillId="12" borderId="0" applyNumberFormat="0" applyBorder="0" applyAlignment="0" applyProtection="0">
      <alignment vertical="center"/>
    </xf>
    <xf numFmtId="226" fontId="49" fillId="12" borderId="0" applyNumberFormat="0" applyBorder="0" applyAlignment="0" applyProtection="0">
      <alignment vertical="center"/>
    </xf>
    <xf numFmtId="226" fontId="50" fillId="12" borderId="0" applyNumberFormat="0" applyBorder="0" applyAlignment="0" applyProtection="0">
      <alignment vertical="center"/>
    </xf>
    <xf numFmtId="226" fontId="49" fillId="12" borderId="0" applyNumberFormat="0" applyBorder="0" applyAlignment="0" applyProtection="0">
      <alignment vertical="center"/>
    </xf>
    <xf numFmtId="226" fontId="48" fillId="12" borderId="0" applyNumberFormat="0" applyBorder="0" applyAlignment="0" applyProtection="0">
      <alignment vertical="center"/>
    </xf>
    <xf numFmtId="226" fontId="50" fillId="12" borderId="0" applyNumberFormat="0" applyBorder="0" applyAlignment="0" applyProtection="0">
      <alignment vertical="center"/>
    </xf>
    <xf numFmtId="226" fontId="49" fillId="12" borderId="0" applyNumberFormat="0" applyBorder="0" applyAlignment="0" applyProtection="0">
      <alignment vertical="center"/>
    </xf>
    <xf numFmtId="226" fontId="51" fillId="12" borderId="0" applyNumberFormat="0" applyBorder="0" applyAlignment="0" applyProtection="0">
      <alignment vertical="center"/>
    </xf>
    <xf numFmtId="226" fontId="51" fillId="12" borderId="0" applyNumberFormat="0" applyBorder="0" applyAlignment="0" applyProtection="0">
      <alignment vertical="center"/>
    </xf>
    <xf numFmtId="226" fontId="51" fillId="12" borderId="0" applyNumberFormat="0" applyBorder="0" applyAlignment="0" applyProtection="0">
      <alignment vertical="center"/>
    </xf>
    <xf numFmtId="226" fontId="52" fillId="0" borderId="13" applyNumberFormat="0" applyFill="0" applyAlignment="0" applyProtection="0">
      <alignment vertical="center"/>
    </xf>
    <xf numFmtId="226" fontId="53" fillId="11" borderId="0" applyNumberFormat="0" applyBorder="0" applyAlignment="0" applyProtection="0">
      <alignment vertical="center"/>
    </xf>
    <xf numFmtId="226" fontId="54" fillId="29" borderId="14" applyNumberFormat="0" applyAlignment="0" applyProtection="0">
      <alignment vertical="center"/>
    </xf>
    <xf numFmtId="226" fontId="55" fillId="30" borderId="15" applyNumberFormat="0" applyAlignment="0" applyProtection="0">
      <alignment vertical="center"/>
    </xf>
    <xf numFmtId="226" fontId="56" fillId="0" borderId="0" applyNumberFormat="0" applyFill="0" applyBorder="0" applyAlignment="0" applyProtection="0">
      <alignment vertical="center"/>
    </xf>
    <xf numFmtId="226" fontId="57" fillId="0" borderId="16" applyNumberFormat="0" applyFill="0" applyAlignment="0" applyProtection="0">
      <alignment vertical="center"/>
    </xf>
    <xf numFmtId="43" fontId="7" fillId="0" borderId="0" applyFont="0" applyFill="0" applyBorder="0" applyAlignment="0" applyProtection="0"/>
    <xf numFmtId="41" fontId="5" fillId="0" borderId="0" applyFont="0" applyFill="0" applyBorder="0" applyAlignment="0" applyProtection="0"/>
    <xf numFmtId="226" fontId="58" fillId="29" borderId="17" applyNumberFormat="0" applyAlignment="0" applyProtection="0">
      <alignment vertical="center"/>
    </xf>
    <xf numFmtId="226" fontId="59" fillId="15" borderId="14" applyNumberFormat="0" applyAlignment="0" applyProtection="0">
      <alignment vertical="center"/>
    </xf>
    <xf numFmtId="226" fontId="60" fillId="0" borderId="0" applyNumberFormat="0" applyFill="0" applyBorder="0" applyAlignment="0" applyProtection="0">
      <alignment vertical="center"/>
    </xf>
    <xf numFmtId="226" fontId="34" fillId="0" borderId="0"/>
    <xf numFmtId="226" fontId="34" fillId="0" borderId="0"/>
    <xf numFmtId="226" fontId="61" fillId="31" borderId="0" applyNumberFormat="0" applyBorder="0" applyAlignment="0" applyProtection="0">
      <alignment vertical="center"/>
    </xf>
    <xf numFmtId="226" fontId="3" fillId="0" borderId="0">
      <alignment vertical="center"/>
    </xf>
    <xf numFmtId="9" fontId="3" fillId="0" borderId="0" applyFont="0" applyFill="0" applyBorder="0" applyAlignment="0" applyProtection="0">
      <alignment vertical="center"/>
    </xf>
    <xf numFmtId="177" fontId="5" fillId="0" borderId="0" applyFont="0" applyFill="0" applyBorder="0" applyAlignment="0" applyProtection="0">
      <alignment vertical="center"/>
    </xf>
    <xf numFmtId="178" fontId="5" fillId="0" borderId="0" applyFont="0" applyFill="0" applyBorder="0" applyAlignment="0" applyProtection="0">
      <alignment vertical="center"/>
    </xf>
    <xf numFmtId="226" fontId="72" fillId="0" borderId="0"/>
    <xf numFmtId="9" fontId="72" fillId="0" borderId="0" applyFont="0" applyFill="0" applyBorder="0" applyAlignment="0" applyProtection="0">
      <alignment vertical="center"/>
    </xf>
    <xf numFmtId="177" fontId="72" fillId="0" borderId="0" applyFont="0" applyFill="0" applyBorder="0" applyAlignment="0" applyProtection="0"/>
    <xf numFmtId="9" fontId="72" fillId="0" borderId="0" applyFont="0" applyFill="0" applyBorder="0" applyAlignment="0" applyProtection="0"/>
    <xf numFmtId="226" fontId="5" fillId="0" borderId="0">
      <alignment vertical="center"/>
    </xf>
    <xf numFmtId="226" fontId="6" fillId="0" borderId="0"/>
    <xf numFmtId="226" fontId="6" fillId="0" borderId="0"/>
    <xf numFmtId="226" fontId="7" fillId="0" borderId="0"/>
    <xf numFmtId="226" fontId="96" fillId="0" borderId="0"/>
    <xf numFmtId="177" fontId="96" fillId="0" borderId="0" applyFont="0" applyFill="0" applyBorder="0" applyAlignment="0" applyProtection="0"/>
    <xf numFmtId="9" fontId="96" fillId="0" borderId="0" applyFont="0" applyFill="0" applyBorder="0" applyAlignment="0" applyProtection="0"/>
    <xf numFmtId="226" fontId="8" fillId="0" borderId="0" applyNumberFormat="0" applyFont="0" applyFill="0" applyBorder="0" applyAlignment="0" applyProtection="0"/>
    <xf numFmtId="176" fontId="7" fillId="0" borderId="0" applyFont="0" applyFill="0" applyBorder="0" applyAlignment="0" applyProtection="0"/>
    <xf numFmtId="226" fontId="7" fillId="0" borderId="0"/>
    <xf numFmtId="226" fontId="7" fillId="0" borderId="0" applyNumberFormat="0" applyFill="0" applyBorder="0" applyAlignment="0" applyProtection="0"/>
    <xf numFmtId="226" fontId="7" fillId="0" borderId="0" applyNumberFormat="0" applyFill="0" applyBorder="0" applyAlignment="0" applyProtection="0"/>
    <xf numFmtId="226" fontId="143" fillId="0" borderId="0"/>
    <xf numFmtId="226" fontId="7" fillId="0" borderId="0"/>
    <xf numFmtId="226" fontId="7" fillId="0" borderId="0"/>
    <xf numFmtId="226" fontId="7" fillId="0" borderId="0"/>
    <xf numFmtId="226" fontId="7" fillId="0" borderId="0"/>
    <xf numFmtId="226" fontId="135" fillId="0" borderId="0"/>
    <xf numFmtId="226" fontId="135" fillId="0" borderId="0"/>
    <xf numFmtId="226" fontId="136" fillId="0" borderId="0"/>
    <xf numFmtId="43" fontId="7" fillId="0" borderId="0" applyFont="0" applyFill="0" applyBorder="0" applyAlignment="0" applyProtection="0"/>
    <xf numFmtId="226" fontId="144" fillId="0" borderId="0" applyNumberFormat="0" applyFill="0" applyBorder="0" applyAlignment="0" applyProtection="0"/>
    <xf numFmtId="226" fontId="135" fillId="0" borderId="0"/>
    <xf numFmtId="43" fontId="7" fillId="0" borderId="0" applyFont="0" applyFill="0" applyBorder="0" applyAlignment="0" applyProtection="0"/>
    <xf numFmtId="226" fontId="7" fillId="0" borderId="0" applyFont="0" applyFill="0" applyBorder="0" applyAlignment="0" applyProtection="0"/>
    <xf numFmtId="226" fontId="7" fillId="45" borderId="0" applyNumberFormat="0" applyFont="0" applyBorder="0" applyAlignment="0" applyProtection="0"/>
    <xf numFmtId="226" fontId="138" fillId="0" borderId="0"/>
    <xf numFmtId="226" fontId="138" fillId="0" borderId="61">
      <alignment horizontal="centerContinuous"/>
    </xf>
    <xf numFmtId="226" fontId="135" fillId="0" borderId="0"/>
    <xf numFmtId="226" fontId="145" fillId="0" borderId="0"/>
    <xf numFmtId="226" fontId="136" fillId="0" borderId="0"/>
    <xf numFmtId="43" fontId="8" fillId="0" borderId="0" applyFont="0" applyFill="0" applyBorder="0" applyAlignment="0" applyProtection="0"/>
    <xf numFmtId="43" fontId="8" fillId="0" borderId="0" applyFont="0" applyFill="0" applyBorder="0" applyAlignment="0" applyProtection="0"/>
    <xf numFmtId="176" fontId="8" fillId="0" borderId="0" applyFont="0" applyFill="0" applyBorder="0" applyAlignment="0" applyProtection="0"/>
    <xf numFmtId="226" fontId="141" fillId="0" borderId="0" applyNumberFormat="0" applyFill="0" applyBorder="0" applyAlignment="0" applyProtection="0"/>
    <xf numFmtId="226" fontId="7" fillId="0" borderId="0"/>
    <xf numFmtId="226" fontId="72" fillId="0" borderId="0"/>
    <xf numFmtId="226" fontId="142" fillId="0" borderId="0"/>
    <xf numFmtId="226" fontId="72" fillId="0" borderId="0"/>
    <xf numFmtId="226" fontId="134" fillId="0" borderId="0"/>
    <xf numFmtId="226" fontId="7" fillId="0" borderId="0"/>
    <xf numFmtId="193" fontId="7" fillId="0" borderId="0"/>
    <xf numFmtId="226" fontId="137" fillId="0" borderId="0">
      <alignment vertical="center"/>
    </xf>
    <xf numFmtId="9" fontId="8" fillId="0" borderId="0" applyFont="0" applyFill="0" applyBorder="0" applyAlignment="0" applyProtection="0"/>
    <xf numFmtId="9" fontId="7" fillId="0" borderId="0" applyFont="0" applyFill="0" applyBorder="0" applyAlignment="0" applyProtection="0"/>
    <xf numFmtId="9" fontId="8" fillId="0" borderId="0" applyFont="0" applyFill="0" applyBorder="0" applyAlignment="0" applyProtection="0"/>
    <xf numFmtId="9" fontId="134" fillId="0" borderId="0" applyFont="0" applyFill="0" applyBorder="0" applyAlignment="0" applyProtection="0"/>
    <xf numFmtId="9" fontId="134" fillId="0" borderId="0" applyFont="0" applyFill="0" applyBorder="0" applyAlignment="0" applyProtection="0"/>
    <xf numFmtId="226" fontId="7" fillId="45" borderId="0" applyNumberFormat="0" applyFont="0" applyBorder="0" applyAlignment="0" applyProtection="0"/>
    <xf numFmtId="226" fontId="138" fillId="0" borderId="0"/>
    <xf numFmtId="226" fontId="138" fillId="0" borderId="61">
      <alignment horizontal="centerContinuous"/>
    </xf>
    <xf numFmtId="226" fontId="139" fillId="0" borderId="61"/>
    <xf numFmtId="41" fontId="140" fillId="0" borderId="0" applyFont="0" applyFill="0" applyBorder="0" applyAlignment="0" applyProtection="0"/>
    <xf numFmtId="226" fontId="140" fillId="0" borderId="0" applyFont="0" applyFill="0" applyBorder="0" applyAlignment="0" applyProtection="0"/>
    <xf numFmtId="226" fontId="7" fillId="0" borderId="0"/>
    <xf numFmtId="226" fontId="72" fillId="0" borderId="0"/>
    <xf numFmtId="226" fontId="7" fillId="0" borderId="0"/>
    <xf numFmtId="226" fontId="7" fillId="0" borderId="0"/>
    <xf numFmtId="227" fontId="5" fillId="0" borderId="0">
      <alignment vertical="center"/>
    </xf>
    <xf numFmtId="227" fontId="6" fillId="0" borderId="0"/>
    <xf numFmtId="227" fontId="6" fillId="0" borderId="0"/>
    <xf numFmtId="227" fontId="7" fillId="0" borderId="0"/>
    <xf numFmtId="0" fontId="5" fillId="0" borderId="0">
      <alignment vertical="center"/>
    </xf>
    <xf numFmtId="231" fontId="5" fillId="0" borderId="0">
      <alignment vertical="center"/>
    </xf>
    <xf numFmtId="231" fontId="6" fillId="0" borderId="0"/>
    <xf numFmtId="231" fontId="7" fillId="0" borderId="0"/>
    <xf numFmtId="0" fontId="2" fillId="0" borderId="0">
      <alignment vertical="center"/>
    </xf>
    <xf numFmtId="9" fontId="2" fillId="0" borderId="0" applyFont="0" applyFill="0" applyBorder="0" applyAlignment="0" applyProtection="0">
      <alignment vertical="center"/>
    </xf>
  </cellStyleXfs>
  <cellXfs count="3550">
    <xf numFmtId="226" fontId="0" fillId="0" borderId="0" xfId="0">
      <alignment vertical="center"/>
    </xf>
    <xf numFmtId="226" fontId="10" fillId="0" borderId="0" xfId="9" applyFont="1" applyFill="1" applyBorder="1"/>
    <xf numFmtId="181" fontId="10" fillId="0" borderId="0" xfId="7" applyNumberFormat="1" applyFont="1" applyFill="1" applyBorder="1" applyAlignment="1"/>
    <xf numFmtId="226" fontId="10" fillId="0" borderId="0" xfId="9" quotePrefix="1" applyFont="1" applyFill="1" applyBorder="1"/>
    <xf numFmtId="226" fontId="10" fillId="0" borderId="0" xfId="9" applyFont="1" applyFill="1" applyBorder="1" applyAlignment="1">
      <alignment horizontal="left"/>
    </xf>
    <xf numFmtId="226" fontId="12" fillId="2" borderId="0" xfId="9" applyFont="1" applyFill="1" applyBorder="1" applyAlignment="1">
      <alignment horizontal="center"/>
    </xf>
    <xf numFmtId="226" fontId="12" fillId="0" borderId="0" xfId="9" applyFont="1" applyFill="1" applyBorder="1" applyAlignment="1">
      <alignment horizontal="center"/>
    </xf>
    <xf numFmtId="184" fontId="10" fillId="0" borderId="0" xfId="8" applyNumberFormat="1" applyFont="1" applyFill="1" applyBorder="1"/>
    <xf numFmtId="226" fontId="12" fillId="0" borderId="0" xfId="9" applyFont="1" applyFill="1" applyBorder="1" applyAlignment="1">
      <alignment horizontal="left"/>
    </xf>
    <xf numFmtId="226" fontId="12" fillId="0" borderId="0" xfId="9" applyFont="1" applyFill="1" applyBorder="1"/>
    <xf numFmtId="9" fontId="10" fillId="0" borderId="0" xfId="7" applyFont="1" applyFill="1" applyBorder="1" applyAlignment="1"/>
    <xf numFmtId="184" fontId="10" fillId="2" borderId="0" xfId="8" applyNumberFormat="1" applyFont="1" applyFill="1" applyBorder="1"/>
    <xf numFmtId="226" fontId="10" fillId="0" borderId="0" xfId="9" applyFont="1" applyFill="1" applyBorder="1" applyAlignment="1">
      <alignment horizontal="right"/>
    </xf>
    <xf numFmtId="226" fontId="10" fillId="0" borderId="0" xfId="9" applyFont="1" applyFill="1" applyBorder="1" applyAlignment="1">
      <alignment wrapText="1"/>
    </xf>
    <xf numFmtId="226" fontId="10" fillId="0" borderId="0" xfId="9" applyFont="1" applyFill="1" applyBorder="1" applyAlignment="1">
      <alignment horizontal="center"/>
    </xf>
    <xf numFmtId="226" fontId="10" fillId="0" borderId="2" xfId="9" applyFont="1" applyFill="1" applyBorder="1"/>
    <xf numFmtId="226" fontId="10" fillId="0" borderId="3" xfId="9" applyFont="1" applyFill="1" applyBorder="1"/>
    <xf numFmtId="226" fontId="10" fillId="0" borderId="4" xfId="9" applyFont="1" applyFill="1" applyBorder="1"/>
    <xf numFmtId="226" fontId="12" fillId="2" borderId="4" xfId="9" applyFont="1" applyFill="1" applyBorder="1" applyAlignment="1">
      <alignment horizontal="center"/>
    </xf>
    <xf numFmtId="226" fontId="12" fillId="0" borderId="4" xfId="9" applyFont="1" applyFill="1" applyBorder="1" applyAlignment="1">
      <alignment horizontal="left"/>
    </xf>
    <xf numFmtId="226" fontId="10" fillId="0" borderId="4" xfId="9" applyFont="1" applyFill="1" applyBorder="1" applyAlignment="1">
      <alignment horizontal="right"/>
    </xf>
    <xf numFmtId="226" fontId="12" fillId="0" borderId="4" xfId="9" applyFont="1" applyFill="1" applyBorder="1" applyAlignment="1">
      <alignment horizontal="center"/>
    </xf>
    <xf numFmtId="226" fontId="10" fillId="0" borderId="4" xfId="9" applyFont="1" applyFill="1" applyBorder="1" applyAlignment="1">
      <alignment wrapText="1"/>
    </xf>
    <xf numFmtId="181" fontId="10" fillId="0" borderId="4" xfId="7" applyNumberFormat="1" applyFont="1" applyFill="1" applyBorder="1" applyAlignment="1"/>
    <xf numFmtId="226" fontId="12" fillId="0" borderId="4" xfId="9" applyFont="1" applyFill="1" applyBorder="1"/>
    <xf numFmtId="226" fontId="10" fillId="0" borderId="4" xfId="9" quotePrefix="1" applyFont="1" applyFill="1" applyBorder="1"/>
    <xf numFmtId="226" fontId="10" fillId="2" borderId="4" xfId="9" applyFont="1" applyFill="1" applyBorder="1" applyAlignment="1">
      <alignment horizontal="left"/>
    </xf>
    <xf numFmtId="9" fontId="10" fillId="0" borderId="0" xfId="7" applyFont="1" applyFill="1" applyBorder="1">
      <alignment vertical="center"/>
    </xf>
    <xf numFmtId="226" fontId="10" fillId="0" borderId="4" xfId="9" applyFont="1" applyFill="1" applyBorder="1" applyAlignment="1">
      <alignment horizontal="right" wrapText="1"/>
    </xf>
    <xf numFmtId="226" fontId="10" fillId="0" borderId="4" xfId="9" applyFont="1" applyFill="1" applyBorder="1" applyAlignment="1">
      <alignment horizontal="left"/>
    </xf>
    <xf numFmtId="178" fontId="10" fillId="0" borderId="0" xfId="10" applyFont="1" applyFill="1" applyBorder="1">
      <alignment vertical="center"/>
    </xf>
    <xf numFmtId="226" fontId="10" fillId="0" borderId="4" xfId="5" applyFont="1" applyFill="1" applyBorder="1" applyProtection="1"/>
    <xf numFmtId="226" fontId="12" fillId="0" borderId="0" xfId="5" applyFont="1" applyFill="1" applyBorder="1" applyProtection="1"/>
    <xf numFmtId="178" fontId="10" fillId="0" borderId="4" xfId="10" applyFont="1" applyFill="1" applyBorder="1" applyAlignment="1" applyProtection="1">
      <alignment horizontal="right"/>
    </xf>
    <xf numFmtId="178" fontId="10" fillId="0" borderId="0" xfId="10" applyFont="1" applyFill="1" applyBorder="1" applyAlignment="1" applyProtection="1"/>
    <xf numFmtId="178" fontId="10" fillId="0" borderId="4" xfId="10" applyFont="1" applyFill="1" applyBorder="1" applyAlignment="1">
      <alignment horizontal="right" vertical="center"/>
    </xf>
    <xf numFmtId="183" fontId="10" fillId="0" borderId="0" xfId="8" applyNumberFormat="1" applyFont="1" applyFill="1" applyBorder="1"/>
    <xf numFmtId="226" fontId="10" fillId="0" borderId="4" xfId="9" applyFont="1" applyFill="1" applyBorder="1" applyAlignment="1">
      <alignment vertical="center" wrapText="1"/>
    </xf>
    <xf numFmtId="9" fontId="10" fillId="0" borderId="0" xfId="7" applyNumberFormat="1" applyFont="1" applyFill="1" applyBorder="1">
      <alignment vertical="center"/>
    </xf>
    <xf numFmtId="178" fontId="10" fillId="0" borderId="4" xfId="10" applyFont="1" applyFill="1" applyBorder="1" applyAlignment="1" applyProtection="1"/>
    <xf numFmtId="178" fontId="12" fillId="0" borderId="0" xfId="10" applyFont="1" applyFill="1" applyBorder="1" applyAlignment="1" applyProtection="1"/>
    <xf numFmtId="178" fontId="12" fillId="0" borderId="4" xfId="10" applyFont="1" applyFill="1" applyBorder="1" applyAlignment="1">
      <alignment horizontal="right" vertical="center" wrapText="1"/>
    </xf>
    <xf numFmtId="178" fontId="10" fillId="0" borderId="0" xfId="10" applyFont="1" applyFill="1" applyBorder="1" applyAlignment="1">
      <alignment horizontal="right" vertical="center"/>
    </xf>
    <xf numFmtId="178" fontId="10" fillId="0" borderId="4" xfId="10" applyFont="1" applyFill="1" applyBorder="1" applyAlignment="1" applyProtection="1">
      <alignment horizontal="left"/>
    </xf>
    <xf numFmtId="178" fontId="12" fillId="0" borderId="4" xfId="10" applyFont="1" applyFill="1" applyBorder="1" applyAlignment="1" applyProtection="1">
      <alignment horizontal="right"/>
    </xf>
    <xf numFmtId="226" fontId="12" fillId="0" borderId="4" xfId="5" applyFont="1" applyFill="1" applyBorder="1" applyProtection="1"/>
    <xf numFmtId="226" fontId="10" fillId="0" borderId="4" xfId="9" applyFont="1" applyFill="1" applyBorder="1" applyAlignment="1">
      <alignment horizontal="left" wrapText="1"/>
    </xf>
    <xf numFmtId="178" fontId="10" fillId="0" borderId="4" xfId="10" applyFont="1" applyFill="1" applyBorder="1">
      <alignment vertical="center"/>
    </xf>
    <xf numFmtId="181" fontId="12" fillId="2" borderId="4" xfId="7" applyNumberFormat="1" applyFont="1" applyFill="1" applyBorder="1" applyAlignment="1"/>
    <xf numFmtId="226" fontId="10" fillId="0" borderId="0" xfId="9" applyFont="1" applyFill="1" applyBorder="1" applyAlignment="1">
      <alignment vertical="center" wrapText="1"/>
    </xf>
    <xf numFmtId="181" fontId="12" fillId="2" borderId="0" xfId="7" applyNumberFormat="1" applyFont="1" applyFill="1" applyBorder="1" applyAlignment="1"/>
    <xf numFmtId="226" fontId="10" fillId="0" borderId="0" xfId="9" applyFont="1" applyFill="1" applyBorder="1" applyAlignment="1">
      <alignment horizontal="right" wrapText="1"/>
    </xf>
    <xf numFmtId="226" fontId="10" fillId="2" borderId="0" xfId="9" applyFont="1" applyFill="1" applyBorder="1" applyAlignment="1">
      <alignment horizontal="left"/>
    </xf>
    <xf numFmtId="226" fontId="10" fillId="0" borderId="0" xfId="5" applyFont="1" applyFill="1" applyBorder="1" applyProtection="1"/>
    <xf numFmtId="178" fontId="10" fillId="0" borderId="0" xfId="10" applyFont="1" applyFill="1" applyBorder="1" applyAlignment="1" applyProtection="1">
      <alignment horizontal="right"/>
    </xf>
    <xf numFmtId="226" fontId="12" fillId="4" borderId="0" xfId="9" applyFont="1" applyFill="1" applyBorder="1" applyAlignment="1">
      <alignment horizontal="center"/>
    </xf>
    <xf numFmtId="9" fontId="10" fillId="0" borderId="0" xfId="7" applyFont="1" applyFill="1" applyBorder="1" applyAlignment="1">
      <alignment horizontal="center" vertical="center"/>
    </xf>
    <xf numFmtId="191" fontId="10" fillId="0" borderId="0" xfId="8" applyNumberFormat="1" applyFont="1" applyFill="1" applyBorder="1"/>
    <xf numFmtId="178" fontId="10" fillId="0" borderId="0" xfId="10" applyFont="1" applyFill="1" applyBorder="1" applyAlignment="1"/>
    <xf numFmtId="9" fontId="10" fillId="0" borderId="0" xfId="7" applyFont="1" applyFill="1" applyBorder="1" applyAlignment="1">
      <alignment horizontal="right" vertical="center"/>
    </xf>
    <xf numFmtId="9" fontId="10" fillId="0" borderId="0" xfId="7" applyFont="1" applyFill="1" applyBorder="1" applyAlignment="1">
      <alignment horizontal="right"/>
    </xf>
    <xf numFmtId="226" fontId="12" fillId="2" borderId="6" xfId="9" applyFont="1" applyFill="1" applyBorder="1" applyAlignment="1">
      <alignment horizontal="center"/>
    </xf>
    <xf numFmtId="226" fontId="12" fillId="0" borderId="6" xfId="9" applyFont="1" applyFill="1" applyBorder="1" applyAlignment="1">
      <alignment horizontal="left"/>
    </xf>
    <xf numFmtId="226" fontId="10" fillId="0" borderId="6" xfId="9" applyFont="1" applyFill="1" applyBorder="1" applyAlignment="1">
      <alignment horizontal="right"/>
    </xf>
    <xf numFmtId="226" fontId="12" fillId="0" borderId="6" xfId="9" applyFont="1" applyFill="1" applyBorder="1" applyAlignment="1">
      <alignment horizontal="center"/>
    </xf>
    <xf numFmtId="226" fontId="12" fillId="0" borderId="6" xfId="9" applyFont="1" applyFill="1" applyBorder="1"/>
    <xf numFmtId="226" fontId="10" fillId="0" borderId="6" xfId="9" applyFont="1" applyFill="1" applyBorder="1"/>
    <xf numFmtId="181" fontId="10" fillId="0" borderId="6" xfId="7" applyNumberFormat="1" applyFont="1" applyFill="1" applyBorder="1" applyAlignment="1"/>
    <xf numFmtId="226" fontId="12" fillId="0" borderId="6" xfId="9" applyFont="1" applyFill="1" applyBorder="1" applyAlignment="1">
      <alignment vertical="center" wrapText="1"/>
    </xf>
    <xf numFmtId="226" fontId="10" fillId="0" borderId="6" xfId="9" applyFont="1" applyFill="1" applyBorder="1" applyAlignment="1">
      <alignment horizontal="right" wrapText="1"/>
    </xf>
    <xf numFmtId="181" fontId="12" fillId="0" borderId="6" xfId="7" applyNumberFormat="1" applyFont="1" applyFill="1" applyBorder="1" applyAlignment="1"/>
    <xf numFmtId="226" fontId="10" fillId="0" borderId="6" xfId="5" applyFont="1" applyFill="1" applyBorder="1" applyProtection="1"/>
    <xf numFmtId="178" fontId="10" fillId="0" borderId="6" xfId="10" applyFont="1" applyFill="1" applyBorder="1" applyAlignment="1" applyProtection="1"/>
    <xf numFmtId="178" fontId="10" fillId="0" borderId="6" xfId="10" applyFont="1" applyFill="1" applyBorder="1" applyAlignment="1" applyProtection="1">
      <alignment horizontal="right"/>
    </xf>
    <xf numFmtId="178" fontId="10" fillId="0" borderId="6" xfId="10" applyFont="1" applyFill="1" applyBorder="1" applyAlignment="1">
      <alignment horizontal="right" vertical="center"/>
    </xf>
    <xf numFmtId="178" fontId="10" fillId="0" borderId="6" xfId="10" applyFont="1" applyFill="1" applyBorder="1" applyAlignment="1" applyProtection="1">
      <alignment horizontal="left"/>
    </xf>
    <xf numFmtId="226" fontId="12" fillId="0" borderId="6" xfId="5" applyFont="1" applyFill="1" applyBorder="1" applyProtection="1"/>
    <xf numFmtId="178" fontId="10" fillId="0" borderId="6" xfId="10" applyFont="1" applyFill="1" applyBorder="1">
      <alignment vertical="center"/>
    </xf>
    <xf numFmtId="9" fontId="10" fillId="0" borderId="8" xfId="7" applyFont="1" applyFill="1" applyBorder="1" applyAlignment="1">
      <alignment horizontal="right"/>
    </xf>
    <xf numFmtId="226" fontId="12" fillId="0" borderId="8" xfId="5" applyFont="1" applyFill="1" applyBorder="1" applyProtection="1"/>
    <xf numFmtId="226" fontId="12" fillId="2" borderId="0" xfId="9" applyFont="1" applyFill="1" applyBorder="1" applyAlignment="1">
      <alignment horizontal="right"/>
    </xf>
    <xf numFmtId="178" fontId="10" fillId="0" borderId="0" xfId="10" applyFont="1" applyFill="1" applyBorder="1" applyAlignment="1">
      <alignment horizontal="center"/>
    </xf>
    <xf numFmtId="181" fontId="12" fillId="0" borderId="0" xfId="7" applyNumberFormat="1" applyFont="1" applyFill="1" applyBorder="1">
      <alignment vertical="center"/>
    </xf>
    <xf numFmtId="226" fontId="12" fillId="0" borderId="0" xfId="9" applyFont="1" applyFill="1" applyBorder="1" applyAlignment="1">
      <alignment horizontal="right"/>
    </xf>
    <xf numFmtId="40" fontId="10" fillId="0" borderId="0" xfId="7" applyNumberFormat="1" applyFont="1" applyFill="1" applyBorder="1">
      <alignment vertical="center"/>
    </xf>
    <xf numFmtId="40" fontId="10" fillId="0" borderId="0" xfId="9" applyNumberFormat="1" applyFont="1" applyFill="1" applyBorder="1"/>
    <xf numFmtId="184" fontId="10" fillId="0" borderId="0" xfId="8" applyNumberFormat="1" applyFont="1" applyFill="1" applyBorder="1" applyAlignment="1">
      <alignment horizontal="right"/>
    </xf>
    <xf numFmtId="40" fontId="10" fillId="0" borderId="0" xfId="8" applyNumberFormat="1" applyFont="1" applyFill="1" applyBorder="1"/>
    <xf numFmtId="226" fontId="12" fillId="0" borderId="0" xfId="5" applyFont="1" applyFill="1" applyBorder="1" applyAlignment="1" applyProtection="1">
      <alignment horizontal="right"/>
    </xf>
    <xf numFmtId="178" fontId="10" fillId="0" borderId="0" xfId="10" applyFont="1" applyFill="1" applyBorder="1" applyAlignment="1">
      <alignment horizontal="center" vertical="center"/>
    </xf>
    <xf numFmtId="178" fontId="12" fillId="0" borderId="0" xfId="10" applyFont="1" applyFill="1" applyBorder="1" applyAlignment="1" applyProtection="1">
      <alignment horizontal="right"/>
    </xf>
    <xf numFmtId="178" fontId="10" fillId="0" borderId="0" xfId="10" applyNumberFormat="1" applyFont="1" applyFill="1" applyBorder="1" applyAlignment="1" applyProtection="1"/>
    <xf numFmtId="178" fontId="10" fillId="0" borderId="0" xfId="10" applyNumberFormat="1" applyFont="1" applyFill="1" applyBorder="1" applyAlignment="1" applyProtection="1">
      <alignment horizontal="right"/>
    </xf>
    <xf numFmtId="14" fontId="12" fillId="0" borderId="0" xfId="9" applyNumberFormat="1" applyFont="1" applyFill="1" applyBorder="1" applyAlignment="1">
      <alignment horizontal="center"/>
    </xf>
    <xf numFmtId="14" fontId="12" fillId="0" borderId="0" xfId="9" applyNumberFormat="1" applyFont="1" applyFill="1" applyBorder="1" applyAlignment="1">
      <alignment horizontal="right"/>
    </xf>
    <xf numFmtId="226" fontId="10" fillId="2" borderId="6" xfId="9" applyFont="1" applyFill="1" applyBorder="1" applyAlignment="1">
      <alignment horizontal="left"/>
    </xf>
    <xf numFmtId="226" fontId="12" fillId="2" borderId="8" xfId="9" applyFont="1" applyFill="1" applyBorder="1" applyAlignment="1">
      <alignment horizontal="center"/>
    </xf>
    <xf numFmtId="9" fontId="10" fillId="0" borderId="8" xfId="7" applyFont="1" applyFill="1" applyBorder="1">
      <alignment vertical="center"/>
    </xf>
    <xf numFmtId="9" fontId="10" fillId="0" borderId="4" xfId="7" applyFont="1" applyFill="1" applyBorder="1">
      <alignment vertical="center"/>
    </xf>
    <xf numFmtId="183" fontId="10" fillId="0" borderId="4" xfId="8" applyNumberFormat="1" applyFont="1" applyFill="1" applyBorder="1"/>
    <xf numFmtId="9" fontId="10" fillId="0" borderId="4" xfId="7" applyFont="1" applyFill="1" applyBorder="1" applyAlignment="1"/>
    <xf numFmtId="9" fontId="10" fillId="0" borderId="8" xfId="7" applyFont="1" applyFill="1" applyBorder="1" applyAlignment="1"/>
    <xf numFmtId="226" fontId="10" fillId="0" borderId="8" xfId="9" applyFont="1" applyFill="1" applyBorder="1"/>
    <xf numFmtId="184" fontId="10" fillId="0" borderId="4" xfId="8" applyNumberFormat="1" applyFont="1" applyFill="1" applyBorder="1"/>
    <xf numFmtId="178" fontId="12" fillId="0" borderId="4" xfId="10" applyFont="1" applyFill="1" applyBorder="1" applyAlignment="1" applyProtection="1"/>
    <xf numFmtId="178" fontId="10" fillId="0" borderId="8" xfId="10" applyFont="1" applyFill="1" applyBorder="1">
      <alignment vertical="center"/>
    </xf>
    <xf numFmtId="178" fontId="10" fillId="0" borderId="8" xfId="10" applyFont="1" applyFill="1" applyBorder="1" applyAlignment="1" applyProtection="1"/>
    <xf numFmtId="178" fontId="10" fillId="0" borderId="4" xfId="10" applyNumberFormat="1" applyFont="1" applyFill="1" applyBorder="1" applyAlignment="1" applyProtection="1"/>
    <xf numFmtId="178" fontId="10" fillId="0" borderId="8" xfId="10" applyNumberFormat="1" applyFont="1" applyFill="1" applyBorder="1" applyAlignment="1" applyProtection="1"/>
    <xf numFmtId="178" fontId="10" fillId="0" borderId="4" xfId="10" applyFont="1" applyFill="1" applyBorder="1" applyAlignment="1">
      <alignment horizontal="center" vertical="center"/>
    </xf>
    <xf numFmtId="178" fontId="10" fillId="0" borderId="8" xfId="10" applyFont="1" applyFill="1" applyBorder="1" applyAlignment="1">
      <alignment horizontal="center" vertical="center"/>
    </xf>
    <xf numFmtId="226" fontId="12" fillId="0" borderId="8" xfId="9" applyFont="1" applyFill="1" applyBorder="1" applyAlignment="1">
      <alignment horizontal="center"/>
    </xf>
    <xf numFmtId="14" fontId="12" fillId="0" borderId="8" xfId="9" applyNumberFormat="1" applyFont="1" applyFill="1" applyBorder="1" applyAlignment="1">
      <alignment horizontal="center"/>
    </xf>
    <xf numFmtId="184" fontId="10" fillId="0" borderId="8" xfId="8" applyNumberFormat="1" applyFont="1" applyFill="1" applyBorder="1"/>
    <xf numFmtId="178" fontId="12" fillId="0" borderId="8" xfId="10" applyFont="1" applyFill="1" applyBorder="1" applyAlignment="1" applyProtection="1"/>
    <xf numFmtId="181" fontId="12" fillId="0" borderId="4" xfId="7" applyNumberFormat="1" applyFont="1" applyFill="1" applyBorder="1">
      <alignment vertical="center"/>
    </xf>
    <xf numFmtId="178" fontId="10" fillId="0" borderId="8" xfId="10" applyFont="1" applyFill="1" applyBorder="1" applyAlignment="1">
      <alignment horizontal="right" vertical="center"/>
    </xf>
    <xf numFmtId="14" fontId="12" fillId="0" borderId="8" xfId="9" applyNumberFormat="1" applyFont="1" applyFill="1" applyBorder="1" applyAlignment="1">
      <alignment horizontal="right"/>
    </xf>
    <xf numFmtId="14" fontId="12" fillId="0" borderId="4" xfId="9" applyNumberFormat="1" applyFont="1" applyFill="1" applyBorder="1" applyAlignment="1">
      <alignment horizontal="center"/>
    </xf>
    <xf numFmtId="226" fontId="19" fillId="0" borderId="4" xfId="9" applyFont="1" applyFill="1" applyBorder="1" applyAlignment="1">
      <alignment horizontal="left"/>
    </xf>
    <xf numFmtId="226" fontId="20" fillId="4" borderId="0" xfId="9" applyFont="1" applyFill="1" applyBorder="1" applyAlignment="1">
      <alignment horizontal="left"/>
    </xf>
    <xf numFmtId="2" fontId="10" fillId="0" borderId="0" xfId="9" applyNumberFormat="1" applyFont="1" applyFill="1" applyBorder="1"/>
    <xf numFmtId="1" fontId="12" fillId="4" borderId="0" xfId="9" applyNumberFormat="1" applyFont="1" applyFill="1" applyBorder="1" applyAlignment="1">
      <alignment horizontal="center"/>
    </xf>
    <xf numFmtId="1" fontId="12" fillId="0" borderId="4" xfId="9" applyNumberFormat="1" applyFont="1" applyFill="1" applyBorder="1" applyAlignment="1">
      <alignment horizontal="right"/>
    </xf>
    <xf numFmtId="1" fontId="12" fillId="0" borderId="0" xfId="9" applyNumberFormat="1" applyFont="1" applyFill="1" applyBorder="1" applyAlignment="1">
      <alignment horizontal="right"/>
    </xf>
    <xf numFmtId="1" fontId="12" fillId="0" borderId="8" xfId="9" applyNumberFormat="1" applyFont="1" applyFill="1" applyBorder="1" applyAlignment="1">
      <alignment horizontal="right"/>
    </xf>
    <xf numFmtId="178" fontId="12" fillId="0" borderId="6" xfId="10" applyFont="1" applyFill="1" applyBorder="1" applyAlignment="1">
      <alignment horizontal="right" vertical="center" wrapText="1"/>
    </xf>
    <xf numFmtId="178" fontId="12" fillId="0" borderId="6" xfId="10" applyFont="1" applyFill="1" applyBorder="1" applyAlignment="1" applyProtection="1">
      <alignment horizontal="right"/>
    </xf>
    <xf numFmtId="43" fontId="10" fillId="0" borderId="8" xfId="10" applyNumberFormat="1" applyFont="1" applyFill="1" applyBorder="1">
      <alignment vertical="center"/>
    </xf>
    <xf numFmtId="178" fontId="10" fillId="0" borderId="0" xfId="10" applyNumberFormat="1" applyFont="1" applyFill="1" applyBorder="1" applyAlignment="1">
      <alignment horizontal="center" vertical="center"/>
    </xf>
    <xf numFmtId="226" fontId="10" fillId="0" borderId="5" xfId="13" applyFont="1" applyFill="1" applyBorder="1">
      <alignment vertical="center"/>
    </xf>
    <xf numFmtId="226" fontId="10" fillId="0" borderId="7" xfId="13" applyFont="1" applyFill="1" applyBorder="1">
      <alignment vertical="center"/>
    </xf>
    <xf numFmtId="226" fontId="10" fillId="0" borderId="3" xfId="13" applyFont="1" applyFill="1" applyBorder="1">
      <alignment vertical="center"/>
    </xf>
    <xf numFmtId="226" fontId="10" fillId="0" borderId="0" xfId="13" applyFont="1" applyFill="1" applyBorder="1">
      <alignment vertical="center"/>
    </xf>
    <xf numFmtId="226" fontId="10" fillId="0" borderId="2" xfId="13" applyFont="1" applyFill="1" applyBorder="1">
      <alignment vertical="center"/>
    </xf>
    <xf numFmtId="226" fontId="10" fillId="0" borderId="0" xfId="13" applyFont="1" applyFill="1" applyBorder="1" applyAlignment="1">
      <alignment horizontal="right" vertical="center"/>
    </xf>
    <xf numFmtId="226" fontId="10" fillId="0" borderId="8" xfId="13" applyFont="1" applyFill="1" applyBorder="1">
      <alignment vertical="center"/>
    </xf>
    <xf numFmtId="226" fontId="10" fillId="0" borderId="4" xfId="13" applyFont="1" applyFill="1" applyBorder="1">
      <alignment vertical="center"/>
    </xf>
    <xf numFmtId="226" fontId="10" fillId="2" borderId="0" xfId="13" applyFont="1" applyFill="1" applyBorder="1">
      <alignment vertical="center"/>
    </xf>
    <xf numFmtId="38" fontId="10" fillId="0" borderId="4" xfId="13" applyNumberFormat="1" applyFont="1" applyFill="1" applyBorder="1" applyAlignment="1">
      <alignment horizontal="center" vertical="center"/>
    </xf>
    <xf numFmtId="38" fontId="10" fillId="0" borderId="0" xfId="13" applyNumberFormat="1" applyFont="1" applyFill="1" applyBorder="1" applyAlignment="1">
      <alignment horizontal="center" vertical="center"/>
    </xf>
    <xf numFmtId="38" fontId="10" fillId="0" borderId="8" xfId="13" applyNumberFormat="1" applyFont="1" applyFill="1" applyBorder="1" applyAlignment="1">
      <alignment horizontal="center" vertical="center"/>
    </xf>
    <xf numFmtId="38" fontId="10" fillId="0" borderId="0" xfId="13" applyNumberFormat="1" applyFont="1" applyFill="1" applyBorder="1" applyAlignment="1">
      <alignment horizontal="right" vertical="center"/>
    </xf>
    <xf numFmtId="183" fontId="10" fillId="0" borderId="0" xfId="13" applyNumberFormat="1" applyFont="1" applyFill="1" applyBorder="1">
      <alignment vertical="center"/>
    </xf>
    <xf numFmtId="226" fontId="10" fillId="0" borderId="4" xfId="13" applyFont="1" applyFill="1" applyBorder="1" applyAlignment="1">
      <alignment horizontal="right" vertical="center"/>
    </xf>
    <xf numFmtId="38" fontId="10" fillId="0" borderId="4" xfId="13" applyNumberFormat="1" applyFont="1" applyFill="1" applyBorder="1">
      <alignment vertical="center"/>
    </xf>
    <xf numFmtId="38" fontId="10" fillId="0" borderId="0" xfId="13" applyNumberFormat="1" applyFont="1" applyFill="1" applyBorder="1">
      <alignment vertical="center"/>
    </xf>
    <xf numFmtId="38" fontId="10" fillId="0" borderId="8" xfId="13" applyNumberFormat="1" applyFont="1" applyFill="1" applyBorder="1">
      <alignment vertical="center"/>
    </xf>
    <xf numFmtId="38" fontId="10" fillId="0" borderId="4" xfId="13" applyNumberFormat="1" applyFont="1" applyFill="1" applyBorder="1" applyAlignment="1">
      <alignment horizontal="right" vertical="center"/>
    </xf>
    <xf numFmtId="226" fontId="10" fillId="0" borderId="4" xfId="13" applyFont="1" applyFill="1" applyBorder="1" applyAlignment="1">
      <alignment horizontal="center" vertical="center"/>
    </xf>
    <xf numFmtId="226" fontId="10" fillId="0" borderId="0" xfId="13" applyFont="1" applyFill="1" applyBorder="1" applyAlignment="1">
      <alignment horizontal="center" vertical="center"/>
    </xf>
    <xf numFmtId="183" fontId="10" fillId="0" borderId="8" xfId="13" applyNumberFormat="1" applyFont="1" applyFill="1" applyBorder="1">
      <alignment vertical="center"/>
    </xf>
    <xf numFmtId="190" fontId="10" fillId="0" borderId="0" xfId="13" applyNumberFormat="1" applyFont="1" applyFill="1" applyBorder="1">
      <alignment vertical="center"/>
    </xf>
    <xf numFmtId="226" fontId="10" fillId="0" borderId="8" xfId="13" applyFont="1" applyFill="1" applyBorder="1" applyAlignment="1">
      <alignment horizontal="center" vertical="center"/>
    </xf>
    <xf numFmtId="40" fontId="10" fillId="0" borderId="0" xfId="13" applyNumberFormat="1" applyFont="1" applyFill="1" applyBorder="1">
      <alignment vertical="center"/>
    </xf>
    <xf numFmtId="182" fontId="10" fillId="0" borderId="8" xfId="13" applyNumberFormat="1" applyFont="1" applyFill="1" applyBorder="1">
      <alignment vertical="center"/>
    </xf>
    <xf numFmtId="182" fontId="10" fillId="0" borderId="0" xfId="13" applyNumberFormat="1" applyFont="1" applyFill="1" applyBorder="1">
      <alignment vertical="center"/>
    </xf>
    <xf numFmtId="182" fontId="10" fillId="0" borderId="0" xfId="13" applyNumberFormat="1" applyFont="1" applyFill="1" applyBorder="1" applyAlignment="1">
      <alignment horizontal="right" vertical="center"/>
    </xf>
    <xf numFmtId="182" fontId="10" fillId="0" borderId="4" xfId="13" applyNumberFormat="1" applyFont="1" applyFill="1" applyBorder="1">
      <alignment vertical="center"/>
    </xf>
    <xf numFmtId="226" fontId="10" fillId="0" borderId="6" xfId="13" applyFont="1" applyFill="1" applyBorder="1">
      <alignment vertical="center"/>
    </xf>
    <xf numFmtId="226" fontId="12" fillId="0" borderId="6" xfId="13" applyFont="1" applyFill="1" applyBorder="1">
      <alignment vertical="center"/>
    </xf>
    <xf numFmtId="226" fontId="12" fillId="0" borderId="6" xfId="13" applyFont="1" applyFill="1" applyBorder="1" applyAlignment="1">
      <alignment horizontal="center" vertical="center"/>
    </xf>
    <xf numFmtId="226" fontId="12" fillId="0" borderId="4" xfId="13" applyFont="1" applyFill="1" applyBorder="1">
      <alignment vertical="center"/>
    </xf>
    <xf numFmtId="226" fontId="12" fillId="0" borderId="0" xfId="13" applyFont="1" applyFill="1" applyBorder="1">
      <alignment vertical="center"/>
    </xf>
    <xf numFmtId="226" fontId="12" fillId="0" borderId="8" xfId="13" applyFont="1" applyFill="1" applyBorder="1">
      <alignment vertical="center"/>
    </xf>
    <xf numFmtId="226" fontId="12" fillId="0" borderId="0" xfId="13" applyFont="1" applyFill="1" applyBorder="1" applyAlignment="1">
      <alignment horizontal="right" vertical="center"/>
    </xf>
    <xf numFmtId="226" fontId="5" fillId="0" borderId="6" xfId="13" applyFill="1" applyBorder="1">
      <alignment vertical="center"/>
    </xf>
    <xf numFmtId="226" fontId="5" fillId="0" borderId="4" xfId="13" applyFill="1" applyBorder="1">
      <alignment vertical="center"/>
    </xf>
    <xf numFmtId="226" fontId="5" fillId="0" borderId="0" xfId="13" applyFill="1" applyBorder="1">
      <alignment vertical="center"/>
    </xf>
    <xf numFmtId="226" fontId="5" fillId="0" borderId="8" xfId="13" applyFill="1" applyBorder="1">
      <alignment vertical="center"/>
    </xf>
    <xf numFmtId="226" fontId="5" fillId="0" borderId="0" xfId="13" applyFill="1" applyBorder="1" applyAlignment="1">
      <alignment horizontal="right" vertical="center"/>
    </xf>
    <xf numFmtId="183" fontId="10" fillId="0" borderId="4" xfId="13" applyNumberFormat="1" applyFont="1" applyFill="1" applyBorder="1">
      <alignment vertical="center"/>
    </xf>
    <xf numFmtId="183" fontId="10" fillId="0" borderId="0" xfId="13" applyNumberFormat="1" applyFont="1" applyFill="1" applyBorder="1" applyAlignment="1">
      <alignment horizontal="right" vertical="center"/>
    </xf>
    <xf numFmtId="183" fontId="10" fillId="0" borderId="0" xfId="13" applyNumberFormat="1" applyFont="1" applyFill="1" applyBorder="1" applyAlignment="1">
      <alignment horizontal="center" vertical="center"/>
    </xf>
    <xf numFmtId="226" fontId="12" fillId="2" borderId="6" xfId="13" applyFont="1" applyFill="1" applyBorder="1" applyAlignment="1">
      <alignment horizontal="center" vertical="center"/>
    </xf>
    <xf numFmtId="3" fontId="10" fillId="0" borderId="0" xfId="13" applyNumberFormat="1" applyFont="1" applyFill="1" applyBorder="1">
      <alignment vertical="center"/>
    </xf>
    <xf numFmtId="226" fontId="10" fillId="2" borderId="6" xfId="13" applyFont="1" applyFill="1" applyBorder="1">
      <alignment vertical="center"/>
    </xf>
    <xf numFmtId="10" fontId="10" fillId="0" borderId="0" xfId="13" applyNumberFormat="1" applyFont="1" applyFill="1" applyBorder="1">
      <alignment vertical="center"/>
    </xf>
    <xf numFmtId="179" fontId="10" fillId="0" borderId="0" xfId="13" applyNumberFormat="1" applyFont="1" applyFill="1" applyBorder="1" applyAlignment="1">
      <alignment horizontal="right" vertical="center"/>
    </xf>
    <xf numFmtId="226" fontId="10" fillId="0" borderId="6" xfId="13" applyFont="1" applyFill="1" applyBorder="1" applyAlignment="1">
      <alignment horizontal="right" vertical="center"/>
    </xf>
    <xf numFmtId="178" fontId="10" fillId="0" borderId="4" xfId="13" applyNumberFormat="1" applyFont="1" applyFill="1" applyBorder="1">
      <alignment vertical="center"/>
    </xf>
    <xf numFmtId="187" fontId="10" fillId="0" borderId="0" xfId="13" applyNumberFormat="1" applyFont="1" applyFill="1" applyBorder="1">
      <alignment vertical="center"/>
    </xf>
    <xf numFmtId="186" fontId="10" fillId="0" borderId="0" xfId="13" applyNumberFormat="1" applyFont="1" applyFill="1" applyBorder="1">
      <alignment vertical="center"/>
    </xf>
    <xf numFmtId="177" fontId="10" fillId="0" borderId="0" xfId="14" applyFont="1" applyFill="1" applyBorder="1" applyAlignment="1">
      <alignment horizontal="center" vertical="center"/>
    </xf>
    <xf numFmtId="226" fontId="10" fillId="5" borderId="6" xfId="13" applyFont="1" applyFill="1" applyBorder="1">
      <alignment vertical="center"/>
    </xf>
    <xf numFmtId="226" fontId="10" fillId="5" borderId="4" xfId="13" applyFont="1" applyFill="1" applyBorder="1">
      <alignment vertical="center"/>
    </xf>
    <xf numFmtId="183" fontId="10" fillId="5" borderId="0" xfId="13" applyNumberFormat="1" applyFont="1" applyFill="1" applyBorder="1">
      <alignment vertical="center"/>
    </xf>
    <xf numFmtId="183" fontId="10" fillId="5" borderId="8" xfId="13" applyNumberFormat="1" applyFont="1" applyFill="1" applyBorder="1">
      <alignment vertical="center"/>
    </xf>
    <xf numFmtId="187" fontId="10" fillId="5" borderId="0" xfId="13" applyNumberFormat="1" applyFont="1" applyFill="1" applyBorder="1">
      <alignment vertical="center"/>
    </xf>
    <xf numFmtId="186" fontId="10" fillId="5" borderId="0" xfId="13" applyNumberFormat="1" applyFont="1" applyFill="1" applyBorder="1">
      <alignment vertical="center"/>
    </xf>
    <xf numFmtId="183" fontId="10" fillId="5" borderId="4" xfId="13" applyNumberFormat="1" applyFont="1" applyFill="1" applyBorder="1">
      <alignment vertical="center"/>
    </xf>
    <xf numFmtId="183" fontId="10" fillId="5" borderId="0" xfId="13" applyNumberFormat="1" applyFont="1" applyFill="1" applyBorder="1" applyAlignment="1">
      <alignment horizontal="right" vertical="center"/>
    </xf>
    <xf numFmtId="226" fontId="10" fillId="5" borderId="0" xfId="13" applyFont="1" applyFill="1" applyBorder="1">
      <alignment vertical="center"/>
    </xf>
    <xf numFmtId="226" fontId="10" fillId="5" borderId="8" xfId="13" applyFont="1" applyFill="1" applyBorder="1">
      <alignment vertical="center"/>
    </xf>
    <xf numFmtId="226" fontId="5" fillId="0" borderId="0" xfId="13">
      <alignment vertical="center"/>
    </xf>
    <xf numFmtId="194" fontId="10" fillId="0" borderId="0" xfId="13" applyNumberFormat="1" applyFont="1" applyFill="1" applyBorder="1">
      <alignment vertical="center"/>
    </xf>
    <xf numFmtId="194" fontId="10" fillId="0" borderId="0" xfId="13" applyNumberFormat="1" applyFont="1" applyFill="1" applyBorder="1" applyAlignment="1">
      <alignment horizontal="right" vertical="center"/>
    </xf>
    <xf numFmtId="196" fontId="10" fillId="0" borderId="0" xfId="13" applyNumberFormat="1" applyFont="1" applyFill="1" applyBorder="1" applyAlignment="1">
      <alignment horizontal="right" vertical="center"/>
    </xf>
    <xf numFmtId="194" fontId="21" fillId="0" borderId="0" xfId="13" applyNumberFormat="1" applyFont="1" applyFill="1" applyBorder="1">
      <alignment vertical="center"/>
    </xf>
    <xf numFmtId="196" fontId="21" fillId="0" borderId="0" xfId="13" applyNumberFormat="1" applyFont="1" applyFill="1" applyBorder="1" applyAlignment="1">
      <alignment horizontal="right" vertical="center"/>
    </xf>
    <xf numFmtId="178" fontId="21" fillId="0" borderId="0" xfId="13" applyNumberFormat="1" applyFont="1" applyFill="1" applyBorder="1">
      <alignment vertical="center"/>
    </xf>
    <xf numFmtId="178" fontId="10" fillId="0" borderId="0" xfId="13" applyNumberFormat="1" applyFont="1" applyFill="1" applyBorder="1">
      <alignment vertical="center"/>
    </xf>
    <xf numFmtId="178" fontId="10" fillId="0" borderId="0" xfId="13" applyNumberFormat="1" applyFont="1" applyFill="1" applyBorder="1" applyAlignment="1">
      <alignment horizontal="right" vertical="center"/>
    </xf>
    <xf numFmtId="178" fontId="21" fillId="0" borderId="0" xfId="13" applyNumberFormat="1" applyFont="1" applyFill="1" applyBorder="1" applyAlignment="1">
      <alignment horizontal="right" vertical="center"/>
    </xf>
    <xf numFmtId="196" fontId="10" fillId="0" borderId="0" xfId="13" applyNumberFormat="1" applyFont="1" applyFill="1" applyBorder="1">
      <alignment vertical="center"/>
    </xf>
    <xf numFmtId="43" fontId="10" fillId="0" borderId="0" xfId="13" applyNumberFormat="1" applyFont="1" applyFill="1" applyBorder="1">
      <alignment vertical="center"/>
    </xf>
    <xf numFmtId="4" fontId="10" fillId="0" borderId="0" xfId="13" applyNumberFormat="1" applyFont="1" applyFill="1" applyBorder="1">
      <alignment vertical="center"/>
    </xf>
    <xf numFmtId="197" fontId="10" fillId="0" borderId="0" xfId="13" applyNumberFormat="1" applyFont="1" applyFill="1" applyBorder="1">
      <alignment vertical="center"/>
    </xf>
    <xf numFmtId="226" fontId="12" fillId="2" borderId="0" xfId="13" applyFont="1" applyFill="1" applyBorder="1" applyAlignment="1">
      <alignment horizontal="center" vertical="center"/>
    </xf>
    <xf numFmtId="226" fontId="12" fillId="2" borderId="4" xfId="13" applyFont="1" applyFill="1" applyBorder="1" applyAlignment="1">
      <alignment horizontal="center" vertical="center"/>
    </xf>
    <xf numFmtId="198" fontId="10" fillId="0" borderId="0" xfId="13" applyNumberFormat="1" applyFont="1" applyFill="1" applyBorder="1">
      <alignment vertical="center"/>
    </xf>
    <xf numFmtId="181" fontId="10" fillId="0" borderId="0" xfId="7" applyNumberFormat="1" applyFont="1" applyFill="1" applyBorder="1">
      <alignment vertical="center"/>
    </xf>
    <xf numFmtId="226" fontId="12" fillId="2" borderId="0" xfId="13" applyFont="1" applyFill="1" applyBorder="1">
      <alignment vertical="center"/>
    </xf>
    <xf numFmtId="182" fontId="10" fillId="2" borderId="0" xfId="13" applyNumberFormat="1" applyFont="1" applyFill="1" applyBorder="1">
      <alignment vertical="center"/>
    </xf>
    <xf numFmtId="226" fontId="10" fillId="2" borderId="4" xfId="13" applyFont="1" applyFill="1" applyBorder="1">
      <alignment vertical="center"/>
    </xf>
    <xf numFmtId="9" fontId="21" fillId="0" borderId="0" xfId="7" applyFont="1" applyFill="1" applyBorder="1">
      <alignment vertical="center"/>
    </xf>
    <xf numFmtId="226" fontId="15" fillId="0" borderId="0" xfId="13" applyFont="1">
      <alignment vertical="center"/>
    </xf>
    <xf numFmtId="38" fontId="12" fillId="0" borderId="0" xfId="13" applyNumberFormat="1" applyFont="1" applyFill="1" applyBorder="1">
      <alignment vertical="center"/>
    </xf>
    <xf numFmtId="189" fontId="12" fillId="0" borderId="0" xfId="13" applyNumberFormat="1" applyFont="1" applyFill="1" applyBorder="1">
      <alignment vertical="center"/>
    </xf>
    <xf numFmtId="226" fontId="23" fillId="0" borderId="8" xfId="13" applyFont="1" applyFill="1" applyBorder="1">
      <alignment vertical="center"/>
    </xf>
    <xf numFmtId="226" fontId="24" fillId="2" borderId="8" xfId="9" applyFont="1" applyFill="1" applyBorder="1" applyAlignment="1">
      <alignment horizontal="center"/>
    </xf>
    <xf numFmtId="38" fontId="23" fillId="0" borderId="8" xfId="13" applyNumberFormat="1" applyFont="1" applyFill="1" applyBorder="1" applyAlignment="1">
      <alignment horizontal="center" vertical="center"/>
    </xf>
    <xf numFmtId="178" fontId="23" fillId="0" borderId="8" xfId="10" applyFont="1" applyFill="1" applyBorder="1">
      <alignment vertical="center"/>
    </xf>
    <xf numFmtId="9" fontId="23" fillId="0" borderId="8" xfId="7" applyFont="1" applyFill="1" applyBorder="1">
      <alignment vertical="center"/>
    </xf>
    <xf numFmtId="181" fontId="24" fillId="0" borderId="8" xfId="7" applyNumberFormat="1" applyFont="1" applyFill="1" applyBorder="1">
      <alignment vertical="center"/>
    </xf>
    <xf numFmtId="38" fontId="23" fillId="0" borderId="8" xfId="13" applyNumberFormat="1" applyFont="1" applyFill="1" applyBorder="1">
      <alignment vertical="center"/>
    </xf>
    <xf numFmtId="183" fontId="23" fillId="0" borderId="8" xfId="13" applyNumberFormat="1" applyFont="1" applyFill="1" applyBorder="1">
      <alignment vertical="center"/>
    </xf>
    <xf numFmtId="226" fontId="23" fillId="0" borderId="8" xfId="13" applyFont="1" applyFill="1" applyBorder="1" applyAlignment="1">
      <alignment horizontal="center" vertical="center"/>
    </xf>
    <xf numFmtId="9" fontId="23" fillId="0" borderId="8" xfId="7" applyFont="1" applyFill="1" applyBorder="1" applyAlignment="1"/>
    <xf numFmtId="226" fontId="24" fillId="0" borderId="8" xfId="9" applyFont="1" applyFill="1" applyBorder="1" applyAlignment="1">
      <alignment horizontal="center"/>
    </xf>
    <xf numFmtId="226" fontId="24" fillId="0" borderId="8" xfId="13" applyFont="1" applyFill="1" applyBorder="1">
      <alignment vertical="center"/>
    </xf>
    <xf numFmtId="226" fontId="23" fillId="0" borderId="8" xfId="9" applyFont="1" applyFill="1" applyBorder="1"/>
    <xf numFmtId="226" fontId="25" fillId="0" borderId="8" xfId="13" applyFont="1" applyFill="1" applyBorder="1">
      <alignment vertical="center"/>
    </xf>
    <xf numFmtId="178" fontId="23" fillId="0" borderId="8" xfId="10" applyFont="1" applyFill="1" applyBorder="1" applyAlignment="1">
      <alignment horizontal="right" vertical="center"/>
    </xf>
    <xf numFmtId="178" fontId="23" fillId="0" borderId="8" xfId="10" applyFont="1" applyFill="1" applyBorder="1" applyAlignment="1">
      <alignment horizontal="center" vertical="center"/>
    </xf>
    <xf numFmtId="3" fontId="23" fillId="0" borderId="8" xfId="13" applyNumberFormat="1" applyFont="1" applyFill="1" applyBorder="1">
      <alignment vertical="center"/>
    </xf>
    <xf numFmtId="186" fontId="23" fillId="0" borderId="8" xfId="13" applyNumberFormat="1" applyFont="1" applyFill="1" applyBorder="1">
      <alignment vertical="center"/>
    </xf>
    <xf numFmtId="188" fontId="23" fillId="0" borderId="8" xfId="13" applyNumberFormat="1" applyFont="1" applyFill="1" applyBorder="1" applyAlignment="1">
      <alignment horizontal="right" vertical="center"/>
    </xf>
    <xf numFmtId="14" fontId="24" fillId="0" borderId="8" xfId="9" applyNumberFormat="1" applyFont="1" applyFill="1" applyBorder="1" applyAlignment="1">
      <alignment horizontal="center"/>
    </xf>
    <xf numFmtId="182" fontId="23" fillId="0" borderId="8" xfId="13" applyNumberFormat="1" applyFont="1" applyFill="1" applyBorder="1">
      <alignment vertical="center"/>
    </xf>
    <xf numFmtId="194" fontId="23" fillId="0" borderId="8" xfId="10" applyNumberFormat="1" applyFont="1" applyFill="1" applyBorder="1">
      <alignment vertical="center"/>
    </xf>
    <xf numFmtId="186" fontId="23" fillId="5" borderId="8" xfId="13" applyNumberFormat="1" applyFont="1" applyFill="1" applyBorder="1">
      <alignment vertical="center"/>
    </xf>
    <xf numFmtId="182" fontId="23" fillId="0" borderId="8" xfId="13" applyNumberFormat="1" applyFont="1" applyFill="1" applyBorder="1" applyAlignment="1">
      <alignment horizontal="right" vertical="center"/>
    </xf>
    <xf numFmtId="38" fontId="10" fillId="0" borderId="0" xfId="15" applyNumberFormat="1" applyFont="1" applyAlignment="1" applyProtection="1">
      <alignment vertical="center"/>
    </xf>
    <xf numFmtId="38" fontId="12" fillId="0" borderId="0" xfId="15" applyNumberFormat="1" applyFont="1" applyAlignment="1" applyProtection="1">
      <alignment vertical="center"/>
    </xf>
    <xf numFmtId="38" fontId="10" fillId="0" borderId="0" xfId="15" applyNumberFormat="1" applyFont="1" applyAlignment="1" applyProtection="1">
      <alignment vertical="center" wrapText="1"/>
    </xf>
    <xf numFmtId="181" fontId="10" fillId="0" borderId="0" xfId="16" applyNumberFormat="1" applyFont="1" applyAlignment="1" applyProtection="1">
      <alignment vertical="center"/>
    </xf>
    <xf numFmtId="9" fontId="10" fillId="6" borderId="0" xfId="17" applyFont="1" applyFill="1" applyAlignment="1" applyProtection="1">
      <alignment vertical="center"/>
    </xf>
    <xf numFmtId="226" fontId="10" fillId="0" borderId="0" xfId="15" applyFont="1" applyAlignment="1" applyProtection="1">
      <alignment horizontal="left" vertical="center"/>
    </xf>
    <xf numFmtId="226" fontId="10" fillId="0" borderId="0" xfId="15" applyFont="1" applyAlignment="1" applyProtection="1">
      <alignment vertical="center"/>
    </xf>
    <xf numFmtId="226" fontId="27" fillId="0" borderId="0" xfId="18" applyFont="1">
      <protection locked="0"/>
    </xf>
    <xf numFmtId="38" fontId="10" fillId="0" borderId="0" xfId="15" applyNumberFormat="1" applyFont="1" applyAlignment="1" applyProtection="1">
      <alignment horizontal="center" vertical="center"/>
    </xf>
    <xf numFmtId="38" fontId="12" fillId="0" borderId="1" xfId="15" applyNumberFormat="1" applyFont="1" applyBorder="1" applyAlignment="1" applyProtection="1">
      <alignment horizontal="justify" vertical="center"/>
    </xf>
    <xf numFmtId="38" fontId="10" fillId="0" borderId="1" xfId="15" applyNumberFormat="1" applyFont="1" applyBorder="1" applyAlignment="1" applyProtection="1">
      <alignment horizontal="center" vertical="center"/>
    </xf>
    <xf numFmtId="38" fontId="12" fillId="0" borderId="1" xfId="15" applyNumberFormat="1" applyFont="1" applyBorder="1" applyAlignment="1" applyProtection="1">
      <alignment horizontal="center" vertical="center"/>
    </xf>
    <xf numFmtId="38" fontId="20" fillId="0" borderId="1" xfId="15" applyNumberFormat="1" applyFont="1" applyBorder="1" applyAlignment="1" applyProtection="1">
      <alignment horizontal="center" vertical="center" wrapText="1"/>
    </xf>
    <xf numFmtId="38" fontId="12" fillId="0" borderId="1" xfId="19" applyNumberFormat="1" applyFont="1" applyBorder="1" applyAlignment="1" applyProtection="1">
      <alignment horizontal="center" vertical="center"/>
    </xf>
    <xf numFmtId="38" fontId="12" fillId="0" borderId="1" xfId="15" applyNumberFormat="1" applyFont="1" applyBorder="1" applyAlignment="1" applyProtection="1">
      <alignment horizontal="center" vertical="center" wrapText="1"/>
    </xf>
    <xf numFmtId="226" fontId="20" fillId="0" borderId="1" xfId="15" applyFont="1" applyBorder="1" applyAlignment="1" applyProtection="1">
      <alignment horizontal="center" vertical="center"/>
    </xf>
    <xf numFmtId="226" fontId="12" fillId="0" borderId="1" xfId="15" applyFont="1" applyBorder="1" applyAlignment="1" applyProtection="1">
      <alignment horizontal="center" vertical="center"/>
    </xf>
    <xf numFmtId="226" fontId="10" fillId="0" borderId="1" xfId="15" applyFont="1" applyBorder="1" applyAlignment="1" applyProtection="1">
      <alignment horizontal="center" vertical="center"/>
    </xf>
    <xf numFmtId="226" fontId="10" fillId="0" borderId="0" xfId="15" applyFont="1" applyAlignment="1" applyProtection="1">
      <alignment horizontal="center" vertical="center"/>
    </xf>
    <xf numFmtId="38" fontId="20" fillId="0" borderId="1" xfId="15" applyNumberFormat="1" applyFont="1" applyFill="1" applyBorder="1" applyAlignment="1">
      <alignment horizontal="left"/>
      <protection locked="0"/>
    </xf>
    <xf numFmtId="38" fontId="10" fillId="0" borderId="1" xfId="19" applyNumberFormat="1" applyFont="1" applyBorder="1">
      <alignment vertical="center"/>
    </xf>
    <xf numFmtId="181" fontId="10" fillId="0" borderId="1" xfId="17" applyNumberFormat="1" applyFont="1" applyBorder="1" applyAlignment="1">
      <alignment vertical="center" wrapText="1"/>
    </xf>
    <xf numFmtId="38" fontId="10" fillId="0" borderId="1" xfId="19" applyNumberFormat="1" applyFont="1" applyBorder="1" applyAlignment="1" applyProtection="1">
      <alignment vertical="center"/>
    </xf>
    <xf numFmtId="38" fontId="10" fillId="0" borderId="1" xfId="15" applyNumberFormat="1" applyFont="1" applyBorder="1" applyAlignment="1" applyProtection="1">
      <alignment horizontal="left" vertical="center"/>
    </xf>
    <xf numFmtId="226" fontId="10" fillId="0" borderId="1" xfId="15" applyFont="1" applyBorder="1" applyAlignment="1" applyProtection="1">
      <alignment vertical="center"/>
    </xf>
    <xf numFmtId="38" fontId="10" fillId="0" borderId="1" xfId="15" applyNumberFormat="1" applyFont="1" applyBorder="1" applyAlignment="1" applyProtection="1">
      <alignment vertical="center"/>
    </xf>
    <xf numFmtId="38" fontId="11" fillId="0" borderId="1" xfId="15" applyNumberFormat="1" applyFont="1" applyFill="1" applyBorder="1" applyAlignment="1">
      <alignment horizontal="left"/>
      <protection locked="0"/>
    </xf>
    <xf numFmtId="226" fontId="11" fillId="0" borderId="1" xfId="15" applyFont="1" applyFill="1" applyBorder="1" applyAlignment="1">
      <alignment horizontal="left"/>
      <protection locked="0"/>
    </xf>
    <xf numFmtId="38" fontId="10" fillId="0" borderId="1" xfId="19" applyNumberFormat="1" applyFont="1" applyBorder="1" applyAlignment="1">
      <alignment vertical="center" wrapText="1"/>
    </xf>
    <xf numFmtId="38" fontId="12" fillId="7" borderId="0" xfId="15" applyNumberFormat="1" applyFont="1" applyFill="1" applyAlignment="1" applyProtection="1">
      <alignment vertical="center"/>
    </xf>
    <xf numFmtId="226" fontId="20" fillId="7" borderId="1" xfId="15" applyFont="1" applyFill="1" applyBorder="1" applyAlignment="1">
      <alignment horizontal="left"/>
      <protection locked="0"/>
    </xf>
    <xf numFmtId="38" fontId="12" fillId="7" borderId="1" xfId="19" applyNumberFormat="1" applyFont="1" applyFill="1" applyBorder="1">
      <alignment vertical="center"/>
    </xf>
    <xf numFmtId="181" fontId="12" fillId="7" borderId="1" xfId="17" applyNumberFormat="1" applyFont="1" applyFill="1" applyBorder="1" applyAlignment="1">
      <alignment vertical="center" wrapText="1"/>
    </xf>
    <xf numFmtId="38" fontId="12" fillId="7" borderId="1" xfId="15" applyNumberFormat="1" applyFont="1" applyFill="1" applyBorder="1" applyAlignment="1" applyProtection="1">
      <alignment horizontal="left" vertical="center"/>
    </xf>
    <xf numFmtId="226" fontId="12" fillId="7" borderId="1" xfId="15" applyFont="1" applyFill="1" applyBorder="1" applyAlignment="1" applyProtection="1">
      <alignment vertical="center"/>
    </xf>
    <xf numFmtId="9" fontId="12" fillId="7" borderId="1" xfId="17" applyFont="1" applyFill="1" applyBorder="1" applyAlignment="1" applyProtection="1">
      <alignment vertical="center"/>
    </xf>
    <xf numFmtId="226" fontId="28" fillId="7" borderId="0" xfId="18" applyFont="1" applyFill="1">
      <protection locked="0"/>
    </xf>
    <xf numFmtId="226" fontId="12" fillId="7" borderId="0" xfId="15" applyFont="1" applyFill="1" applyAlignment="1" applyProtection="1">
      <alignment vertical="center"/>
    </xf>
    <xf numFmtId="38" fontId="12" fillId="0" borderId="1" xfId="15" applyNumberFormat="1" applyFont="1" applyFill="1" applyBorder="1" applyAlignment="1">
      <alignment horizontal="left"/>
      <protection locked="0"/>
    </xf>
    <xf numFmtId="181" fontId="10" fillId="0" borderId="1" xfId="19" applyNumberFormat="1" applyFont="1" applyBorder="1" applyAlignment="1">
      <alignment vertical="center" wrapText="1"/>
    </xf>
    <xf numFmtId="38" fontId="10" fillId="4" borderId="1" xfId="19" applyNumberFormat="1" applyFont="1" applyFill="1" applyBorder="1">
      <alignment vertical="center"/>
    </xf>
    <xf numFmtId="226" fontId="10" fillId="0" borderId="1" xfId="15" applyFont="1" applyBorder="1" applyAlignment="1" applyProtection="1">
      <alignment horizontal="left" vertical="center"/>
    </xf>
    <xf numFmtId="38" fontId="29" fillId="0" borderId="1" xfId="15" applyNumberFormat="1" applyFont="1" applyBorder="1" applyAlignment="1" applyProtection="1">
      <alignment horizontal="left" vertical="center"/>
    </xf>
    <xf numFmtId="38" fontId="10" fillId="0" borderId="1" xfId="15" applyNumberFormat="1" applyFont="1" applyFill="1" applyBorder="1" applyAlignment="1">
      <alignment horizontal="left"/>
      <protection locked="0"/>
    </xf>
    <xf numFmtId="38" fontId="10" fillId="8" borderId="0" xfId="15" applyNumberFormat="1" applyFont="1" applyFill="1" applyAlignment="1" applyProtection="1">
      <alignment vertical="center"/>
    </xf>
    <xf numFmtId="38" fontId="20" fillId="8" borderId="1" xfId="15" applyNumberFormat="1" applyFont="1" applyFill="1" applyBorder="1" applyAlignment="1">
      <alignment horizontal="left"/>
      <protection locked="0"/>
    </xf>
    <xf numFmtId="38" fontId="10" fillId="8" borderId="1" xfId="19" applyNumberFormat="1" applyFont="1" applyFill="1" applyBorder="1">
      <alignment vertical="center"/>
    </xf>
    <xf numFmtId="181" fontId="10" fillId="8" borderId="1" xfId="17" applyNumberFormat="1" applyFont="1" applyFill="1" applyBorder="1" applyAlignment="1">
      <alignment vertical="center" wrapText="1"/>
    </xf>
    <xf numFmtId="38" fontId="10" fillId="8" borderId="1" xfId="15" applyNumberFormat="1" applyFont="1" applyFill="1" applyBorder="1" applyAlignment="1" applyProtection="1">
      <alignment horizontal="left" vertical="center"/>
    </xf>
    <xf numFmtId="226" fontId="11" fillId="8" borderId="1" xfId="15" applyFont="1" applyFill="1" applyBorder="1" applyAlignment="1" applyProtection="1">
      <alignment vertical="center"/>
    </xf>
    <xf numFmtId="9" fontId="10" fillId="8" borderId="1" xfId="17" applyFont="1" applyFill="1" applyBorder="1" applyAlignment="1" applyProtection="1">
      <alignment vertical="center"/>
    </xf>
    <xf numFmtId="226" fontId="10" fillId="8" borderId="0" xfId="15" applyFont="1" applyFill="1" applyAlignment="1" applyProtection="1">
      <alignment vertical="center"/>
    </xf>
    <xf numFmtId="181" fontId="20" fillId="0" borderId="1" xfId="16" applyNumberFormat="1" applyFont="1" applyFill="1" applyBorder="1" applyAlignment="1">
      <alignment horizontal="left"/>
    </xf>
    <xf numFmtId="181" fontId="10" fillId="0" borderId="1" xfId="16" applyNumberFormat="1" applyFont="1" applyBorder="1">
      <alignment vertical="center"/>
    </xf>
    <xf numFmtId="181" fontId="10" fillId="0" borderId="1" xfId="16" applyNumberFormat="1" applyFont="1" applyBorder="1" applyAlignment="1">
      <alignment vertical="center" wrapText="1"/>
    </xf>
    <xf numFmtId="181" fontId="10" fillId="0" borderId="1" xfId="17" applyNumberFormat="1" applyFont="1" applyBorder="1">
      <alignment vertical="center"/>
    </xf>
    <xf numFmtId="181" fontId="10" fillId="0" borderId="1" xfId="16" applyNumberFormat="1" applyFont="1" applyBorder="1" applyAlignment="1" applyProtection="1">
      <alignment horizontal="left" vertical="center"/>
    </xf>
    <xf numFmtId="181" fontId="11" fillId="0" borderId="1" xfId="16" applyNumberFormat="1" applyFont="1" applyBorder="1" applyAlignment="1" applyProtection="1">
      <alignment vertical="center"/>
    </xf>
    <xf numFmtId="181" fontId="10" fillId="0" borderId="1" xfId="16" applyNumberFormat="1" applyFont="1" applyBorder="1" applyAlignment="1" applyProtection="1">
      <alignment vertical="center"/>
    </xf>
    <xf numFmtId="38" fontId="10" fillId="0" borderId="1" xfId="19" applyNumberFormat="1" applyFont="1" applyFill="1" applyBorder="1">
      <alignment vertical="center"/>
    </xf>
    <xf numFmtId="38" fontId="10" fillId="0" borderId="1" xfId="19" applyNumberFormat="1" applyFont="1" applyFill="1" applyBorder="1" applyAlignment="1">
      <alignment vertical="center" wrapText="1"/>
    </xf>
    <xf numFmtId="226" fontId="20" fillId="0" borderId="1" xfId="15" applyFont="1" applyFill="1" applyBorder="1" applyAlignment="1">
      <alignment horizontal="left"/>
      <protection locked="0"/>
    </xf>
    <xf numFmtId="226" fontId="10" fillId="0" borderId="1" xfId="15" applyFont="1" applyFill="1" applyBorder="1" applyAlignment="1">
      <alignment horizontal="left"/>
      <protection locked="0"/>
    </xf>
    <xf numFmtId="226" fontId="20" fillId="8" borderId="1" xfId="15" applyFont="1" applyFill="1" applyBorder="1" applyAlignment="1">
      <alignment horizontal="left"/>
      <protection locked="0"/>
    </xf>
    <xf numFmtId="38" fontId="10" fillId="8" borderId="1" xfId="20" applyNumberFormat="1" applyFont="1" applyFill="1" applyBorder="1">
      <alignment vertical="center"/>
    </xf>
    <xf numFmtId="226" fontId="12" fillId="0" borderId="1" xfId="15" applyFont="1" applyFill="1" applyBorder="1" applyAlignment="1">
      <alignment horizontal="left"/>
      <protection locked="0"/>
    </xf>
    <xf numFmtId="38" fontId="10" fillId="0" borderId="1" xfId="15" applyNumberFormat="1" applyFont="1" applyBorder="1" applyAlignment="1" applyProtection="1">
      <alignment vertical="center" wrapText="1"/>
    </xf>
    <xf numFmtId="38" fontId="10" fillId="7" borderId="0" xfId="15" applyNumberFormat="1" applyFont="1" applyFill="1" applyAlignment="1" applyProtection="1">
      <alignment vertical="center"/>
    </xf>
    <xf numFmtId="38" fontId="12" fillId="7" borderId="1" xfId="15" applyNumberFormat="1" applyFont="1" applyFill="1" applyBorder="1" applyAlignment="1" applyProtection="1">
      <alignment vertical="center"/>
    </xf>
    <xf numFmtId="38" fontId="10" fillId="7" borderId="1" xfId="15" applyNumberFormat="1" applyFont="1" applyFill="1" applyBorder="1" applyAlignment="1" applyProtection="1">
      <alignment vertical="center"/>
    </xf>
    <xf numFmtId="38" fontId="10" fillId="7" borderId="1" xfId="15" applyNumberFormat="1" applyFont="1" applyFill="1" applyBorder="1" applyAlignment="1" applyProtection="1">
      <alignment vertical="center" wrapText="1"/>
    </xf>
    <xf numFmtId="181" fontId="10" fillId="7" borderId="1" xfId="16" applyNumberFormat="1" applyFont="1" applyFill="1" applyBorder="1" applyAlignment="1" applyProtection="1">
      <alignment vertical="center"/>
    </xf>
    <xf numFmtId="9" fontId="10" fillId="7" borderId="0" xfId="17" applyFont="1" applyFill="1" applyAlignment="1" applyProtection="1">
      <alignment vertical="center"/>
    </xf>
    <xf numFmtId="226" fontId="10" fillId="7" borderId="1" xfId="15" applyFont="1" applyFill="1" applyBorder="1" applyAlignment="1" applyProtection="1">
      <alignment horizontal="left" vertical="center"/>
    </xf>
    <xf numFmtId="226" fontId="10" fillId="7" borderId="1" xfId="15" applyFont="1" applyFill="1" applyBorder="1" applyAlignment="1" applyProtection="1">
      <alignment vertical="center"/>
    </xf>
    <xf numFmtId="9" fontId="10" fillId="7" borderId="1" xfId="17" applyFont="1" applyFill="1" applyBorder="1" applyAlignment="1" applyProtection="1">
      <alignment vertical="center"/>
    </xf>
    <xf numFmtId="226" fontId="27" fillId="7" borderId="0" xfId="18" applyFont="1" applyFill="1">
      <protection locked="0"/>
    </xf>
    <xf numFmtId="226" fontId="10" fillId="7" borderId="0" xfId="15" applyFont="1" applyFill="1" applyAlignment="1" applyProtection="1">
      <alignment vertical="center"/>
    </xf>
    <xf numFmtId="9" fontId="10" fillId="0" borderId="1" xfId="17" applyFont="1" applyBorder="1" applyAlignment="1" applyProtection="1">
      <alignment vertical="center"/>
    </xf>
    <xf numFmtId="226" fontId="12" fillId="0" borderId="1" xfId="15" applyFont="1" applyBorder="1" applyAlignment="1" applyProtection="1">
      <alignment vertical="center"/>
    </xf>
    <xf numFmtId="38" fontId="12" fillId="0" borderId="1" xfId="15" applyNumberFormat="1" applyFont="1" applyBorder="1" applyAlignment="1" applyProtection="1">
      <alignment vertical="center"/>
    </xf>
    <xf numFmtId="181" fontId="12" fillId="0" borderId="1" xfId="17" applyNumberFormat="1" applyFont="1" applyBorder="1" applyAlignment="1">
      <alignment vertical="center" wrapText="1"/>
    </xf>
    <xf numFmtId="38" fontId="12" fillId="0" borderId="1" xfId="19" applyNumberFormat="1" applyFont="1" applyBorder="1">
      <alignment vertical="center"/>
    </xf>
    <xf numFmtId="38" fontId="12" fillId="9" borderId="1" xfId="15" applyNumberFormat="1" applyFont="1" applyFill="1" applyBorder="1" applyAlignment="1" applyProtection="1">
      <alignment vertical="center"/>
    </xf>
    <xf numFmtId="226" fontId="12" fillId="0" borderId="1" xfId="15" applyFont="1" applyBorder="1" applyAlignment="1" applyProtection="1">
      <alignment horizontal="left" vertical="center"/>
    </xf>
    <xf numFmtId="226" fontId="12" fillId="0" borderId="0" xfId="15" applyFont="1" applyAlignment="1" applyProtection="1">
      <alignment vertical="center"/>
    </xf>
    <xf numFmtId="181" fontId="10" fillId="0" borderId="1" xfId="17" applyNumberFormat="1" applyFont="1" applyBorder="1" applyAlignment="1" applyProtection="1">
      <alignment vertical="center"/>
    </xf>
    <xf numFmtId="38" fontId="12" fillId="9" borderId="1" xfId="19" applyNumberFormat="1" applyFont="1" applyFill="1" applyBorder="1">
      <alignment vertical="center"/>
    </xf>
    <xf numFmtId="181" fontId="10" fillId="0" borderId="1" xfId="17" applyNumberFormat="1" applyFont="1" applyFill="1" applyBorder="1" applyAlignment="1"/>
    <xf numFmtId="181" fontId="10" fillId="0" borderId="1" xfId="17" applyNumberFormat="1" applyFont="1" applyBorder="1" applyAlignment="1"/>
    <xf numFmtId="226" fontId="20" fillId="7" borderId="1" xfId="15" applyFont="1" applyFill="1" applyBorder="1" applyAlignment="1" applyProtection="1">
      <alignment vertical="center"/>
    </xf>
    <xf numFmtId="38" fontId="12" fillId="7" borderId="1" xfId="15" applyNumberFormat="1" applyFont="1" applyFill="1" applyBorder="1" applyAlignment="1" applyProtection="1">
      <alignment vertical="center" wrapText="1"/>
    </xf>
    <xf numFmtId="181" fontId="12" fillId="7" borderId="1" xfId="16" applyNumberFormat="1" applyFont="1" applyFill="1" applyBorder="1" applyAlignment="1" applyProtection="1">
      <alignment vertical="center"/>
    </xf>
    <xf numFmtId="226" fontId="12" fillId="7" borderId="1" xfId="15" applyFont="1" applyFill="1" applyBorder="1" applyAlignment="1" applyProtection="1">
      <alignment horizontal="left" vertical="center"/>
    </xf>
    <xf numFmtId="38" fontId="12" fillId="7" borderId="0" xfId="15" applyNumberFormat="1" applyFont="1" applyFill="1" applyAlignment="1" applyProtection="1">
      <alignment vertical="center" wrapText="1"/>
    </xf>
    <xf numFmtId="226" fontId="12" fillId="7" borderId="1" xfId="15" applyFont="1" applyFill="1" applyBorder="1" applyAlignment="1" applyProtection="1">
      <alignment vertical="center" wrapText="1"/>
    </xf>
    <xf numFmtId="181" fontId="12" fillId="7" borderId="1" xfId="16" applyNumberFormat="1" applyFont="1" applyFill="1" applyBorder="1" applyAlignment="1" applyProtection="1">
      <alignment vertical="center" wrapText="1"/>
    </xf>
    <xf numFmtId="226" fontId="12" fillId="7" borderId="1" xfId="15" applyFont="1" applyFill="1" applyBorder="1" applyAlignment="1" applyProtection="1">
      <alignment horizontal="left" vertical="center" wrapText="1"/>
    </xf>
    <xf numFmtId="9" fontId="12" fillId="7" borderId="1" xfId="17" applyFont="1" applyFill="1" applyBorder="1" applyAlignment="1" applyProtection="1">
      <alignment vertical="center" wrapText="1"/>
    </xf>
    <xf numFmtId="226" fontId="12" fillId="7" borderId="0" xfId="15" applyFont="1" applyFill="1" applyAlignment="1" applyProtection="1">
      <alignment vertical="center" wrapText="1"/>
    </xf>
    <xf numFmtId="226" fontId="12" fillId="7" borderId="0" xfId="15" applyFont="1" applyFill="1" applyBorder="1" applyAlignment="1" applyProtection="1">
      <alignment horizontal="center" vertical="center" wrapText="1"/>
    </xf>
    <xf numFmtId="38" fontId="12" fillId="7" borderId="0" xfId="15" applyNumberFormat="1" applyFont="1" applyFill="1" applyBorder="1" applyAlignment="1" applyProtection="1">
      <alignment vertical="center" wrapText="1"/>
    </xf>
    <xf numFmtId="9" fontId="12" fillId="7" borderId="0" xfId="21" applyFont="1" applyFill="1" applyBorder="1" applyAlignment="1" applyProtection="1">
      <alignment vertical="center" wrapText="1"/>
    </xf>
    <xf numFmtId="181" fontId="12" fillId="7" borderId="0" xfId="16" applyNumberFormat="1" applyFont="1" applyFill="1" applyBorder="1" applyAlignment="1" applyProtection="1">
      <alignment vertical="center" wrapText="1"/>
    </xf>
    <xf numFmtId="226" fontId="12" fillId="7" borderId="0" xfId="15" applyFont="1" applyFill="1" applyBorder="1" applyAlignment="1" applyProtection="1">
      <alignment horizontal="left" vertical="center" wrapText="1"/>
    </xf>
    <xf numFmtId="226" fontId="12" fillId="7" borderId="0" xfId="15" applyFont="1" applyFill="1" applyBorder="1" applyAlignment="1" applyProtection="1">
      <alignment vertical="center" wrapText="1"/>
    </xf>
    <xf numFmtId="9" fontId="12" fillId="7" borderId="0" xfId="17" applyFont="1" applyFill="1" applyBorder="1" applyAlignment="1" applyProtection="1">
      <alignment vertical="center" wrapText="1"/>
    </xf>
    <xf numFmtId="226" fontId="11" fillId="0" borderId="0" xfId="15" applyFont="1" applyAlignment="1" applyProtection="1">
      <alignment vertical="center"/>
    </xf>
    <xf numFmtId="38" fontId="11" fillId="0" borderId="0" xfId="15" applyNumberFormat="1" applyFont="1" applyAlignment="1" applyProtection="1">
      <alignment vertical="center"/>
    </xf>
    <xf numFmtId="38" fontId="29" fillId="0" borderId="0" xfId="15" applyNumberFormat="1" applyFont="1" applyAlignment="1" applyProtection="1">
      <alignment vertical="center"/>
    </xf>
    <xf numFmtId="226" fontId="5" fillId="0" borderId="0" xfId="13" applyFont="1">
      <alignment vertical="center"/>
    </xf>
    <xf numFmtId="226" fontId="62" fillId="0" borderId="0" xfId="13" applyFont="1" applyAlignment="1">
      <alignment horizontal="center" vertical="center"/>
    </xf>
    <xf numFmtId="226" fontId="15" fillId="0" borderId="0" xfId="13" applyFont="1" applyAlignment="1">
      <alignment horizontal="center" vertical="center"/>
    </xf>
    <xf numFmtId="177" fontId="0" fillId="0" borderId="0" xfId="14" applyFont="1">
      <alignment vertical="center"/>
    </xf>
    <xf numFmtId="226" fontId="5" fillId="0" borderId="0" xfId="13" applyFont="1" applyAlignment="1">
      <alignment horizontal="left" vertical="center" indent="1"/>
    </xf>
    <xf numFmtId="9" fontId="5" fillId="0" borderId="0" xfId="7">
      <alignment vertical="center"/>
    </xf>
    <xf numFmtId="9" fontId="63" fillId="0" borderId="0" xfId="7" applyFont="1">
      <alignment vertical="center"/>
    </xf>
    <xf numFmtId="177" fontId="5" fillId="0" borderId="0" xfId="12" applyFont="1" applyAlignment="1">
      <alignment horizontal="left" vertical="center" indent="1"/>
    </xf>
    <xf numFmtId="177" fontId="5" fillId="0" borderId="0" xfId="12" applyFont="1">
      <alignment vertical="center"/>
    </xf>
    <xf numFmtId="226" fontId="63" fillId="0" borderId="0" xfId="13" applyFont="1">
      <alignment vertical="center"/>
    </xf>
    <xf numFmtId="38" fontId="5" fillId="0" borderId="0" xfId="13" applyNumberFormat="1">
      <alignment vertical="center"/>
    </xf>
    <xf numFmtId="226" fontId="5" fillId="7" borderId="0" xfId="13" applyFill="1">
      <alignment vertical="center"/>
    </xf>
    <xf numFmtId="226" fontId="15" fillId="7" borderId="0" xfId="13" applyFont="1" applyFill="1" applyBorder="1" applyAlignment="1">
      <alignment horizontal="center" vertical="center"/>
    </xf>
    <xf numFmtId="226" fontId="15" fillId="7" borderId="0" xfId="13" applyFont="1" applyFill="1" applyAlignment="1">
      <alignment horizontal="center" vertical="center"/>
    </xf>
    <xf numFmtId="226" fontId="5" fillId="32" borderId="0" xfId="13" applyFill="1">
      <alignment vertical="center"/>
    </xf>
    <xf numFmtId="226" fontId="15" fillId="32" borderId="0" xfId="13" applyFont="1" applyFill="1" applyBorder="1" applyAlignment="1">
      <alignment horizontal="center" vertical="center"/>
    </xf>
    <xf numFmtId="226" fontId="15" fillId="32" borderId="0" xfId="13" applyFont="1" applyFill="1" applyAlignment="1">
      <alignment horizontal="center" vertical="center"/>
    </xf>
    <xf numFmtId="38" fontId="11" fillId="0" borderId="0" xfId="13" applyNumberFormat="1" applyFont="1" applyFill="1" applyBorder="1">
      <alignment vertical="center"/>
    </xf>
    <xf numFmtId="9" fontId="0" fillId="0" borderId="0" xfId="7" applyFont="1">
      <alignment vertical="center"/>
    </xf>
    <xf numFmtId="208" fontId="10" fillId="0" borderId="0" xfId="13" applyNumberFormat="1" applyFont="1" applyFill="1" applyBorder="1">
      <alignment vertical="center"/>
    </xf>
    <xf numFmtId="226" fontId="22" fillId="0" borderId="4" xfId="13" applyFont="1" applyFill="1" applyBorder="1">
      <alignment vertical="center"/>
    </xf>
    <xf numFmtId="1" fontId="10" fillId="0" borderId="0" xfId="13" applyNumberFormat="1" applyFont="1" applyFill="1" applyBorder="1">
      <alignment vertical="center"/>
    </xf>
    <xf numFmtId="195" fontId="10" fillId="0" borderId="0" xfId="13" applyNumberFormat="1" applyFont="1" applyFill="1" applyBorder="1">
      <alignment vertical="center"/>
    </xf>
    <xf numFmtId="192" fontId="10" fillId="0" borderId="0" xfId="14" applyNumberFormat="1" applyFont="1" applyFill="1" applyBorder="1">
      <alignment vertical="center"/>
    </xf>
    <xf numFmtId="193" fontId="10" fillId="0" borderId="0" xfId="13" applyNumberFormat="1" applyFont="1" applyFill="1" applyBorder="1">
      <alignment vertical="center"/>
    </xf>
    <xf numFmtId="226" fontId="10" fillId="0" borderId="0" xfId="13" applyFont="1" applyFill="1" applyBorder="1" applyAlignment="1">
      <alignment vertical="center" wrapText="1"/>
    </xf>
    <xf numFmtId="226" fontId="10" fillId="0" borderId="4" xfId="13" applyFont="1" applyFill="1" applyBorder="1" applyAlignment="1">
      <alignment vertical="center" wrapText="1"/>
    </xf>
    <xf numFmtId="226" fontId="5" fillId="0" borderId="0" xfId="13" applyAlignment="1">
      <alignment vertical="center" wrapText="1"/>
    </xf>
    <xf numFmtId="226" fontId="11" fillId="0" borderId="0" xfId="13" applyFont="1" applyFill="1" applyBorder="1" applyAlignment="1">
      <alignment vertical="center" wrapText="1"/>
    </xf>
    <xf numFmtId="192" fontId="10" fillId="0" borderId="0" xfId="14" applyNumberFormat="1" applyFont="1" applyFill="1" applyBorder="1" applyAlignment="1">
      <alignment vertical="center" wrapText="1"/>
    </xf>
    <xf numFmtId="181" fontId="10" fillId="0" borderId="0" xfId="7" applyNumberFormat="1" applyFont="1" applyFill="1" applyBorder="1" applyAlignment="1">
      <alignment vertical="center" wrapText="1"/>
    </xf>
    <xf numFmtId="226" fontId="64" fillId="0" borderId="0" xfId="13" applyFont="1" applyFill="1" applyBorder="1" applyAlignment="1">
      <alignment horizontal="right" vertical="center" wrapText="1"/>
    </xf>
    <xf numFmtId="9" fontId="64" fillId="0" borderId="0" xfId="7" applyFont="1" applyFill="1" applyBorder="1" applyAlignment="1">
      <alignment horizontal="right" vertical="center" wrapText="1"/>
    </xf>
    <xf numFmtId="181" fontId="10" fillId="0" borderId="0" xfId="13" applyNumberFormat="1" applyFont="1" applyFill="1" applyBorder="1" applyAlignment="1">
      <alignment vertical="center" wrapText="1"/>
    </xf>
    <xf numFmtId="226" fontId="11" fillId="0" borderId="0" xfId="13" applyFont="1" applyFill="1" applyBorder="1" applyAlignment="1">
      <alignment horizontal="right" vertical="center" wrapText="1"/>
    </xf>
    <xf numFmtId="192" fontId="11" fillId="0" borderId="0" xfId="14" applyNumberFormat="1" applyFont="1" applyFill="1" applyBorder="1" applyAlignment="1">
      <alignment vertical="center" wrapText="1"/>
    </xf>
    <xf numFmtId="9" fontId="5" fillId="0" borderId="0" xfId="7" applyFont="1" applyAlignment="1">
      <alignment horizontal="left" vertical="center" indent="1"/>
    </xf>
    <xf numFmtId="226" fontId="65" fillId="0" borderId="0" xfId="13" applyFont="1">
      <alignment vertical="center"/>
    </xf>
    <xf numFmtId="9" fontId="5" fillId="0" borderId="0" xfId="7" applyFont="1" applyAlignment="1">
      <alignment vertical="center"/>
    </xf>
    <xf numFmtId="9" fontId="5" fillId="0" borderId="0" xfId="7" applyFont="1">
      <alignment vertical="center"/>
    </xf>
    <xf numFmtId="9" fontId="5" fillId="0" borderId="0" xfId="7" applyFont="1" applyAlignment="1">
      <alignment horizontal="right" vertical="center"/>
    </xf>
    <xf numFmtId="192" fontId="15" fillId="0" borderId="0" xfId="12" applyNumberFormat="1" applyFont="1">
      <alignment vertical="center"/>
    </xf>
    <xf numFmtId="192" fontId="5" fillId="0" borderId="0" xfId="12" applyNumberFormat="1" applyFont="1">
      <alignment vertical="center"/>
    </xf>
    <xf numFmtId="192" fontId="5" fillId="32" borderId="0" xfId="12" applyNumberFormat="1" applyFont="1" applyFill="1">
      <alignment vertical="center"/>
    </xf>
    <xf numFmtId="192" fontId="0" fillId="0" borderId="0" xfId="12" applyNumberFormat="1" applyFont="1">
      <alignment vertical="center"/>
    </xf>
    <xf numFmtId="192" fontId="65" fillId="0" borderId="0" xfId="12" applyNumberFormat="1" applyFont="1">
      <alignment vertical="center"/>
    </xf>
    <xf numFmtId="192" fontId="5" fillId="0" borderId="0" xfId="12" applyNumberFormat="1" applyFont="1" applyAlignment="1">
      <alignment horizontal="left" vertical="center" indent="1"/>
    </xf>
    <xf numFmtId="192" fontId="5" fillId="0" borderId="0" xfId="12" applyNumberFormat="1" applyFont="1" applyAlignment="1">
      <alignment vertical="center"/>
    </xf>
    <xf numFmtId="192" fontId="5" fillId="0" borderId="0" xfId="12" applyNumberFormat="1" applyFont="1" applyAlignment="1">
      <alignment horizontal="right" vertical="center"/>
    </xf>
    <xf numFmtId="192" fontId="63" fillId="0" borderId="0" xfId="12" applyNumberFormat="1" applyFont="1">
      <alignment vertical="center"/>
    </xf>
    <xf numFmtId="192" fontId="5" fillId="7" borderId="0" xfId="12" applyNumberFormat="1" applyFont="1" applyFill="1">
      <alignment vertical="center"/>
    </xf>
    <xf numFmtId="226" fontId="25" fillId="0" borderId="0" xfId="13" applyFont="1" applyAlignment="1">
      <alignment horizontal="left" vertical="center" indent="2"/>
    </xf>
    <xf numFmtId="9" fontId="25" fillId="0" borderId="0" xfId="7" applyFont="1" applyAlignment="1">
      <alignment horizontal="left" vertical="center" indent="2"/>
    </xf>
    <xf numFmtId="226" fontId="10" fillId="0" borderId="8" xfId="9" applyFont="1" applyFill="1" applyBorder="1" applyAlignment="1">
      <alignment horizontal="right"/>
    </xf>
    <xf numFmtId="177" fontId="10" fillId="0" borderId="8" xfId="14" applyFont="1" applyFill="1" applyBorder="1" applyAlignment="1">
      <alignment horizontal="center" vertical="center"/>
    </xf>
    <xf numFmtId="178" fontId="10" fillId="0" borderId="8" xfId="10" applyNumberFormat="1" applyFont="1" applyFill="1" applyBorder="1" applyAlignment="1">
      <alignment horizontal="center" vertical="center"/>
    </xf>
    <xf numFmtId="226" fontId="10" fillId="0" borderId="8" xfId="9" applyFont="1" applyFill="1" applyBorder="1" applyAlignment="1">
      <alignment wrapText="1"/>
    </xf>
    <xf numFmtId="209" fontId="12" fillId="0" borderId="6" xfId="9" applyNumberFormat="1" applyFont="1" applyFill="1" applyBorder="1"/>
    <xf numFmtId="209" fontId="10" fillId="0" borderId="4" xfId="9" applyNumberFormat="1" applyFont="1" applyFill="1" applyBorder="1"/>
    <xf numFmtId="209" fontId="10" fillId="0" borderId="0" xfId="9" applyNumberFormat="1" applyFont="1" applyFill="1" applyBorder="1"/>
    <xf numFmtId="209" fontId="10" fillId="0" borderId="8" xfId="13" applyNumberFormat="1" applyFont="1" applyFill="1" applyBorder="1">
      <alignment vertical="center"/>
    </xf>
    <xf numFmtId="209" fontId="10" fillId="0" borderId="0" xfId="13" applyNumberFormat="1" applyFont="1" applyFill="1" applyBorder="1">
      <alignment vertical="center"/>
    </xf>
    <xf numFmtId="209" fontId="10" fillId="0" borderId="4" xfId="13" applyNumberFormat="1" applyFont="1" applyFill="1" applyBorder="1">
      <alignment vertical="center"/>
    </xf>
    <xf numFmtId="209" fontId="10" fillId="0" borderId="0" xfId="13" applyNumberFormat="1" applyFont="1" applyFill="1" applyBorder="1" applyAlignment="1">
      <alignment horizontal="center" vertical="center"/>
    </xf>
    <xf numFmtId="209" fontId="10" fillId="0" borderId="4" xfId="13" applyNumberFormat="1" applyFont="1" applyFill="1" applyBorder="1" applyAlignment="1">
      <alignment horizontal="center" vertical="center"/>
    </xf>
    <xf numFmtId="209" fontId="10" fillId="0" borderId="6" xfId="9" applyNumberFormat="1" applyFont="1" applyFill="1" applyBorder="1" applyAlignment="1">
      <alignment horizontal="left"/>
    </xf>
    <xf numFmtId="38" fontId="10" fillId="0" borderId="6" xfId="13" applyNumberFormat="1" applyFont="1" applyFill="1" applyBorder="1">
      <alignment vertical="center"/>
    </xf>
    <xf numFmtId="209" fontId="10" fillId="0" borderId="6" xfId="13" applyNumberFormat="1" applyFont="1" applyFill="1" applyBorder="1">
      <alignment vertical="center"/>
    </xf>
    <xf numFmtId="191" fontId="10" fillId="0" borderId="8" xfId="8" applyNumberFormat="1" applyFont="1" applyFill="1" applyBorder="1"/>
    <xf numFmtId="38" fontId="10" fillId="0" borderId="6" xfId="9" applyNumberFormat="1" applyFont="1" applyFill="1" applyBorder="1"/>
    <xf numFmtId="38" fontId="10" fillId="0" borderId="4" xfId="13" applyNumberFormat="1" applyFont="1" applyFill="1" applyBorder="1">
      <alignment vertical="center"/>
    </xf>
    <xf numFmtId="38" fontId="10" fillId="0" borderId="0" xfId="13" applyNumberFormat="1" applyFont="1" applyFill="1" applyBorder="1">
      <alignment vertical="center"/>
    </xf>
    <xf numFmtId="38" fontId="10" fillId="0" borderId="8" xfId="13" applyNumberFormat="1" applyFont="1" applyFill="1" applyBorder="1">
      <alignment vertical="center"/>
    </xf>
    <xf numFmtId="38" fontId="10" fillId="0" borderId="0" xfId="13" applyNumberFormat="1" applyFont="1" applyFill="1" applyBorder="1" applyAlignment="1">
      <alignment horizontal="center" vertical="center"/>
    </xf>
    <xf numFmtId="38" fontId="10" fillId="0" borderId="0" xfId="13" applyNumberFormat="1" applyFont="1" applyFill="1" applyBorder="1" applyAlignment="1">
      <alignment horizontal="right" vertical="center"/>
    </xf>
    <xf numFmtId="38" fontId="10" fillId="0" borderId="4" xfId="13" applyNumberFormat="1" applyFont="1" applyFill="1" applyBorder="1" applyAlignment="1">
      <alignment horizontal="right" vertical="center"/>
    </xf>
    <xf numFmtId="38" fontId="23" fillId="0" borderId="8" xfId="13" applyNumberFormat="1" applyFont="1" applyFill="1" applyBorder="1" applyAlignment="1">
      <alignment horizontal="center" vertical="center"/>
    </xf>
    <xf numFmtId="38" fontId="10" fillId="0" borderId="8" xfId="13" applyNumberFormat="1" applyFont="1" applyFill="1" applyBorder="1" applyAlignment="1">
      <alignment horizontal="right" vertical="center"/>
    </xf>
    <xf numFmtId="38" fontId="10" fillId="0" borderId="4" xfId="13" applyNumberFormat="1" applyFont="1" applyFill="1" applyBorder="1" applyAlignment="1">
      <alignment horizontal="center" vertical="center"/>
    </xf>
    <xf numFmtId="38" fontId="10" fillId="0" borderId="8" xfId="13" applyNumberFormat="1" applyFont="1" applyFill="1" applyBorder="1" applyAlignment="1">
      <alignment horizontal="center" vertical="center"/>
    </xf>
    <xf numFmtId="38" fontId="23" fillId="0" borderId="8" xfId="13" applyNumberFormat="1" applyFont="1" applyFill="1" applyBorder="1">
      <alignment vertical="center"/>
    </xf>
    <xf numFmtId="38" fontId="10" fillId="0" borderId="6" xfId="9" applyNumberFormat="1" applyFont="1" applyFill="1" applyBorder="1" applyAlignment="1">
      <alignment wrapText="1"/>
    </xf>
    <xf numFmtId="38" fontId="12" fillId="0" borderId="6" xfId="9" applyNumberFormat="1" applyFont="1" applyFill="1" applyBorder="1"/>
    <xf numFmtId="38" fontId="12" fillId="0" borderId="4" xfId="13" applyNumberFormat="1" applyFont="1" applyFill="1" applyBorder="1">
      <alignment vertical="center"/>
    </xf>
    <xf numFmtId="38" fontId="10" fillId="0" borderId="6" xfId="9" quotePrefix="1" applyNumberFormat="1" applyFont="1" applyFill="1" applyBorder="1"/>
    <xf numFmtId="38" fontId="10" fillId="0" borderId="4" xfId="8" applyNumberFormat="1" applyFont="1" applyFill="1" applyBorder="1"/>
    <xf numFmtId="38" fontId="10" fillId="0" borderId="0" xfId="8" applyNumberFormat="1" applyFont="1" applyFill="1" applyBorder="1"/>
    <xf numFmtId="38" fontId="10" fillId="0" borderId="6" xfId="9" applyNumberFormat="1" applyFont="1" applyFill="1" applyBorder="1" applyAlignment="1">
      <alignment horizontal="left"/>
    </xf>
    <xf numFmtId="38" fontId="12" fillId="0" borderId="6" xfId="9" applyNumberFormat="1" applyFont="1" applyFill="1" applyBorder="1" applyAlignment="1">
      <alignment vertical="center" wrapText="1"/>
    </xf>
    <xf numFmtId="38" fontId="10" fillId="0" borderId="6" xfId="13" applyNumberFormat="1" applyFont="1" applyFill="1" applyBorder="1">
      <alignment vertical="center"/>
    </xf>
    <xf numFmtId="38" fontId="10" fillId="0" borderId="6" xfId="9" applyNumberFormat="1" applyFont="1" applyFill="1" applyBorder="1" applyAlignment="1">
      <alignment horizontal="left" wrapText="1"/>
    </xf>
    <xf numFmtId="181" fontId="10" fillId="0" borderId="0" xfId="7" applyNumberFormat="1" applyFont="1" applyFill="1" applyBorder="1" applyAlignment="1">
      <alignment horizontal="right" vertical="center"/>
    </xf>
    <xf numFmtId="181" fontId="10" fillId="0" borderId="8" xfId="7" applyNumberFormat="1" applyFont="1" applyFill="1" applyBorder="1" applyAlignment="1">
      <alignment horizontal="right" vertical="center"/>
    </xf>
    <xf numFmtId="181" fontId="10" fillId="0" borderId="8" xfId="7" applyNumberFormat="1" applyFont="1" applyFill="1" applyBorder="1">
      <alignment vertical="center"/>
    </xf>
    <xf numFmtId="181" fontId="10" fillId="0" borderId="4" xfId="7" applyNumberFormat="1" applyFont="1" applyFill="1" applyBorder="1">
      <alignment vertical="center"/>
    </xf>
    <xf numFmtId="9" fontId="10" fillId="0" borderId="6" xfId="7" applyFont="1" applyFill="1" applyBorder="1" applyAlignment="1"/>
    <xf numFmtId="38" fontId="10" fillId="0" borderId="6" xfId="13" applyNumberFormat="1" applyFont="1" applyFill="1" applyBorder="1" applyAlignment="1">
      <alignment horizontal="center" vertical="center"/>
    </xf>
    <xf numFmtId="181" fontId="10" fillId="0" borderId="6" xfId="7" applyNumberFormat="1" applyFont="1" applyFill="1" applyBorder="1" applyAlignment="1">
      <alignment horizontal="right" vertical="center"/>
    </xf>
    <xf numFmtId="181" fontId="10" fillId="0" borderId="6" xfId="7" applyNumberFormat="1" applyFont="1" applyFill="1" applyBorder="1">
      <alignment vertical="center"/>
    </xf>
    <xf numFmtId="9" fontId="10" fillId="0" borderId="6" xfId="7" applyFont="1" applyFill="1" applyBorder="1">
      <alignment vertical="center"/>
    </xf>
    <xf numFmtId="38" fontId="10" fillId="0" borderId="6" xfId="13" applyNumberFormat="1" applyFont="1" applyFill="1" applyBorder="1" applyAlignment="1">
      <alignment horizontal="center" vertical="center"/>
    </xf>
    <xf numFmtId="226" fontId="10" fillId="0" borderId="6" xfId="13" applyFont="1" applyFill="1" applyBorder="1" applyAlignment="1">
      <alignment horizontal="center" vertical="center"/>
    </xf>
    <xf numFmtId="38" fontId="10" fillId="0" borderId="6" xfId="13" applyNumberFormat="1" applyFont="1" applyFill="1" applyBorder="1" applyAlignment="1">
      <alignment horizontal="right" vertical="center"/>
    </xf>
    <xf numFmtId="182" fontId="10" fillId="0" borderId="6" xfId="13" applyNumberFormat="1" applyFont="1" applyFill="1" applyBorder="1">
      <alignment vertical="center"/>
    </xf>
    <xf numFmtId="178" fontId="10" fillId="0" borderId="6" xfId="10" applyNumberFormat="1" applyFont="1" applyFill="1" applyBorder="1" applyAlignment="1" applyProtection="1"/>
    <xf numFmtId="209" fontId="10" fillId="0" borderId="6" xfId="13" applyNumberFormat="1" applyFont="1" applyFill="1" applyBorder="1" applyAlignment="1">
      <alignment horizontal="center" vertical="center"/>
    </xf>
    <xf numFmtId="178" fontId="10" fillId="0" borderId="6" xfId="10" applyFont="1" applyFill="1" applyBorder="1" applyAlignment="1">
      <alignment horizontal="center" vertical="center"/>
    </xf>
    <xf numFmtId="183" fontId="10" fillId="0" borderId="6" xfId="13" applyNumberFormat="1" applyFont="1" applyFill="1" applyBorder="1">
      <alignment vertical="center"/>
    </xf>
    <xf numFmtId="14" fontId="12" fillId="0" borderId="6" xfId="9" applyNumberFormat="1" applyFont="1" applyFill="1" applyBorder="1" applyAlignment="1">
      <alignment horizontal="center"/>
    </xf>
    <xf numFmtId="178" fontId="10" fillId="0" borderId="6" xfId="10" applyNumberFormat="1" applyFont="1" applyFill="1" applyBorder="1" applyAlignment="1">
      <alignment horizontal="center" vertical="center"/>
    </xf>
    <xf numFmtId="183" fontId="10" fillId="5" borderId="6" xfId="13" applyNumberFormat="1" applyFont="1" applyFill="1" applyBorder="1">
      <alignment vertical="center"/>
    </xf>
    <xf numFmtId="181" fontId="12" fillId="0" borderId="6" xfId="9" applyNumberFormat="1" applyFont="1" applyFill="1" applyBorder="1" applyAlignment="1">
      <alignment horizontal="left"/>
    </xf>
    <xf numFmtId="181" fontId="10" fillId="0" borderId="4" xfId="13" applyNumberFormat="1" applyFont="1" applyFill="1" applyBorder="1" applyAlignment="1">
      <alignment horizontal="center" vertical="center"/>
    </xf>
    <xf numFmtId="181" fontId="10" fillId="0" borderId="0" xfId="13" applyNumberFormat="1" applyFont="1" applyFill="1" applyBorder="1" applyAlignment="1">
      <alignment horizontal="center" vertical="center"/>
    </xf>
    <xf numFmtId="181" fontId="10" fillId="0" borderId="8" xfId="13" applyNumberFormat="1" applyFont="1" applyFill="1" applyBorder="1" applyAlignment="1">
      <alignment horizontal="center" vertical="center"/>
    </xf>
    <xf numFmtId="181" fontId="23" fillId="0" borderId="8" xfId="7" applyNumberFormat="1" applyFont="1" applyFill="1" applyBorder="1">
      <alignment vertical="center"/>
    </xf>
    <xf numFmtId="181" fontId="10" fillId="0" borderId="0" xfId="7" applyNumberFormat="1" applyFont="1" applyFill="1" applyBorder="1" applyAlignment="1">
      <alignment horizontal="right"/>
    </xf>
    <xf numFmtId="181" fontId="10" fillId="0" borderId="4" xfId="7" applyNumberFormat="1" applyFont="1" applyFill="1" applyBorder="1" applyAlignment="1">
      <alignment horizontal="right"/>
    </xf>
    <xf numFmtId="181" fontId="12" fillId="0" borderId="4" xfId="7" applyNumberFormat="1" applyFont="1" applyFill="1" applyBorder="1" applyAlignment="1">
      <alignment horizontal="right"/>
    </xf>
    <xf numFmtId="181" fontId="12" fillId="0" borderId="0" xfId="7" applyNumberFormat="1" applyFont="1" applyFill="1" applyBorder="1" applyAlignment="1">
      <alignment horizontal="right"/>
    </xf>
    <xf numFmtId="181" fontId="10" fillId="0" borderId="0" xfId="13" applyNumberFormat="1" applyFont="1" applyFill="1" applyBorder="1">
      <alignment vertical="center"/>
    </xf>
    <xf numFmtId="181" fontId="10" fillId="0" borderId="4" xfId="7" applyNumberFormat="1" applyFont="1" applyFill="1" applyBorder="1" applyAlignment="1">
      <alignment horizontal="left" vertical="center"/>
    </xf>
    <xf numFmtId="181" fontId="10" fillId="0" borderId="4" xfId="7" applyNumberFormat="1" applyFont="1" applyFill="1" applyBorder="1" applyAlignment="1">
      <alignment horizontal="right" vertical="center"/>
    </xf>
    <xf numFmtId="181" fontId="10" fillId="0" borderId="6" xfId="9" applyNumberFormat="1" applyFont="1" applyFill="1" applyBorder="1"/>
    <xf numFmtId="181" fontId="23" fillId="0" borderId="8" xfId="13" applyNumberFormat="1" applyFont="1" applyFill="1" applyBorder="1" applyAlignment="1">
      <alignment horizontal="center" vertical="center"/>
    </xf>
    <xf numFmtId="181" fontId="23" fillId="0" borderId="8" xfId="7" applyNumberFormat="1" applyFont="1" applyFill="1" applyBorder="1" applyAlignment="1">
      <alignment horizontal="right" vertical="center"/>
    </xf>
    <xf numFmtId="181" fontId="10" fillId="0" borderId="0" xfId="7" applyNumberFormat="1" applyFont="1" applyFill="1" applyBorder="1" applyAlignment="1">
      <alignment horizontal="center" vertical="center"/>
    </xf>
    <xf numFmtId="181" fontId="10" fillId="0" borderId="8" xfId="7" applyNumberFormat="1" applyFont="1" applyFill="1" applyBorder="1" applyAlignment="1"/>
    <xf numFmtId="181" fontId="23" fillId="0" borderId="8" xfId="7" applyNumberFormat="1" applyFont="1" applyFill="1" applyBorder="1" applyAlignment="1"/>
    <xf numFmtId="181" fontId="10" fillId="0" borderId="4" xfId="8" applyNumberFormat="1" applyFont="1" applyFill="1" applyBorder="1"/>
    <xf numFmtId="181" fontId="10" fillId="0" borderId="0" xfId="8" applyNumberFormat="1" applyFont="1" applyFill="1" applyBorder="1"/>
    <xf numFmtId="181" fontId="10" fillId="0" borderId="0" xfId="9" applyNumberFormat="1" applyFont="1" applyFill="1" applyBorder="1"/>
    <xf numFmtId="181" fontId="10" fillId="0" borderId="0" xfId="8" applyNumberFormat="1" applyFont="1" applyFill="1" applyBorder="1" applyAlignment="1">
      <alignment horizontal="right"/>
    </xf>
    <xf numFmtId="181" fontId="10" fillId="0" borderId="8" xfId="13" applyNumberFormat="1" applyFont="1" applyFill="1" applyBorder="1">
      <alignment vertical="center"/>
    </xf>
    <xf numFmtId="181" fontId="10" fillId="0" borderId="0" xfId="8" applyNumberFormat="1" applyFont="1" applyFill="1" applyBorder="1" applyAlignment="1">
      <alignment horizontal="center"/>
    </xf>
    <xf numFmtId="181" fontId="10" fillId="0" borderId="0" xfId="13" applyNumberFormat="1" applyFont="1" applyFill="1" applyBorder="1" applyAlignment="1">
      <alignment horizontal="right" vertical="center"/>
    </xf>
    <xf numFmtId="181" fontId="10" fillId="0" borderId="6" xfId="13" applyNumberFormat="1" applyFont="1" applyFill="1" applyBorder="1">
      <alignment vertical="center"/>
    </xf>
    <xf numFmtId="181" fontId="10" fillId="0" borderId="6" xfId="9" quotePrefix="1" applyNumberFormat="1" applyFont="1" applyFill="1" applyBorder="1"/>
    <xf numFmtId="181" fontId="10" fillId="0" borderId="0" xfId="9" quotePrefix="1" applyNumberFormat="1" applyFont="1" applyFill="1" applyBorder="1"/>
    <xf numFmtId="181" fontId="10" fillId="0" borderId="6" xfId="9" applyNumberFormat="1" applyFont="1" applyFill="1" applyBorder="1" applyAlignment="1">
      <alignment horizontal="left"/>
    </xf>
    <xf numFmtId="181" fontId="10" fillId="0" borderId="0" xfId="9" applyNumberFormat="1" applyFont="1" applyFill="1" applyBorder="1" applyAlignment="1">
      <alignment horizontal="left"/>
    </xf>
    <xf numFmtId="181" fontId="10" fillId="0" borderId="6" xfId="7" applyNumberFormat="1" applyFont="1" applyFill="1" applyBorder="1" applyAlignment="1">
      <alignment horizontal="center" vertical="center"/>
    </xf>
    <xf numFmtId="181" fontId="10" fillId="0" borderId="6" xfId="5" applyNumberFormat="1" applyFont="1" applyFill="1" applyBorder="1" applyProtection="1"/>
    <xf numFmtId="181" fontId="10" fillId="0" borderId="6" xfId="7" applyNumberFormat="1" applyFont="1" applyFill="1" applyBorder="1" applyAlignment="1" applyProtection="1"/>
    <xf numFmtId="181" fontId="10" fillId="0" borderId="0" xfId="10" applyNumberFormat="1" applyFont="1" applyFill="1" applyBorder="1" applyAlignment="1">
      <alignment horizontal="center" vertical="center"/>
    </xf>
    <xf numFmtId="181" fontId="10" fillId="0" borderId="0" xfId="7" applyNumberFormat="1" applyFont="1" applyFill="1" applyBorder="1" applyAlignment="1" applyProtection="1"/>
    <xf numFmtId="181" fontId="23" fillId="0" borderId="8" xfId="7" applyNumberFormat="1" applyFont="1" applyFill="1" applyBorder="1" applyAlignment="1" applyProtection="1"/>
    <xf numFmtId="181" fontId="10" fillId="0" borderId="8" xfId="7" applyNumberFormat="1" applyFont="1" applyFill="1" applyBorder="1" applyAlignment="1" applyProtection="1"/>
    <xf numFmtId="181" fontId="10" fillId="0" borderId="0" xfId="7" applyNumberFormat="1" applyFont="1" applyFill="1" applyBorder="1" applyAlignment="1" applyProtection="1">
      <alignment horizontal="right"/>
    </xf>
    <xf numFmtId="181" fontId="10" fillId="0" borderId="4" xfId="7" applyNumberFormat="1" applyFont="1" applyFill="1" applyBorder="1" applyAlignment="1" applyProtection="1"/>
    <xf numFmtId="181" fontId="10" fillId="0" borderId="4" xfId="10" applyNumberFormat="1" applyFont="1" applyFill="1" applyBorder="1" applyAlignment="1">
      <alignment horizontal="center" vertical="center"/>
    </xf>
    <xf numFmtId="181" fontId="10" fillId="0" borderId="8" xfId="7" applyNumberFormat="1" applyFont="1" applyFill="1" applyBorder="1" applyAlignment="1">
      <alignment horizontal="right"/>
    </xf>
    <xf numFmtId="181" fontId="10" fillId="0" borderId="6" xfId="7" applyNumberFormat="1" applyFont="1" applyFill="1" applyBorder="1" applyAlignment="1">
      <alignment horizontal="right"/>
    </xf>
    <xf numFmtId="181" fontId="10" fillId="0" borderId="4" xfId="13" applyNumberFormat="1" applyFont="1" applyFill="1" applyBorder="1" applyAlignment="1">
      <alignment horizontal="right" vertical="center"/>
    </xf>
    <xf numFmtId="181" fontId="10" fillId="0" borderId="8" xfId="13" applyNumberFormat="1" applyFont="1" applyFill="1" applyBorder="1" applyAlignment="1">
      <alignment horizontal="right" vertical="center"/>
    </xf>
    <xf numFmtId="181" fontId="10" fillId="0" borderId="6" xfId="9" applyNumberFormat="1" applyFont="1" applyFill="1" applyBorder="1" applyAlignment="1">
      <alignment horizontal="left" wrapText="1"/>
    </xf>
    <xf numFmtId="38" fontId="10" fillId="0" borderId="0" xfId="9" applyNumberFormat="1" applyFont="1" applyFill="1" applyBorder="1" applyAlignment="1">
      <alignment horizontal="center"/>
    </xf>
    <xf numFmtId="226" fontId="12" fillId="2" borderId="8" xfId="13" applyFont="1" applyFill="1" applyBorder="1" applyAlignment="1">
      <alignment horizontal="center" vertical="center"/>
    </xf>
    <xf numFmtId="226" fontId="5" fillId="0" borderId="0" xfId="0" applyFont="1">
      <alignment vertical="center"/>
    </xf>
    <xf numFmtId="181" fontId="0" fillId="0" borderId="0" xfId="7" applyNumberFormat="1" applyFont="1">
      <alignment vertical="center"/>
    </xf>
    <xf numFmtId="9" fontId="12" fillId="0" borderId="6" xfId="7" applyFont="1" applyFill="1" applyBorder="1" applyAlignment="1">
      <alignment horizontal="left" wrapText="1"/>
    </xf>
    <xf numFmtId="9" fontId="10" fillId="0" borderId="4" xfId="7" applyFont="1" applyFill="1" applyBorder="1" applyAlignment="1">
      <alignment horizontal="center" vertical="center"/>
    </xf>
    <xf numFmtId="9" fontId="10" fillId="0" borderId="8" xfId="7" applyFont="1" applyFill="1" applyBorder="1" applyAlignment="1">
      <alignment horizontal="center" vertical="center"/>
    </xf>
    <xf numFmtId="9" fontId="10" fillId="0" borderId="6" xfId="7" applyFont="1" applyFill="1" applyBorder="1" applyAlignment="1">
      <alignment horizontal="center" vertical="center"/>
    </xf>
    <xf numFmtId="9" fontId="10" fillId="0" borderId="8" xfId="7" applyFont="1" applyFill="1" applyBorder="1" applyAlignment="1">
      <alignment horizontal="right" vertical="center"/>
    </xf>
    <xf numFmtId="38" fontId="10" fillId="0" borderId="8" xfId="13" applyNumberFormat="1" applyFont="1" applyFill="1" applyBorder="1" applyAlignment="1">
      <alignment horizontal="right" vertical="center"/>
    </xf>
    <xf numFmtId="181" fontId="10" fillId="0" borderId="8" xfId="8" applyNumberFormat="1" applyFont="1" applyFill="1" applyBorder="1" applyAlignment="1">
      <alignment horizontal="right"/>
    </xf>
    <xf numFmtId="183" fontId="10" fillId="0" borderId="8" xfId="13" applyNumberFormat="1" applyFont="1" applyFill="1" applyBorder="1" applyAlignment="1">
      <alignment horizontal="right" vertical="center"/>
    </xf>
    <xf numFmtId="182" fontId="10" fillId="0" borderId="8" xfId="13" applyNumberFormat="1" applyFont="1" applyFill="1" applyBorder="1" applyAlignment="1">
      <alignment horizontal="right" vertical="center"/>
    </xf>
    <xf numFmtId="226" fontId="10" fillId="0" borderId="7" xfId="13" applyFont="1" applyFill="1" applyBorder="1" applyAlignment="1">
      <alignment horizontal="right" vertical="center"/>
    </xf>
    <xf numFmtId="226" fontId="12" fillId="2" borderId="8" xfId="9" applyFont="1" applyFill="1" applyBorder="1" applyAlignment="1">
      <alignment horizontal="right"/>
    </xf>
    <xf numFmtId="40" fontId="10" fillId="0" borderId="8" xfId="9" applyNumberFormat="1" applyFont="1" applyFill="1" applyBorder="1" applyAlignment="1">
      <alignment horizontal="right"/>
    </xf>
    <xf numFmtId="226" fontId="12" fillId="0" borderId="8" xfId="9" applyFont="1" applyFill="1" applyBorder="1" applyAlignment="1">
      <alignment horizontal="right"/>
    </xf>
    <xf numFmtId="226" fontId="10" fillId="0" borderId="8" xfId="13" applyFont="1" applyFill="1" applyBorder="1" applyAlignment="1">
      <alignment horizontal="right" vertical="center"/>
    </xf>
    <xf numFmtId="184" fontId="10" fillId="0" borderId="8" xfId="8" applyNumberFormat="1" applyFont="1" applyFill="1" applyBorder="1" applyAlignment="1">
      <alignment horizontal="right"/>
    </xf>
    <xf numFmtId="226" fontId="12" fillId="0" borderId="8" xfId="13" applyFont="1" applyFill="1" applyBorder="1" applyAlignment="1">
      <alignment horizontal="right" vertical="center"/>
    </xf>
    <xf numFmtId="181" fontId="10" fillId="0" borderId="8" xfId="9" applyNumberFormat="1" applyFont="1" applyFill="1" applyBorder="1" applyAlignment="1">
      <alignment horizontal="right"/>
    </xf>
    <xf numFmtId="226" fontId="5" fillId="0" borderId="8" xfId="13" applyFont="1" applyFill="1" applyBorder="1" applyAlignment="1">
      <alignment horizontal="right" vertical="center"/>
    </xf>
    <xf numFmtId="178" fontId="10" fillId="0" borderId="8" xfId="10" applyNumberFormat="1" applyFont="1" applyFill="1" applyBorder="1" applyAlignment="1" applyProtection="1">
      <alignment horizontal="right"/>
    </xf>
    <xf numFmtId="181" fontId="10" fillId="0" borderId="8" xfId="7" applyNumberFormat="1" applyFont="1" applyFill="1" applyBorder="1" applyAlignment="1" applyProtection="1">
      <alignment horizontal="right"/>
    </xf>
    <xf numFmtId="209" fontId="10" fillId="0" borderId="8" xfId="13" applyNumberFormat="1" applyFont="1" applyFill="1" applyBorder="1" applyAlignment="1">
      <alignment horizontal="right" vertical="center"/>
    </xf>
    <xf numFmtId="10" fontId="10" fillId="0" borderId="8" xfId="13" applyNumberFormat="1" applyFont="1" applyFill="1" applyBorder="1" applyAlignment="1">
      <alignment horizontal="right" vertical="center"/>
    </xf>
    <xf numFmtId="186" fontId="10" fillId="0" borderId="8" xfId="13" applyNumberFormat="1" applyFont="1" applyFill="1" applyBorder="1" applyAlignment="1">
      <alignment horizontal="right" vertical="center"/>
    </xf>
    <xf numFmtId="194" fontId="10" fillId="0" borderId="8" xfId="10" applyNumberFormat="1" applyFont="1" applyFill="1" applyBorder="1" applyAlignment="1">
      <alignment horizontal="right" vertical="center"/>
    </xf>
    <xf numFmtId="186" fontId="10" fillId="5" borderId="8" xfId="13" applyNumberFormat="1" applyFont="1" applyFill="1" applyBorder="1" applyAlignment="1">
      <alignment horizontal="right" vertical="center"/>
    </xf>
    <xf numFmtId="192" fontId="10" fillId="0" borderId="6" xfId="12" applyNumberFormat="1" applyFont="1" applyFill="1" applyBorder="1">
      <alignment vertical="center"/>
    </xf>
    <xf numFmtId="192" fontId="10" fillId="0" borderId="4" xfId="12" applyNumberFormat="1" applyFont="1" applyFill="1" applyBorder="1">
      <alignment vertical="center"/>
    </xf>
    <xf numFmtId="192" fontId="10" fillId="0" borderId="0" xfId="12" applyNumberFormat="1" applyFont="1" applyFill="1" applyBorder="1">
      <alignment vertical="center"/>
    </xf>
    <xf numFmtId="192" fontId="10" fillId="0" borderId="8" xfId="12" applyNumberFormat="1" applyFont="1" applyFill="1" applyBorder="1">
      <alignment vertical="center"/>
    </xf>
    <xf numFmtId="192" fontId="10" fillId="0" borderId="0" xfId="12" applyNumberFormat="1" applyFont="1" applyFill="1" applyBorder="1" applyAlignment="1">
      <alignment horizontal="center" vertical="center"/>
    </xf>
    <xf numFmtId="192" fontId="10" fillId="0" borderId="8" xfId="12" applyNumberFormat="1" applyFont="1" applyFill="1" applyBorder="1" applyAlignment="1">
      <alignment horizontal="right" vertical="center"/>
    </xf>
    <xf numFmtId="1" fontId="12" fillId="0" borderId="6" xfId="9" applyNumberFormat="1" applyFont="1" applyFill="1" applyBorder="1" applyAlignment="1"/>
    <xf numFmtId="226" fontId="12" fillId="0" borderId="0" xfId="9" applyFont="1" applyFill="1" applyBorder="1" applyAlignment="1"/>
    <xf numFmtId="226" fontId="12" fillId="0" borderId="8" xfId="9" applyFont="1" applyFill="1" applyBorder="1" applyAlignment="1"/>
    <xf numFmtId="1" fontId="12" fillId="0" borderId="0" xfId="9" applyNumberFormat="1" applyFont="1" applyFill="1" applyBorder="1" applyAlignment="1"/>
    <xf numFmtId="40" fontId="10" fillId="0" borderId="0" xfId="10" applyNumberFormat="1" applyFont="1" applyFill="1" applyBorder="1" applyAlignment="1">
      <alignment horizontal="right" vertical="center"/>
    </xf>
    <xf numFmtId="226" fontId="12" fillId="0" borderId="0" xfId="13" applyFont="1" applyFill="1" applyBorder="1" applyAlignment="1">
      <alignment horizontal="center" vertical="center"/>
    </xf>
    <xf numFmtId="226" fontId="12" fillId="0" borderId="8" xfId="13" applyFont="1" applyFill="1" applyBorder="1" applyAlignment="1">
      <alignment horizontal="center" vertical="center"/>
    </xf>
    <xf numFmtId="181" fontId="10" fillId="0" borderId="0" xfId="7" applyNumberFormat="1" applyFont="1" applyFill="1" applyBorder="1" applyAlignment="1">
      <alignment vertical="center"/>
    </xf>
    <xf numFmtId="1" fontId="10" fillId="0" borderId="8" xfId="13" applyNumberFormat="1" applyFont="1" applyFill="1" applyBorder="1">
      <alignment vertical="center"/>
    </xf>
    <xf numFmtId="9" fontId="10" fillId="2" borderId="6" xfId="7" applyFont="1" applyFill="1" applyBorder="1">
      <alignment vertical="center"/>
    </xf>
    <xf numFmtId="9" fontId="10" fillId="2" borderId="4" xfId="7" applyFont="1" applyFill="1" applyBorder="1">
      <alignment vertical="center"/>
    </xf>
    <xf numFmtId="9" fontId="10" fillId="2" borderId="0" xfId="7" applyFont="1" applyFill="1" applyBorder="1">
      <alignment vertical="center"/>
    </xf>
    <xf numFmtId="9" fontId="10" fillId="2" borderId="8" xfId="7" applyFont="1" applyFill="1" applyBorder="1">
      <alignment vertical="center"/>
    </xf>
    <xf numFmtId="9" fontId="10" fillId="2" borderId="4" xfId="7" applyFont="1" applyFill="1" applyBorder="1" applyAlignment="1">
      <alignment horizontal="center" vertical="center"/>
    </xf>
    <xf numFmtId="9" fontId="10" fillId="2" borderId="0" xfId="7" applyFont="1" applyFill="1" applyBorder="1" applyAlignment="1">
      <alignment horizontal="center" vertical="center"/>
    </xf>
    <xf numFmtId="38" fontId="12" fillId="0" borderId="6" xfId="9" applyNumberFormat="1" applyFont="1" applyFill="1" applyBorder="1" applyAlignment="1">
      <alignment horizontal="right"/>
    </xf>
    <xf numFmtId="38" fontId="12" fillId="0" borderId="4" xfId="9" applyNumberFormat="1" applyFont="1" applyFill="1" applyBorder="1" applyAlignment="1">
      <alignment horizontal="center"/>
    </xf>
    <xf numFmtId="38" fontId="12" fillId="0" borderId="0" xfId="9" applyNumberFormat="1" applyFont="1" applyFill="1" applyBorder="1" applyAlignment="1">
      <alignment horizontal="center"/>
    </xf>
    <xf numFmtId="210" fontId="10" fillId="0" borderId="4" xfId="10" applyNumberFormat="1" applyFont="1" applyFill="1" applyBorder="1" applyAlignment="1">
      <alignment horizontal="right" vertical="center"/>
    </xf>
    <xf numFmtId="210" fontId="10" fillId="0" borderId="0" xfId="10" applyNumberFormat="1" applyFont="1" applyFill="1" applyBorder="1" applyAlignment="1">
      <alignment horizontal="right" vertical="center"/>
    </xf>
    <xf numFmtId="210" fontId="10" fillId="0" borderId="8" xfId="10" applyNumberFormat="1" applyFont="1" applyFill="1" applyBorder="1" applyAlignment="1">
      <alignment horizontal="right" vertical="center"/>
    </xf>
    <xf numFmtId="181" fontId="10" fillId="0" borderId="4" xfId="10" applyNumberFormat="1" applyFont="1" applyFill="1" applyBorder="1" applyAlignment="1">
      <alignment horizontal="right" vertical="center"/>
    </xf>
    <xf numFmtId="211" fontId="10" fillId="0" borderId="6" xfId="13" applyNumberFormat="1" applyFont="1" applyFill="1" applyBorder="1" applyAlignment="1">
      <alignment horizontal="left" vertical="center" indent="1"/>
    </xf>
    <xf numFmtId="226" fontId="10" fillId="0" borderId="6" xfId="9" applyFont="1" applyFill="1" applyBorder="1" applyAlignment="1">
      <alignment wrapText="1"/>
    </xf>
    <xf numFmtId="226" fontId="10" fillId="0" borderId="8" xfId="13" applyFont="1" applyFill="1" applyBorder="1" applyAlignment="1">
      <alignment vertical="center" wrapText="1"/>
    </xf>
    <xf numFmtId="177" fontId="10" fillId="0" borderId="0" xfId="13" applyNumberFormat="1" applyFont="1" applyFill="1" applyBorder="1">
      <alignment vertical="center"/>
    </xf>
    <xf numFmtId="9" fontId="12" fillId="0" borderId="0" xfId="7" applyFont="1" applyFill="1" applyBorder="1">
      <alignment vertical="center"/>
    </xf>
    <xf numFmtId="192" fontId="10" fillId="2" borderId="0" xfId="14" applyNumberFormat="1" applyFont="1" applyFill="1" applyBorder="1">
      <alignment vertical="center"/>
    </xf>
    <xf numFmtId="226" fontId="10" fillId="0" borderId="0" xfId="10" applyNumberFormat="1" applyFont="1" applyFill="1" applyBorder="1" applyAlignment="1">
      <alignment horizontal="center" vertical="center"/>
    </xf>
    <xf numFmtId="226" fontId="3" fillId="0" borderId="0" xfId="163">
      <alignment vertical="center"/>
    </xf>
    <xf numFmtId="226" fontId="67" fillId="0" borderId="0" xfId="163" applyFont="1">
      <alignment vertical="center"/>
    </xf>
    <xf numFmtId="226" fontId="3" fillId="0" borderId="0" xfId="163" applyFill="1">
      <alignment vertical="center"/>
    </xf>
    <xf numFmtId="226" fontId="66" fillId="33" borderId="19" xfId="163" applyFont="1" applyFill="1" applyBorder="1">
      <alignment vertical="center"/>
    </xf>
    <xf numFmtId="226" fontId="66" fillId="33" borderId="20" xfId="163" applyFont="1" applyFill="1" applyBorder="1">
      <alignment vertical="center"/>
    </xf>
    <xf numFmtId="226" fontId="66" fillId="33" borderId="20" xfId="163" applyFont="1" applyFill="1" applyBorder="1" applyAlignment="1">
      <alignment horizontal="centerContinuous" vertical="center"/>
    </xf>
    <xf numFmtId="226" fontId="68" fillId="33" borderId="20" xfId="163" applyFont="1" applyFill="1" applyBorder="1" applyAlignment="1">
      <alignment horizontal="centerContinuous" vertical="center"/>
    </xf>
    <xf numFmtId="226" fontId="68" fillId="0" borderId="20" xfId="163" applyFont="1" applyFill="1" applyBorder="1">
      <alignment vertical="center"/>
    </xf>
    <xf numFmtId="226" fontId="68" fillId="33" borderId="20" xfId="163" applyFont="1" applyFill="1" applyBorder="1" applyAlignment="1">
      <alignment horizontal="right" vertical="center"/>
    </xf>
    <xf numFmtId="226" fontId="68" fillId="0" borderId="20" xfId="163" applyFont="1" applyFill="1" applyBorder="1" applyAlignment="1">
      <alignment horizontal="right" vertical="center"/>
    </xf>
    <xf numFmtId="226" fontId="68" fillId="33" borderId="21" xfId="163" applyFont="1" applyFill="1" applyBorder="1" applyAlignment="1">
      <alignment horizontal="right" vertical="center"/>
    </xf>
    <xf numFmtId="226" fontId="68" fillId="33" borderId="22" xfId="163" applyFont="1" applyFill="1" applyBorder="1">
      <alignment vertical="center"/>
    </xf>
    <xf numFmtId="226" fontId="68" fillId="33" borderId="0" xfId="163" applyFont="1" applyFill="1" applyBorder="1">
      <alignment vertical="center"/>
    </xf>
    <xf numFmtId="226" fontId="68" fillId="33" borderId="0" xfId="163" applyFont="1" applyFill="1" applyBorder="1" applyAlignment="1">
      <alignment horizontal="right" vertical="center"/>
    </xf>
    <xf numFmtId="226" fontId="68" fillId="0" borderId="0" xfId="163" applyFont="1" applyFill="1" applyBorder="1">
      <alignment vertical="center"/>
    </xf>
    <xf numFmtId="226" fontId="68" fillId="33" borderId="23" xfId="163" applyFont="1" applyFill="1" applyBorder="1">
      <alignment vertical="center"/>
    </xf>
    <xf numFmtId="226" fontId="3" fillId="0" borderId="22" xfId="163" applyBorder="1">
      <alignment vertical="center"/>
    </xf>
    <xf numFmtId="226" fontId="3" fillId="0" borderId="0" xfId="163" applyBorder="1">
      <alignment vertical="center"/>
    </xf>
    <xf numFmtId="38" fontId="69" fillId="0" borderId="0" xfId="163" applyNumberFormat="1" applyFont="1" applyBorder="1">
      <alignment vertical="center"/>
    </xf>
    <xf numFmtId="38" fontId="3" fillId="0" borderId="0" xfId="163" applyNumberFormat="1" applyFill="1" applyBorder="1">
      <alignment vertical="center"/>
    </xf>
    <xf numFmtId="38" fontId="3" fillId="0" borderId="0" xfId="163" applyNumberFormat="1" applyBorder="1">
      <alignment vertical="center"/>
    </xf>
    <xf numFmtId="226" fontId="3" fillId="0" borderId="0" xfId="163" applyFill="1" applyBorder="1">
      <alignment vertical="center"/>
    </xf>
    <xf numFmtId="38" fontId="3" fillId="0" borderId="23" xfId="163" applyNumberFormat="1" applyBorder="1">
      <alignment vertical="center"/>
    </xf>
    <xf numFmtId="226" fontId="3" fillId="0" borderId="22" xfId="163" applyBorder="1" applyAlignment="1">
      <alignment horizontal="left" vertical="center" indent="1"/>
    </xf>
    <xf numFmtId="24" fontId="3" fillId="0" borderId="0" xfId="163" applyNumberFormat="1" applyBorder="1">
      <alignment vertical="center"/>
    </xf>
    <xf numFmtId="24" fontId="3" fillId="0" borderId="23" xfId="163" applyNumberFormat="1" applyBorder="1">
      <alignment vertical="center"/>
    </xf>
    <xf numFmtId="43" fontId="3" fillId="0" borderId="0" xfId="163" applyNumberFormat="1" applyBorder="1">
      <alignment vertical="center"/>
    </xf>
    <xf numFmtId="226" fontId="3" fillId="0" borderId="23" xfId="163" applyBorder="1">
      <alignment vertical="center"/>
    </xf>
    <xf numFmtId="226" fontId="3" fillId="34" borderId="22" xfId="163" applyFill="1" applyBorder="1">
      <alignment vertical="center"/>
    </xf>
    <xf numFmtId="226" fontId="3" fillId="34" borderId="0" xfId="163" applyFill="1" applyBorder="1">
      <alignment vertical="center"/>
    </xf>
    <xf numFmtId="38" fontId="3" fillId="34" borderId="0" xfId="163" applyNumberFormat="1" applyFill="1" applyBorder="1">
      <alignment vertical="center"/>
    </xf>
    <xf numFmtId="38" fontId="3" fillId="34" borderId="23" xfId="163" applyNumberFormat="1" applyFill="1" applyBorder="1">
      <alignment vertical="center"/>
    </xf>
    <xf numFmtId="9" fontId="69" fillId="0" borderId="0" xfId="164" applyFont="1" applyBorder="1">
      <alignment vertical="center"/>
    </xf>
    <xf numFmtId="9" fontId="0" fillId="0" borderId="0" xfId="164" applyFont="1" applyBorder="1">
      <alignment vertical="center"/>
    </xf>
    <xf numFmtId="9" fontId="0" fillId="0" borderId="23" xfId="164" applyFont="1" applyBorder="1">
      <alignment vertical="center"/>
    </xf>
    <xf numFmtId="210" fontId="3" fillId="34" borderId="0" xfId="163" applyNumberFormat="1" applyFill="1" applyBorder="1">
      <alignment vertical="center"/>
    </xf>
    <xf numFmtId="210" fontId="3" fillId="34" borderId="23" xfId="163" applyNumberFormat="1" applyFill="1" applyBorder="1">
      <alignment vertical="center"/>
    </xf>
    <xf numFmtId="181" fontId="0" fillId="0" borderId="0" xfId="164" applyNumberFormat="1" applyFont="1">
      <alignment vertical="center"/>
    </xf>
    <xf numFmtId="212" fontId="3" fillId="0" borderId="0" xfId="163" applyNumberFormat="1">
      <alignment vertical="center"/>
    </xf>
    <xf numFmtId="9" fontId="69" fillId="34" borderId="0" xfId="164" applyFont="1" applyFill="1" applyBorder="1">
      <alignment vertical="center"/>
    </xf>
    <xf numFmtId="213" fontId="3" fillId="0" borderId="0" xfId="163" applyNumberFormat="1">
      <alignment vertical="center"/>
    </xf>
    <xf numFmtId="181" fontId="0" fillId="0" borderId="0" xfId="164" applyNumberFormat="1" applyFont="1" applyBorder="1">
      <alignment vertical="center"/>
    </xf>
    <xf numFmtId="181" fontId="0" fillId="0" borderId="23" xfId="164" applyNumberFormat="1" applyFont="1" applyBorder="1">
      <alignment vertical="center"/>
    </xf>
    <xf numFmtId="226" fontId="3" fillId="0" borderId="24" xfId="163" applyBorder="1">
      <alignment vertical="center"/>
    </xf>
    <xf numFmtId="226" fontId="3" fillId="0" borderId="18" xfId="163" applyBorder="1">
      <alignment vertical="center"/>
    </xf>
    <xf numFmtId="181" fontId="0" fillId="0" borderId="18" xfId="164" applyNumberFormat="1" applyFont="1" applyBorder="1">
      <alignment vertical="center"/>
    </xf>
    <xf numFmtId="226" fontId="3" fillId="0" borderId="18" xfId="163" applyFill="1" applyBorder="1">
      <alignment vertical="center"/>
    </xf>
    <xf numFmtId="181" fontId="0" fillId="9" borderId="18" xfId="164" applyNumberFormat="1" applyFont="1" applyFill="1" applyBorder="1">
      <alignment vertical="center"/>
    </xf>
    <xf numFmtId="181" fontId="0" fillId="0" borderId="25" xfId="164" applyNumberFormat="1" applyFont="1" applyBorder="1">
      <alignment vertical="center"/>
    </xf>
    <xf numFmtId="181" fontId="0" fillId="9" borderId="0" xfId="164" applyNumberFormat="1" applyFont="1" applyFill="1" applyBorder="1">
      <alignment vertical="center"/>
    </xf>
    <xf numFmtId="181" fontId="0" fillId="9" borderId="23" xfId="164" applyNumberFormat="1" applyFont="1" applyFill="1" applyBorder="1">
      <alignment vertical="center"/>
    </xf>
    <xf numFmtId="214" fontId="3" fillId="0" borderId="0" xfId="163" applyNumberFormat="1">
      <alignment vertical="center"/>
    </xf>
    <xf numFmtId="226" fontId="3" fillId="0" borderId="26" xfId="163" applyBorder="1">
      <alignment vertical="center"/>
    </xf>
    <xf numFmtId="226" fontId="3" fillId="0" borderId="27" xfId="163" applyBorder="1">
      <alignment vertical="center"/>
    </xf>
    <xf numFmtId="181" fontId="3" fillId="0" borderId="27" xfId="163" applyNumberFormat="1" applyBorder="1">
      <alignment vertical="center"/>
    </xf>
    <xf numFmtId="226" fontId="3" fillId="0" borderId="27" xfId="163" applyFill="1" applyBorder="1">
      <alignment vertical="center"/>
    </xf>
    <xf numFmtId="181" fontId="3" fillId="0" borderId="28" xfId="163" applyNumberFormat="1" applyBorder="1">
      <alignment vertical="center"/>
    </xf>
    <xf numFmtId="226" fontId="3" fillId="0" borderId="0" xfId="163" applyAlignment="1">
      <alignment horizontal="right" vertical="center"/>
    </xf>
    <xf numFmtId="226" fontId="3" fillId="0" borderId="0" xfId="163" applyFill="1" applyAlignment="1">
      <alignment horizontal="right" vertical="center"/>
    </xf>
    <xf numFmtId="215" fontId="3" fillId="0" borderId="0" xfId="163" applyNumberFormat="1">
      <alignment vertical="center"/>
    </xf>
    <xf numFmtId="40" fontId="10" fillId="0" borderId="4" xfId="8" applyNumberFormat="1" applyFont="1" applyFill="1" applyBorder="1"/>
    <xf numFmtId="40" fontId="10" fillId="0" borderId="0" xfId="8" applyNumberFormat="1" applyFont="1" applyFill="1" applyBorder="1"/>
    <xf numFmtId="40" fontId="10" fillId="0" borderId="8" xfId="8" applyNumberFormat="1" applyFont="1" applyFill="1" applyBorder="1"/>
    <xf numFmtId="40" fontId="10" fillId="0" borderId="0" xfId="13" applyNumberFormat="1" applyFont="1" applyFill="1" applyBorder="1">
      <alignment vertical="center"/>
    </xf>
    <xf numFmtId="194" fontId="10" fillId="0" borderId="0" xfId="10" applyNumberFormat="1" applyFont="1" applyFill="1" applyBorder="1" applyAlignment="1">
      <alignment horizontal="center" vertical="center"/>
    </xf>
    <xf numFmtId="209" fontId="10" fillId="0" borderId="0" xfId="10" applyNumberFormat="1" applyFont="1" applyFill="1" applyBorder="1" applyAlignment="1">
      <alignment horizontal="right" vertical="center"/>
    </xf>
    <xf numFmtId="38" fontId="10" fillId="0" borderId="4" xfId="9" applyNumberFormat="1" applyFont="1" applyFill="1" applyBorder="1"/>
    <xf numFmtId="226" fontId="7" fillId="0" borderId="0" xfId="0" applyFont="1">
      <alignment vertical="center"/>
    </xf>
    <xf numFmtId="38" fontId="12" fillId="9" borderId="6" xfId="9" applyNumberFormat="1" applyFont="1" applyFill="1" applyBorder="1"/>
    <xf numFmtId="181" fontId="10" fillId="9" borderId="6" xfId="9" applyNumberFormat="1" applyFont="1" applyFill="1" applyBorder="1"/>
    <xf numFmtId="226" fontId="7" fillId="0" borderId="0" xfId="0" applyFont="1" applyBorder="1" applyAlignment="1">
      <alignment horizontal="center" vertical="center"/>
    </xf>
    <xf numFmtId="226" fontId="7" fillId="0" borderId="4" xfId="0" applyFont="1" applyBorder="1">
      <alignment vertical="center"/>
    </xf>
    <xf numFmtId="192" fontId="7" fillId="0" borderId="0" xfId="12" applyNumberFormat="1" applyFont="1" applyBorder="1">
      <alignment vertical="center"/>
    </xf>
    <xf numFmtId="226" fontId="7" fillId="0" borderId="4" xfId="0" applyFont="1" applyBorder="1" applyAlignment="1">
      <alignment vertical="center" wrapText="1"/>
    </xf>
    <xf numFmtId="181" fontId="7" fillId="0" borderId="0" xfId="7" applyNumberFormat="1" applyFont="1" applyBorder="1">
      <alignment vertical="center"/>
    </xf>
    <xf numFmtId="181" fontId="7" fillId="0" borderId="8" xfId="7" applyNumberFormat="1" applyFont="1" applyBorder="1">
      <alignment vertical="center"/>
    </xf>
    <xf numFmtId="1" fontId="7" fillId="0" borderId="0" xfId="0" applyNumberFormat="1" applyFont="1" applyBorder="1">
      <alignment vertical="center"/>
    </xf>
    <xf numFmtId="226" fontId="7" fillId="0" borderId="0" xfId="0" applyFont="1" applyBorder="1">
      <alignment vertical="center"/>
    </xf>
    <xf numFmtId="38" fontId="7" fillId="0" borderId="0" xfId="0" applyNumberFormat="1" applyFont="1" applyBorder="1">
      <alignment vertical="center"/>
    </xf>
    <xf numFmtId="181" fontId="7" fillId="0" borderId="18" xfId="7" applyNumberFormat="1" applyFont="1" applyBorder="1">
      <alignment vertical="center"/>
    </xf>
    <xf numFmtId="226" fontId="71" fillId="35" borderId="3" xfId="0" applyFont="1" applyFill="1" applyBorder="1" applyAlignment="1">
      <alignment horizontal="center" vertical="center"/>
    </xf>
    <xf numFmtId="9" fontId="10" fillId="0" borderId="0" xfId="13" applyNumberFormat="1" applyFont="1" applyFill="1" applyBorder="1">
      <alignment vertical="center"/>
    </xf>
    <xf numFmtId="226" fontId="10" fillId="2" borderId="8" xfId="13" applyFont="1" applyFill="1" applyBorder="1">
      <alignment vertical="center"/>
    </xf>
    <xf numFmtId="192" fontId="0" fillId="0" borderId="0" xfId="0" applyNumberFormat="1">
      <alignment vertical="center"/>
    </xf>
    <xf numFmtId="209" fontId="10" fillId="0" borderId="8" xfId="10" applyNumberFormat="1" applyFont="1" applyFill="1" applyBorder="1" applyAlignment="1">
      <alignment horizontal="right" vertical="center"/>
    </xf>
    <xf numFmtId="9" fontId="10" fillId="0" borderId="0" xfId="13" applyNumberFormat="1" applyFont="1" applyFill="1" applyBorder="1" applyAlignment="1">
      <alignment horizontal="center" vertical="center"/>
    </xf>
    <xf numFmtId="9" fontId="10" fillId="0" borderId="8" xfId="13" applyNumberFormat="1" applyFont="1" applyFill="1" applyBorder="1" applyAlignment="1">
      <alignment horizontal="center" vertical="center"/>
    </xf>
    <xf numFmtId="9" fontId="10" fillId="0" borderId="0" xfId="10" applyNumberFormat="1" applyFont="1" applyFill="1" applyBorder="1">
      <alignment vertical="center"/>
    </xf>
    <xf numFmtId="9" fontId="10" fillId="0" borderId="0" xfId="10" applyNumberFormat="1" applyFont="1" applyFill="1" applyBorder="1" applyAlignment="1">
      <alignment horizontal="center"/>
    </xf>
    <xf numFmtId="9" fontId="23" fillId="0" borderId="8" xfId="10" applyNumberFormat="1" applyFont="1" applyFill="1" applyBorder="1">
      <alignment vertical="center"/>
    </xf>
    <xf numFmtId="9" fontId="10" fillId="0" borderId="4" xfId="10" applyNumberFormat="1" applyFont="1" applyFill="1" applyBorder="1">
      <alignment vertical="center"/>
    </xf>
    <xf numFmtId="9" fontId="10" fillId="0" borderId="0" xfId="7" applyNumberFormat="1" applyFont="1" applyFill="1" applyBorder="1" applyAlignment="1">
      <alignment horizontal="right"/>
    </xf>
    <xf numFmtId="9" fontId="10" fillId="0" borderId="8" xfId="7" applyNumberFormat="1" applyFont="1" applyFill="1" applyBorder="1" applyAlignment="1">
      <alignment horizontal="right"/>
    </xf>
    <xf numFmtId="9" fontId="10" fillId="0" borderId="0" xfId="7" applyNumberFormat="1" applyFont="1" applyFill="1" applyBorder="1" applyAlignment="1">
      <alignment horizontal="right" vertical="center"/>
    </xf>
    <xf numFmtId="9" fontId="10" fillId="0" borderId="8" xfId="10" applyNumberFormat="1" applyFont="1" applyFill="1" applyBorder="1">
      <alignment vertical="center"/>
    </xf>
    <xf numFmtId="9" fontId="10" fillId="9" borderId="6" xfId="7" applyFont="1" applyFill="1" applyBorder="1" applyAlignment="1"/>
    <xf numFmtId="226" fontId="71" fillId="35" borderId="2" xfId="0" applyFont="1" applyFill="1" applyBorder="1" applyAlignment="1">
      <alignment vertical="center" wrapText="1"/>
    </xf>
    <xf numFmtId="226" fontId="71" fillId="35" borderId="3" xfId="0" applyFont="1" applyFill="1" applyBorder="1" applyAlignment="1">
      <alignment horizontal="center" vertical="center" wrapText="1"/>
    </xf>
    <xf numFmtId="226" fontId="70" fillId="0" borderId="4" xfId="0" applyFont="1" applyBorder="1" applyAlignment="1">
      <alignment vertical="center" wrapText="1"/>
    </xf>
    <xf numFmtId="226" fontId="7" fillId="0" borderId="0" xfId="0" applyFont="1" applyBorder="1" applyAlignment="1">
      <alignment horizontal="center" vertical="center" wrapText="1"/>
    </xf>
    <xf numFmtId="192" fontId="7" fillId="0" borderId="0" xfId="12" applyNumberFormat="1" applyFont="1" applyBorder="1" applyAlignment="1">
      <alignment vertical="center" wrapText="1"/>
    </xf>
    <xf numFmtId="9" fontId="7" fillId="0" borderId="4" xfId="7" applyFont="1" applyBorder="1" applyAlignment="1">
      <alignment vertical="center" wrapText="1"/>
    </xf>
    <xf numFmtId="9" fontId="7" fillId="0" borderId="0" xfId="7" applyFont="1" applyBorder="1" applyAlignment="1">
      <alignment vertical="center" wrapText="1"/>
    </xf>
    <xf numFmtId="9" fontId="7" fillId="0" borderId="0" xfId="7" applyFont="1">
      <alignment vertical="center"/>
    </xf>
    <xf numFmtId="226" fontId="73" fillId="36" borderId="0" xfId="167" applyFont="1" applyFill="1"/>
    <xf numFmtId="226" fontId="71" fillId="35" borderId="3" xfId="167" applyFont="1" applyFill="1" applyBorder="1" applyAlignment="1">
      <alignment horizontal="center" vertical="center"/>
    </xf>
    <xf numFmtId="226" fontId="72" fillId="0" borderId="0" xfId="167"/>
    <xf numFmtId="9" fontId="0" fillId="0" borderId="0" xfId="168" applyFont="1" applyAlignment="1">
      <alignment horizontal="center"/>
    </xf>
    <xf numFmtId="226" fontId="7" fillId="0" borderId="0" xfId="167" applyFont="1" applyBorder="1" applyAlignment="1">
      <alignment horizontal="left" vertical="center"/>
    </xf>
    <xf numFmtId="9" fontId="7" fillId="0" borderId="0" xfId="168" applyFont="1" applyBorder="1" applyAlignment="1">
      <alignment horizontal="center" vertical="center"/>
    </xf>
    <xf numFmtId="226" fontId="5" fillId="0" borderId="0" xfId="0" applyFont="1" applyAlignment="1">
      <alignment horizontal="center" vertical="center"/>
    </xf>
    <xf numFmtId="226" fontId="0" fillId="0" borderId="0" xfId="0" applyAlignment="1">
      <alignment horizontal="center" vertical="center"/>
    </xf>
    <xf numFmtId="9" fontId="0" fillId="0" borderId="0" xfId="0" applyNumberFormat="1" applyAlignment="1">
      <alignment horizontal="center" vertical="center"/>
    </xf>
    <xf numFmtId="26" fontId="0" fillId="0" borderId="0" xfId="0" applyNumberFormat="1" applyAlignment="1">
      <alignment horizontal="center" vertical="center"/>
    </xf>
    <xf numFmtId="26" fontId="5" fillId="0" borderId="0" xfId="0" applyNumberFormat="1" applyFont="1" applyAlignment="1">
      <alignment horizontal="center" vertical="center"/>
    </xf>
    <xf numFmtId="9" fontId="0" fillId="0" borderId="0" xfId="7" applyFont="1" applyAlignment="1">
      <alignment horizontal="center" vertical="center"/>
    </xf>
    <xf numFmtId="10" fontId="0" fillId="0" borderId="0" xfId="0" applyNumberFormat="1">
      <alignment vertical="center"/>
    </xf>
    <xf numFmtId="38" fontId="10" fillId="9" borderId="4" xfId="13" applyNumberFormat="1" applyFont="1" applyFill="1" applyBorder="1">
      <alignment vertical="center"/>
    </xf>
    <xf numFmtId="38" fontId="10" fillId="9" borderId="0" xfId="13" applyNumberFormat="1" applyFont="1" applyFill="1" applyBorder="1">
      <alignment vertical="center"/>
    </xf>
    <xf numFmtId="38" fontId="10" fillId="9" borderId="8" xfId="13" applyNumberFormat="1" applyFont="1" applyFill="1" applyBorder="1">
      <alignment vertical="center"/>
    </xf>
    <xf numFmtId="38" fontId="10" fillId="9" borderId="6" xfId="13" applyNumberFormat="1" applyFont="1" applyFill="1" applyBorder="1">
      <alignment vertical="center"/>
    </xf>
    <xf numFmtId="38" fontId="10" fillId="9" borderId="8" xfId="13" applyNumberFormat="1" applyFont="1" applyFill="1" applyBorder="1" applyAlignment="1">
      <alignment horizontal="right" vertical="center"/>
    </xf>
    <xf numFmtId="9" fontId="12" fillId="9" borderId="6" xfId="7" applyFont="1" applyFill="1" applyBorder="1" applyAlignment="1">
      <alignment horizontal="left" wrapText="1"/>
    </xf>
    <xf numFmtId="9" fontId="10" fillId="0" borderId="6" xfId="7" applyFont="1" applyFill="1" applyBorder="1" applyAlignment="1">
      <alignment horizontal="left" vertical="center"/>
    </xf>
    <xf numFmtId="218" fontId="10" fillId="0" borderId="8" xfId="10" applyNumberFormat="1" applyFont="1" applyFill="1" applyBorder="1" applyAlignment="1">
      <alignment horizontal="center" vertical="center"/>
    </xf>
    <xf numFmtId="218" fontId="10" fillId="0" borderId="0" xfId="10" applyNumberFormat="1" applyFont="1" applyFill="1" applyBorder="1">
      <alignment vertical="center"/>
    </xf>
    <xf numFmtId="218" fontId="10" fillId="0" borderId="8" xfId="10" applyNumberFormat="1" applyFont="1" applyFill="1" applyBorder="1">
      <alignment vertical="center"/>
    </xf>
    <xf numFmtId="218" fontId="10" fillId="0" borderId="0" xfId="10" applyNumberFormat="1" applyFont="1" applyFill="1" applyBorder="1" applyAlignment="1" applyProtection="1"/>
    <xf numFmtId="218" fontId="10" fillId="0" borderId="8" xfId="10" applyNumberFormat="1" applyFont="1" applyFill="1" applyBorder="1" applyAlignment="1" applyProtection="1"/>
    <xf numFmtId="9" fontId="10" fillId="0" borderId="6" xfId="7" applyFont="1" applyFill="1" applyBorder="1" applyAlignment="1">
      <alignment vertical="center" wrapText="1"/>
    </xf>
    <xf numFmtId="9" fontId="10" fillId="0" borderId="0" xfId="10" applyNumberFormat="1" applyFont="1" applyFill="1" applyBorder="1" applyAlignment="1">
      <alignment horizontal="right" vertical="center"/>
    </xf>
    <xf numFmtId="9" fontId="10" fillId="0" borderId="8" xfId="10" applyNumberFormat="1" applyFont="1" applyFill="1" applyBorder="1" applyAlignment="1">
      <alignment horizontal="right" vertical="center"/>
    </xf>
    <xf numFmtId="9" fontId="10" fillId="0" borderId="0" xfId="13" applyNumberFormat="1" applyFont="1" applyFill="1" applyBorder="1" applyAlignment="1">
      <alignment horizontal="right" vertical="center"/>
    </xf>
    <xf numFmtId="9" fontId="10" fillId="0" borderId="8" xfId="13" applyNumberFormat="1" applyFont="1" applyFill="1" applyBorder="1" applyAlignment="1">
      <alignment horizontal="right" vertical="center"/>
    </xf>
    <xf numFmtId="181" fontId="10" fillId="0" borderId="6" xfId="7" applyNumberFormat="1" applyFont="1" applyFill="1" applyBorder="1" applyAlignment="1">
      <alignment horizontal="left" vertical="center"/>
    </xf>
    <xf numFmtId="9" fontId="10" fillId="9" borderId="0" xfId="7" applyFont="1" applyFill="1" applyBorder="1">
      <alignment vertical="center"/>
    </xf>
    <xf numFmtId="9" fontId="10" fillId="9" borderId="8" xfId="7" applyFont="1" applyFill="1" applyBorder="1">
      <alignment vertical="center"/>
    </xf>
    <xf numFmtId="9" fontId="10" fillId="9" borderId="8" xfId="7" applyFont="1" applyFill="1" applyBorder="1" applyAlignment="1">
      <alignment horizontal="right" vertical="center"/>
    </xf>
    <xf numFmtId="9" fontId="10" fillId="9" borderId="0" xfId="7" applyFont="1" applyFill="1" applyBorder="1" applyAlignment="1">
      <alignment horizontal="right" vertical="center"/>
    </xf>
    <xf numFmtId="185" fontId="10" fillId="0" borderId="0" xfId="10" applyNumberFormat="1" applyFont="1" applyFill="1" applyBorder="1" applyAlignment="1">
      <alignment horizontal="center" vertical="center"/>
    </xf>
    <xf numFmtId="185" fontId="10" fillId="0" borderId="8" xfId="10" applyNumberFormat="1" applyFont="1" applyFill="1" applyBorder="1" applyAlignment="1">
      <alignment horizontal="center" vertical="center"/>
    </xf>
    <xf numFmtId="226" fontId="10" fillId="2" borderId="5" xfId="9" applyFont="1" applyFill="1" applyBorder="1" applyAlignment="1">
      <alignment horizontal="left"/>
    </xf>
    <xf numFmtId="226" fontId="12" fillId="2" borderId="3" xfId="9" applyFont="1" applyFill="1" applyBorder="1" applyAlignment="1">
      <alignment horizontal="center"/>
    </xf>
    <xf numFmtId="226" fontId="12" fillId="2" borderId="7" xfId="9" applyFont="1" applyFill="1" applyBorder="1" applyAlignment="1">
      <alignment horizontal="center"/>
    </xf>
    <xf numFmtId="226" fontId="12" fillId="2" borderId="3" xfId="13" applyFont="1" applyFill="1" applyBorder="1" applyAlignment="1">
      <alignment horizontal="center" vertical="center"/>
    </xf>
    <xf numFmtId="226" fontId="12" fillId="2" borderId="7" xfId="13" applyFont="1" applyFill="1" applyBorder="1" applyAlignment="1">
      <alignment horizontal="center" vertical="center"/>
    </xf>
    <xf numFmtId="226" fontId="10" fillId="0" borderId="30" xfId="13" applyFont="1" applyFill="1" applyBorder="1">
      <alignment vertical="center"/>
    </xf>
    <xf numFmtId="9" fontId="10" fillId="0" borderId="18" xfId="10" applyNumberFormat="1" applyFont="1" applyFill="1" applyBorder="1" applyAlignment="1">
      <alignment horizontal="right" vertical="center"/>
    </xf>
    <xf numFmtId="9" fontId="10" fillId="0" borderId="29" xfId="10" applyNumberFormat="1" applyFont="1" applyFill="1" applyBorder="1" applyAlignment="1">
      <alignment horizontal="right" vertical="center"/>
    </xf>
    <xf numFmtId="9" fontId="10" fillId="0" borderId="18" xfId="13" applyNumberFormat="1" applyFont="1" applyFill="1" applyBorder="1" applyAlignment="1">
      <alignment horizontal="right" vertical="center"/>
    </xf>
    <xf numFmtId="9" fontId="10" fillId="0" borderId="29" xfId="13" applyNumberFormat="1" applyFont="1" applyFill="1" applyBorder="1" applyAlignment="1">
      <alignment horizontal="right" vertical="center"/>
    </xf>
    <xf numFmtId="3" fontId="7" fillId="0" borderId="0" xfId="0" applyNumberFormat="1" applyFont="1">
      <alignment vertical="center"/>
    </xf>
    <xf numFmtId="9" fontId="7" fillId="0" borderId="0" xfId="0" applyNumberFormat="1" applyFont="1">
      <alignment vertical="center"/>
    </xf>
    <xf numFmtId="192" fontId="7" fillId="0" borderId="0" xfId="12" applyNumberFormat="1" applyFont="1">
      <alignment vertical="center"/>
    </xf>
    <xf numFmtId="181" fontId="7" fillId="0" borderId="0" xfId="7" applyNumberFormat="1" applyFont="1">
      <alignment vertical="center"/>
    </xf>
    <xf numFmtId="226" fontId="75" fillId="34" borderId="0" xfId="0" applyFont="1" applyFill="1">
      <alignment vertical="center"/>
    </xf>
    <xf numFmtId="226" fontId="76" fillId="34" borderId="0" xfId="0" applyFont="1" applyFill="1">
      <alignment vertical="center"/>
    </xf>
    <xf numFmtId="181" fontId="77" fillId="9" borderId="0" xfId="7" applyNumberFormat="1" applyFont="1" applyFill="1" applyBorder="1">
      <alignment vertical="center"/>
    </xf>
    <xf numFmtId="9" fontId="10" fillId="9" borderId="6" xfId="7" applyFont="1" applyFill="1" applyBorder="1" applyAlignment="1">
      <alignment horizontal="left" vertical="center" indent="1"/>
    </xf>
    <xf numFmtId="9" fontId="10" fillId="0" borderId="6" xfId="7" applyFont="1" applyFill="1" applyBorder="1" applyAlignment="1">
      <alignment horizontal="left" vertical="center" indent="1"/>
    </xf>
    <xf numFmtId="181" fontId="10" fillId="0" borderId="0" xfId="7" applyNumberFormat="1" applyFont="1" applyFill="1" applyBorder="1" applyAlignment="1">
      <alignment horizontal="left" vertical="center"/>
    </xf>
    <xf numFmtId="178" fontId="10" fillId="9" borderId="0" xfId="10" applyFont="1" applyFill="1" applyBorder="1" applyAlignment="1">
      <alignment horizontal="center" vertical="center"/>
    </xf>
    <xf numFmtId="226" fontId="75" fillId="2" borderId="0" xfId="13" applyFont="1" applyFill="1" applyBorder="1" applyAlignment="1">
      <alignment horizontal="center" vertical="center"/>
    </xf>
    <xf numFmtId="226" fontId="75" fillId="2" borderId="8" xfId="13" applyFont="1" applyFill="1" applyBorder="1" applyAlignment="1">
      <alignment horizontal="center" vertical="center"/>
    </xf>
    <xf numFmtId="226" fontId="75" fillId="2" borderId="4" xfId="13" applyFont="1" applyFill="1" applyBorder="1" applyAlignment="1">
      <alignment horizontal="center" vertical="center"/>
    </xf>
    <xf numFmtId="226" fontId="81" fillId="33" borderId="0" xfId="13" applyFont="1" applyFill="1" applyBorder="1">
      <alignment vertical="center"/>
    </xf>
    <xf numFmtId="226" fontId="75" fillId="9" borderId="6" xfId="9" applyFont="1" applyFill="1" applyBorder="1" applyAlignment="1">
      <alignment horizontal="left"/>
    </xf>
    <xf numFmtId="9" fontId="75" fillId="9" borderId="6" xfId="7" applyFont="1" applyFill="1" applyBorder="1" applyAlignment="1">
      <alignment horizontal="left" wrapText="1"/>
    </xf>
    <xf numFmtId="38" fontId="75" fillId="0" borderId="6" xfId="9" applyNumberFormat="1" applyFont="1" applyFill="1" applyBorder="1"/>
    <xf numFmtId="38" fontId="7" fillId="0" borderId="6" xfId="9" applyNumberFormat="1" applyFont="1" applyFill="1" applyBorder="1"/>
    <xf numFmtId="38" fontId="7" fillId="0" borderId="6" xfId="9" quotePrefix="1" applyNumberFormat="1" applyFont="1" applyFill="1" applyBorder="1"/>
    <xf numFmtId="38" fontId="7" fillId="0" borderId="6" xfId="9" applyNumberFormat="1" applyFont="1" applyFill="1" applyBorder="1" applyAlignment="1">
      <alignment horizontal="left"/>
    </xf>
    <xf numFmtId="226" fontId="7" fillId="0" borderId="6" xfId="9" applyFont="1" applyFill="1" applyBorder="1"/>
    <xf numFmtId="209" fontId="7" fillId="0" borderId="6" xfId="13" applyNumberFormat="1" applyFont="1" applyFill="1" applyBorder="1">
      <alignment vertical="center"/>
    </xf>
    <xf numFmtId="9" fontId="7" fillId="0" borderId="6" xfId="7" applyFont="1" applyFill="1" applyBorder="1" applyAlignment="1">
      <alignment horizontal="left" vertical="center"/>
    </xf>
    <xf numFmtId="181" fontId="7" fillId="0" borderId="6" xfId="9" applyNumberFormat="1" applyFont="1" applyFill="1" applyBorder="1"/>
    <xf numFmtId="181" fontId="75" fillId="0" borderId="6" xfId="7" applyNumberFormat="1" applyFont="1" applyFill="1" applyBorder="1" applyAlignment="1"/>
    <xf numFmtId="181" fontId="7" fillId="0" borderId="6" xfId="7" applyNumberFormat="1" applyFont="1" applyFill="1" applyBorder="1" applyAlignment="1"/>
    <xf numFmtId="38" fontId="75" fillId="0" borderId="6" xfId="9" applyNumberFormat="1" applyFont="1" applyFill="1" applyBorder="1" applyAlignment="1">
      <alignment horizontal="left"/>
    </xf>
    <xf numFmtId="217" fontId="75" fillId="0" borderId="6" xfId="9" applyNumberFormat="1" applyFont="1" applyFill="1" applyBorder="1" applyAlignment="1">
      <alignment horizontal="left"/>
    </xf>
    <xf numFmtId="226" fontId="75" fillId="0" borderId="6" xfId="9" applyFont="1" applyFill="1" applyBorder="1"/>
    <xf numFmtId="226" fontId="75" fillId="34" borderId="6" xfId="13" applyFont="1" applyFill="1" applyBorder="1" applyAlignment="1">
      <alignment horizontal="center" vertical="center"/>
    </xf>
    <xf numFmtId="181" fontId="7" fillId="9" borderId="6" xfId="9" applyNumberFormat="1" applyFont="1" applyFill="1" applyBorder="1"/>
    <xf numFmtId="226" fontId="7" fillId="0" borderId="6" xfId="13" applyFont="1" applyFill="1" applyBorder="1">
      <alignment vertical="center"/>
    </xf>
    <xf numFmtId="226" fontId="7" fillId="2" borderId="6" xfId="9" applyFont="1" applyFill="1" applyBorder="1" applyAlignment="1">
      <alignment horizontal="left"/>
    </xf>
    <xf numFmtId="226" fontId="75" fillId="2" borderId="6" xfId="9" applyFont="1" applyFill="1" applyBorder="1" applyAlignment="1">
      <alignment horizontal="center"/>
    </xf>
    <xf numFmtId="226" fontId="7" fillId="0" borderId="6" xfId="5" applyFont="1" applyFill="1" applyBorder="1" applyProtection="1"/>
    <xf numFmtId="178" fontId="7" fillId="0" borderId="6" xfId="10" applyFont="1" applyFill="1" applyBorder="1" applyAlignment="1" applyProtection="1"/>
    <xf numFmtId="178" fontId="7" fillId="0" borderId="6" xfId="10" applyFont="1" applyFill="1" applyBorder="1" applyAlignment="1" applyProtection="1">
      <alignment horizontal="left"/>
    </xf>
    <xf numFmtId="181" fontId="7" fillId="0" borderId="6" xfId="5" applyNumberFormat="1" applyFont="1" applyFill="1" applyBorder="1" applyProtection="1"/>
    <xf numFmtId="226" fontId="75" fillId="0" borderId="6" xfId="5" applyFont="1" applyFill="1" applyBorder="1" applyProtection="1"/>
    <xf numFmtId="38" fontId="7" fillId="0" borderId="6" xfId="13" applyNumberFormat="1" applyFont="1" applyFill="1" applyBorder="1">
      <alignment vertical="center"/>
    </xf>
    <xf numFmtId="226" fontId="7" fillId="2" borderId="6" xfId="13" applyFont="1" applyFill="1" applyBorder="1">
      <alignment vertical="center"/>
    </xf>
    <xf numFmtId="177" fontId="7" fillId="0" borderId="0" xfId="12" applyNumberFormat="1" applyFont="1">
      <alignment vertical="center"/>
    </xf>
    <xf numFmtId="184" fontId="7" fillId="0" borderId="0" xfId="12" applyNumberFormat="1" applyFont="1">
      <alignment vertical="center"/>
    </xf>
    <xf numFmtId="178" fontId="75" fillId="0" borderId="6" xfId="10" applyFont="1" applyFill="1" applyBorder="1" applyAlignment="1">
      <alignment horizontal="left" vertical="center" wrapText="1"/>
    </xf>
    <xf numFmtId="178" fontId="7" fillId="0" borderId="6" xfId="10" applyFont="1" applyFill="1" applyBorder="1" applyAlignment="1">
      <alignment horizontal="left" vertical="center"/>
    </xf>
    <xf numFmtId="218" fontId="7" fillId="0" borderId="6" xfId="10" applyNumberFormat="1" applyFont="1" applyFill="1" applyBorder="1" applyAlignment="1" applyProtection="1">
      <alignment horizontal="left"/>
    </xf>
    <xf numFmtId="218" fontId="75" fillId="0" borderId="6" xfId="10" applyNumberFormat="1" applyFont="1" applyFill="1" applyBorder="1" applyAlignment="1" applyProtection="1">
      <alignment horizontal="left"/>
    </xf>
    <xf numFmtId="226" fontId="75" fillId="34" borderId="0" xfId="0" applyFont="1" applyFill="1" applyAlignment="1">
      <alignment horizontal="center" vertical="center"/>
    </xf>
    <xf numFmtId="226" fontId="83" fillId="2" borderId="0" xfId="13" applyFont="1" applyFill="1" applyBorder="1" applyAlignment="1">
      <alignment horizontal="center" vertical="center"/>
    </xf>
    <xf numFmtId="177" fontId="7" fillId="0" borderId="0" xfId="12" applyFont="1">
      <alignment vertical="center"/>
    </xf>
    <xf numFmtId="184" fontId="7" fillId="0" borderId="0" xfId="0" applyNumberFormat="1" applyFont="1">
      <alignment vertical="center"/>
    </xf>
    <xf numFmtId="188" fontId="7" fillId="0" borderId="0" xfId="0" applyNumberFormat="1" applyFont="1">
      <alignment vertical="center"/>
    </xf>
    <xf numFmtId="177" fontId="7" fillId="0" borderId="0" xfId="0" applyNumberFormat="1" applyFont="1">
      <alignment vertical="center"/>
    </xf>
    <xf numFmtId="9" fontId="7" fillId="0" borderId="0" xfId="7" applyFont="1" applyAlignment="1">
      <alignment horizontal="center" vertical="center"/>
    </xf>
    <xf numFmtId="226" fontId="83" fillId="0" borderId="0" xfId="13" applyFont="1" applyFill="1" applyBorder="1" applyAlignment="1">
      <alignment horizontal="center" vertical="center"/>
    </xf>
    <xf numFmtId="226" fontId="75" fillId="0" borderId="0" xfId="0" applyFont="1" applyFill="1" applyAlignment="1">
      <alignment horizontal="center" vertical="center"/>
    </xf>
    <xf numFmtId="17" fontId="75" fillId="0" borderId="0" xfId="0" applyNumberFormat="1" applyFont="1" applyFill="1" applyAlignment="1">
      <alignment horizontal="center" vertical="center"/>
    </xf>
    <xf numFmtId="226" fontId="81" fillId="33" borderId="0" xfId="13" applyFont="1" applyFill="1" applyBorder="1" applyAlignment="1">
      <alignment horizontal="left" vertical="center"/>
    </xf>
    <xf numFmtId="226" fontId="7" fillId="0" borderId="0" xfId="13" applyFont="1" applyFill="1" applyBorder="1" applyAlignment="1">
      <alignment horizontal="left" vertical="center"/>
    </xf>
    <xf numFmtId="226" fontId="7" fillId="0" borderId="0" xfId="0" applyFont="1" applyFill="1" applyAlignment="1">
      <alignment horizontal="left" vertical="center"/>
    </xf>
    <xf numFmtId="17" fontId="7" fillId="0" borderId="0" xfId="0" applyNumberFormat="1" applyFont="1" applyFill="1" applyAlignment="1">
      <alignment horizontal="left" vertical="center"/>
    </xf>
    <xf numFmtId="226" fontId="7" fillId="0" borderId="0" xfId="0" applyFont="1" applyAlignment="1">
      <alignment horizontal="left" vertical="center"/>
    </xf>
    <xf numFmtId="9" fontId="7" fillId="0" borderId="0" xfId="7" applyFont="1" applyFill="1" applyAlignment="1">
      <alignment vertical="center"/>
    </xf>
    <xf numFmtId="226" fontId="7" fillId="0" borderId="0" xfId="0" applyFont="1" applyFill="1" applyAlignment="1">
      <alignment vertical="center"/>
    </xf>
    <xf numFmtId="192" fontId="7" fillId="0" borderId="0" xfId="12" applyNumberFormat="1" applyFont="1" applyFill="1" applyAlignment="1">
      <alignment vertical="center"/>
    </xf>
    <xf numFmtId="17" fontId="7" fillId="0" borderId="0" xfId="0" applyNumberFormat="1" applyFont="1" applyFill="1" applyAlignment="1">
      <alignment vertical="center"/>
    </xf>
    <xf numFmtId="192" fontId="7" fillId="0" borderId="0" xfId="12" applyNumberFormat="1" applyFont="1" applyAlignment="1">
      <alignment vertical="center"/>
    </xf>
    <xf numFmtId="226" fontId="7" fillId="0" borderId="0" xfId="0" applyFont="1" applyAlignment="1">
      <alignment vertical="center"/>
    </xf>
    <xf numFmtId="9" fontId="7" fillId="0" borderId="0" xfId="0" applyNumberFormat="1" applyFont="1" applyFill="1" applyAlignment="1">
      <alignment vertical="center"/>
    </xf>
    <xf numFmtId="9" fontId="7" fillId="0" borderId="0" xfId="0" applyNumberFormat="1" applyFont="1" applyAlignment="1">
      <alignment vertical="center"/>
    </xf>
    <xf numFmtId="226" fontId="7" fillId="37" borderId="0" xfId="13" applyFont="1" applyFill="1" applyBorder="1" applyAlignment="1">
      <alignment horizontal="left" vertical="center"/>
    </xf>
    <xf numFmtId="226" fontId="76" fillId="0" borderId="0" xfId="13" applyFont="1" applyFill="1" applyBorder="1" applyAlignment="1">
      <alignment horizontal="left" vertical="center"/>
    </xf>
    <xf numFmtId="226" fontId="75" fillId="34" borderId="0" xfId="0" applyNumberFormat="1" applyFont="1" applyFill="1" applyAlignment="1">
      <alignment horizontal="center" vertical="center"/>
    </xf>
    <xf numFmtId="9" fontId="7" fillId="0" borderId="0" xfId="7" applyFont="1" applyAlignment="1">
      <alignment vertical="center"/>
    </xf>
    <xf numFmtId="226" fontId="7" fillId="0" borderId="0" xfId="0" applyFont="1" applyAlignment="1">
      <alignment horizontal="center" vertical="center"/>
    </xf>
    <xf numFmtId="17" fontId="75" fillId="34" borderId="0" xfId="0" applyNumberFormat="1" applyFont="1" applyFill="1" applyAlignment="1">
      <alignment horizontal="center" vertical="center"/>
    </xf>
    <xf numFmtId="226" fontId="7" fillId="0" borderId="6" xfId="9" applyFont="1" applyFill="1" applyBorder="1" applyAlignment="1">
      <alignment horizontal="right" wrapText="1"/>
    </xf>
    <xf numFmtId="218" fontId="75" fillId="0" borderId="6" xfId="10" applyNumberFormat="1" applyFont="1" applyFill="1" applyBorder="1" applyAlignment="1" applyProtection="1">
      <alignment horizontal="right"/>
    </xf>
    <xf numFmtId="226" fontId="7" fillId="0" borderId="6" xfId="13" applyFont="1" applyFill="1" applyBorder="1" applyAlignment="1">
      <alignment horizontal="left" vertical="center"/>
    </xf>
    <xf numFmtId="226" fontId="7" fillId="0" borderId="6" xfId="13" applyFont="1" applyFill="1" applyBorder="1" applyAlignment="1">
      <alignment horizontal="left" vertical="center" indent="1"/>
    </xf>
    <xf numFmtId="219" fontId="7" fillId="0" borderId="6" xfId="13" applyNumberFormat="1" applyFont="1" applyFill="1" applyBorder="1">
      <alignment vertical="center"/>
    </xf>
    <xf numFmtId="9" fontId="7" fillId="0" borderId="6" xfId="13" applyNumberFormat="1" applyFont="1" applyFill="1" applyBorder="1" applyAlignment="1">
      <alignment horizontal="left" vertical="center"/>
    </xf>
    <xf numFmtId="226" fontId="7" fillId="0" borderId="6" xfId="13" applyFont="1" applyFill="1" applyBorder="1" applyAlignment="1">
      <alignment vertical="center"/>
    </xf>
    <xf numFmtId="226" fontId="75" fillId="0" borderId="6" xfId="13" applyFont="1" applyFill="1" applyBorder="1" applyAlignment="1">
      <alignment vertical="center"/>
    </xf>
    <xf numFmtId="226" fontId="76" fillId="0" borderId="6" xfId="13" applyFont="1" applyFill="1" applyBorder="1" applyAlignment="1">
      <alignment vertical="center"/>
    </xf>
    <xf numFmtId="9" fontId="7" fillId="0" borderId="0" xfId="7" applyNumberFormat="1" applyFont="1">
      <alignment vertical="center"/>
    </xf>
    <xf numFmtId="226" fontId="75" fillId="0" borderId="6" xfId="13" applyFont="1" applyFill="1" applyBorder="1">
      <alignment vertical="center"/>
    </xf>
    <xf numFmtId="226" fontId="83" fillId="0" borderId="6" xfId="13" applyFont="1" applyFill="1" applyBorder="1">
      <alignment vertical="center"/>
    </xf>
    <xf numFmtId="189" fontId="83" fillId="0" borderId="6" xfId="13" applyNumberFormat="1" applyFont="1" applyFill="1" applyBorder="1">
      <alignment vertical="center"/>
    </xf>
    <xf numFmtId="189" fontId="7" fillId="0" borderId="6" xfId="13" applyNumberFormat="1" applyFont="1" applyFill="1" applyBorder="1" applyAlignment="1">
      <alignment vertical="center"/>
    </xf>
    <xf numFmtId="219" fontId="7" fillId="0" borderId="6" xfId="13" applyNumberFormat="1" applyFont="1" applyFill="1" applyBorder="1" applyAlignment="1">
      <alignment vertical="center"/>
    </xf>
    <xf numFmtId="226" fontId="83" fillId="0" borderId="6" xfId="13" applyFont="1" applyFill="1" applyBorder="1" applyAlignment="1">
      <alignment vertical="center"/>
    </xf>
    <xf numFmtId="219" fontId="76" fillId="0" borderId="6" xfId="13" applyNumberFormat="1" applyFont="1" applyFill="1" applyBorder="1">
      <alignment vertical="center"/>
    </xf>
    <xf numFmtId="9" fontId="7" fillId="0" borderId="0" xfId="7" applyFont="1" applyFill="1" applyBorder="1">
      <alignment vertical="center"/>
    </xf>
    <xf numFmtId="226" fontId="10" fillId="0" borderId="32" xfId="13" applyFont="1" applyFill="1" applyBorder="1">
      <alignment vertical="center"/>
    </xf>
    <xf numFmtId="192" fontId="10" fillId="0" borderId="0" xfId="14" applyNumberFormat="1" applyFont="1" applyFill="1" applyBorder="1" applyAlignment="1">
      <alignment horizontal="right" vertical="center"/>
    </xf>
    <xf numFmtId="192" fontId="10" fillId="0" borderId="8" xfId="14" applyNumberFormat="1" applyFont="1" applyFill="1" applyBorder="1" applyAlignment="1">
      <alignment horizontal="right" vertical="center"/>
    </xf>
    <xf numFmtId="189" fontId="10" fillId="0" borderId="0" xfId="14" applyNumberFormat="1" applyFont="1" applyFill="1" applyBorder="1">
      <alignment vertical="center"/>
    </xf>
    <xf numFmtId="2" fontId="10" fillId="0" borderId="0" xfId="14" applyNumberFormat="1" applyFont="1" applyFill="1" applyBorder="1">
      <alignment vertical="center"/>
    </xf>
    <xf numFmtId="2" fontId="10" fillId="0" borderId="8" xfId="14" applyNumberFormat="1" applyFont="1" applyFill="1" applyBorder="1">
      <alignment vertical="center"/>
    </xf>
    <xf numFmtId="188" fontId="10" fillId="0" borderId="0" xfId="14" applyNumberFormat="1" applyFont="1" applyFill="1" applyBorder="1">
      <alignment vertical="center"/>
    </xf>
    <xf numFmtId="188" fontId="10" fillId="0" borderId="8" xfId="14" applyNumberFormat="1" applyFont="1" applyFill="1" applyBorder="1">
      <alignment vertical="center"/>
    </xf>
    <xf numFmtId="189" fontId="10" fillId="0" borderId="4" xfId="14" applyNumberFormat="1" applyFont="1" applyFill="1" applyBorder="1">
      <alignment vertical="center"/>
    </xf>
    <xf numFmtId="189" fontId="10" fillId="9" borderId="0" xfId="14" applyNumberFormat="1" applyFont="1" applyFill="1" applyBorder="1">
      <alignment vertical="center"/>
    </xf>
    <xf numFmtId="192" fontId="10" fillId="0" borderId="8" xfId="14" applyNumberFormat="1" applyFont="1" applyFill="1" applyBorder="1">
      <alignment vertical="center"/>
    </xf>
    <xf numFmtId="1" fontId="10" fillId="0" borderId="0" xfId="14" applyNumberFormat="1" applyFont="1" applyFill="1" applyBorder="1">
      <alignment vertical="center"/>
    </xf>
    <xf numFmtId="1" fontId="10" fillId="0" borderId="8" xfId="14" applyNumberFormat="1" applyFont="1" applyFill="1" applyBorder="1">
      <alignment vertical="center"/>
    </xf>
    <xf numFmtId="192" fontId="10" fillId="0" borderId="6" xfId="14" applyNumberFormat="1" applyFont="1" applyFill="1" applyBorder="1">
      <alignment vertical="center"/>
    </xf>
    <xf numFmtId="226" fontId="10" fillId="0" borderId="0" xfId="13" applyFont="1" applyFill="1" applyBorder="1" applyAlignment="1">
      <alignment vertical="center" wrapText="1"/>
    </xf>
    <xf numFmtId="226" fontId="10" fillId="0" borderId="33" xfId="13" applyFont="1" applyFill="1" applyBorder="1">
      <alignment vertical="center"/>
    </xf>
    <xf numFmtId="192" fontId="12" fillId="2" borderId="0" xfId="14" applyNumberFormat="1" applyFont="1" applyFill="1" applyBorder="1" applyAlignment="1">
      <alignment horizontal="center" vertical="center"/>
    </xf>
    <xf numFmtId="192" fontId="12" fillId="2" borderId="8" xfId="14" applyNumberFormat="1" applyFont="1" applyFill="1" applyBorder="1" applyAlignment="1">
      <alignment horizontal="center" vertical="center"/>
    </xf>
    <xf numFmtId="192" fontId="10" fillId="0" borderId="0" xfId="14" applyNumberFormat="1" applyFont="1" applyFill="1" applyBorder="1" applyAlignment="1"/>
    <xf numFmtId="177" fontId="10" fillId="0" borderId="0" xfId="14" applyNumberFormat="1" applyFont="1" applyFill="1" applyBorder="1">
      <alignment vertical="center"/>
    </xf>
    <xf numFmtId="192" fontId="5" fillId="0" borderId="0" xfId="14" applyNumberFormat="1" applyFont="1" applyFill="1" applyBorder="1">
      <alignment vertical="center"/>
    </xf>
    <xf numFmtId="192" fontId="10" fillId="0" borderId="0" xfId="14" applyNumberFormat="1" applyFont="1" applyFill="1" applyBorder="1" applyAlignment="1" applyProtection="1"/>
    <xf numFmtId="192" fontId="10" fillId="0" borderId="0" xfId="14" applyNumberFormat="1" applyFont="1" applyFill="1" applyBorder="1" applyAlignment="1">
      <alignment horizontal="center" vertical="center"/>
    </xf>
    <xf numFmtId="192" fontId="10" fillId="0" borderId="8" xfId="14" applyNumberFormat="1" applyFont="1" applyFill="1" applyBorder="1" applyAlignment="1">
      <alignment horizontal="center" vertical="center"/>
    </xf>
    <xf numFmtId="192" fontId="10" fillId="5" borderId="0" xfId="14" applyNumberFormat="1" applyFont="1" applyFill="1" applyBorder="1">
      <alignment vertical="center"/>
    </xf>
    <xf numFmtId="226" fontId="7" fillId="0" borderId="0" xfId="13" applyFont="1">
      <alignment vertical="center"/>
    </xf>
    <xf numFmtId="226" fontId="7" fillId="0" borderId="0" xfId="13" applyFont="1" applyBorder="1" applyAlignment="1">
      <alignment horizontal="center" vertical="center"/>
    </xf>
    <xf numFmtId="226" fontId="7" fillId="0" borderId="0" xfId="13" applyFont="1" applyBorder="1">
      <alignment vertical="center"/>
    </xf>
    <xf numFmtId="226" fontId="7" fillId="0" borderId="4" xfId="13" applyFont="1" applyBorder="1">
      <alignment vertical="center"/>
    </xf>
    <xf numFmtId="192" fontId="7" fillId="0" borderId="0" xfId="14" applyNumberFormat="1" applyFont="1" applyBorder="1">
      <alignment vertical="center"/>
    </xf>
    <xf numFmtId="226" fontId="7" fillId="0" borderId="4" xfId="13" applyFont="1" applyBorder="1" applyAlignment="1">
      <alignment vertical="center" wrapText="1"/>
    </xf>
    <xf numFmtId="1" fontId="7" fillId="0" borderId="0" xfId="13" applyNumberFormat="1" applyFont="1" applyBorder="1">
      <alignment vertical="center"/>
    </xf>
    <xf numFmtId="193" fontId="7" fillId="0" borderId="0" xfId="13" applyNumberFormat="1" applyFont="1" applyBorder="1">
      <alignment vertical="center"/>
    </xf>
    <xf numFmtId="226" fontId="7" fillId="0" borderId="8" xfId="13" applyFont="1" applyBorder="1">
      <alignment vertical="center"/>
    </xf>
    <xf numFmtId="38" fontId="7" fillId="0" borderId="0" xfId="13" applyNumberFormat="1" applyFont="1">
      <alignment vertical="center"/>
    </xf>
    <xf numFmtId="9" fontId="7" fillId="0" borderId="0" xfId="7" applyFont="1" applyBorder="1">
      <alignment vertical="center"/>
    </xf>
    <xf numFmtId="226" fontId="70" fillId="38" borderId="4" xfId="13" applyFont="1" applyFill="1" applyBorder="1">
      <alignment vertical="center"/>
    </xf>
    <xf numFmtId="209" fontId="10" fillId="9" borderId="0" xfId="7" applyNumberFormat="1" applyFont="1" applyFill="1" applyBorder="1">
      <alignment vertical="center"/>
    </xf>
    <xf numFmtId="189" fontId="7" fillId="0" borderId="0" xfId="13" applyNumberFormat="1" applyFont="1" applyBorder="1">
      <alignment vertical="center"/>
    </xf>
    <xf numFmtId="189" fontId="7" fillId="0" borderId="0" xfId="13" applyNumberFormat="1" applyFont="1">
      <alignment vertical="center"/>
    </xf>
    <xf numFmtId="192" fontId="7" fillId="0" borderId="0" xfId="14" applyNumberFormat="1" applyFont="1">
      <alignment vertical="center"/>
    </xf>
    <xf numFmtId="177" fontId="7" fillId="0" borderId="0" xfId="14" applyFont="1">
      <alignment vertical="center"/>
    </xf>
    <xf numFmtId="177" fontId="7" fillId="0" borderId="0" xfId="14" applyFont="1" applyFill="1">
      <alignment vertical="center"/>
    </xf>
    <xf numFmtId="192" fontId="7" fillId="0" borderId="6" xfId="14" applyNumberFormat="1" applyFont="1" applyFill="1" applyBorder="1">
      <alignment vertical="center"/>
    </xf>
    <xf numFmtId="226" fontId="10" fillId="0" borderId="0" xfId="13" applyFont="1" applyFill="1" applyBorder="1" applyAlignment="1">
      <alignment vertical="center" wrapText="1"/>
    </xf>
    <xf numFmtId="177" fontId="90" fillId="0" borderId="0" xfId="14" applyFont="1" applyFill="1">
      <alignment vertical="center"/>
    </xf>
    <xf numFmtId="177" fontId="90" fillId="0" borderId="0" xfId="14" applyFont="1">
      <alignment vertical="center"/>
    </xf>
    <xf numFmtId="10" fontId="7" fillId="0" borderId="0" xfId="7" applyNumberFormat="1" applyFont="1">
      <alignment vertical="center"/>
    </xf>
    <xf numFmtId="226" fontId="10" fillId="0" borderId="0" xfId="171" applyFont="1" applyFill="1" applyBorder="1">
      <alignment vertical="center"/>
    </xf>
    <xf numFmtId="226" fontId="10" fillId="0" borderId="8" xfId="171" applyFont="1" applyFill="1" applyBorder="1">
      <alignment vertical="center"/>
    </xf>
    <xf numFmtId="226" fontId="10" fillId="2" borderId="6" xfId="172" applyFont="1" applyFill="1" applyBorder="1" applyAlignment="1">
      <alignment horizontal="left"/>
    </xf>
    <xf numFmtId="226" fontId="12" fillId="2" borderId="0" xfId="172" applyFont="1" applyFill="1" applyBorder="1" applyAlignment="1">
      <alignment horizontal="center"/>
    </xf>
    <xf numFmtId="226" fontId="12" fillId="2" borderId="8" xfId="172" applyFont="1" applyFill="1" applyBorder="1" applyAlignment="1">
      <alignment horizontal="center"/>
    </xf>
    <xf numFmtId="226" fontId="12" fillId="2" borderId="0" xfId="171" applyFont="1" applyFill="1" applyBorder="1" applyAlignment="1">
      <alignment horizontal="center" vertical="center"/>
    </xf>
    <xf numFmtId="226" fontId="12" fillId="2" borderId="8" xfId="171" applyFont="1" applyFill="1" applyBorder="1" applyAlignment="1">
      <alignment horizontal="center" vertical="center"/>
    </xf>
    <xf numFmtId="226" fontId="12" fillId="2" borderId="4" xfId="171" applyFont="1" applyFill="1" applyBorder="1" applyAlignment="1">
      <alignment horizontal="center" vertical="center"/>
    </xf>
    <xf numFmtId="226" fontId="12" fillId="2" borderId="6" xfId="172" applyFont="1" applyFill="1" applyBorder="1" applyAlignment="1">
      <alignment horizontal="center"/>
    </xf>
    <xf numFmtId="226" fontId="12" fillId="2" borderId="0" xfId="171" applyFont="1" applyFill="1" applyBorder="1" applyAlignment="1">
      <alignment horizontal="right" vertical="center"/>
    </xf>
    <xf numFmtId="226" fontId="12" fillId="2" borderId="4" xfId="171" applyFont="1" applyFill="1" applyBorder="1" applyAlignment="1">
      <alignment horizontal="right" vertical="center"/>
    </xf>
    <xf numFmtId="226" fontId="10" fillId="2" borderId="0" xfId="171" applyFont="1" applyFill="1" applyBorder="1">
      <alignment vertical="center"/>
    </xf>
    <xf numFmtId="226" fontId="12" fillId="2" borderId="8" xfId="171" applyFont="1" applyFill="1" applyBorder="1" applyAlignment="1">
      <alignment horizontal="right" vertical="center"/>
    </xf>
    <xf numFmtId="226" fontId="12" fillId="0" borderId="0" xfId="171" applyFont="1" applyFill="1" applyBorder="1" applyAlignment="1">
      <alignment horizontal="right" vertical="center"/>
    </xf>
    <xf numFmtId="226" fontId="12" fillId="0" borderId="8" xfId="171" applyFont="1" applyFill="1" applyBorder="1" applyAlignment="1">
      <alignment horizontal="right" vertical="center"/>
    </xf>
    <xf numFmtId="226" fontId="10" fillId="0" borderId="0" xfId="171" applyFont="1" applyFill="1" applyBorder="1" applyAlignment="1">
      <alignment horizontal="left" vertical="center"/>
    </xf>
    <xf numFmtId="226" fontId="12" fillId="0" borderId="0" xfId="171" applyFont="1" applyFill="1" applyBorder="1">
      <alignment vertical="center"/>
    </xf>
    <xf numFmtId="226" fontId="10" fillId="0" borderId="0" xfId="171" applyFont="1" applyFill="1" applyBorder="1" applyAlignment="1">
      <alignment horizontal="left" vertical="center" indent="1"/>
    </xf>
    <xf numFmtId="226" fontId="10" fillId="0" borderId="0" xfId="171" applyFont="1" applyFill="1" applyBorder="1" applyAlignment="1">
      <alignment horizontal="right" vertical="center"/>
    </xf>
    <xf numFmtId="226" fontId="10" fillId="0" borderId="8" xfId="171" applyFont="1" applyFill="1" applyBorder="1" applyAlignment="1">
      <alignment horizontal="right" vertical="center"/>
    </xf>
    <xf numFmtId="192" fontId="10" fillId="0" borderId="0" xfId="171" applyNumberFormat="1" applyFont="1" applyFill="1" applyBorder="1" applyAlignment="1">
      <alignment horizontal="right" vertical="center"/>
    </xf>
    <xf numFmtId="192" fontId="10" fillId="0" borderId="8" xfId="171" applyNumberFormat="1" applyFont="1" applyFill="1" applyBorder="1" applyAlignment="1">
      <alignment horizontal="right" vertical="center"/>
    </xf>
    <xf numFmtId="226" fontId="12" fillId="9" borderId="6" xfId="172" applyFont="1" applyFill="1" applyBorder="1" applyAlignment="1">
      <alignment horizontal="left"/>
    </xf>
    <xf numFmtId="226" fontId="10" fillId="0" borderId="6" xfId="172" applyFont="1" applyFill="1" applyBorder="1"/>
    <xf numFmtId="38" fontId="10" fillId="0" borderId="0" xfId="171" applyNumberFormat="1" applyFont="1" applyFill="1" applyBorder="1">
      <alignment vertical="center"/>
    </xf>
    <xf numFmtId="38" fontId="10" fillId="0" borderId="8" xfId="171" applyNumberFormat="1" applyFont="1" applyFill="1" applyBorder="1">
      <alignment vertical="center"/>
    </xf>
    <xf numFmtId="209" fontId="10" fillId="0" borderId="0" xfId="171" applyNumberFormat="1" applyFont="1" applyFill="1" applyBorder="1">
      <alignment vertical="center"/>
    </xf>
    <xf numFmtId="209" fontId="10" fillId="0" borderId="8" xfId="171" applyNumberFormat="1" applyFont="1" applyFill="1" applyBorder="1">
      <alignment vertical="center"/>
    </xf>
    <xf numFmtId="181" fontId="10" fillId="0" borderId="6" xfId="172" applyNumberFormat="1" applyFont="1" applyFill="1" applyBorder="1"/>
    <xf numFmtId="181" fontId="10" fillId="0" borderId="8" xfId="171" applyNumberFormat="1" applyFont="1" applyFill="1" applyBorder="1">
      <alignment vertical="center"/>
    </xf>
    <xf numFmtId="181" fontId="10" fillId="0" borderId="0" xfId="171" applyNumberFormat="1" applyFont="1" applyFill="1" applyBorder="1">
      <alignment vertical="center"/>
    </xf>
    <xf numFmtId="181" fontId="12" fillId="0" borderId="6" xfId="172" applyNumberFormat="1" applyFont="1" applyFill="1" applyBorder="1"/>
    <xf numFmtId="217" fontId="12" fillId="0" borderId="6" xfId="172" applyNumberFormat="1" applyFont="1" applyFill="1" applyBorder="1" applyAlignment="1">
      <alignment horizontal="left"/>
    </xf>
    <xf numFmtId="217" fontId="10" fillId="0" borderId="0" xfId="171" applyNumberFormat="1" applyFont="1" applyFill="1" applyBorder="1">
      <alignment vertical="center"/>
    </xf>
    <xf numFmtId="226" fontId="12" fillId="0" borderId="6" xfId="172" applyFont="1" applyFill="1" applyBorder="1"/>
    <xf numFmtId="226" fontId="10" fillId="0" borderId="0" xfId="172" applyFont="1" applyFill="1" applyBorder="1"/>
    <xf numFmtId="226" fontId="10" fillId="0" borderId="8" xfId="172" applyFont="1" applyFill="1" applyBorder="1"/>
    <xf numFmtId="184" fontId="10" fillId="0" borderId="0" xfId="173" applyNumberFormat="1" applyFont="1" applyFill="1" applyBorder="1"/>
    <xf numFmtId="184" fontId="10" fillId="0" borderId="8" xfId="173" applyNumberFormat="1" applyFont="1" applyFill="1" applyBorder="1"/>
    <xf numFmtId="226" fontId="10" fillId="34" borderId="6" xfId="172" applyFont="1" applyFill="1" applyBorder="1" applyAlignment="1">
      <alignment horizontal="left"/>
    </xf>
    <xf numFmtId="226" fontId="12" fillId="34" borderId="0" xfId="172" applyFont="1" applyFill="1" applyBorder="1" applyAlignment="1">
      <alignment horizontal="center"/>
    </xf>
    <xf numFmtId="226" fontId="12" fillId="34" borderId="8" xfId="172" applyFont="1" applyFill="1" applyBorder="1" applyAlignment="1">
      <alignment horizontal="center"/>
    </xf>
    <xf numFmtId="226" fontId="12" fillId="34" borderId="6" xfId="171" applyFont="1" applyFill="1" applyBorder="1" applyAlignment="1">
      <alignment horizontal="center" vertical="center"/>
    </xf>
    <xf numFmtId="181" fontId="10" fillId="0" borderId="8" xfId="171" applyNumberFormat="1" applyFont="1" applyFill="1" applyBorder="1" applyAlignment="1">
      <alignment horizontal="right" vertical="center"/>
    </xf>
    <xf numFmtId="181" fontId="10" fillId="0" borderId="0" xfId="171" applyNumberFormat="1" applyFont="1" applyFill="1" applyBorder="1" applyAlignment="1">
      <alignment horizontal="right" vertical="center"/>
    </xf>
    <xf numFmtId="181" fontId="12" fillId="0" borderId="6" xfId="172" applyNumberFormat="1" applyFont="1" applyFill="1" applyBorder="1" applyAlignment="1">
      <alignment horizontal="left"/>
    </xf>
    <xf numFmtId="226" fontId="10" fillId="0" borderId="6" xfId="172" applyFont="1" applyFill="1" applyBorder="1" applyAlignment="1">
      <alignment horizontal="right" wrapText="1"/>
    </xf>
    <xf numFmtId="226" fontId="12" fillId="0" borderId="8" xfId="171" applyFont="1" applyFill="1" applyBorder="1">
      <alignment vertical="center"/>
    </xf>
    <xf numFmtId="181" fontId="10" fillId="9" borderId="6" xfId="172" applyNumberFormat="1" applyFont="1" applyFill="1" applyBorder="1"/>
    <xf numFmtId="226" fontId="5" fillId="0" borderId="0" xfId="171" applyFill="1" applyBorder="1">
      <alignment vertical="center"/>
    </xf>
    <xf numFmtId="226" fontId="10" fillId="0" borderId="6" xfId="174" applyFont="1" applyFill="1" applyBorder="1" applyProtection="1"/>
    <xf numFmtId="226" fontId="12" fillId="0" borderId="0" xfId="174" applyFont="1" applyFill="1" applyBorder="1" applyProtection="1"/>
    <xf numFmtId="226" fontId="12" fillId="0" borderId="8" xfId="174" applyFont="1" applyFill="1" applyBorder="1" applyProtection="1"/>
    <xf numFmtId="181" fontId="10" fillId="0" borderId="6" xfId="174" applyNumberFormat="1" applyFont="1" applyFill="1" applyBorder="1" applyProtection="1"/>
    <xf numFmtId="226" fontId="12" fillId="0" borderId="6" xfId="174" applyFont="1" applyFill="1" applyBorder="1" applyProtection="1"/>
    <xf numFmtId="209" fontId="10" fillId="0" borderId="6" xfId="172" applyNumberFormat="1" applyFont="1" applyFill="1" applyBorder="1" applyAlignment="1">
      <alignment horizontal="left"/>
    </xf>
    <xf numFmtId="209" fontId="10" fillId="0" borderId="0" xfId="171" applyNumberFormat="1" applyFont="1" applyFill="1" applyBorder="1" applyAlignment="1">
      <alignment horizontal="center" vertical="center"/>
    </xf>
    <xf numFmtId="209" fontId="10" fillId="0" borderId="8" xfId="171" applyNumberFormat="1" applyFont="1" applyFill="1" applyBorder="1" applyAlignment="1">
      <alignment horizontal="center" vertical="center"/>
    </xf>
    <xf numFmtId="226" fontId="10" fillId="0" borderId="6" xfId="171" applyFont="1" applyFill="1" applyBorder="1">
      <alignment vertical="center"/>
    </xf>
    <xf numFmtId="226" fontId="12" fillId="2" borderId="6" xfId="171" applyFont="1" applyFill="1" applyBorder="1" applyAlignment="1">
      <alignment horizontal="center" vertical="center"/>
    </xf>
    <xf numFmtId="226" fontId="10" fillId="0" borderId="6" xfId="171" applyFont="1" applyFill="1" applyBorder="1" applyAlignment="1">
      <alignment horizontal="left" vertical="center"/>
    </xf>
    <xf numFmtId="9" fontId="10" fillId="0" borderId="0" xfId="171" applyNumberFormat="1" applyFont="1" applyFill="1" applyBorder="1" applyAlignment="1">
      <alignment horizontal="right" vertical="center"/>
    </xf>
    <xf numFmtId="9" fontId="10" fillId="0" borderId="8" xfId="171" applyNumberFormat="1" applyFont="1" applyFill="1" applyBorder="1" applyAlignment="1">
      <alignment horizontal="right" vertical="center"/>
    </xf>
    <xf numFmtId="226" fontId="10" fillId="0" borderId="6" xfId="171" applyFont="1" applyFill="1" applyBorder="1" applyAlignment="1">
      <alignment horizontal="left" vertical="center" indent="2"/>
    </xf>
    <xf numFmtId="226" fontId="78" fillId="0" borderId="6" xfId="171" applyFont="1" applyFill="1" applyBorder="1">
      <alignment vertical="center"/>
    </xf>
    <xf numFmtId="226" fontId="10" fillId="0" borderId="6" xfId="171" applyFont="1" applyFill="1" applyBorder="1" applyAlignment="1">
      <alignment horizontal="left" vertical="center" indent="1"/>
    </xf>
    <xf numFmtId="219" fontId="10" fillId="0" borderId="6" xfId="171" applyNumberFormat="1" applyFont="1" applyFill="1" applyBorder="1">
      <alignment vertical="center"/>
    </xf>
    <xf numFmtId="219" fontId="10" fillId="0" borderId="0" xfId="171" applyNumberFormat="1" applyFont="1" applyFill="1" applyBorder="1">
      <alignment vertical="center"/>
    </xf>
    <xf numFmtId="219" fontId="10" fillId="0" borderId="8" xfId="171" applyNumberFormat="1" applyFont="1" applyFill="1" applyBorder="1">
      <alignment vertical="center"/>
    </xf>
    <xf numFmtId="219" fontId="10" fillId="0" borderId="0" xfId="171" applyNumberFormat="1" applyFont="1" applyFill="1" applyBorder="1" applyAlignment="1">
      <alignment horizontal="right" vertical="center"/>
    </xf>
    <xf numFmtId="9" fontId="10" fillId="0" borderId="6" xfId="171" applyNumberFormat="1" applyFont="1" applyFill="1" applyBorder="1" applyAlignment="1">
      <alignment horizontal="left" vertical="center"/>
    </xf>
    <xf numFmtId="189" fontId="10" fillId="0" borderId="6" xfId="171" applyNumberFormat="1" applyFont="1" applyFill="1" applyBorder="1">
      <alignment vertical="center"/>
    </xf>
    <xf numFmtId="1" fontId="10" fillId="0" borderId="0" xfId="171" applyNumberFormat="1" applyFont="1" applyFill="1" applyBorder="1">
      <alignment vertical="center"/>
    </xf>
    <xf numFmtId="1" fontId="10" fillId="0" borderId="8" xfId="171" applyNumberFormat="1" applyFont="1" applyFill="1" applyBorder="1">
      <alignment vertical="center"/>
    </xf>
    <xf numFmtId="210" fontId="10" fillId="0" borderId="0" xfId="171" applyNumberFormat="1" applyFont="1" applyFill="1" applyBorder="1">
      <alignment vertical="center"/>
    </xf>
    <xf numFmtId="226" fontId="10" fillId="0" borderId="6" xfId="171" applyFont="1" applyFill="1" applyBorder="1" applyAlignment="1">
      <alignment vertical="center" wrapText="1"/>
    </xf>
    <xf numFmtId="226" fontId="10" fillId="2" borderId="6" xfId="171" applyFont="1" applyFill="1" applyBorder="1">
      <alignment vertical="center"/>
    </xf>
    <xf numFmtId="226" fontId="12" fillId="2" borderId="0" xfId="171" applyFont="1" applyFill="1" applyBorder="1">
      <alignment vertical="center"/>
    </xf>
    <xf numFmtId="226" fontId="12" fillId="2" borderId="8" xfId="171" applyFont="1" applyFill="1" applyBorder="1">
      <alignment vertical="center"/>
    </xf>
    <xf numFmtId="183" fontId="10" fillId="0" borderId="0" xfId="171" applyNumberFormat="1" applyFont="1" applyFill="1" applyBorder="1">
      <alignment vertical="center"/>
    </xf>
    <xf numFmtId="226" fontId="10" fillId="5" borderId="6" xfId="171" applyFont="1" applyFill="1" applyBorder="1">
      <alignment vertical="center"/>
    </xf>
    <xf numFmtId="183" fontId="10" fillId="5" borderId="0" xfId="171" applyNumberFormat="1" applyFont="1" applyFill="1" applyBorder="1">
      <alignment vertical="center"/>
    </xf>
    <xf numFmtId="183" fontId="10" fillId="5" borderId="8" xfId="171" applyNumberFormat="1" applyFont="1" applyFill="1" applyBorder="1">
      <alignment vertical="center"/>
    </xf>
    <xf numFmtId="226" fontId="10" fillId="5" borderId="0" xfId="171" applyFont="1" applyFill="1" applyBorder="1">
      <alignment vertical="center"/>
    </xf>
    <xf numFmtId="226" fontId="10" fillId="5" borderId="8" xfId="171" applyFont="1" applyFill="1" applyBorder="1">
      <alignment vertical="center"/>
    </xf>
    <xf numFmtId="226" fontId="5" fillId="0" borderId="0" xfId="171">
      <alignment vertical="center"/>
    </xf>
    <xf numFmtId="219" fontId="10" fillId="0" borderId="30" xfId="171" applyNumberFormat="1" applyFont="1" applyFill="1" applyBorder="1">
      <alignment vertical="center"/>
    </xf>
    <xf numFmtId="219" fontId="10" fillId="0" borderId="31" xfId="171" applyNumberFormat="1" applyFont="1" applyFill="1" applyBorder="1">
      <alignment vertical="center"/>
    </xf>
    <xf numFmtId="226" fontId="10" fillId="0" borderId="30" xfId="171" applyFont="1" applyFill="1" applyBorder="1">
      <alignment vertical="center"/>
    </xf>
    <xf numFmtId="226" fontId="5" fillId="0" borderId="0" xfId="171" applyFont="1" applyFill="1">
      <alignment vertical="center"/>
    </xf>
    <xf numFmtId="226" fontId="5" fillId="0" borderId="0" xfId="171" applyFont="1">
      <alignment vertical="center"/>
    </xf>
    <xf numFmtId="226" fontId="5" fillId="39" borderId="0" xfId="171" applyFill="1">
      <alignment vertical="center"/>
    </xf>
    <xf numFmtId="192" fontId="7" fillId="0" borderId="0" xfId="14" applyNumberFormat="1" applyFont="1" applyFill="1">
      <alignment vertical="center"/>
    </xf>
    <xf numFmtId="9" fontId="7" fillId="0" borderId="0" xfId="7" applyFont="1" applyFill="1">
      <alignment vertical="center"/>
    </xf>
    <xf numFmtId="181" fontId="7" fillId="0" borderId="0" xfId="7" applyNumberFormat="1" applyFont="1" applyFill="1">
      <alignment vertical="center"/>
    </xf>
    <xf numFmtId="184" fontId="90" fillId="0" borderId="0" xfId="14" applyNumberFormat="1" applyFont="1" applyFill="1">
      <alignment vertical="center"/>
    </xf>
    <xf numFmtId="184" fontId="7" fillId="0" borderId="0" xfId="14" applyNumberFormat="1" applyFont="1" applyFill="1">
      <alignment vertical="center"/>
    </xf>
    <xf numFmtId="38" fontId="10" fillId="0" borderId="0" xfId="171" applyNumberFormat="1" applyFont="1" applyFill="1" applyBorder="1" applyAlignment="1">
      <alignment horizontal="right" vertical="center"/>
    </xf>
    <xf numFmtId="38" fontId="10" fillId="0" borderId="6" xfId="171" applyNumberFormat="1" applyFont="1" applyFill="1" applyBorder="1" applyAlignment="1">
      <alignment horizontal="left" vertical="center"/>
    </xf>
    <xf numFmtId="40" fontId="10" fillId="0" borderId="6" xfId="171" applyNumberFormat="1" applyFont="1" applyFill="1" applyBorder="1" applyAlignment="1">
      <alignment horizontal="left" vertical="center" indent="1"/>
    </xf>
    <xf numFmtId="10" fontId="10" fillId="0" borderId="0" xfId="7" applyNumberFormat="1" applyFont="1" applyFill="1" applyBorder="1">
      <alignment vertical="center"/>
    </xf>
    <xf numFmtId="226" fontId="7" fillId="0" borderId="0" xfId="171" applyFont="1">
      <alignment vertical="center"/>
    </xf>
    <xf numFmtId="181" fontId="76" fillId="0" borderId="0" xfId="7" applyNumberFormat="1" applyFont="1" applyFill="1">
      <alignment vertical="center"/>
    </xf>
    <xf numFmtId="181" fontId="76" fillId="0" borderId="8" xfId="7" applyNumberFormat="1" applyFont="1" applyFill="1" applyBorder="1">
      <alignment vertical="center"/>
    </xf>
    <xf numFmtId="192" fontId="7" fillId="0" borderId="8" xfId="14" applyNumberFormat="1" applyFont="1" applyFill="1" applyBorder="1">
      <alignment vertical="center"/>
    </xf>
    <xf numFmtId="38" fontId="10" fillId="0" borderId="8" xfId="171" applyNumberFormat="1" applyFont="1" applyFill="1" applyBorder="1" applyAlignment="1">
      <alignment horizontal="right" vertical="center"/>
    </xf>
    <xf numFmtId="38" fontId="10" fillId="0" borderId="0" xfId="171" applyNumberFormat="1" applyFont="1" applyFill="1" applyBorder="1" applyAlignment="1">
      <alignment horizontal="left" vertical="center" indent="1"/>
    </xf>
    <xf numFmtId="38" fontId="10" fillId="0" borderId="6" xfId="172" quotePrefix="1" applyNumberFormat="1" applyFont="1" applyFill="1" applyBorder="1"/>
    <xf numFmtId="38" fontId="10" fillId="0" borderId="6" xfId="172" applyNumberFormat="1" applyFont="1" applyFill="1" applyBorder="1"/>
    <xf numFmtId="38" fontId="10" fillId="0" borderId="4" xfId="171" applyNumberFormat="1" applyFont="1" applyFill="1" applyBorder="1">
      <alignment vertical="center"/>
    </xf>
    <xf numFmtId="38" fontId="10" fillId="9" borderId="0" xfId="171" applyNumberFormat="1" applyFont="1" applyFill="1" applyBorder="1">
      <alignment vertical="center"/>
    </xf>
    <xf numFmtId="38" fontId="10" fillId="9" borderId="8" xfId="171" applyNumberFormat="1" applyFont="1" applyFill="1" applyBorder="1">
      <alignment vertical="center"/>
    </xf>
    <xf numFmtId="38" fontId="10" fillId="0" borderId="6" xfId="172" quotePrefix="1" applyNumberFormat="1" applyFont="1" applyFill="1" applyBorder="1" applyAlignment="1">
      <alignment horizontal="left" indent="1"/>
    </xf>
    <xf numFmtId="226" fontId="5" fillId="0" borderId="0" xfId="171" applyNumberFormat="1">
      <alignment vertical="center"/>
    </xf>
    <xf numFmtId="181" fontId="10" fillId="0" borderId="0" xfId="7" applyNumberFormat="1" applyFont="1">
      <alignment vertical="center"/>
    </xf>
    <xf numFmtId="226" fontId="10" fillId="0" borderId="0" xfId="171" applyNumberFormat="1" applyFont="1">
      <alignment vertical="center"/>
    </xf>
    <xf numFmtId="2" fontId="10" fillId="0" borderId="0" xfId="171" applyNumberFormat="1" applyFont="1">
      <alignment vertical="center"/>
    </xf>
    <xf numFmtId="16" fontId="5" fillId="0" borderId="0" xfId="171" applyNumberFormat="1">
      <alignment vertical="center"/>
    </xf>
    <xf numFmtId="16" fontId="10" fillId="0" borderId="0" xfId="171" applyNumberFormat="1" applyFont="1">
      <alignment vertical="center"/>
    </xf>
    <xf numFmtId="181" fontId="23" fillId="0" borderId="0" xfId="13" applyNumberFormat="1" applyFont="1" applyFill="1" applyBorder="1" applyAlignment="1">
      <alignment horizontal="center" vertical="center"/>
    </xf>
    <xf numFmtId="181" fontId="23" fillId="0" borderId="0" xfId="7" applyNumberFormat="1" applyFont="1" applyFill="1" applyBorder="1">
      <alignment vertical="center"/>
    </xf>
    <xf numFmtId="181" fontId="23" fillId="0" borderId="0" xfId="13" applyNumberFormat="1" applyFont="1" applyFill="1" applyBorder="1">
      <alignment vertical="center"/>
    </xf>
    <xf numFmtId="181" fontId="23" fillId="0" borderId="8" xfId="13" applyNumberFormat="1" applyFont="1" applyFill="1" applyBorder="1">
      <alignment vertical="center"/>
    </xf>
    <xf numFmtId="181" fontId="12" fillId="9" borderId="6" xfId="9" applyNumberFormat="1" applyFont="1" applyFill="1" applyBorder="1" applyAlignment="1">
      <alignment horizontal="left"/>
    </xf>
    <xf numFmtId="181" fontId="10" fillId="9" borderId="6" xfId="9" applyNumberFormat="1" applyFont="1" applyFill="1" applyBorder="1" applyAlignment="1">
      <alignment horizontal="left" indent="1"/>
    </xf>
    <xf numFmtId="226" fontId="10" fillId="9" borderId="6" xfId="13" applyFont="1" applyFill="1" applyBorder="1">
      <alignment vertical="center"/>
    </xf>
    <xf numFmtId="9" fontId="23" fillId="0" borderId="8" xfId="7" applyFont="1" applyFill="1" applyBorder="1" applyAlignment="1">
      <alignment horizontal="right" vertical="center"/>
    </xf>
    <xf numFmtId="9" fontId="10" fillId="9" borderId="6" xfId="7" applyFont="1" applyFill="1" applyBorder="1">
      <alignment vertical="center"/>
    </xf>
    <xf numFmtId="181" fontId="23" fillId="37" borderId="0" xfId="13" applyNumberFormat="1" applyFont="1" applyFill="1" applyBorder="1">
      <alignment vertical="center"/>
    </xf>
    <xf numFmtId="181" fontId="23" fillId="37" borderId="8" xfId="13" applyNumberFormat="1" applyFont="1" applyFill="1" applyBorder="1">
      <alignment vertical="center"/>
    </xf>
    <xf numFmtId="226" fontId="10" fillId="0" borderId="0" xfId="13" applyFont="1" applyFill="1" applyBorder="1" applyAlignment="1">
      <alignment vertical="center"/>
    </xf>
    <xf numFmtId="181" fontId="23" fillId="0" borderId="0" xfId="7" applyNumberFormat="1" applyFont="1" applyFill="1" applyBorder="1" applyAlignment="1">
      <alignment horizontal="center" vertical="center"/>
    </xf>
    <xf numFmtId="220" fontId="10" fillId="0" borderId="0" xfId="12" applyNumberFormat="1" applyFont="1" applyFill="1" applyBorder="1">
      <alignment vertical="center"/>
    </xf>
    <xf numFmtId="220" fontId="10" fillId="0" borderId="8" xfId="12" applyNumberFormat="1" applyFont="1" applyFill="1" applyBorder="1">
      <alignment vertical="center"/>
    </xf>
    <xf numFmtId="220" fontId="10" fillId="0" borderId="0" xfId="12" applyNumberFormat="1" applyFont="1" applyFill="1" applyBorder="1" applyAlignment="1">
      <alignment horizontal="center" vertical="center"/>
    </xf>
    <xf numFmtId="220" fontId="23" fillId="0" borderId="8" xfId="12" applyNumberFormat="1" applyFont="1" applyFill="1" applyBorder="1">
      <alignment vertical="center"/>
    </xf>
    <xf numFmtId="192" fontId="23" fillId="0" borderId="8" xfId="12" applyNumberFormat="1" applyFont="1" applyFill="1" applyBorder="1">
      <alignment vertical="center"/>
    </xf>
    <xf numFmtId="220" fontId="10" fillId="0" borderId="8" xfId="12" applyNumberFormat="1" applyFont="1" applyFill="1" applyBorder="1" applyAlignment="1">
      <alignment horizontal="center" vertical="center"/>
    </xf>
    <xf numFmtId="226" fontId="10" fillId="37" borderId="0" xfId="13" applyFont="1" applyFill="1" applyBorder="1">
      <alignment vertical="center"/>
    </xf>
    <xf numFmtId="226" fontId="10" fillId="37" borderId="8" xfId="13" applyFont="1" applyFill="1" applyBorder="1">
      <alignment vertical="center"/>
    </xf>
    <xf numFmtId="9" fontId="10" fillId="0" borderId="8" xfId="7" applyNumberFormat="1" applyFont="1" applyFill="1" applyBorder="1" applyAlignment="1">
      <alignment horizontal="right" vertical="center"/>
    </xf>
    <xf numFmtId="194" fontId="10" fillId="0" borderId="8" xfId="10" applyNumberFormat="1" applyFont="1" applyFill="1" applyBorder="1" applyAlignment="1">
      <alignment horizontal="center" vertical="center"/>
    </xf>
    <xf numFmtId="181" fontId="23" fillId="0" borderId="6" xfId="13" applyNumberFormat="1" applyFont="1" applyFill="1" applyBorder="1">
      <alignment vertical="center"/>
    </xf>
    <xf numFmtId="178" fontId="12" fillId="0" borderId="6" xfId="10" applyFont="1" applyFill="1" applyBorder="1" applyAlignment="1" applyProtection="1"/>
    <xf numFmtId="220" fontId="10" fillId="0" borderId="6" xfId="12" applyNumberFormat="1" applyFont="1" applyFill="1" applyBorder="1" applyAlignment="1">
      <alignment horizontal="center" vertical="center"/>
    </xf>
    <xf numFmtId="226" fontId="10" fillId="0" borderId="6" xfId="13" applyFont="1" applyFill="1" applyBorder="1" applyAlignment="1">
      <alignment vertical="center" wrapText="1"/>
    </xf>
    <xf numFmtId="9" fontId="10" fillId="0" borderId="6" xfId="10" applyNumberFormat="1" applyFont="1" applyFill="1" applyBorder="1">
      <alignment vertical="center"/>
    </xf>
    <xf numFmtId="181" fontId="23" fillId="0" borderId="6" xfId="7" applyNumberFormat="1" applyFont="1" applyFill="1" applyBorder="1">
      <alignment vertical="center"/>
    </xf>
    <xf numFmtId="181" fontId="10" fillId="0" borderId="6" xfId="13" applyNumberFormat="1" applyFont="1" applyFill="1" applyBorder="1" applyAlignment="1">
      <alignment horizontal="right" vertical="center"/>
    </xf>
    <xf numFmtId="220" fontId="10" fillId="0" borderId="6" xfId="12" applyNumberFormat="1" applyFont="1" applyFill="1" applyBorder="1">
      <alignment vertical="center"/>
    </xf>
    <xf numFmtId="1" fontId="10" fillId="0" borderId="6" xfId="13" applyNumberFormat="1" applyFont="1" applyFill="1" applyBorder="1">
      <alignment vertical="center"/>
    </xf>
    <xf numFmtId="216" fontId="10" fillId="0" borderId="0" xfId="12" applyNumberFormat="1" applyFont="1" applyFill="1" applyBorder="1">
      <alignment vertical="center"/>
    </xf>
    <xf numFmtId="9" fontId="23" fillId="0" borderId="0" xfId="7" applyFont="1" applyFill="1" applyBorder="1" applyAlignment="1">
      <alignment horizontal="right" vertical="center"/>
    </xf>
    <xf numFmtId="9" fontId="23" fillId="0" borderId="0" xfId="7" applyFont="1" applyFill="1" applyBorder="1">
      <alignment vertical="center"/>
    </xf>
    <xf numFmtId="192" fontId="10" fillId="0" borderId="8" xfId="14" applyNumberFormat="1" applyFont="1" applyFill="1" applyBorder="1" applyAlignment="1" applyProtection="1"/>
    <xf numFmtId="226" fontId="10" fillId="9" borderId="6" xfId="13" applyFont="1" applyFill="1" applyBorder="1" applyAlignment="1">
      <alignment horizontal="left" vertical="center" indent="1"/>
    </xf>
    <xf numFmtId="192" fontId="12" fillId="2" borderId="6" xfId="14" applyNumberFormat="1" applyFont="1" applyFill="1" applyBorder="1" applyAlignment="1">
      <alignment horizontal="center" vertical="center"/>
    </xf>
    <xf numFmtId="192" fontId="10" fillId="0" borderId="6" xfId="14" applyNumberFormat="1" applyFont="1" applyFill="1" applyBorder="1" applyAlignment="1">
      <alignment horizontal="center" vertical="center"/>
    </xf>
    <xf numFmtId="226" fontId="7" fillId="9" borderId="8" xfId="13" applyFont="1" applyFill="1" applyBorder="1">
      <alignment vertical="center"/>
    </xf>
    <xf numFmtId="189" fontId="7" fillId="0" borderId="4" xfId="13" applyNumberFormat="1" applyFont="1" applyFill="1" applyBorder="1">
      <alignment vertical="center"/>
    </xf>
    <xf numFmtId="189" fontId="7" fillId="0" borderId="0" xfId="13" applyNumberFormat="1" applyFont="1" applyFill="1" applyBorder="1">
      <alignment vertical="center"/>
    </xf>
    <xf numFmtId="189" fontId="7" fillId="0" borderId="0" xfId="13" applyNumberFormat="1" applyFont="1" applyFill="1">
      <alignment vertical="center"/>
    </xf>
    <xf numFmtId="226" fontId="10" fillId="0" borderId="34" xfId="171" applyFont="1" applyFill="1" applyBorder="1">
      <alignment vertical="center"/>
    </xf>
    <xf numFmtId="226" fontId="10" fillId="0" borderId="35" xfId="172" applyFont="1" applyFill="1" applyBorder="1"/>
    <xf numFmtId="226" fontId="10" fillId="0" borderId="36" xfId="172" applyFont="1" applyFill="1" applyBorder="1"/>
    <xf numFmtId="226" fontId="10" fillId="0" borderId="0" xfId="171" applyNumberFormat="1" applyFont="1" applyFill="1" applyBorder="1" applyAlignment="1">
      <alignment horizontal="left" vertical="center"/>
    </xf>
    <xf numFmtId="192" fontId="10" fillId="0" borderId="0" xfId="7" applyNumberFormat="1" applyFont="1" applyFill="1" applyBorder="1" applyAlignment="1">
      <alignment horizontal="right" vertical="center"/>
    </xf>
    <xf numFmtId="181" fontId="23" fillId="0" borderId="37" xfId="7" applyNumberFormat="1" applyFont="1" applyFill="1" applyBorder="1">
      <alignment vertical="center"/>
    </xf>
    <xf numFmtId="219" fontId="23" fillId="0" borderId="37" xfId="171" applyNumberFormat="1" applyFont="1" applyFill="1" applyBorder="1">
      <alignment vertical="center"/>
    </xf>
    <xf numFmtId="226" fontId="23" fillId="0" borderId="37" xfId="171" applyFont="1" applyFill="1" applyBorder="1" applyAlignment="1">
      <alignment horizontal="left" vertical="center" indent="1"/>
    </xf>
    <xf numFmtId="219" fontId="10" fillId="0" borderId="37" xfId="171" applyNumberFormat="1" applyFont="1" applyFill="1" applyBorder="1">
      <alignment vertical="center"/>
    </xf>
    <xf numFmtId="181" fontId="80" fillId="0" borderId="38" xfId="7" applyNumberFormat="1" applyFont="1" applyFill="1" applyBorder="1">
      <alignment vertical="center"/>
    </xf>
    <xf numFmtId="188" fontId="23" fillId="0" borderId="38" xfId="171" applyNumberFormat="1" applyFont="1" applyFill="1" applyBorder="1">
      <alignment vertical="center"/>
    </xf>
    <xf numFmtId="40" fontId="23" fillId="0" borderId="38" xfId="171" applyNumberFormat="1" applyFont="1" applyFill="1" applyBorder="1" applyAlignment="1">
      <alignment horizontal="left" vertical="center" indent="1"/>
    </xf>
    <xf numFmtId="1" fontId="23" fillId="0" borderId="38" xfId="171" applyNumberFormat="1" applyFont="1" applyFill="1" applyBorder="1">
      <alignment vertical="center"/>
    </xf>
    <xf numFmtId="1" fontId="23" fillId="0" borderId="37" xfId="171" applyNumberFormat="1" applyFont="1" applyFill="1" applyBorder="1">
      <alignment vertical="center"/>
    </xf>
    <xf numFmtId="219" fontId="87" fillId="33" borderId="38" xfId="171" applyNumberFormat="1" applyFont="1" applyFill="1" applyBorder="1" applyAlignment="1">
      <alignment horizontal="center" vertical="center"/>
    </xf>
    <xf numFmtId="219" fontId="79" fillId="33" borderId="38" xfId="171" applyNumberFormat="1" applyFont="1" applyFill="1" applyBorder="1" applyAlignment="1">
      <alignment horizontal="center" vertical="center"/>
    </xf>
    <xf numFmtId="219" fontId="88" fillId="33" borderId="38" xfId="171" applyNumberFormat="1" applyFont="1" applyFill="1" applyBorder="1">
      <alignment vertical="center"/>
    </xf>
    <xf numFmtId="192" fontId="10" fillId="0" borderId="8" xfId="7" applyNumberFormat="1" applyFont="1" applyFill="1" applyBorder="1" applyAlignment="1">
      <alignment horizontal="right" vertical="center"/>
    </xf>
    <xf numFmtId="189" fontId="10" fillId="0" borderId="8" xfId="14" applyNumberFormat="1" applyFont="1" applyFill="1" applyBorder="1">
      <alignment vertical="center"/>
    </xf>
    <xf numFmtId="10" fontId="10" fillId="0" borderId="8" xfId="7" applyNumberFormat="1" applyFont="1" applyFill="1" applyBorder="1">
      <alignment vertical="center"/>
    </xf>
    <xf numFmtId="210" fontId="10" fillId="0" borderId="8" xfId="171" applyNumberFormat="1" applyFont="1" applyFill="1" applyBorder="1">
      <alignment vertical="center"/>
    </xf>
    <xf numFmtId="183" fontId="10" fillId="0" borderId="8" xfId="171" applyNumberFormat="1" applyFont="1" applyFill="1" applyBorder="1">
      <alignment vertical="center"/>
    </xf>
    <xf numFmtId="192" fontId="92" fillId="0" borderId="0" xfId="14" applyNumberFormat="1" applyFont="1" applyFill="1" applyBorder="1">
      <alignment vertical="center"/>
    </xf>
    <xf numFmtId="9" fontId="92" fillId="9" borderId="0" xfId="7" applyFont="1" applyFill="1" applyBorder="1">
      <alignment vertical="center"/>
    </xf>
    <xf numFmtId="38" fontId="92" fillId="0" borderId="0" xfId="171" applyNumberFormat="1" applyFont="1" applyFill="1" applyBorder="1">
      <alignment vertical="center"/>
    </xf>
    <xf numFmtId="181" fontId="92" fillId="0" borderId="0" xfId="7" applyNumberFormat="1" applyFont="1" applyFill="1" applyBorder="1">
      <alignment vertical="center"/>
    </xf>
    <xf numFmtId="226" fontId="5" fillId="0" borderId="0" xfId="171" applyFont="1" applyFill="1" applyBorder="1">
      <alignment vertical="center"/>
    </xf>
    <xf numFmtId="226" fontId="5" fillId="0" borderId="8" xfId="171" applyFont="1" applyFill="1" applyBorder="1">
      <alignment vertical="center"/>
    </xf>
    <xf numFmtId="9" fontId="10" fillId="9" borderId="0" xfId="7" applyNumberFormat="1" applyFont="1" applyFill="1" applyBorder="1">
      <alignment vertical="center"/>
    </xf>
    <xf numFmtId="226" fontId="75" fillId="0" borderId="8" xfId="13" applyFont="1" applyFill="1" applyBorder="1">
      <alignment vertical="center"/>
    </xf>
    <xf numFmtId="226" fontId="7" fillId="0" borderId="0" xfId="13" applyFont="1" applyAlignment="1">
      <alignment horizontal="center" vertical="center"/>
    </xf>
    <xf numFmtId="226" fontId="7" fillId="0" borderId="8" xfId="13" applyFont="1" applyBorder="1" applyAlignment="1">
      <alignment horizontal="center" vertical="center"/>
    </xf>
    <xf numFmtId="226" fontId="7" fillId="0" borderId="0" xfId="13" applyFont="1" applyFill="1">
      <alignment vertical="center"/>
    </xf>
    <xf numFmtId="226" fontId="81" fillId="33" borderId="0" xfId="13" applyFont="1" applyFill="1" applyAlignment="1">
      <alignment horizontal="center" vertical="center"/>
    </xf>
    <xf numFmtId="177" fontId="7" fillId="0" borderId="8" xfId="14" applyFont="1" applyBorder="1">
      <alignment vertical="center"/>
    </xf>
    <xf numFmtId="226" fontId="75" fillId="9" borderId="8" xfId="13" applyFont="1" applyFill="1" applyBorder="1">
      <alignment vertical="center"/>
    </xf>
    <xf numFmtId="226" fontId="7" fillId="9" borderId="0" xfId="13" applyFont="1" applyFill="1">
      <alignment vertical="center"/>
    </xf>
    <xf numFmtId="177" fontId="7" fillId="0" borderId="8" xfId="14" applyFont="1" applyFill="1" applyBorder="1">
      <alignment vertical="center"/>
    </xf>
    <xf numFmtId="226" fontId="7" fillId="0" borderId="8" xfId="13" applyFont="1" applyFill="1" applyBorder="1">
      <alignment vertical="center"/>
    </xf>
    <xf numFmtId="177" fontId="93" fillId="0" borderId="0" xfId="14" applyFont="1" applyFill="1">
      <alignment vertical="center"/>
    </xf>
    <xf numFmtId="177" fontId="93" fillId="0" borderId="8" xfId="14" applyFont="1" applyFill="1" applyBorder="1">
      <alignment vertical="center"/>
    </xf>
    <xf numFmtId="177" fontId="93" fillId="0" borderId="0" xfId="14" applyFont="1">
      <alignment vertical="center"/>
    </xf>
    <xf numFmtId="177" fontId="93" fillId="0" borderId="8" xfId="14" applyFont="1" applyBorder="1">
      <alignment vertical="center"/>
    </xf>
    <xf numFmtId="38" fontId="75" fillId="0" borderId="37" xfId="9" applyNumberFormat="1" applyFont="1" applyFill="1" applyBorder="1"/>
    <xf numFmtId="177" fontId="7" fillId="0" borderId="39" xfId="14" applyFont="1" applyBorder="1">
      <alignment vertical="center"/>
    </xf>
    <xf numFmtId="177" fontId="7" fillId="0" borderId="40" xfId="14" applyFont="1" applyBorder="1">
      <alignment vertical="center"/>
    </xf>
    <xf numFmtId="38" fontId="7" fillId="0" borderId="30" xfId="9" quotePrefix="1" applyNumberFormat="1" applyFont="1" applyFill="1" applyBorder="1"/>
    <xf numFmtId="177" fontId="93" fillId="0" borderId="18" xfId="14" applyFont="1" applyBorder="1">
      <alignment vertical="center"/>
    </xf>
    <xf numFmtId="177" fontId="93" fillId="0" borderId="29" xfId="14" applyFont="1" applyBorder="1">
      <alignment vertical="center"/>
    </xf>
    <xf numFmtId="38" fontId="7" fillId="0" borderId="0" xfId="9" quotePrefix="1" applyNumberFormat="1" applyFont="1" applyFill="1" applyBorder="1"/>
    <xf numFmtId="177" fontId="90" fillId="0" borderId="8" xfId="14" applyFont="1" applyBorder="1">
      <alignment vertical="center"/>
    </xf>
    <xf numFmtId="177" fontId="7" fillId="0" borderId="0" xfId="13" applyNumberFormat="1" applyFont="1">
      <alignment vertical="center"/>
    </xf>
    <xf numFmtId="177" fontId="7" fillId="0" borderId="8" xfId="13" applyNumberFormat="1" applyFont="1" applyBorder="1">
      <alignment vertical="center"/>
    </xf>
    <xf numFmtId="177" fontId="7" fillId="0" borderId="18" xfId="14" applyFont="1" applyBorder="1">
      <alignment vertical="center"/>
    </xf>
    <xf numFmtId="177" fontId="7" fillId="0" borderId="29" xfId="14" applyFont="1" applyBorder="1">
      <alignment vertical="center"/>
    </xf>
    <xf numFmtId="184" fontId="7" fillId="0" borderId="0" xfId="13" applyNumberFormat="1" applyFont="1" applyFill="1">
      <alignment vertical="center"/>
    </xf>
    <xf numFmtId="38" fontId="7" fillId="0" borderId="8" xfId="13" applyNumberFormat="1" applyFont="1" applyFill="1" applyBorder="1">
      <alignment vertical="center"/>
    </xf>
    <xf numFmtId="217" fontId="7" fillId="0" borderId="6" xfId="9" applyNumberFormat="1" applyFont="1" applyFill="1" applyBorder="1" applyAlignment="1">
      <alignment horizontal="left"/>
    </xf>
    <xf numFmtId="192" fontId="93" fillId="0" borderId="0" xfId="14" applyNumberFormat="1" applyFont="1">
      <alignment vertical="center"/>
    </xf>
    <xf numFmtId="192" fontId="93" fillId="0" borderId="8" xfId="14" applyNumberFormat="1" applyFont="1" applyBorder="1">
      <alignment vertical="center"/>
    </xf>
    <xf numFmtId="226" fontId="75" fillId="7" borderId="8" xfId="13" applyFont="1" applyFill="1" applyBorder="1">
      <alignment vertical="center"/>
    </xf>
    <xf numFmtId="226" fontId="7" fillId="7" borderId="0" xfId="13" applyFont="1" applyFill="1">
      <alignment vertical="center"/>
    </xf>
    <xf numFmtId="226" fontId="7" fillId="7" borderId="8" xfId="13" applyFont="1" applyFill="1" applyBorder="1">
      <alignment vertical="center"/>
    </xf>
    <xf numFmtId="181" fontId="7" fillId="0" borderId="30" xfId="7" applyNumberFormat="1" applyFont="1" applyFill="1" applyBorder="1" applyAlignment="1"/>
    <xf numFmtId="9" fontId="7" fillId="0" borderId="8" xfId="7" applyFont="1" applyFill="1" applyBorder="1">
      <alignment vertical="center"/>
    </xf>
    <xf numFmtId="181" fontId="75" fillId="0" borderId="30" xfId="7" applyNumberFormat="1" applyFont="1" applyFill="1" applyBorder="1" applyAlignment="1"/>
    <xf numFmtId="226" fontId="7" fillId="0" borderId="6" xfId="9" applyFont="1" applyFill="1" applyBorder="1" applyAlignment="1">
      <alignment horizontal="left" wrapText="1"/>
    </xf>
    <xf numFmtId="9" fontId="7" fillId="0" borderId="18" xfId="7" applyFont="1" applyFill="1" applyBorder="1">
      <alignment vertical="center"/>
    </xf>
    <xf numFmtId="9" fontId="7" fillId="0" borderId="29" xfId="7" applyFont="1" applyFill="1" applyBorder="1">
      <alignment vertical="center"/>
    </xf>
    <xf numFmtId="178" fontId="7" fillId="0" borderId="6" xfId="10" applyFont="1" applyFill="1" applyBorder="1" applyAlignment="1" applyProtection="1">
      <alignment horizontal="left" indent="1"/>
    </xf>
    <xf numFmtId="178" fontId="75" fillId="0" borderId="37" xfId="10" applyFont="1" applyFill="1" applyBorder="1" applyAlignment="1">
      <alignment horizontal="left" vertical="center" wrapText="1" indent="1"/>
    </xf>
    <xf numFmtId="177" fontId="75" fillId="0" borderId="39" xfId="14" applyFont="1" applyFill="1" applyBorder="1">
      <alignment vertical="center"/>
    </xf>
    <xf numFmtId="177" fontId="75" fillId="0" borderId="40" xfId="14" applyFont="1" applyFill="1" applyBorder="1">
      <alignment vertical="center"/>
    </xf>
    <xf numFmtId="226" fontId="7" fillId="0" borderId="39" xfId="13" applyFont="1" applyBorder="1">
      <alignment vertical="center"/>
    </xf>
    <xf numFmtId="178" fontId="7" fillId="0" borderId="6" xfId="10" applyFont="1" applyFill="1" applyBorder="1" applyAlignment="1">
      <alignment horizontal="left" vertical="center" indent="1"/>
    </xf>
    <xf numFmtId="178" fontId="75" fillId="0" borderId="6" xfId="10" applyFont="1" applyFill="1" applyBorder="1" applyAlignment="1" applyProtection="1">
      <alignment horizontal="left"/>
    </xf>
    <xf numFmtId="177" fontId="90" fillId="0" borderId="8" xfId="14" applyFont="1" applyFill="1" applyBorder="1">
      <alignment vertical="center"/>
    </xf>
    <xf numFmtId="218" fontId="7" fillId="0" borderId="6" xfId="10" applyNumberFormat="1" applyFont="1" applyFill="1" applyBorder="1" applyAlignment="1" applyProtection="1">
      <alignment horizontal="left" indent="1"/>
    </xf>
    <xf numFmtId="181" fontId="7" fillId="0" borderId="37" xfId="5" applyNumberFormat="1" applyFont="1" applyFill="1" applyBorder="1" applyProtection="1"/>
    <xf numFmtId="9" fontId="7" fillId="0" borderId="39" xfId="7" applyFont="1" applyBorder="1">
      <alignment vertical="center"/>
    </xf>
    <xf numFmtId="9" fontId="7" fillId="0" borderId="40" xfId="7" applyFont="1" applyBorder="1">
      <alignment vertical="center"/>
    </xf>
    <xf numFmtId="9" fontId="7" fillId="0" borderId="39" xfId="7" applyFont="1" applyFill="1" applyBorder="1">
      <alignment vertical="center"/>
    </xf>
    <xf numFmtId="9" fontId="7" fillId="0" borderId="0" xfId="13" applyNumberFormat="1" applyFont="1">
      <alignment vertical="center"/>
    </xf>
    <xf numFmtId="38" fontId="7" fillId="0" borderId="8" xfId="13" applyNumberFormat="1" applyFont="1" applyFill="1" applyBorder="1" applyAlignment="1">
      <alignment vertical="center"/>
    </xf>
    <xf numFmtId="38" fontId="76" fillId="0" borderId="8" xfId="13" applyNumberFormat="1" applyFont="1" applyFill="1" applyBorder="1" applyAlignment="1">
      <alignment vertical="center"/>
    </xf>
    <xf numFmtId="226" fontId="93" fillId="0" borderId="0" xfId="13" applyFont="1">
      <alignment vertical="center"/>
    </xf>
    <xf numFmtId="226" fontId="93" fillId="0" borderId="8" xfId="13" applyFont="1" applyBorder="1">
      <alignment vertical="center"/>
    </xf>
    <xf numFmtId="226" fontId="93" fillId="0" borderId="0" xfId="13" applyFont="1" applyFill="1">
      <alignment vertical="center"/>
    </xf>
    <xf numFmtId="192" fontId="93" fillId="0" borderId="0" xfId="13" applyNumberFormat="1" applyFont="1">
      <alignment vertical="center"/>
    </xf>
    <xf numFmtId="192" fontId="93" fillId="0" borderId="0" xfId="14" applyNumberFormat="1" applyFont="1" applyFill="1">
      <alignment vertical="center"/>
    </xf>
    <xf numFmtId="38" fontId="7" fillId="0" borderId="8" xfId="13" applyNumberFormat="1" applyFont="1" applyFill="1" applyBorder="1" applyAlignment="1">
      <alignment horizontal="left" vertical="center" indent="1"/>
    </xf>
    <xf numFmtId="38" fontId="75" fillId="0" borderId="8" xfId="13" applyNumberFormat="1" applyFont="1" applyFill="1" applyBorder="1" applyAlignment="1">
      <alignment vertical="center"/>
    </xf>
    <xf numFmtId="9" fontId="93" fillId="0" borderId="0" xfId="7" applyFont="1">
      <alignment vertical="center"/>
    </xf>
    <xf numFmtId="9" fontId="93" fillId="0" borderId="0" xfId="7" applyFont="1" applyFill="1">
      <alignment vertical="center"/>
    </xf>
    <xf numFmtId="38" fontId="83" fillId="0" borderId="8" xfId="13" applyNumberFormat="1" applyFont="1" applyFill="1" applyBorder="1" applyAlignment="1">
      <alignment vertical="center"/>
    </xf>
    <xf numFmtId="9" fontId="93" fillId="0" borderId="8" xfId="7" applyFont="1" applyBorder="1">
      <alignment vertical="center"/>
    </xf>
    <xf numFmtId="3" fontId="93" fillId="0" borderId="0" xfId="13" applyNumberFormat="1" applyFont="1">
      <alignment vertical="center"/>
    </xf>
    <xf numFmtId="9" fontId="93" fillId="0" borderId="0" xfId="13" applyNumberFormat="1" applyFont="1">
      <alignment vertical="center"/>
    </xf>
    <xf numFmtId="181" fontId="93" fillId="0" borderId="0" xfId="13" applyNumberFormat="1" applyFont="1">
      <alignment vertical="center"/>
    </xf>
    <xf numFmtId="181" fontId="93" fillId="0" borderId="8" xfId="13" applyNumberFormat="1" applyFont="1" applyBorder="1">
      <alignment vertical="center"/>
    </xf>
    <xf numFmtId="9" fontId="93" fillId="0" borderId="0" xfId="13" applyNumberFormat="1" applyFont="1" applyFill="1">
      <alignment vertical="center"/>
    </xf>
    <xf numFmtId="9" fontId="7" fillId="0" borderId="0" xfId="13" applyNumberFormat="1" applyFont="1" applyFill="1">
      <alignment vertical="center"/>
    </xf>
    <xf numFmtId="181" fontId="93" fillId="0" borderId="0" xfId="7" applyNumberFormat="1" applyFont="1">
      <alignment vertical="center"/>
    </xf>
    <xf numFmtId="9" fontId="93" fillId="0" borderId="8" xfId="13" applyNumberFormat="1" applyFont="1" applyBorder="1">
      <alignment vertical="center"/>
    </xf>
    <xf numFmtId="10" fontId="93" fillId="0" borderId="0" xfId="13" applyNumberFormat="1" applyFont="1">
      <alignment vertical="center"/>
    </xf>
    <xf numFmtId="189" fontId="76" fillId="0" borderId="8" xfId="13" applyNumberFormat="1" applyFont="1" applyFill="1" applyBorder="1">
      <alignment vertical="center"/>
    </xf>
    <xf numFmtId="10" fontId="93" fillId="0" borderId="0" xfId="13" applyNumberFormat="1" applyFont="1" applyFill="1">
      <alignment vertical="center"/>
    </xf>
    <xf numFmtId="10" fontId="7" fillId="0" borderId="0" xfId="13" applyNumberFormat="1" applyFont="1" applyFill="1">
      <alignment vertical="center"/>
    </xf>
    <xf numFmtId="226" fontId="7" fillId="0" borderId="8" xfId="13" applyFont="1" applyFill="1" applyBorder="1" applyAlignment="1">
      <alignment vertical="center"/>
    </xf>
    <xf numFmtId="10" fontId="93" fillId="0" borderId="8" xfId="13" applyNumberFormat="1" applyFont="1" applyBorder="1">
      <alignment vertical="center"/>
    </xf>
    <xf numFmtId="226" fontId="5" fillId="36" borderId="37" xfId="13" applyFill="1" applyBorder="1">
      <alignment vertical="center"/>
    </xf>
    <xf numFmtId="226" fontId="81" fillId="36" borderId="37" xfId="13" applyFont="1" applyFill="1" applyBorder="1" applyAlignment="1">
      <alignment horizontal="center" vertical="center"/>
    </xf>
    <xf numFmtId="38" fontId="91" fillId="0" borderId="37" xfId="13" applyNumberFormat="1" applyFont="1" applyFill="1" applyBorder="1" applyAlignment="1">
      <alignment vertical="center"/>
    </xf>
    <xf numFmtId="192" fontId="7" fillId="0" borderId="37" xfId="14" applyNumberFormat="1" applyFont="1" applyBorder="1">
      <alignment vertical="center"/>
    </xf>
    <xf numFmtId="192" fontId="7" fillId="0" borderId="37" xfId="14" applyNumberFormat="1" applyFont="1" applyFill="1" applyBorder="1">
      <alignment vertical="center"/>
    </xf>
    <xf numFmtId="9" fontId="7" fillId="0" borderId="37" xfId="7" applyFont="1" applyBorder="1">
      <alignment vertical="center"/>
    </xf>
    <xf numFmtId="9" fontId="7" fillId="0" borderId="37" xfId="7" applyFont="1" applyFill="1" applyBorder="1">
      <alignment vertical="center"/>
    </xf>
    <xf numFmtId="226" fontId="81" fillId="36" borderId="41" xfId="13" applyFont="1" applyFill="1" applyBorder="1" applyAlignment="1">
      <alignment horizontal="center" vertical="center"/>
    </xf>
    <xf numFmtId="226" fontId="81" fillId="36" borderId="40" xfId="13" applyFont="1" applyFill="1" applyBorder="1" applyAlignment="1">
      <alignment horizontal="center" vertical="center"/>
    </xf>
    <xf numFmtId="192" fontId="75" fillId="0" borderId="37" xfId="14" applyNumberFormat="1" applyFont="1" applyBorder="1">
      <alignment vertical="center"/>
    </xf>
    <xf numFmtId="192" fontId="75" fillId="0" borderId="41" xfId="14" applyNumberFormat="1" applyFont="1" applyBorder="1">
      <alignment vertical="center"/>
    </xf>
    <xf numFmtId="38" fontId="91" fillId="0" borderId="37" xfId="13" applyNumberFormat="1" applyFont="1" applyFill="1" applyBorder="1" applyAlignment="1">
      <alignment horizontal="left" vertical="center" indent="1"/>
    </xf>
    <xf numFmtId="192" fontId="7" fillId="0" borderId="41" xfId="14" applyNumberFormat="1" applyFont="1" applyBorder="1">
      <alignment vertical="center"/>
    </xf>
    <xf numFmtId="38" fontId="91" fillId="0" borderId="38" xfId="13" applyNumberFormat="1" applyFont="1" applyFill="1" applyBorder="1" applyAlignment="1">
      <alignment horizontal="left" vertical="center" indent="1"/>
    </xf>
    <xf numFmtId="192" fontId="7" fillId="0" borderId="38" xfId="14" applyNumberFormat="1" applyFont="1" applyBorder="1">
      <alignment vertical="center"/>
    </xf>
    <xf numFmtId="192" fontId="7" fillId="0" borderId="44" xfId="14" applyNumberFormat="1" applyFont="1" applyBorder="1">
      <alignment vertical="center"/>
    </xf>
    <xf numFmtId="38" fontId="91" fillId="0" borderId="45" xfId="13" applyNumberFormat="1" applyFont="1" applyFill="1" applyBorder="1" applyAlignment="1">
      <alignment vertical="center"/>
    </xf>
    <xf numFmtId="9" fontId="7" fillId="0" borderId="45" xfId="7" applyFont="1" applyBorder="1">
      <alignment vertical="center"/>
    </xf>
    <xf numFmtId="9" fontId="7" fillId="0" borderId="45" xfId="7" applyFont="1" applyBorder="1" applyAlignment="1">
      <alignment horizontal="right" vertical="center"/>
    </xf>
    <xf numFmtId="9" fontId="7" fillId="0" borderId="45" xfId="7" applyFont="1" applyFill="1" applyBorder="1" applyAlignment="1">
      <alignment horizontal="right" vertical="center"/>
    </xf>
    <xf numFmtId="9" fontId="7" fillId="0" borderId="46" xfId="7" applyFont="1" applyFill="1" applyBorder="1">
      <alignment vertical="center"/>
    </xf>
    <xf numFmtId="38" fontId="91" fillId="0" borderId="30" xfId="13" applyNumberFormat="1" applyFont="1" applyFill="1" applyBorder="1" applyAlignment="1">
      <alignment vertical="center"/>
    </xf>
    <xf numFmtId="38" fontId="91" fillId="0" borderId="30" xfId="13" applyNumberFormat="1" applyFont="1" applyFill="1" applyBorder="1" applyAlignment="1">
      <alignment horizontal="left" vertical="center" indent="1"/>
    </xf>
    <xf numFmtId="1" fontId="94" fillId="40" borderId="37" xfId="14" applyNumberFormat="1" applyFont="1" applyFill="1" applyBorder="1" applyAlignment="1">
      <alignment horizontal="center" vertical="center"/>
    </xf>
    <xf numFmtId="1" fontId="87" fillId="40" borderId="37" xfId="14" applyNumberFormat="1" applyFont="1" applyFill="1" applyBorder="1" applyAlignment="1">
      <alignment horizontal="center" vertical="center"/>
    </xf>
    <xf numFmtId="226" fontId="5" fillId="0" borderId="37" xfId="13" applyBorder="1" applyAlignment="1"/>
    <xf numFmtId="192" fontId="0" fillId="0" borderId="37" xfId="14" applyNumberFormat="1" applyFont="1" applyBorder="1" applyAlignment="1"/>
    <xf numFmtId="226" fontId="5" fillId="0" borderId="37" xfId="13" applyFont="1" applyBorder="1" applyAlignment="1"/>
    <xf numFmtId="9" fontId="0" fillId="0" borderId="37" xfId="7" applyFont="1" applyBorder="1" applyAlignment="1"/>
    <xf numFmtId="181" fontId="0" fillId="0" borderId="37" xfId="7" applyNumberFormat="1" applyFont="1" applyBorder="1" applyAlignment="1"/>
    <xf numFmtId="226" fontId="97" fillId="32" borderId="0" xfId="175" applyFont="1" applyFill="1"/>
    <xf numFmtId="226" fontId="98" fillId="32" borderId="0" xfId="175" applyFont="1" applyFill="1"/>
    <xf numFmtId="226" fontId="99" fillId="32" borderId="0" xfId="175" applyFont="1" applyFill="1"/>
    <xf numFmtId="226" fontId="79" fillId="32" borderId="0" xfId="175" applyFont="1" applyFill="1"/>
    <xf numFmtId="14" fontId="79" fillId="32" borderId="0" xfId="175" applyNumberFormat="1" applyFont="1" applyFill="1"/>
    <xf numFmtId="1" fontId="87" fillId="40" borderId="0" xfId="175" applyNumberFormat="1" applyFont="1" applyFill="1" applyBorder="1"/>
    <xf numFmtId="1" fontId="87" fillId="40" borderId="0" xfId="176" applyNumberFormat="1" applyFont="1" applyFill="1" applyBorder="1" applyAlignment="1">
      <alignment horizontal="right" vertical="center"/>
    </xf>
    <xf numFmtId="222" fontId="87" fillId="40" borderId="0" xfId="176" applyNumberFormat="1" applyFont="1" applyFill="1" applyBorder="1" applyAlignment="1">
      <alignment horizontal="right" vertical="center"/>
    </xf>
    <xf numFmtId="1" fontId="97" fillId="32" borderId="0" xfId="175" applyNumberFormat="1" applyFont="1" applyFill="1"/>
    <xf numFmtId="1" fontId="87" fillId="40" borderId="0" xfId="176" applyNumberFormat="1" applyFont="1" applyFill="1" applyBorder="1" applyAlignment="1">
      <alignment horizontal="center" vertical="center"/>
    </xf>
    <xf numFmtId="226" fontId="100" fillId="37" borderId="0" xfId="175" applyFont="1" applyFill="1"/>
    <xf numFmtId="192" fontId="100" fillId="37" borderId="0" xfId="176" applyNumberFormat="1" applyFont="1" applyFill="1"/>
    <xf numFmtId="226" fontId="101" fillId="32" borderId="0" xfId="175" applyFont="1" applyFill="1"/>
    <xf numFmtId="192" fontId="97" fillId="32" borderId="0" xfId="176" applyNumberFormat="1" applyFont="1" applyFill="1"/>
    <xf numFmtId="226" fontId="100" fillId="32" borderId="39" xfId="175" applyFont="1" applyFill="1" applyBorder="1"/>
    <xf numFmtId="192" fontId="100" fillId="32" borderId="39" xfId="175" applyNumberFormat="1" applyFont="1" applyFill="1" applyBorder="1"/>
    <xf numFmtId="226" fontId="100" fillId="32" borderId="0" xfId="175" applyFont="1" applyFill="1"/>
    <xf numFmtId="192" fontId="100" fillId="32" borderId="0" xfId="175" applyNumberFormat="1" applyFont="1" applyFill="1"/>
    <xf numFmtId="226" fontId="100" fillId="41" borderId="39" xfId="175" applyFont="1" applyFill="1" applyBorder="1"/>
    <xf numFmtId="192" fontId="100" fillId="41" borderId="39" xfId="175" applyNumberFormat="1" applyFont="1" applyFill="1" applyBorder="1"/>
    <xf numFmtId="192" fontId="100" fillId="41" borderId="0" xfId="175" applyNumberFormat="1" applyFont="1" applyFill="1"/>
    <xf numFmtId="226" fontId="99" fillId="32" borderId="0" xfId="175" applyFont="1" applyFill="1" applyAlignment="1">
      <alignment horizontal="right"/>
    </xf>
    <xf numFmtId="181" fontId="99" fillId="32" borderId="0" xfId="177" applyNumberFormat="1" applyFont="1" applyFill="1"/>
    <xf numFmtId="192" fontId="10" fillId="32" borderId="0" xfId="176" applyNumberFormat="1" applyFont="1" applyFill="1"/>
    <xf numFmtId="192" fontId="100" fillId="32" borderId="39" xfId="176" applyNumberFormat="1" applyFont="1" applyFill="1" applyBorder="1"/>
    <xf numFmtId="192" fontId="12" fillId="32" borderId="39" xfId="176" applyNumberFormat="1" applyFont="1" applyFill="1" applyBorder="1"/>
    <xf numFmtId="192" fontId="100" fillId="32" borderId="0" xfId="176" applyNumberFormat="1" applyFont="1" applyFill="1"/>
    <xf numFmtId="192" fontId="97" fillId="32" borderId="0" xfId="175" applyNumberFormat="1" applyFont="1" applyFill="1"/>
    <xf numFmtId="192" fontId="10" fillId="32" borderId="0" xfId="175" applyNumberFormat="1" applyFont="1" applyFill="1"/>
    <xf numFmtId="226" fontId="10" fillId="32" borderId="0" xfId="175" applyFont="1" applyFill="1"/>
    <xf numFmtId="192" fontId="100" fillId="41" borderId="39" xfId="176" applyNumberFormat="1" applyFont="1" applyFill="1" applyBorder="1"/>
    <xf numFmtId="192" fontId="12" fillId="41" borderId="39" xfId="176" applyNumberFormat="1" applyFont="1" applyFill="1" applyBorder="1"/>
    <xf numFmtId="192" fontId="100" fillId="41" borderId="0" xfId="176" applyNumberFormat="1" applyFont="1" applyFill="1"/>
    <xf numFmtId="192" fontId="12" fillId="32" borderId="0" xfId="176" applyNumberFormat="1" applyFont="1" applyFill="1"/>
    <xf numFmtId="192" fontId="12" fillId="32" borderId="39" xfId="175" applyNumberFormat="1" applyFont="1" applyFill="1" applyBorder="1"/>
    <xf numFmtId="226" fontId="100" fillId="32" borderId="0" xfId="175" applyFont="1" applyFill="1" applyBorder="1"/>
    <xf numFmtId="192" fontId="97" fillId="32" borderId="0" xfId="175" applyNumberFormat="1" applyFont="1" applyFill="1" applyBorder="1"/>
    <xf numFmtId="192" fontId="10" fillId="32" borderId="0" xfId="175" applyNumberFormat="1" applyFont="1" applyFill="1" applyBorder="1"/>
    <xf numFmtId="192" fontId="12" fillId="37" borderId="0" xfId="176" applyNumberFormat="1" applyFont="1" applyFill="1"/>
    <xf numFmtId="192" fontId="102" fillId="32" borderId="0" xfId="176" applyNumberFormat="1" applyFont="1" applyFill="1"/>
    <xf numFmtId="3" fontId="97" fillId="32" borderId="0" xfId="175" applyNumberFormat="1" applyFont="1" applyFill="1"/>
    <xf numFmtId="3" fontId="102" fillId="32" borderId="0" xfId="175" applyNumberFormat="1" applyFont="1" applyFill="1"/>
    <xf numFmtId="3" fontId="100" fillId="32" borderId="39" xfId="175" applyNumberFormat="1" applyFont="1" applyFill="1" applyBorder="1"/>
    <xf numFmtId="3" fontId="100" fillId="32" borderId="0" xfId="175" applyNumberFormat="1" applyFont="1" applyFill="1"/>
    <xf numFmtId="177" fontId="102" fillId="32" borderId="0" xfId="176" applyFont="1" applyFill="1"/>
    <xf numFmtId="3" fontId="100" fillId="41" borderId="0" xfId="175" applyNumberFormat="1" applyFont="1" applyFill="1"/>
    <xf numFmtId="3" fontId="100" fillId="41" borderId="39" xfId="175" applyNumberFormat="1" applyFont="1" applyFill="1" applyBorder="1"/>
    <xf numFmtId="192" fontId="103" fillId="32" borderId="0" xfId="176" applyNumberFormat="1" applyFont="1" applyFill="1"/>
    <xf numFmtId="3" fontId="103" fillId="32" borderId="0" xfId="175" applyNumberFormat="1" applyFont="1" applyFill="1"/>
    <xf numFmtId="226" fontId="104" fillId="32" borderId="0" xfId="175" applyFont="1" applyFill="1"/>
    <xf numFmtId="177" fontId="104" fillId="32" borderId="0" xfId="176" applyFont="1" applyFill="1"/>
    <xf numFmtId="177" fontId="23" fillId="32" borderId="0" xfId="176" applyFont="1" applyFill="1"/>
    <xf numFmtId="3" fontId="104" fillId="32" borderId="0" xfId="175" applyNumberFormat="1" applyFont="1" applyFill="1"/>
    <xf numFmtId="3" fontId="100" fillId="37" borderId="0" xfId="176" applyNumberFormat="1" applyFont="1" applyFill="1"/>
    <xf numFmtId="192" fontId="103" fillId="32" borderId="0" xfId="175" applyNumberFormat="1" applyFont="1" applyFill="1"/>
    <xf numFmtId="192" fontId="12" fillId="32" borderId="0" xfId="175" applyNumberFormat="1" applyFont="1" applyFill="1"/>
    <xf numFmtId="226" fontId="105" fillId="32" borderId="0" xfId="175" applyFont="1" applyFill="1"/>
    <xf numFmtId="226" fontId="97" fillId="32" borderId="0" xfId="175" applyFont="1" applyFill="1" applyAlignment="1">
      <alignment horizontal="left" indent="1"/>
    </xf>
    <xf numFmtId="192" fontId="103" fillId="41" borderId="39" xfId="176" applyNumberFormat="1" applyFont="1" applyFill="1" applyBorder="1"/>
    <xf numFmtId="192" fontId="10" fillId="42" borderId="0" xfId="176" applyNumberFormat="1" applyFont="1" applyFill="1"/>
    <xf numFmtId="2" fontId="97" fillId="32" borderId="0" xfId="175" applyNumberFormat="1" applyFont="1" applyFill="1"/>
    <xf numFmtId="193" fontId="97" fillId="32" borderId="0" xfId="175" applyNumberFormat="1" applyFont="1" applyFill="1"/>
    <xf numFmtId="193" fontId="10" fillId="32" borderId="0" xfId="175" applyNumberFormat="1" applyFont="1" applyFill="1"/>
    <xf numFmtId="223" fontId="97" fillId="32" borderId="0" xfId="175" applyNumberFormat="1" applyFont="1" applyFill="1"/>
    <xf numFmtId="220" fontId="97" fillId="32" borderId="0" xfId="175" applyNumberFormat="1" applyFont="1" applyFill="1"/>
    <xf numFmtId="220" fontId="97" fillId="32" borderId="0" xfId="176" applyNumberFormat="1" applyFont="1" applyFill="1"/>
    <xf numFmtId="220" fontId="10" fillId="32" borderId="0" xfId="175" applyNumberFormat="1" applyFont="1" applyFill="1"/>
    <xf numFmtId="9" fontId="97" fillId="32" borderId="0" xfId="177" applyFont="1" applyFill="1"/>
    <xf numFmtId="177" fontId="97" fillId="32" borderId="0" xfId="176" applyNumberFormat="1" applyFont="1" applyFill="1"/>
    <xf numFmtId="177" fontId="10" fillId="42" borderId="0" xfId="175" applyNumberFormat="1" applyFont="1" applyFill="1"/>
    <xf numFmtId="177" fontId="97" fillId="32" borderId="0" xfId="175" applyNumberFormat="1" applyFont="1" applyFill="1"/>
    <xf numFmtId="3" fontId="10" fillId="32" borderId="0" xfId="175" applyNumberFormat="1" applyFont="1" applyFill="1"/>
    <xf numFmtId="3" fontId="100" fillId="43" borderId="39" xfId="175" applyNumberFormat="1" applyFont="1" applyFill="1" applyBorder="1"/>
    <xf numFmtId="9" fontId="99" fillId="32" borderId="0" xfId="177" applyFont="1" applyFill="1"/>
    <xf numFmtId="9" fontId="10" fillId="42" borderId="0" xfId="175" applyNumberFormat="1" applyFont="1" applyFill="1"/>
    <xf numFmtId="226" fontId="97" fillId="32" borderId="51" xfId="175" applyFont="1" applyFill="1" applyBorder="1"/>
    <xf numFmtId="226" fontId="97" fillId="32" borderId="0" xfId="175" applyFont="1" applyFill="1" applyBorder="1"/>
    <xf numFmtId="1" fontId="87" fillId="40" borderId="51" xfId="176" applyNumberFormat="1" applyFont="1" applyFill="1" applyBorder="1" applyAlignment="1">
      <alignment horizontal="right" vertical="center"/>
    </xf>
    <xf numFmtId="192" fontId="100" fillId="37" borderId="51" xfId="176" applyNumberFormat="1" applyFont="1" applyFill="1" applyBorder="1"/>
    <xf numFmtId="192" fontId="100" fillId="37" borderId="0" xfId="176" applyNumberFormat="1" applyFont="1" applyFill="1" applyBorder="1"/>
    <xf numFmtId="226" fontId="101" fillId="32" borderId="0" xfId="175" applyFont="1" applyFill="1" applyAlignment="1">
      <alignment horizontal="left"/>
    </xf>
    <xf numFmtId="192" fontId="97" fillId="32" borderId="51" xfId="176" applyNumberFormat="1" applyFont="1" applyFill="1" applyBorder="1"/>
    <xf numFmtId="192" fontId="97" fillId="32" borderId="0" xfId="176" applyNumberFormat="1" applyFont="1" applyFill="1" applyBorder="1"/>
    <xf numFmtId="192" fontId="99" fillId="32" borderId="0" xfId="176" applyNumberFormat="1" applyFont="1" applyFill="1"/>
    <xf numFmtId="9" fontId="99" fillId="42" borderId="0" xfId="177" applyFont="1" applyFill="1"/>
    <xf numFmtId="9" fontId="99" fillId="42" borderId="51" xfId="177" applyFont="1" applyFill="1" applyBorder="1"/>
    <xf numFmtId="9" fontId="99" fillId="42" borderId="0" xfId="177" applyFont="1" applyFill="1" applyBorder="1"/>
    <xf numFmtId="9" fontId="99" fillId="32" borderId="0" xfId="177" applyFont="1" applyFill="1" applyBorder="1"/>
    <xf numFmtId="226" fontId="97" fillId="32" borderId="0" xfId="175" applyFont="1" applyFill="1" applyAlignment="1">
      <alignment horizontal="left" indent="2"/>
    </xf>
    <xf numFmtId="192" fontId="99" fillId="32" borderId="51" xfId="176" applyNumberFormat="1" applyFont="1" applyFill="1" applyBorder="1"/>
    <xf numFmtId="192" fontId="99" fillId="32" borderId="0" xfId="176" applyNumberFormat="1" applyFont="1" applyFill="1" applyBorder="1"/>
    <xf numFmtId="9" fontId="99" fillId="32" borderId="51" xfId="177" applyFont="1" applyFill="1" applyBorder="1"/>
    <xf numFmtId="181" fontId="99" fillId="42" borderId="0" xfId="177" applyNumberFormat="1" applyFont="1" applyFill="1"/>
    <xf numFmtId="181" fontId="99" fillId="42" borderId="51" xfId="177" applyNumberFormat="1" applyFont="1" applyFill="1" applyBorder="1"/>
    <xf numFmtId="181" fontId="99" fillId="42" borderId="0" xfId="177" applyNumberFormat="1" applyFont="1" applyFill="1" applyBorder="1"/>
    <xf numFmtId="181" fontId="99" fillId="32" borderId="0" xfId="177" applyNumberFormat="1" applyFont="1" applyFill="1" applyBorder="1"/>
    <xf numFmtId="192" fontId="103" fillId="32" borderId="39" xfId="176" applyNumberFormat="1" applyFont="1" applyFill="1" applyBorder="1"/>
    <xf numFmtId="192" fontId="100" fillId="32" borderId="52" xfId="176" applyNumberFormat="1" applyFont="1" applyFill="1" applyBorder="1"/>
    <xf numFmtId="192" fontId="100" fillId="32" borderId="0" xfId="176" applyNumberFormat="1" applyFont="1" applyFill="1" applyBorder="1"/>
    <xf numFmtId="192" fontId="103" fillId="32" borderId="0" xfId="176" applyNumberFormat="1" applyFont="1" applyFill="1" applyBorder="1"/>
    <xf numFmtId="181" fontId="99" fillId="32" borderId="51" xfId="177" applyNumberFormat="1" applyFont="1" applyFill="1" applyBorder="1"/>
    <xf numFmtId="9" fontId="106" fillId="32" borderId="0" xfId="177" applyFont="1" applyFill="1"/>
    <xf numFmtId="192" fontId="100" fillId="32" borderId="51" xfId="176" applyNumberFormat="1" applyFont="1" applyFill="1" applyBorder="1"/>
    <xf numFmtId="9" fontId="100" fillId="32" borderId="0" xfId="177" applyFont="1" applyFill="1"/>
    <xf numFmtId="192" fontId="100" fillId="41" borderId="52" xfId="176" applyNumberFormat="1" applyFont="1" applyFill="1" applyBorder="1"/>
    <xf numFmtId="9" fontId="97" fillId="32" borderId="51" xfId="177" applyFont="1" applyFill="1" applyBorder="1"/>
    <xf numFmtId="9" fontId="97" fillId="32" borderId="0" xfId="177" applyFont="1" applyFill="1" applyBorder="1"/>
    <xf numFmtId="9" fontId="97" fillId="32" borderId="0" xfId="177" applyFont="1" applyFill="1" applyAlignment="1">
      <alignment horizontal="right"/>
    </xf>
    <xf numFmtId="226" fontId="107" fillId="37" borderId="0" xfId="175" applyFont="1" applyFill="1"/>
    <xf numFmtId="192" fontId="107" fillId="37" borderId="0" xfId="176" applyNumberFormat="1" applyFont="1" applyFill="1"/>
    <xf numFmtId="192" fontId="108" fillId="32" borderId="0" xfId="176" applyNumberFormat="1" applyFont="1" applyFill="1"/>
    <xf numFmtId="192" fontId="107" fillId="37" borderId="51" xfId="176" applyNumberFormat="1" applyFont="1" applyFill="1" applyBorder="1"/>
    <xf numFmtId="192" fontId="107" fillId="37" borderId="0" xfId="176" applyNumberFormat="1" applyFont="1" applyFill="1" applyBorder="1"/>
    <xf numFmtId="192" fontId="106" fillId="32" borderId="0" xfId="176" applyNumberFormat="1" applyFont="1" applyFill="1"/>
    <xf numFmtId="192" fontId="103" fillId="32" borderId="52" xfId="176" applyNumberFormat="1" applyFont="1" applyFill="1" applyBorder="1"/>
    <xf numFmtId="192" fontId="102" fillId="32" borderId="51" xfId="176" applyNumberFormat="1" applyFont="1" applyFill="1" applyBorder="1"/>
    <xf numFmtId="192" fontId="102" fillId="32" borderId="0" xfId="176" applyNumberFormat="1" applyFont="1" applyFill="1" applyBorder="1"/>
    <xf numFmtId="226" fontId="109" fillId="32" borderId="0" xfId="175" applyFont="1" applyFill="1"/>
    <xf numFmtId="192" fontId="109" fillId="32" borderId="0" xfId="176" applyNumberFormat="1" applyFont="1" applyFill="1"/>
    <xf numFmtId="192" fontId="109" fillId="32" borderId="51" xfId="176" applyNumberFormat="1" applyFont="1" applyFill="1" applyBorder="1"/>
    <xf numFmtId="192" fontId="109" fillId="32" borderId="0" xfId="176" applyNumberFormat="1" applyFont="1" applyFill="1" applyBorder="1"/>
    <xf numFmtId="226" fontId="97" fillId="32" borderId="0" xfId="175" applyFont="1" applyFill="1" applyAlignment="1">
      <alignment horizontal="right"/>
    </xf>
    <xf numFmtId="181" fontId="97" fillId="32" borderId="0" xfId="177" applyNumberFormat="1" applyFont="1" applyFill="1"/>
    <xf numFmtId="192" fontId="97" fillId="32" borderId="0" xfId="177" applyNumberFormat="1" applyFont="1" applyFill="1"/>
    <xf numFmtId="226" fontId="100" fillId="41" borderId="0" xfId="175" applyFont="1" applyFill="1"/>
    <xf numFmtId="192" fontId="100" fillId="41" borderId="51" xfId="176" applyNumberFormat="1" applyFont="1" applyFill="1" applyBorder="1"/>
    <xf numFmtId="192" fontId="100" fillId="41" borderId="0" xfId="176" applyNumberFormat="1" applyFont="1" applyFill="1" applyBorder="1"/>
    <xf numFmtId="192" fontId="97" fillId="42" borderId="51" xfId="176" applyNumberFormat="1" applyFont="1" applyFill="1" applyBorder="1"/>
    <xf numFmtId="192" fontId="97" fillId="42" borderId="0" xfId="176" applyNumberFormat="1" applyFont="1" applyFill="1" applyBorder="1"/>
    <xf numFmtId="192" fontId="10" fillId="32" borderId="51" xfId="176" applyNumberFormat="1" applyFont="1" applyFill="1" applyBorder="1"/>
    <xf numFmtId="192" fontId="10" fillId="32" borderId="0" xfId="176" applyNumberFormat="1" applyFont="1" applyFill="1" applyBorder="1"/>
    <xf numFmtId="181" fontId="10" fillId="32" borderId="0" xfId="177" applyNumberFormat="1" applyFont="1" applyFill="1"/>
    <xf numFmtId="181" fontId="97" fillId="42" borderId="0" xfId="177" applyNumberFormat="1" applyFont="1" applyFill="1"/>
    <xf numFmtId="181" fontId="10" fillId="32" borderId="0" xfId="177" applyNumberFormat="1" applyFont="1" applyFill="1" applyBorder="1"/>
    <xf numFmtId="181" fontId="97" fillId="42" borderId="0" xfId="177" applyNumberFormat="1" applyFont="1" applyFill="1" applyBorder="1"/>
    <xf numFmtId="181" fontId="97" fillId="32" borderId="0" xfId="177" applyNumberFormat="1" applyFont="1" applyFill="1" applyBorder="1"/>
    <xf numFmtId="192" fontId="97" fillId="42" borderId="0" xfId="176" applyNumberFormat="1" applyFont="1" applyFill="1"/>
    <xf numFmtId="9" fontId="99" fillId="42" borderId="0" xfId="177" applyNumberFormat="1" applyFont="1" applyFill="1"/>
    <xf numFmtId="9" fontId="99" fillId="42" borderId="0" xfId="177" applyNumberFormat="1" applyFont="1" applyFill="1" applyBorder="1"/>
    <xf numFmtId="226" fontId="100" fillId="37" borderId="51" xfId="175" applyFont="1" applyFill="1" applyBorder="1"/>
    <xf numFmtId="226" fontId="100" fillId="37" borderId="0" xfId="175" applyFont="1" applyFill="1" applyBorder="1"/>
    <xf numFmtId="220" fontId="102" fillId="32" borderId="0" xfId="176" applyNumberFormat="1" applyFont="1" applyFill="1"/>
    <xf numFmtId="181" fontId="23" fillId="32" borderId="0" xfId="177" applyNumberFormat="1" applyFont="1" applyFill="1"/>
    <xf numFmtId="181" fontId="23" fillId="42" borderId="0" xfId="177" applyNumberFormat="1" applyFont="1" applyFill="1"/>
    <xf numFmtId="181" fontId="23" fillId="32" borderId="51" xfId="177" applyNumberFormat="1" applyFont="1" applyFill="1" applyBorder="1"/>
    <xf numFmtId="181" fontId="23" fillId="32" borderId="0" xfId="177" applyNumberFormat="1" applyFont="1" applyFill="1" applyBorder="1"/>
    <xf numFmtId="181" fontId="23" fillId="42" borderId="0" xfId="177" applyNumberFormat="1" applyFont="1" applyFill="1" applyBorder="1"/>
    <xf numFmtId="192" fontId="12" fillId="32" borderId="52" xfId="176" applyNumberFormat="1" applyFont="1" applyFill="1" applyBorder="1"/>
    <xf numFmtId="192" fontId="23" fillId="32" borderId="0" xfId="176" applyNumberFormat="1" applyFont="1" applyFill="1"/>
    <xf numFmtId="192" fontId="23" fillId="32" borderId="51" xfId="176" applyNumberFormat="1" applyFont="1" applyFill="1" applyBorder="1"/>
    <xf numFmtId="192" fontId="23" fillId="32" borderId="0" xfId="176" applyNumberFormat="1" applyFont="1" applyFill="1" applyBorder="1"/>
    <xf numFmtId="226" fontId="96" fillId="0" borderId="0" xfId="175"/>
    <xf numFmtId="226" fontId="96" fillId="0" borderId="37" xfId="175" applyBorder="1"/>
    <xf numFmtId="1" fontId="87" fillId="40" borderId="37" xfId="176" applyNumberFormat="1" applyFont="1" applyFill="1" applyBorder="1" applyAlignment="1">
      <alignment horizontal="center" vertical="center"/>
    </xf>
    <xf numFmtId="192" fontId="0" fillId="0" borderId="37" xfId="176" applyNumberFormat="1" applyFont="1" applyBorder="1"/>
    <xf numFmtId="9" fontId="0" fillId="0" borderId="37" xfId="177" applyFont="1" applyBorder="1"/>
    <xf numFmtId="226" fontId="107" fillId="32" borderId="0" xfId="175" applyFont="1" applyFill="1"/>
    <xf numFmtId="226" fontId="108" fillId="32" borderId="0" xfId="175" applyFont="1" applyFill="1"/>
    <xf numFmtId="226" fontId="110" fillId="32" borderId="0" xfId="175" applyFont="1" applyFill="1"/>
    <xf numFmtId="226" fontId="111" fillId="32" borderId="0" xfId="175" applyFont="1" applyFill="1"/>
    <xf numFmtId="226" fontId="112" fillId="32" borderId="0" xfId="175" applyFont="1" applyFill="1"/>
    <xf numFmtId="226" fontId="81" fillId="40" borderId="0" xfId="175" applyFont="1" applyFill="1"/>
    <xf numFmtId="222" fontId="81" fillId="40" borderId="0" xfId="175" applyNumberFormat="1" applyFont="1" applyFill="1"/>
    <xf numFmtId="3" fontId="108" fillId="32" borderId="0" xfId="175" applyNumberFormat="1" applyFont="1" applyFill="1"/>
    <xf numFmtId="226" fontId="112" fillId="32" borderId="0" xfId="175" applyFont="1" applyFill="1" applyAlignment="1">
      <alignment horizontal="right"/>
    </xf>
    <xf numFmtId="9" fontId="112" fillId="32" borderId="0" xfId="177" applyFont="1" applyFill="1"/>
    <xf numFmtId="9" fontId="112" fillId="42" borderId="0" xfId="177" applyFont="1" applyFill="1"/>
    <xf numFmtId="226" fontId="107" fillId="41" borderId="39" xfId="175" applyFont="1" applyFill="1" applyBorder="1"/>
    <xf numFmtId="3" fontId="107" fillId="41" borderId="39" xfId="175" applyNumberFormat="1" applyFont="1" applyFill="1" applyBorder="1"/>
    <xf numFmtId="181" fontId="112" fillId="32" borderId="0" xfId="177" applyNumberFormat="1" applyFont="1" applyFill="1"/>
    <xf numFmtId="9" fontId="112" fillId="32" borderId="0" xfId="177" applyNumberFormat="1" applyFont="1" applyFill="1"/>
    <xf numFmtId="226" fontId="113" fillId="32" borderId="0" xfId="175" applyFont="1" applyFill="1"/>
    <xf numFmtId="226" fontId="114" fillId="32" borderId="0" xfId="175" applyFont="1" applyFill="1"/>
    <xf numFmtId="9" fontId="108" fillId="42" borderId="0" xfId="177" applyFont="1" applyFill="1"/>
    <xf numFmtId="226" fontId="108" fillId="32" borderId="39" xfId="175" applyFont="1" applyFill="1" applyBorder="1"/>
    <xf numFmtId="3" fontId="107" fillId="32" borderId="39" xfId="175" applyNumberFormat="1" applyFont="1" applyFill="1" applyBorder="1"/>
    <xf numFmtId="226" fontId="107" fillId="32" borderId="39" xfId="175" applyFont="1" applyFill="1" applyBorder="1"/>
    <xf numFmtId="226" fontId="115" fillId="32" borderId="0" xfId="175" applyFont="1" applyFill="1"/>
    <xf numFmtId="226" fontId="116" fillId="32" borderId="0" xfId="175" applyFont="1" applyFill="1"/>
    <xf numFmtId="193" fontId="108" fillId="32" borderId="0" xfId="175" applyNumberFormat="1" applyFont="1" applyFill="1"/>
    <xf numFmtId="1" fontId="108" fillId="32" borderId="0" xfId="175" applyNumberFormat="1" applyFont="1" applyFill="1"/>
    <xf numFmtId="226" fontId="107" fillId="41" borderId="53" xfId="175" applyFont="1" applyFill="1" applyBorder="1"/>
    <xf numFmtId="223" fontId="107" fillId="41" borderId="53" xfId="175" applyNumberFormat="1" applyFont="1" applyFill="1" applyBorder="1"/>
    <xf numFmtId="226" fontId="108" fillId="32" borderId="20" xfId="175" applyFont="1" applyFill="1" applyBorder="1"/>
    <xf numFmtId="226" fontId="112" fillId="32" borderId="18" xfId="175" applyFont="1" applyFill="1" applyBorder="1"/>
    <xf numFmtId="9" fontId="108" fillId="32" borderId="18" xfId="177" applyFont="1" applyFill="1" applyBorder="1"/>
    <xf numFmtId="226" fontId="112" fillId="32" borderId="0" xfId="175" applyFont="1" applyFill="1" applyBorder="1"/>
    <xf numFmtId="220" fontId="108" fillId="32" borderId="0" xfId="176" applyNumberFormat="1" applyFont="1" applyFill="1" applyBorder="1"/>
    <xf numFmtId="220" fontId="108" fillId="32" borderId="0" xfId="176" applyNumberFormat="1" applyFont="1" applyFill="1"/>
    <xf numFmtId="226" fontId="84" fillId="40" borderId="0" xfId="175" applyFont="1" applyFill="1"/>
    <xf numFmtId="220" fontId="107" fillId="32" borderId="39" xfId="176" applyNumberFormat="1" applyFont="1" applyFill="1" applyBorder="1"/>
    <xf numFmtId="226" fontId="81" fillId="40" borderId="0" xfId="175" applyFont="1" applyFill="1" applyAlignment="1">
      <alignment horizontal="left" vertical="center"/>
    </xf>
    <xf numFmtId="226" fontId="81" fillId="40" borderId="0" xfId="175" applyFont="1" applyFill="1" applyAlignment="1">
      <alignment horizontal="center" vertical="center"/>
    </xf>
    <xf numFmtId="226" fontId="81" fillId="40" borderId="0" xfId="175" applyFont="1" applyFill="1" applyAlignment="1">
      <alignment horizontal="center" vertical="center" wrapText="1"/>
    </xf>
    <xf numFmtId="226" fontId="108" fillId="32" borderId="0" xfId="175" applyFont="1" applyFill="1" applyAlignment="1">
      <alignment horizontal="center" vertical="center"/>
    </xf>
    <xf numFmtId="226" fontId="110" fillId="32" borderId="0" xfId="175" applyFont="1" applyFill="1" applyAlignment="1">
      <alignment horizontal="center" vertical="center"/>
    </xf>
    <xf numFmtId="226" fontId="111" fillId="32" borderId="0" xfId="175" applyFont="1" applyFill="1" applyAlignment="1">
      <alignment horizontal="center" vertical="center"/>
    </xf>
    <xf numFmtId="226" fontId="108" fillId="32" borderId="35" xfId="175" applyFont="1" applyFill="1" applyBorder="1"/>
    <xf numFmtId="9" fontId="108" fillId="32" borderId="35" xfId="177" applyNumberFormat="1" applyFont="1" applyFill="1" applyBorder="1" applyAlignment="1">
      <alignment horizontal="center"/>
    </xf>
    <xf numFmtId="9" fontId="108" fillId="32" borderId="35" xfId="177" applyFont="1" applyFill="1" applyBorder="1" applyAlignment="1">
      <alignment horizontal="center"/>
    </xf>
    <xf numFmtId="226" fontId="108" fillId="32" borderId="0" xfId="175" applyFont="1" applyFill="1" applyBorder="1"/>
    <xf numFmtId="9" fontId="108" fillId="32" borderId="0" xfId="177" applyNumberFormat="1" applyFont="1" applyFill="1" applyBorder="1" applyAlignment="1">
      <alignment horizontal="center"/>
    </xf>
    <xf numFmtId="9" fontId="108" fillId="32" borderId="0" xfId="177" applyFont="1" applyFill="1" applyBorder="1" applyAlignment="1">
      <alignment horizontal="center"/>
    </xf>
    <xf numFmtId="226" fontId="108" fillId="32" borderId="18" xfId="175" applyFont="1" applyFill="1" applyBorder="1"/>
    <xf numFmtId="9" fontId="108" fillId="32" borderId="18" xfId="177" applyNumberFormat="1" applyFont="1" applyFill="1" applyBorder="1" applyAlignment="1">
      <alignment horizontal="center"/>
    </xf>
    <xf numFmtId="9" fontId="108" fillId="32" borderId="18" xfId="177" applyFont="1" applyFill="1" applyBorder="1" applyAlignment="1">
      <alignment horizontal="center"/>
    </xf>
    <xf numFmtId="209" fontId="10" fillId="9" borderId="0" xfId="7" applyNumberFormat="1" applyFont="1" applyFill="1" applyBorder="1" applyAlignment="1">
      <alignment vertical="center"/>
    </xf>
    <xf numFmtId="217" fontId="10" fillId="0" borderId="6" xfId="171" applyNumberFormat="1" applyFont="1" applyFill="1" applyBorder="1">
      <alignment vertical="center"/>
    </xf>
    <xf numFmtId="217" fontId="10" fillId="0" borderId="0" xfId="10" applyNumberFormat="1" applyFont="1" applyFill="1" applyBorder="1" applyAlignment="1">
      <alignment horizontal="right"/>
    </xf>
    <xf numFmtId="217" fontId="10" fillId="0" borderId="8" xfId="10" applyNumberFormat="1" applyFont="1" applyFill="1" applyBorder="1" applyAlignment="1">
      <alignment horizontal="right"/>
    </xf>
    <xf numFmtId="217" fontId="10" fillId="0" borderId="0" xfId="171" applyNumberFormat="1" applyFont="1" applyFill="1" applyBorder="1" applyAlignment="1">
      <alignment horizontal="right"/>
    </xf>
    <xf numFmtId="217" fontId="10" fillId="0" borderId="8" xfId="171" applyNumberFormat="1" applyFont="1" applyFill="1" applyBorder="1" applyAlignment="1">
      <alignment horizontal="right"/>
    </xf>
    <xf numFmtId="181" fontId="10" fillId="0" borderId="6" xfId="7" applyNumberFormat="1" applyFont="1" applyFill="1" applyBorder="1" applyAlignment="1">
      <alignment vertical="center" wrapText="1"/>
    </xf>
    <xf numFmtId="209" fontId="10" fillId="0" borderId="6" xfId="171" applyNumberFormat="1" applyFont="1" applyFill="1" applyBorder="1" applyAlignment="1">
      <alignment vertical="center" wrapText="1"/>
    </xf>
    <xf numFmtId="226" fontId="12" fillId="0" borderId="6" xfId="171" applyFont="1" applyFill="1" applyBorder="1" applyAlignment="1">
      <alignment horizontal="left" vertical="center"/>
    </xf>
    <xf numFmtId="226" fontId="12" fillId="0" borderId="6" xfId="171" applyFont="1" applyFill="1" applyBorder="1">
      <alignment vertical="center"/>
    </xf>
    <xf numFmtId="178" fontId="12" fillId="0" borderId="6" xfId="10" applyFont="1" applyFill="1" applyBorder="1" applyAlignment="1">
      <alignment horizontal="left" vertical="center" wrapText="1"/>
    </xf>
    <xf numFmtId="178" fontId="10" fillId="0" borderId="6" xfId="10" applyFont="1" applyFill="1" applyBorder="1" applyAlignment="1">
      <alignment horizontal="left" vertical="center"/>
    </xf>
    <xf numFmtId="218" fontId="10" fillId="0" borderId="6" xfId="10" applyNumberFormat="1" applyFont="1" applyFill="1" applyBorder="1" applyAlignment="1" applyProtection="1">
      <alignment horizontal="left"/>
    </xf>
    <xf numFmtId="218" fontId="12" fillId="0" borderId="6" xfId="10" applyNumberFormat="1" applyFont="1" applyFill="1" applyBorder="1" applyAlignment="1" applyProtection="1">
      <alignment horizontal="left"/>
    </xf>
    <xf numFmtId="178" fontId="12" fillId="0" borderId="6" xfId="10" applyFont="1" applyFill="1" applyBorder="1" applyAlignment="1" applyProtection="1">
      <alignment horizontal="left"/>
    </xf>
    <xf numFmtId="226" fontId="10" fillId="0" borderId="6" xfId="171" applyFont="1" applyFill="1" applyBorder="1" applyAlignment="1">
      <alignment vertical="center"/>
    </xf>
    <xf numFmtId="226" fontId="5" fillId="0" borderId="0" xfId="171" applyFill="1">
      <alignment vertical="center"/>
    </xf>
    <xf numFmtId="226" fontId="10" fillId="34" borderId="0" xfId="171" applyFont="1" applyFill="1" applyBorder="1">
      <alignment vertical="center"/>
    </xf>
    <xf numFmtId="226" fontId="5" fillId="0" borderId="0" xfId="13" applyFont="1" applyFill="1" applyBorder="1">
      <alignment vertical="center"/>
    </xf>
    <xf numFmtId="196" fontId="10" fillId="0" borderId="8" xfId="13" applyNumberFormat="1" applyFont="1" applyFill="1" applyBorder="1">
      <alignment vertical="center"/>
    </xf>
    <xf numFmtId="216" fontId="10" fillId="0" borderId="8" xfId="12" applyNumberFormat="1" applyFont="1" applyFill="1" applyBorder="1">
      <alignment vertical="center"/>
    </xf>
    <xf numFmtId="181" fontId="117" fillId="0" borderId="0" xfId="13" applyNumberFormat="1" applyFont="1" applyFill="1" applyBorder="1" applyAlignment="1">
      <alignment horizontal="center" vertical="center"/>
    </xf>
    <xf numFmtId="181" fontId="117" fillId="0" borderId="8" xfId="13" applyNumberFormat="1" applyFont="1" applyFill="1" applyBorder="1" applyAlignment="1">
      <alignment horizontal="center" vertical="center"/>
    </xf>
    <xf numFmtId="181" fontId="118" fillId="0" borderId="0" xfId="7" applyNumberFormat="1" applyFont="1" applyFill="1" applyBorder="1">
      <alignment vertical="center"/>
    </xf>
    <xf numFmtId="181" fontId="118" fillId="0" borderId="8" xfId="7" applyNumberFormat="1" applyFont="1" applyFill="1" applyBorder="1">
      <alignment vertical="center"/>
    </xf>
    <xf numFmtId="181" fontId="118" fillId="0" borderId="4" xfId="7" applyNumberFormat="1" applyFont="1" applyFill="1" applyBorder="1">
      <alignment vertical="center"/>
    </xf>
    <xf numFmtId="181" fontId="117" fillId="0" borderId="0" xfId="7" applyNumberFormat="1" applyFont="1" applyFill="1" applyBorder="1">
      <alignment vertical="center"/>
    </xf>
    <xf numFmtId="181" fontId="117" fillId="0" borderId="8" xfId="7" applyNumberFormat="1" applyFont="1" applyFill="1" applyBorder="1">
      <alignment vertical="center"/>
    </xf>
    <xf numFmtId="181" fontId="117" fillId="0" borderId="0" xfId="13" applyNumberFormat="1" applyFont="1" applyFill="1" applyBorder="1">
      <alignment vertical="center"/>
    </xf>
    <xf numFmtId="181" fontId="117" fillId="0" borderId="8" xfId="13" applyNumberFormat="1" applyFont="1" applyFill="1" applyBorder="1">
      <alignment vertical="center"/>
    </xf>
    <xf numFmtId="181" fontId="117" fillId="0" borderId="6" xfId="13" applyNumberFormat="1" applyFont="1" applyFill="1" applyBorder="1">
      <alignment vertical="center"/>
    </xf>
    <xf numFmtId="181" fontId="117" fillId="0" borderId="0" xfId="7" applyNumberFormat="1" applyFont="1" applyFill="1" applyBorder="1" applyAlignment="1">
      <alignment horizontal="right" vertical="center"/>
    </xf>
    <xf numFmtId="181" fontId="117" fillId="0" borderId="8" xfId="7" applyNumberFormat="1" applyFont="1" applyFill="1" applyBorder="1" applyAlignment="1">
      <alignment horizontal="right" vertical="center"/>
    </xf>
    <xf numFmtId="226" fontId="23" fillId="0" borderId="0" xfId="13" applyFont="1" applyFill="1" applyBorder="1">
      <alignment vertical="center"/>
    </xf>
    <xf numFmtId="9" fontId="23" fillId="0" borderId="0" xfId="7" applyFont="1" applyFill="1" applyBorder="1" applyAlignment="1">
      <alignment horizontal="center" vertical="center"/>
    </xf>
    <xf numFmtId="9" fontId="23" fillId="0" borderId="8" xfId="7" applyFont="1" applyFill="1" applyBorder="1" applyAlignment="1">
      <alignment horizontal="center" vertical="center"/>
    </xf>
    <xf numFmtId="9" fontId="23" fillId="0" borderId="6" xfId="7" applyFont="1" applyFill="1" applyBorder="1">
      <alignment vertical="center"/>
    </xf>
    <xf numFmtId="226" fontId="10" fillId="34" borderId="0" xfId="13" applyFont="1" applyFill="1" applyBorder="1">
      <alignment vertical="center"/>
    </xf>
    <xf numFmtId="226" fontId="10" fillId="34" borderId="4" xfId="13" applyFont="1" applyFill="1" applyBorder="1">
      <alignment vertical="center"/>
    </xf>
    <xf numFmtId="226" fontId="10" fillId="34" borderId="8" xfId="13" applyFont="1" applyFill="1" applyBorder="1">
      <alignment vertical="center"/>
    </xf>
    <xf numFmtId="226" fontId="10" fillId="34" borderId="6" xfId="13" applyFont="1" applyFill="1" applyBorder="1">
      <alignment vertical="center"/>
    </xf>
    <xf numFmtId="9" fontId="10" fillId="34" borderId="0" xfId="7" applyFont="1" applyFill="1" applyBorder="1">
      <alignment vertical="center"/>
    </xf>
    <xf numFmtId="209" fontId="10" fillId="34" borderId="0" xfId="9" applyNumberFormat="1" applyFont="1" applyFill="1" applyBorder="1"/>
    <xf numFmtId="209" fontId="10" fillId="34" borderId="0" xfId="13" applyNumberFormat="1" applyFont="1" applyFill="1" applyBorder="1">
      <alignment vertical="center"/>
    </xf>
    <xf numFmtId="209" fontId="10" fillId="34" borderId="8" xfId="9" applyNumberFormat="1" applyFont="1" applyFill="1" applyBorder="1"/>
    <xf numFmtId="209" fontId="10" fillId="34" borderId="0" xfId="9" applyNumberFormat="1" applyFont="1" applyFill="1" applyBorder="1" applyAlignment="1">
      <alignment horizontal="right"/>
    </xf>
    <xf numFmtId="209" fontId="23" fillId="34" borderId="8" xfId="13" applyNumberFormat="1" applyFont="1" applyFill="1" applyBorder="1">
      <alignment vertical="center"/>
    </xf>
    <xf numFmtId="209" fontId="10" fillId="34" borderId="0" xfId="13" applyNumberFormat="1" applyFont="1" applyFill="1" applyBorder="1" applyAlignment="1">
      <alignment horizontal="right" vertical="center"/>
    </xf>
    <xf numFmtId="209" fontId="10" fillId="34" borderId="4" xfId="13" applyNumberFormat="1" applyFont="1" applyFill="1" applyBorder="1" applyAlignment="1">
      <alignment horizontal="right" vertical="center"/>
    </xf>
    <xf numFmtId="209" fontId="10" fillId="34" borderId="8" xfId="9" applyNumberFormat="1" applyFont="1" applyFill="1" applyBorder="1" applyAlignment="1">
      <alignment horizontal="right"/>
    </xf>
    <xf numFmtId="209" fontId="10" fillId="34" borderId="8" xfId="13" applyNumberFormat="1" applyFont="1" applyFill="1" applyBorder="1">
      <alignment vertical="center"/>
    </xf>
    <xf numFmtId="209" fontId="10" fillId="34" borderId="6" xfId="13" applyNumberFormat="1" applyFont="1" applyFill="1" applyBorder="1">
      <alignment vertical="center"/>
    </xf>
    <xf numFmtId="226" fontId="12" fillId="34" borderId="0" xfId="9" applyFont="1" applyFill="1" applyBorder="1" applyAlignment="1">
      <alignment horizontal="center"/>
    </xf>
    <xf numFmtId="226" fontId="12" fillId="34" borderId="8" xfId="9" applyFont="1" applyFill="1" applyBorder="1" applyAlignment="1">
      <alignment horizontal="center"/>
    </xf>
    <xf numFmtId="226" fontId="24" fillId="34" borderId="8" xfId="9" applyFont="1" applyFill="1" applyBorder="1" applyAlignment="1">
      <alignment horizontal="center"/>
    </xf>
    <xf numFmtId="226" fontId="12" fillId="34" borderId="4" xfId="9" applyFont="1" applyFill="1" applyBorder="1" applyAlignment="1">
      <alignment horizontal="center"/>
    </xf>
    <xf numFmtId="226" fontId="12" fillId="34" borderId="6" xfId="9" applyFont="1" applyFill="1" applyBorder="1" applyAlignment="1">
      <alignment horizontal="center"/>
    </xf>
    <xf numFmtId="226" fontId="12" fillId="2" borderId="27" xfId="9" applyFont="1" applyFill="1" applyBorder="1" applyAlignment="1">
      <alignment horizontal="center"/>
    </xf>
    <xf numFmtId="226" fontId="12" fillId="2" borderId="57" xfId="9" applyFont="1" applyFill="1" applyBorder="1" applyAlignment="1">
      <alignment horizontal="center"/>
    </xf>
    <xf numFmtId="226" fontId="12" fillId="2" borderId="55" xfId="9" applyFont="1" applyFill="1" applyBorder="1" applyAlignment="1">
      <alignment horizontal="center"/>
    </xf>
    <xf numFmtId="226" fontId="12" fillId="2" borderId="56" xfId="9" applyFont="1" applyFill="1" applyBorder="1" applyAlignment="1">
      <alignment horizontal="center"/>
    </xf>
    <xf numFmtId="9" fontId="10" fillId="0" borderId="27" xfId="7" applyFont="1" applyFill="1" applyBorder="1">
      <alignment vertical="center"/>
    </xf>
    <xf numFmtId="181" fontId="118" fillId="0" borderId="0" xfId="7" applyNumberFormat="1" applyFont="1" applyFill="1" applyBorder="1" applyAlignment="1">
      <alignment horizontal="right" vertical="center"/>
    </xf>
    <xf numFmtId="181" fontId="118" fillId="0" borderId="4" xfId="7" applyNumberFormat="1" applyFont="1" applyFill="1" applyBorder="1" applyAlignment="1">
      <alignment horizontal="right" vertical="center"/>
    </xf>
    <xf numFmtId="9" fontId="117" fillId="0" borderId="0" xfId="7" applyFont="1" applyFill="1" applyBorder="1">
      <alignment vertical="center"/>
    </xf>
    <xf numFmtId="226" fontId="12" fillId="34" borderId="0" xfId="9" applyFont="1" applyFill="1" applyBorder="1" applyAlignment="1">
      <alignment horizontal="right"/>
    </xf>
    <xf numFmtId="192" fontId="12" fillId="34" borderId="0" xfId="14" applyNumberFormat="1" applyFont="1" applyFill="1" applyBorder="1" applyAlignment="1">
      <alignment horizontal="center"/>
    </xf>
    <xf numFmtId="192" fontId="12" fillId="34" borderId="0" xfId="14" applyNumberFormat="1" applyFont="1" applyFill="1" applyBorder="1" applyAlignment="1">
      <alignment horizontal="center" vertical="center"/>
    </xf>
    <xf numFmtId="192" fontId="12" fillId="34" borderId="8" xfId="14" applyNumberFormat="1" applyFont="1" applyFill="1" applyBorder="1" applyAlignment="1">
      <alignment horizontal="center" vertical="center"/>
    </xf>
    <xf numFmtId="226" fontId="5" fillId="0" borderId="8" xfId="13" applyFont="1" applyFill="1" applyBorder="1">
      <alignment vertical="center"/>
    </xf>
    <xf numFmtId="192" fontId="12" fillId="0" borderId="0" xfId="14" applyNumberFormat="1" applyFont="1" applyFill="1" applyBorder="1" applyAlignment="1">
      <alignment horizontal="center" vertical="center"/>
    </xf>
    <xf numFmtId="192" fontId="12" fillId="0" borderId="8" xfId="14" applyNumberFormat="1" applyFont="1" applyFill="1" applyBorder="1" applyAlignment="1">
      <alignment horizontal="center" vertical="center"/>
    </xf>
    <xf numFmtId="209" fontId="12" fillId="34" borderId="6" xfId="9" applyNumberFormat="1" applyFont="1" applyFill="1" applyBorder="1"/>
    <xf numFmtId="226" fontId="119" fillId="36" borderId="58" xfId="13" applyFont="1" applyFill="1" applyBorder="1">
      <alignment vertical="center"/>
    </xf>
    <xf numFmtId="226" fontId="81" fillId="36" borderId="59" xfId="13" applyFont="1" applyFill="1" applyBorder="1" applyAlignment="1">
      <alignment horizontal="center" vertical="center"/>
    </xf>
    <xf numFmtId="226" fontId="81" fillId="36" borderId="0" xfId="13" applyFont="1" applyFill="1" applyBorder="1" applyAlignment="1">
      <alignment horizontal="center" vertical="center"/>
    </xf>
    <xf numFmtId="226" fontId="81" fillId="36" borderId="60" xfId="13" applyFont="1" applyFill="1" applyBorder="1" applyAlignment="1">
      <alignment horizontal="center" vertical="center"/>
    </xf>
    <xf numFmtId="3" fontId="7" fillId="0" borderId="0" xfId="13" applyNumberFormat="1" applyFont="1" applyBorder="1">
      <alignment vertical="center"/>
    </xf>
    <xf numFmtId="226" fontId="120" fillId="0" borderId="4" xfId="13" applyFont="1" applyBorder="1" applyAlignment="1">
      <alignment horizontal="left" vertical="center" indent="1"/>
    </xf>
    <xf numFmtId="9" fontId="120" fillId="0" borderId="0" xfId="13" applyNumberFormat="1" applyFont="1" applyBorder="1">
      <alignment vertical="center"/>
    </xf>
    <xf numFmtId="226" fontId="120" fillId="0" borderId="0" xfId="13" applyFont="1">
      <alignment vertical="center"/>
    </xf>
    <xf numFmtId="9" fontId="120" fillId="0" borderId="0" xfId="16" applyFont="1" applyBorder="1">
      <alignment vertical="center"/>
    </xf>
    <xf numFmtId="226" fontId="7" fillId="0" borderId="49" xfId="13" applyFont="1" applyBorder="1">
      <alignment vertical="center"/>
    </xf>
    <xf numFmtId="181" fontId="7" fillId="0" borderId="18" xfId="16" applyNumberFormat="1" applyFont="1" applyBorder="1">
      <alignment vertical="center"/>
    </xf>
    <xf numFmtId="181" fontId="10" fillId="9" borderId="6" xfId="9" applyNumberFormat="1" applyFont="1" applyFill="1" applyBorder="1" applyAlignment="1">
      <alignment horizontal="left" indent="2"/>
    </xf>
    <xf numFmtId="38" fontId="10" fillId="0" borderId="6" xfId="9" applyNumberFormat="1" applyFont="1" applyFill="1" applyBorder="1" applyAlignment="1">
      <alignment horizontal="left" indent="1"/>
    </xf>
    <xf numFmtId="217" fontId="10" fillId="0" borderId="6" xfId="13" applyNumberFormat="1" applyFont="1" applyFill="1" applyBorder="1" applyAlignment="1">
      <alignment horizontal="left" vertical="center" indent="1"/>
    </xf>
    <xf numFmtId="9" fontId="10" fillId="0" borderId="6" xfId="7" applyFont="1" applyFill="1" applyBorder="1" applyAlignment="1">
      <alignment horizontal="left" vertical="center" indent="2"/>
    </xf>
    <xf numFmtId="178" fontId="122" fillId="0" borderId="0" xfId="10" applyFont="1" applyFill="1" applyBorder="1" applyAlignment="1">
      <alignment horizontal="right" vertical="center"/>
    </xf>
    <xf numFmtId="178" fontId="122" fillId="0" borderId="0" xfId="10" applyFont="1" applyFill="1" applyBorder="1">
      <alignment vertical="center"/>
    </xf>
    <xf numFmtId="178" fontId="122" fillId="0" borderId="8" xfId="10" applyFont="1" applyFill="1" applyBorder="1">
      <alignment vertical="center"/>
    </xf>
    <xf numFmtId="192" fontId="122" fillId="0" borderId="0" xfId="14" applyNumberFormat="1" applyFont="1" applyFill="1" applyBorder="1">
      <alignment vertical="center"/>
    </xf>
    <xf numFmtId="178" fontId="122" fillId="0" borderId="6" xfId="10" applyFont="1" applyFill="1" applyBorder="1">
      <alignment vertical="center"/>
    </xf>
    <xf numFmtId="181" fontId="122" fillId="0" borderId="0" xfId="7" applyNumberFormat="1" applyFont="1" applyFill="1" applyBorder="1">
      <alignment vertical="center"/>
    </xf>
    <xf numFmtId="181" fontId="122" fillId="0" borderId="8" xfId="7" applyNumberFormat="1" applyFont="1" applyFill="1" applyBorder="1">
      <alignment vertical="center"/>
    </xf>
    <xf numFmtId="9" fontId="122" fillId="0" borderId="0" xfId="7" applyFont="1" applyFill="1" applyBorder="1">
      <alignment vertical="center"/>
    </xf>
    <xf numFmtId="9" fontId="122" fillId="0" borderId="8" xfId="7" applyFont="1" applyFill="1" applyBorder="1">
      <alignment vertical="center"/>
    </xf>
    <xf numFmtId="181" fontId="122" fillId="0" borderId="0" xfId="7" applyNumberFormat="1" applyFont="1" applyFill="1" applyBorder="1" applyAlignment="1">
      <alignment horizontal="right" vertical="center"/>
    </xf>
    <xf numFmtId="181" fontId="123" fillId="0" borderId="0" xfId="7" applyNumberFormat="1" applyFont="1" applyFill="1" applyBorder="1" applyAlignment="1">
      <alignment horizontal="right" vertical="center"/>
    </xf>
    <xf numFmtId="181" fontId="23" fillId="0" borderId="0" xfId="7" applyNumberFormat="1" applyFont="1" applyFill="1" applyBorder="1" applyAlignment="1">
      <alignment horizontal="right" vertical="center"/>
    </xf>
    <xf numFmtId="38" fontId="122" fillId="0" borderId="0" xfId="13" applyNumberFormat="1" applyFont="1" applyFill="1" applyBorder="1">
      <alignment vertical="center"/>
    </xf>
    <xf numFmtId="38" fontId="122" fillId="0" borderId="8" xfId="13" applyNumberFormat="1" applyFont="1" applyFill="1" applyBorder="1">
      <alignment vertical="center"/>
    </xf>
    <xf numFmtId="38" fontId="122" fillId="0" borderId="6" xfId="13" applyNumberFormat="1" applyFont="1" applyFill="1" applyBorder="1">
      <alignment vertical="center"/>
    </xf>
    <xf numFmtId="192" fontId="122" fillId="0" borderId="8" xfId="14" applyNumberFormat="1" applyFont="1" applyFill="1" applyBorder="1">
      <alignment vertical="center"/>
    </xf>
    <xf numFmtId="181" fontId="23" fillId="0" borderId="0" xfId="13" applyNumberFormat="1" applyFont="1" applyFill="1" applyBorder="1" applyAlignment="1">
      <alignment horizontal="right" vertical="center"/>
    </xf>
    <xf numFmtId="181" fontId="23" fillId="0" borderId="8" xfId="13" applyNumberFormat="1" applyFont="1" applyFill="1" applyBorder="1" applyAlignment="1">
      <alignment horizontal="right" vertical="center"/>
    </xf>
    <xf numFmtId="181" fontId="23" fillId="0" borderId="6" xfId="13" applyNumberFormat="1" applyFont="1" applyFill="1" applyBorder="1" applyAlignment="1">
      <alignment horizontal="right" vertical="center"/>
    </xf>
    <xf numFmtId="181" fontId="124" fillId="0" borderId="8" xfId="13" applyNumberFormat="1" applyFont="1" applyFill="1" applyBorder="1">
      <alignment vertical="center"/>
    </xf>
    <xf numFmtId="181" fontId="124" fillId="0" borderId="0" xfId="13" applyNumberFormat="1" applyFont="1" applyFill="1" applyBorder="1">
      <alignment vertical="center"/>
    </xf>
    <xf numFmtId="178" fontId="121" fillId="0" borderId="0" xfId="10" applyFont="1" applyFill="1" applyBorder="1" applyAlignment="1" applyProtection="1">
      <alignment horizontal="right"/>
    </xf>
    <xf numFmtId="178" fontId="121" fillId="0" borderId="0" xfId="10" applyFont="1" applyFill="1" applyBorder="1" applyAlignment="1" applyProtection="1"/>
    <xf numFmtId="178" fontId="121" fillId="0" borderId="8" xfId="10" applyFont="1" applyFill="1" applyBorder="1" applyAlignment="1" applyProtection="1"/>
    <xf numFmtId="178" fontId="122" fillId="0" borderId="0" xfId="10" applyFont="1" applyFill="1" applyBorder="1" applyAlignment="1" applyProtection="1"/>
    <xf numFmtId="178" fontId="122" fillId="0" borderId="8" xfId="10" applyFont="1" applyFill="1" applyBorder="1" applyAlignment="1" applyProtection="1"/>
    <xf numFmtId="178" fontId="122" fillId="0" borderId="0" xfId="10" applyFont="1" applyFill="1" applyBorder="1" applyAlignment="1">
      <alignment horizontal="center" vertical="center"/>
    </xf>
    <xf numFmtId="178" fontId="122" fillId="0" borderId="8" xfId="10" applyFont="1" applyFill="1" applyBorder="1" applyAlignment="1">
      <alignment horizontal="center" vertical="center"/>
    </xf>
    <xf numFmtId="9" fontId="23" fillId="9" borderId="8" xfId="7" applyFont="1" applyFill="1" applyBorder="1">
      <alignment vertical="center"/>
    </xf>
    <xf numFmtId="192" fontId="122" fillId="0" borderId="0" xfId="14" applyNumberFormat="1" applyFont="1" applyFill="1" applyBorder="1" applyAlignment="1">
      <alignment horizontal="right" vertical="center"/>
    </xf>
    <xf numFmtId="217" fontId="122" fillId="0" borderId="0" xfId="14" applyNumberFormat="1" applyFont="1" applyFill="1" applyBorder="1" applyAlignment="1">
      <alignment horizontal="right" vertical="center"/>
    </xf>
    <xf numFmtId="217" fontId="122" fillId="0" borderId="0" xfId="14" applyNumberFormat="1" applyFont="1" applyFill="1" applyBorder="1">
      <alignment vertical="center"/>
    </xf>
    <xf numFmtId="217" fontId="122" fillId="0" borderId="8" xfId="14" applyNumberFormat="1" applyFont="1" applyFill="1" applyBorder="1">
      <alignment vertical="center"/>
    </xf>
    <xf numFmtId="217" fontId="122" fillId="0" borderId="6" xfId="14" applyNumberFormat="1" applyFont="1" applyFill="1" applyBorder="1">
      <alignment vertical="center"/>
    </xf>
    <xf numFmtId="218" fontId="122" fillId="0" borderId="0" xfId="10" applyNumberFormat="1" applyFont="1" applyFill="1" applyBorder="1">
      <alignment vertical="center"/>
    </xf>
    <xf numFmtId="218" fontId="122" fillId="0" borderId="8" xfId="10" applyNumberFormat="1" applyFont="1" applyFill="1" applyBorder="1">
      <alignment vertical="center"/>
    </xf>
    <xf numFmtId="226" fontId="5" fillId="0" borderId="6" xfId="13" applyFont="1" applyFill="1" applyBorder="1">
      <alignment vertical="center"/>
    </xf>
    <xf numFmtId="181" fontId="10" fillId="9" borderId="6" xfId="7" applyNumberFormat="1" applyFont="1" applyFill="1" applyBorder="1">
      <alignment vertical="center"/>
    </xf>
    <xf numFmtId="226" fontId="10" fillId="0" borderId="60" xfId="13" applyFont="1" applyFill="1" applyBorder="1">
      <alignment vertical="center"/>
    </xf>
    <xf numFmtId="226" fontId="10" fillId="0" borderId="6" xfId="9" applyFont="1" applyFill="1" applyBorder="1" applyAlignment="1">
      <alignment horizontal="left"/>
    </xf>
    <xf numFmtId="181" fontId="10" fillId="0" borderId="6" xfId="9" applyNumberFormat="1" applyFont="1" applyFill="1" applyBorder="1" applyAlignment="1">
      <alignment horizontal="left" indent="2"/>
    </xf>
    <xf numFmtId="181" fontId="10" fillId="0" borderId="6" xfId="7" applyNumberFormat="1" applyFont="1" applyFill="1" applyBorder="1" applyAlignment="1">
      <alignment horizontal="left" indent="2"/>
    </xf>
    <xf numFmtId="181" fontId="10" fillId="0" borderId="6" xfId="9" applyNumberFormat="1" applyFont="1" applyFill="1" applyBorder="1" applyAlignment="1">
      <alignment horizontal="left" indent="1"/>
    </xf>
    <xf numFmtId="226" fontId="10" fillId="0" borderId="6" xfId="13" applyFont="1" applyFill="1" applyBorder="1" applyAlignment="1">
      <alignment horizontal="left" vertical="center" indent="1"/>
    </xf>
    <xf numFmtId="217" fontId="12" fillId="0" borderId="6" xfId="13" applyNumberFormat="1" applyFont="1" applyFill="1" applyBorder="1">
      <alignment vertical="center"/>
    </xf>
    <xf numFmtId="181" fontId="123" fillId="0" borderId="0" xfId="10" applyNumberFormat="1" applyFont="1" applyFill="1" applyBorder="1" applyAlignment="1">
      <alignment horizontal="right" vertical="center"/>
    </xf>
    <xf numFmtId="9" fontId="12" fillId="0" borderId="6" xfId="9" applyNumberFormat="1" applyFont="1" applyFill="1" applyBorder="1" applyAlignment="1">
      <alignment horizontal="left" indent="1"/>
    </xf>
    <xf numFmtId="178" fontId="122" fillId="0" borderId="4" xfId="10" applyFont="1" applyFill="1" applyBorder="1">
      <alignment vertical="center"/>
    </xf>
    <xf numFmtId="181" fontId="24" fillId="0" borderId="0" xfId="7" applyNumberFormat="1" applyFont="1" applyFill="1" applyBorder="1">
      <alignment vertical="center"/>
    </xf>
    <xf numFmtId="181" fontId="24" fillId="0" borderId="4" xfId="7" applyNumberFormat="1" applyFont="1" applyFill="1" applyBorder="1">
      <alignment vertical="center"/>
    </xf>
    <xf numFmtId="181" fontId="12" fillId="0" borderId="8" xfId="7" applyNumberFormat="1" applyFont="1" applyFill="1" applyBorder="1">
      <alignment vertical="center"/>
    </xf>
    <xf numFmtId="192" fontId="10" fillId="9" borderId="6" xfId="12" applyNumberFormat="1" applyFont="1" applyFill="1" applyBorder="1" applyAlignment="1">
      <alignment horizontal="left" indent="1"/>
    </xf>
    <xf numFmtId="181" fontId="23" fillId="0" borderId="4" xfId="7" applyNumberFormat="1" applyFont="1" applyFill="1" applyBorder="1" applyAlignment="1">
      <alignment horizontal="right" vertical="center"/>
    </xf>
    <xf numFmtId="181" fontId="23" fillId="0" borderId="0" xfId="8" applyNumberFormat="1" applyFont="1" applyFill="1" applyBorder="1" applyAlignment="1">
      <alignment horizontal="right"/>
    </xf>
    <xf numFmtId="181" fontId="23" fillId="0" borderId="8" xfId="8" applyNumberFormat="1" applyFont="1" applyFill="1" applyBorder="1" applyAlignment="1">
      <alignment horizontal="right"/>
    </xf>
    <xf numFmtId="181" fontId="23" fillId="0" borderId="4" xfId="13" applyNumberFormat="1" applyFont="1" applyFill="1" applyBorder="1" applyAlignment="1">
      <alignment horizontal="right" vertical="center"/>
    </xf>
    <xf numFmtId="184" fontId="23" fillId="0" borderId="0" xfId="8" applyNumberFormat="1" applyFont="1" applyFill="1" applyBorder="1"/>
    <xf numFmtId="182" fontId="23" fillId="0" borderId="0" xfId="13" applyNumberFormat="1" applyFont="1" applyFill="1" applyBorder="1">
      <alignment vertical="center"/>
    </xf>
    <xf numFmtId="184" fontId="23" fillId="0" borderId="4" xfId="8" applyNumberFormat="1" applyFont="1" applyFill="1" applyBorder="1"/>
    <xf numFmtId="184" fontId="23" fillId="0" borderId="8" xfId="8" applyNumberFormat="1" applyFont="1" applyFill="1" applyBorder="1"/>
    <xf numFmtId="9" fontId="23" fillId="0" borderId="0" xfId="7" applyNumberFormat="1" applyFont="1" applyFill="1" applyBorder="1">
      <alignment vertical="center"/>
    </xf>
    <xf numFmtId="181" fontId="23" fillId="0" borderId="0" xfId="9" applyNumberFormat="1" applyFont="1" applyFill="1" applyBorder="1"/>
    <xf numFmtId="181" fontId="23" fillId="0" borderId="8" xfId="9" applyNumberFormat="1" applyFont="1" applyFill="1" applyBorder="1"/>
    <xf numFmtId="181" fontId="23" fillId="0" borderId="0" xfId="8" applyNumberFormat="1" applyFont="1" applyFill="1" applyBorder="1" applyAlignment="1">
      <alignment horizontal="center"/>
    </xf>
    <xf numFmtId="181" fontId="23" fillId="0" borderId="4" xfId="13" applyNumberFormat="1" applyFont="1" applyFill="1" applyBorder="1" applyAlignment="1">
      <alignment horizontal="center" vertical="center"/>
    </xf>
    <xf numFmtId="181" fontId="23" fillId="0" borderId="8" xfId="8" applyNumberFormat="1" applyFont="1" applyFill="1" applyBorder="1" applyAlignment="1">
      <alignment horizontal="center"/>
    </xf>
    <xf numFmtId="226" fontId="25" fillId="0" borderId="0" xfId="13" applyFont="1" applyFill="1" applyBorder="1">
      <alignment vertical="center"/>
    </xf>
    <xf numFmtId="226" fontId="25" fillId="0" borderId="4" xfId="13" applyFont="1" applyFill="1" applyBorder="1">
      <alignment vertical="center"/>
    </xf>
    <xf numFmtId="226" fontId="5" fillId="0" borderId="4" xfId="13" applyFont="1" applyFill="1" applyBorder="1">
      <alignment vertical="center"/>
    </xf>
    <xf numFmtId="192" fontId="10" fillId="9" borderId="6" xfId="12" applyNumberFormat="1" applyFont="1" applyFill="1" applyBorder="1">
      <alignment vertical="center"/>
    </xf>
    <xf numFmtId="9" fontId="12" fillId="9" borderId="6" xfId="7" applyFont="1" applyFill="1" applyBorder="1">
      <alignment vertical="center"/>
    </xf>
    <xf numFmtId="226" fontId="12" fillId="9" borderId="6" xfId="13" applyFont="1" applyFill="1" applyBorder="1">
      <alignment vertical="center"/>
    </xf>
    <xf numFmtId="192" fontId="122" fillId="0" borderId="0" xfId="12" applyNumberFormat="1" applyFont="1" applyFill="1" applyBorder="1">
      <alignment vertical="center"/>
    </xf>
    <xf numFmtId="192" fontId="122" fillId="0" borderId="8" xfId="12" applyNumberFormat="1" applyFont="1" applyFill="1" applyBorder="1">
      <alignment vertical="center"/>
    </xf>
    <xf numFmtId="192" fontId="122" fillId="0" borderId="6" xfId="12" applyNumberFormat="1" applyFont="1" applyFill="1" applyBorder="1">
      <alignment vertical="center"/>
    </xf>
    <xf numFmtId="192" fontId="122" fillId="0" borderId="0" xfId="12" applyNumberFormat="1" applyFont="1" applyFill="1" applyBorder="1" applyAlignment="1">
      <alignment horizontal="center" vertical="center"/>
    </xf>
    <xf numFmtId="38" fontId="123" fillId="0" borderId="8" xfId="13" applyNumberFormat="1" applyFont="1" applyFill="1" applyBorder="1">
      <alignment vertical="center"/>
    </xf>
    <xf numFmtId="181" fontId="122" fillId="0" borderId="8" xfId="7" applyNumberFormat="1" applyFont="1" applyFill="1" applyBorder="1" applyAlignment="1">
      <alignment horizontal="right" vertical="center"/>
    </xf>
    <xf numFmtId="38" fontId="122" fillId="0" borderId="4" xfId="13" applyNumberFormat="1" applyFont="1" applyFill="1" applyBorder="1">
      <alignment vertical="center"/>
    </xf>
    <xf numFmtId="192" fontId="123" fillId="0" borderId="8" xfId="12" applyNumberFormat="1" applyFont="1" applyFill="1" applyBorder="1">
      <alignment vertical="center"/>
    </xf>
    <xf numFmtId="9" fontId="23" fillId="0" borderId="4" xfId="7" applyFont="1" applyFill="1" applyBorder="1">
      <alignment vertical="center"/>
    </xf>
    <xf numFmtId="181" fontId="10" fillId="0" borderId="0" xfId="7" applyNumberFormat="1" applyFont="1" applyFill="1" applyBorder="1" applyAlignment="1">
      <alignment horizontal="center"/>
    </xf>
    <xf numFmtId="9" fontId="10" fillId="0" borderId="0" xfId="7" applyNumberFormat="1" applyFont="1" applyFill="1" applyBorder="1" applyAlignment="1"/>
    <xf numFmtId="9" fontId="10" fillId="0" borderId="4" xfId="7" applyNumberFormat="1" applyFont="1" applyFill="1" applyBorder="1" applyAlignment="1"/>
    <xf numFmtId="9" fontId="10" fillId="0" borderId="8" xfId="7" applyNumberFormat="1" applyFont="1" applyFill="1" applyBorder="1" applyAlignment="1"/>
    <xf numFmtId="9" fontId="10" fillId="0" borderId="8" xfId="7" applyNumberFormat="1" applyFont="1" applyFill="1" applyBorder="1">
      <alignment vertical="center"/>
    </xf>
    <xf numFmtId="220" fontId="122" fillId="0" borderId="8" xfId="12" applyNumberFormat="1" applyFont="1" applyFill="1" applyBorder="1">
      <alignment vertical="center"/>
    </xf>
    <xf numFmtId="220" fontId="122" fillId="0" borderId="0" xfId="12" applyNumberFormat="1" applyFont="1" applyFill="1" applyBorder="1">
      <alignment vertical="center"/>
    </xf>
    <xf numFmtId="9" fontId="122" fillId="0" borderId="0" xfId="7" applyFont="1" applyFill="1" applyBorder="1" applyAlignment="1">
      <alignment horizontal="right" vertical="center"/>
    </xf>
    <xf numFmtId="192" fontId="23" fillId="0" borderId="0" xfId="12" applyNumberFormat="1" applyFont="1" applyFill="1" applyBorder="1">
      <alignment vertical="center"/>
    </xf>
    <xf numFmtId="192" fontId="23" fillId="0" borderId="4" xfId="12" applyNumberFormat="1" applyFont="1" applyFill="1" applyBorder="1">
      <alignment vertical="center"/>
    </xf>
    <xf numFmtId="9" fontId="122" fillId="0" borderId="8" xfId="7" applyFont="1" applyFill="1" applyBorder="1" applyAlignment="1">
      <alignment horizontal="right" vertical="center"/>
    </xf>
    <xf numFmtId="220" fontId="23" fillId="0" borderId="0" xfId="12" applyNumberFormat="1" applyFont="1" applyFill="1" applyBorder="1" applyAlignment="1">
      <alignment horizontal="center" vertical="center"/>
    </xf>
    <xf numFmtId="220" fontId="23" fillId="0" borderId="4" xfId="12" applyNumberFormat="1" applyFont="1" applyFill="1" applyBorder="1" applyAlignment="1">
      <alignment horizontal="center" vertical="center"/>
    </xf>
    <xf numFmtId="220" fontId="23" fillId="0" borderId="8" xfId="12" applyNumberFormat="1" applyFont="1" applyFill="1" applyBorder="1" applyAlignment="1">
      <alignment horizontal="center" vertical="center"/>
    </xf>
    <xf numFmtId="181" fontId="10" fillId="9" borderId="6" xfId="7" applyNumberFormat="1" applyFont="1" applyFill="1" applyBorder="1" applyAlignment="1">
      <alignment horizontal="left" vertical="center" indent="1"/>
    </xf>
    <xf numFmtId="226" fontId="23" fillId="0" borderId="4" xfId="13" applyFont="1" applyFill="1" applyBorder="1">
      <alignment vertical="center"/>
    </xf>
    <xf numFmtId="9" fontId="12" fillId="0" borderId="6" xfId="9" applyNumberFormat="1" applyFont="1" applyFill="1" applyBorder="1" applyAlignment="1">
      <alignment horizontal="left"/>
    </xf>
    <xf numFmtId="37" fontId="12" fillId="0" borderId="6" xfId="9" applyNumberFormat="1" applyFont="1" applyFill="1" applyBorder="1"/>
    <xf numFmtId="37" fontId="10" fillId="0" borderId="0" xfId="13" applyNumberFormat="1" applyFont="1" applyFill="1" applyBorder="1" applyAlignment="1">
      <alignment horizontal="right" vertical="center"/>
    </xf>
    <xf numFmtId="37" fontId="10" fillId="0" borderId="0" xfId="13" applyNumberFormat="1" applyFont="1" applyFill="1" applyBorder="1">
      <alignment vertical="center"/>
    </xf>
    <xf numFmtId="37" fontId="10" fillId="0" borderId="8" xfId="13" applyNumberFormat="1" applyFont="1" applyFill="1" applyBorder="1">
      <alignment vertical="center"/>
    </xf>
    <xf numFmtId="37" fontId="10" fillId="0" borderId="0" xfId="14" applyNumberFormat="1" applyFont="1" applyFill="1" applyBorder="1">
      <alignment vertical="center"/>
    </xf>
    <xf numFmtId="37" fontId="10" fillId="0" borderId="8" xfId="14" applyNumberFormat="1" applyFont="1" applyFill="1" applyBorder="1">
      <alignment vertical="center"/>
    </xf>
    <xf numFmtId="37" fontId="10" fillId="0" borderId="6" xfId="13" applyNumberFormat="1" applyFont="1" applyFill="1" applyBorder="1">
      <alignment vertical="center"/>
    </xf>
    <xf numFmtId="37" fontId="12" fillId="0" borderId="4" xfId="13" applyNumberFormat="1" applyFont="1" applyFill="1" applyBorder="1">
      <alignment vertical="center"/>
    </xf>
    <xf numFmtId="37" fontId="10" fillId="0" borderId="6" xfId="9" applyNumberFormat="1" applyFont="1" applyFill="1" applyBorder="1" applyAlignment="1">
      <alignment horizontal="left" indent="1"/>
    </xf>
    <xf numFmtId="37" fontId="122" fillId="0" borderId="0" xfId="13" applyNumberFormat="1" applyFont="1" applyFill="1" applyBorder="1">
      <alignment vertical="center"/>
    </xf>
    <xf numFmtId="37" fontId="122" fillId="0" borderId="8" xfId="13" applyNumberFormat="1" applyFont="1" applyFill="1" applyBorder="1">
      <alignment vertical="center"/>
    </xf>
    <xf numFmtId="37" fontId="122" fillId="0" borderId="6" xfId="13" applyNumberFormat="1" applyFont="1" applyFill="1" applyBorder="1">
      <alignment vertical="center"/>
    </xf>
    <xf numFmtId="37" fontId="10" fillId="0" borderId="6" xfId="9" quotePrefix="1" applyNumberFormat="1" applyFont="1" applyFill="1" applyBorder="1"/>
    <xf numFmtId="37" fontId="10" fillId="0" borderId="6" xfId="9" applyNumberFormat="1" applyFont="1" applyFill="1" applyBorder="1"/>
    <xf numFmtId="37" fontId="10" fillId="0" borderId="0" xfId="13" applyNumberFormat="1" applyFont="1" applyFill="1" applyBorder="1" applyAlignment="1">
      <alignment horizontal="center" vertical="center"/>
    </xf>
    <xf numFmtId="37" fontId="10" fillId="0" borderId="8" xfId="13" applyNumberFormat="1" applyFont="1" applyFill="1" applyBorder="1" applyAlignment="1">
      <alignment horizontal="center" vertical="center"/>
    </xf>
    <xf numFmtId="37" fontId="10" fillId="0" borderId="6" xfId="9" applyNumberFormat="1" applyFont="1" applyFill="1" applyBorder="1" applyAlignment="1">
      <alignment horizontal="left"/>
    </xf>
    <xf numFmtId="37" fontId="10" fillId="0" borderId="8" xfId="13" applyNumberFormat="1" applyFont="1" applyFill="1" applyBorder="1" applyAlignment="1">
      <alignment horizontal="right" vertical="center"/>
    </xf>
    <xf numFmtId="37" fontId="12" fillId="0" borderId="6" xfId="9" applyNumberFormat="1" applyFont="1" applyFill="1" applyBorder="1" applyAlignment="1">
      <alignment vertical="center" wrapText="1"/>
    </xf>
    <xf numFmtId="37" fontId="10" fillId="0" borderId="6" xfId="9" applyNumberFormat="1" applyFont="1" applyFill="1" applyBorder="1" applyAlignment="1">
      <alignment horizontal="left" wrapText="1"/>
    </xf>
    <xf numFmtId="37" fontId="122" fillId="0" borderId="0" xfId="13" applyNumberFormat="1" applyFont="1" applyFill="1" applyBorder="1" applyAlignment="1">
      <alignment horizontal="center" vertical="center"/>
    </xf>
    <xf numFmtId="37" fontId="122" fillId="0" borderId="8" xfId="13" applyNumberFormat="1" applyFont="1" applyFill="1" applyBorder="1" applyAlignment="1">
      <alignment horizontal="center" vertical="center"/>
    </xf>
    <xf numFmtId="37" fontId="12" fillId="0" borderId="0" xfId="13" applyNumberFormat="1" applyFont="1" applyFill="1" applyBorder="1">
      <alignment vertical="center"/>
    </xf>
    <xf numFmtId="37" fontId="24" fillId="0" borderId="8" xfId="13" applyNumberFormat="1" applyFont="1" applyFill="1" applyBorder="1">
      <alignment vertical="center"/>
    </xf>
    <xf numFmtId="37" fontId="123" fillId="0" borderId="8" xfId="13" applyNumberFormat="1" applyFont="1" applyFill="1" applyBorder="1" applyAlignment="1">
      <alignment horizontal="center" vertical="center"/>
    </xf>
    <xf numFmtId="37" fontId="122" fillId="0" borderId="4" xfId="13" applyNumberFormat="1" applyFont="1" applyFill="1" applyBorder="1" applyAlignment="1">
      <alignment horizontal="center" vertical="center"/>
    </xf>
    <xf numFmtId="37" fontId="23" fillId="0" borderId="8" xfId="13" applyNumberFormat="1" applyFont="1" applyFill="1" applyBorder="1">
      <alignment vertical="center"/>
    </xf>
    <xf numFmtId="37" fontId="10" fillId="0" borderId="4" xfId="13" applyNumberFormat="1" applyFont="1" applyFill="1" applyBorder="1">
      <alignment vertical="center"/>
    </xf>
    <xf numFmtId="37" fontId="10" fillId="0" borderId="4" xfId="9" applyNumberFormat="1" applyFont="1" applyFill="1" applyBorder="1"/>
    <xf numFmtId="37" fontId="12" fillId="9" borderId="6" xfId="12" applyNumberFormat="1" applyFont="1" applyFill="1" applyBorder="1" applyAlignment="1"/>
    <xf numFmtId="37" fontId="10" fillId="0" borderId="8" xfId="7" applyNumberFormat="1" applyFont="1" applyFill="1" applyBorder="1">
      <alignment vertical="center"/>
    </xf>
    <xf numFmtId="192" fontId="10" fillId="0" borderId="6" xfId="12" applyNumberFormat="1" applyFont="1" applyFill="1" applyBorder="1" applyAlignment="1"/>
    <xf numFmtId="37" fontId="12" fillId="0" borderId="6" xfId="9" applyNumberFormat="1" applyFont="1" applyFill="1" applyBorder="1" applyAlignment="1">
      <alignment horizontal="left" indent="1"/>
    </xf>
    <xf numFmtId="37" fontId="10" fillId="0" borderId="6" xfId="9" quotePrefix="1" applyNumberFormat="1" applyFont="1" applyFill="1" applyBorder="1" applyAlignment="1">
      <alignment horizontal="left" indent="1"/>
    </xf>
    <xf numFmtId="37" fontId="23" fillId="0" borderId="8" xfId="13" applyNumberFormat="1" applyFont="1" applyFill="1" applyBorder="1" applyAlignment="1">
      <alignment horizontal="center" vertical="center"/>
    </xf>
    <xf numFmtId="37" fontId="10" fillId="0" borderId="4" xfId="13" applyNumberFormat="1" applyFont="1" applyFill="1" applyBorder="1" applyAlignment="1">
      <alignment horizontal="center" vertical="center"/>
    </xf>
    <xf numFmtId="37" fontId="10" fillId="0" borderId="4" xfId="13" applyNumberFormat="1" applyFont="1" applyFill="1" applyBorder="1" applyAlignment="1">
      <alignment horizontal="right" vertical="center"/>
    </xf>
    <xf numFmtId="37" fontId="10" fillId="0" borderId="0" xfId="7" applyNumberFormat="1" applyFont="1" applyFill="1" applyBorder="1" applyAlignment="1"/>
    <xf numFmtId="37" fontId="10" fillId="0" borderId="0" xfId="7" applyNumberFormat="1" applyFont="1" applyFill="1" applyBorder="1" applyAlignment="1">
      <alignment horizontal="center"/>
    </xf>
    <xf numFmtId="37" fontId="10" fillId="0" borderId="4" xfId="7" applyNumberFormat="1" applyFont="1" applyFill="1" applyBorder="1" applyAlignment="1"/>
    <xf numFmtId="37" fontId="10" fillId="0" borderId="8" xfId="7" applyNumberFormat="1" applyFont="1" applyFill="1" applyBorder="1" applyAlignment="1"/>
    <xf numFmtId="39" fontId="12" fillId="0" borderId="6" xfId="7" applyNumberFormat="1" applyFont="1" applyFill="1" applyBorder="1" applyAlignment="1"/>
    <xf numFmtId="192" fontId="23" fillId="0" borderId="0" xfId="14" applyNumberFormat="1" applyFont="1" applyFill="1" applyBorder="1" applyAlignment="1">
      <alignment horizontal="right" vertical="center"/>
    </xf>
    <xf numFmtId="192" fontId="23" fillId="0" borderId="8" xfId="14" applyNumberFormat="1" applyFont="1" applyFill="1" applyBorder="1" applyAlignment="1">
      <alignment horizontal="right" vertical="center"/>
    </xf>
    <xf numFmtId="192" fontId="125" fillId="0" borderId="0" xfId="14" applyNumberFormat="1" applyFont="1" applyFill="1" applyBorder="1">
      <alignment vertical="center"/>
    </xf>
    <xf numFmtId="192" fontId="23" fillId="0" borderId="0" xfId="14" applyNumberFormat="1" applyFont="1" applyFill="1" applyBorder="1">
      <alignment vertical="center"/>
    </xf>
    <xf numFmtId="226" fontId="23" fillId="0" borderId="0" xfId="171" applyFont="1" applyFill="1" applyBorder="1" applyAlignment="1">
      <alignment horizontal="right" vertical="center"/>
    </xf>
    <xf numFmtId="226" fontId="23" fillId="0" borderId="8" xfId="171" applyFont="1" applyFill="1" applyBorder="1" applyAlignment="1">
      <alignment horizontal="right" vertical="center"/>
    </xf>
    <xf numFmtId="226" fontId="125" fillId="0" borderId="0" xfId="171" applyFont="1" applyFill="1" applyBorder="1">
      <alignment vertical="center"/>
    </xf>
    <xf numFmtId="226" fontId="23" fillId="0" borderId="0" xfId="171" applyFont="1" applyFill="1" applyBorder="1">
      <alignment vertical="center"/>
    </xf>
    <xf numFmtId="9" fontId="23" fillId="9" borderId="0" xfId="7" applyFont="1" applyFill="1" applyBorder="1" applyAlignment="1">
      <alignment horizontal="right" vertical="center"/>
    </xf>
    <xf numFmtId="9" fontId="23" fillId="9" borderId="8" xfId="7" applyFont="1" applyFill="1" applyBorder="1" applyAlignment="1">
      <alignment horizontal="right" vertical="center"/>
    </xf>
    <xf numFmtId="9" fontId="23" fillId="9" borderId="0" xfId="7" applyFont="1" applyFill="1" applyBorder="1">
      <alignment vertical="center"/>
    </xf>
    <xf numFmtId="181" fontId="23" fillId="0" borderId="0" xfId="171" applyNumberFormat="1" applyFont="1" applyFill="1" applyBorder="1">
      <alignment vertical="center"/>
    </xf>
    <xf numFmtId="181" fontId="23" fillId="0" borderId="8" xfId="171" applyNumberFormat="1" applyFont="1" applyFill="1" applyBorder="1">
      <alignment vertical="center"/>
    </xf>
    <xf numFmtId="181" fontId="23" fillId="0" borderId="0" xfId="171" applyNumberFormat="1" applyFont="1" applyFill="1" applyBorder="1" applyAlignment="1">
      <alignment horizontal="center" vertical="center"/>
    </xf>
    <xf numFmtId="181" fontId="23" fillId="0" borderId="8" xfId="171" applyNumberFormat="1" applyFont="1" applyFill="1" applyBorder="1" applyAlignment="1">
      <alignment horizontal="center" vertical="center"/>
    </xf>
    <xf numFmtId="178" fontId="23" fillId="0" borderId="0" xfId="10" applyFont="1" applyFill="1" applyBorder="1" applyAlignment="1">
      <alignment horizontal="center" vertical="center"/>
    </xf>
    <xf numFmtId="1" fontId="23" fillId="0" borderId="0" xfId="171" applyNumberFormat="1" applyFont="1" applyFill="1" applyBorder="1">
      <alignment vertical="center"/>
    </xf>
    <xf numFmtId="1" fontId="23" fillId="0" borderId="8" xfId="171" applyNumberFormat="1" applyFont="1" applyFill="1" applyBorder="1">
      <alignment vertical="center"/>
    </xf>
    <xf numFmtId="219" fontId="23" fillId="0" borderId="0" xfId="171" applyNumberFormat="1" applyFont="1" applyFill="1" applyBorder="1">
      <alignment vertical="center"/>
    </xf>
    <xf numFmtId="226" fontId="5" fillId="0" borderId="6" xfId="171" applyFont="1" applyFill="1" applyBorder="1">
      <alignment vertical="center"/>
    </xf>
    <xf numFmtId="192" fontId="122" fillId="0" borderId="8" xfId="14" applyNumberFormat="1" applyFont="1" applyFill="1" applyBorder="1" applyAlignment="1">
      <alignment horizontal="right" vertical="center"/>
    </xf>
    <xf numFmtId="216" fontId="122" fillId="0" borderId="0" xfId="14" applyNumberFormat="1" applyFont="1" applyFill="1" applyBorder="1">
      <alignment vertical="center"/>
    </xf>
    <xf numFmtId="38" fontId="122" fillId="9" borderId="0" xfId="171" applyNumberFormat="1" applyFont="1" applyFill="1" applyBorder="1" applyAlignment="1">
      <alignment horizontal="right" vertical="center"/>
    </xf>
    <xf numFmtId="38" fontId="122" fillId="9" borderId="0" xfId="171" applyNumberFormat="1" applyFont="1" applyFill="1" applyBorder="1">
      <alignment vertical="center"/>
    </xf>
    <xf numFmtId="38" fontId="122" fillId="9" borderId="8" xfId="171" applyNumberFormat="1" applyFont="1" applyFill="1" applyBorder="1">
      <alignment vertical="center"/>
    </xf>
    <xf numFmtId="9" fontId="123" fillId="9" borderId="0" xfId="7" applyFont="1" applyFill="1" applyBorder="1" applyAlignment="1">
      <alignment horizontal="right" vertical="center"/>
    </xf>
    <xf numFmtId="9" fontId="123" fillId="9" borderId="8" xfId="7" applyFont="1" applyFill="1" applyBorder="1" applyAlignment="1">
      <alignment horizontal="right" vertical="center"/>
    </xf>
    <xf numFmtId="9" fontId="123" fillId="9" borderId="0" xfId="7" applyFont="1" applyFill="1" applyBorder="1">
      <alignment vertical="center"/>
    </xf>
    <xf numFmtId="9" fontId="123" fillId="9" borderId="8" xfId="7" applyFont="1" applyFill="1" applyBorder="1">
      <alignment vertical="center"/>
    </xf>
    <xf numFmtId="181" fontId="123" fillId="9" borderId="0" xfId="7" applyNumberFormat="1" applyFont="1" applyFill="1" applyBorder="1">
      <alignment vertical="center"/>
    </xf>
    <xf numFmtId="9" fontId="122" fillId="9" borderId="0" xfId="7" applyFont="1" applyFill="1" applyBorder="1" applyAlignment="1">
      <alignment horizontal="right" vertical="center"/>
    </xf>
    <xf numFmtId="9" fontId="122" fillId="9" borderId="8" xfId="7" applyFont="1" applyFill="1" applyBorder="1" applyAlignment="1">
      <alignment horizontal="right" vertical="center"/>
    </xf>
    <xf numFmtId="9" fontId="122" fillId="9" borderId="0" xfId="7" applyFont="1" applyFill="1" applyBorder="1">
      <alignment vertical="center"/>
    </xf>
    <xf numFmtId="9" fontId="122" fillId="9" borderId="8" xfId="7" applyFont="1" applyFill="1" applyBorder="1">
      <alignment vertical="center"/>
    </xf>
    <xf numFmtId="9" fontId="122" fillId="9" borderId="0" xfId="7" applyNumberFormat="1" applyFont="1" applyFill="1" applyBorder="1">
      <alignment vertical="center"/>
    </xf>
    <xf numFmtId="181" fontId="122" fillId="9" borderId="0" xfId="7" applyNumberFormat="1" applyFont="1" applyFill="1" applyBorder="1">
      <alignment vertical="center"/>
    </xf>
    <xf numFmtId="9" fontId="123" fillId="9" borderId="0" xfId="7" applyNumberFormat="1" applyFont="1" applyFill="1" applyBorder="1">
      <alignment vertical="center"/>
    </xf>
    <xf numFmtId="38" fontId="122" fillId="0" borderId="0" xfId="171" applyNumberFormat="1" applyFont="1" applyFill="1" applyBorder="1" applyAlignment="1">
      <alignment horizontal="right" vertical="center"/>
    </xf>
    <xf numFmtId="38" fontId="122" fillId="0" borderId="8" xfId="171" applyNumberFormat="1" applyFont="1" applyFill="1" applyBorder="1" applyAlignment="1">
      <alignment horizontal="right" vertical="center"/>
    </xf>
    <xf numFmtId="37" fontId="122" fillId="0" borderId="0" xfId="171" applyNumberFormat="1" applyFont="1" applyFill="1" applyBorder="1" applyAlignment="1">
      <alignment horizontal="right" vertical="center"/>
    </xf>
    <xf numFmtId="37" fontId="122" fillId="0" borderId="8" xfId="171" applyNumberFormat="1" applyFont="1" applyFill="1" applyBorder="1" applyAlignment="1">
      <alignment horizontal="right" vertical="center"/>
    </xf>
    <xf numFmtId="37" fontId="122" fillId="0" borderId="0" xfId="171" applyNumberFormat="1" applyFont="1" applyFill="1" applyBorder="1">
      <alignment vertical="center"/>
    </xf>
    <xf numFmtId="37" fontId="122" fillId="0" borderId="8" xfId="171" applyNumberFormat="1" applyFont="1" applyFill="1" applyBorder="1">
      <alignment vertical="center"/>
    </xf>
    <xf numFmtId="37" fontId="12" fillId="0" borderId="6" xfId="172" applyNumberFormat="1" applyFont="1" applyFill="1" applyBorder="1"/>
    <xf numFmtId="37" fontId="10" fillId="0" borderId="0" xfId="171" applyNumberFormat="1" applyFont="1" applyFill="1" applyBorder="1">
      <alignment vertical="center"/>
    </xf>
    <xf numFmtId="37" fontId="10" fillId="0" borderId="8" xfId="171" applyNumberFormat="1" applyFont="1" applyFill="1" applyBorder="1">
      <alignment vertical="center"/>
    </xf>
    <xf numFmtId="37" fontId="92" fillId="0" borderId="0" xfId="171" applyNumberFormat="1" applyFont="1" applyFill="1" applyBorder="1">
      <alignment vertical="center"/>
    </xf>
    <xf numFmtId="37" fontId="10" fillId="0" borderId="6" xfId="172" applyNumberFormat="1" applyFont="1" applyFill="1" applyBorder="1"/>
    <xf numFmtId="37" fontId="10" fillId="0" borderId="4" xfId="171" applyNumberFormat="1" applyFont="1" applyFill="1" applyBorder="1">
      <alignment vertical="center"/>
    </xf>
    <xf numFmtId="37" fontId="10" fillId="0" borderId="6" xfId="172" applyNumberFormat="1" applyFont="1" applyFill="1" applyBorder="1" applyAlignment="1">
      <alignment wrapText="1"/>
    </xf>
    <xf numFmtId="37" fontId="12" fillId="9" borderId="6" xfId="172" applyNumberFormat="1" applyFont="1" applyFill="1" applyBorder="1"/>
    <xf numFmtId="37" fontId="10" fillId="9" borderId="0" xfId="171" applyNumberFormat="1" applyFont="1" applyFill="1" applyBorder="1">
      <alignment vertical="center"/>
    </xf>
    <xf numFmtId="37" fontId="10" fillId="9" borderId="8" xfId="171" applyNumberFormat="1" applyFont="1" applyFill="1" applyBorder="1">
      <alignment vertical="center"/>
    </xf>
    <xf numFmtId="37" fontId="10" fillId="0" borderId="6" xfId="172" quotePrefix="1" applyNumberFormat="1" applyFont="1" applyFill="1" applyBorder="1"/>
    <xf numFmtId="37" fontId="122" fillId="0" borderId="4" xfId="171" applyNumberFormat="1" applyFont="1" applyFill="1" applyBorder="1">
      <alignment vertical="center"/>
    </xf>
    <xf numFmtId="37" fontId="12" fillId="0" borderId="6" xfId="172" applyNumberFormat="1" applyFont="1" applyFill="1" applyBorder="1" applyAlignment="1">
      <alignment horizontal="left"/>
    </xf>
    <xf numFmtId="37" fontId="12" fillId="0" borderId="6" xfId="171" applyNumberFormat="1" applyFont="1" applyFill="1" applyBorder="1">
      <alignment vertical="center"/>
    </xf>
    <xf numFmtId="37" fontId="10" fillId="0" borderId="0" xfId="7" applyNumberFormat="1" applyFont="1" applyFill="1" applyBorder="1">
      <alignment vertical="center"/>
    </xf>
    <xf numFmtId="37" fontId="10" fillId="0" borderId="6" xfId="7" applyNumberFormat="1" applyFont="1" applyFill="1" applyBorder="1" applyAlignment="1">
      <alignment horizontal="left" vertical="center"/>
    </xf>
    <xf numFmtId="37" fontId="12" fillId="0" borderId="0" xfId="172" applyNumberFormat="1" applyFont="1" applyFill="1" applyBorder="1" applyAlignment="1"/>
    <xf numFmtId="37" fontId="12" fillId="0" borderId="8" xfId="172" applyNumberFormat="1" applyFont="1" applyFill="1" applyBorder="1" applyAlignment="1"/>
    <xf numFmtId="37" fontId="12" fillId="0" borderId="0" xfId="171" applyNumberFormat="1" applyFont="1" applyFill="1" applyBorder="1">
      <alignment vertical="center"/>
    </xf>
    <xf numFmtId="37" fontId="12" fillId="0" borderId="8" xfId="171" applyNumberFormat="1" applyFont="1" applyFill="1" applyBorder="1">
      <alignment vertical="center"/>
    </xf>
    <xf numFmtId="224" fontId="12" fillId="0" borderId="6" xfId="7" applyNumberFormat="1" applyFont="1" applyFill="1" applyBorder="1" applyAlignment="1"/>
    <xf numFmtId="217" fontId="122" fillId="0" borderId="0" xfId="172" applyNumberFormat="1" applyFont="1" applyFill="1" applyBorder="1" applyAlignment="1"/>
    <xf numFmtId="217" fontId="122" fillId="0" borderId="8" xfId="172" applyNumberFormat="1" applyFont="1" applyFill="1" applyBorder="1" applyAlignment="1"/>
    <xf numFmtId="217" fontId="122" fillId="0" borderId="0" xfId="171" applyNumberFormat="1" applyFont="1" applyFill="1" applyBorder="1">
      <alignment vertical="center"/>
    </xf>
    <xf numFmtId="217" fontId="122" fillId="0" borderId="8" xfId="171" applyNumberFormat="1" applyFont="1" applyFill="1" applyBorder="1">
      <alignment vertical="center"/>
    </xf>
    <xf numFmtId="226" fontId="122" fillId="0" borderId="0" xfId="172" applyFont="1" applyFill="1" applyBorder="1"/>
    <xf numFmtId="226" fontId="122" fillId="0" borderId="8" xfId="172" applyFont="1" applyFill="1" applyBorder="1"/>
    <xf numFmtId="226" fontId="122" fillId="0" borderId="0" xfId="171" applyFont="1" applyFill="1" applyBorder="1">
      <alignment vertical="center"/>
    </xf>
    <xf numFmtId="226" fontId="122" fillId="0" borderId="8" xfId="171" applyFont="1" applyFill="1" applyBorder="1">
      <alignment vertical="center"/>
    </xf>
    <xf numFmtId="224" fontId="122" fillId="0" borderId="0" xfId="173" applyNumberFormat="1" applyFont="1" applyFill="1" applyBorder="1"/>
    <xf numFmtId="224" fontId="122" fillId="0" borderId="8" xfId="173" applyNumberFormat="1" applyFont="1" applyFill="1" applyBorder="1"/>
    <xf numFmtId="224" fontId="122" fillId="0" borderId="0" xfId="171" applyNumberFormat="1" applyFont="1" applyFill="1" applyBorder="1">
      <alignment vertical="center"/>
    </xf>
    <xf numFmtId="224" fontId="122" fillId="0" borderId="8" xfId="171" applyNumberFormat="1" applyFont="1" applyFill="1" applyBorder="1">
      <alignment vertical="center"/>
    </xf>
    <xf numFmtId="218" fontId="122" fillId="0" borderId="0" xfId="10" applyNumberFormat="1" applyFont="1" applyFill="1" applyBorder="1" applyAlignment="1">
      <alignment horizontal="center" vertical="center"/>
    </xf>
    <xf numFmtId="218" fontId="122" fillId="0" borderId="8" xfId="10" applyNumberFormat="1" applyFont="1" applyFill="1" applyBorder="1" applyAlignment="1">
      <alignment horizontal="center" vertical="center"/>
    </xf>
    <xf numFmtId="218" fontId="122" fillId="0" borderId="0" xfId="10" applyNumberFormat="1" applyFont="1" applyFill="1" applyBorder="1" applyAlignment="1" applyProtection="1"/>
    <xf numFmtId="218" fontId="122" fillId="0" borderId="8" xfId="10" applyNumberFormat="1" applyFont="1" applyFill="1" applyBorder="1" applyAlignment="1" applyProtection="1"/>
    <xf numFmtId="37" fontId="10" fillId="0" borderId="6" xfId="171" applyNumberFormat="1" applyFont="1" applyFill="1" applyBorder="1">
      <alignment vertical="center"/>
    </xf>
    <xf numFmtId="9" fontId="122" fillId="0" borderId="0" xfId="10" applyNumberFormat="1" applyFont="1" applyFill="1" applyBorder="1" applyAlignment="1">
      <alignment horizontal="right" vertical="center"/>
    </xf>
    <xf numFmtId="9" fontId="122" fillId="0" borderId="8" xfId="10" applyNumberFormat="1" applyFont="1" applyFill="1" applyBorder="1" applyAlignment="1">
      <alignment horizontal="right" vertical="center"/>
    </xf>
    <xf numFmtId="9" fontId="122" fillId="0" borderId="0" xfId="171" applyNumberFormat="1" applyFont="1" applyFill="1" applyBorder="1" applyAlignment="1">
      <alignment horizontal="right" vertical="center"/>
    </xf>
    <xf numFmtId="9" fontId="122" fillId="0" borderId="8" xfId="171" applyNumberFormat="1" applyFont="1" applyFill="1" applyBorder="1" applyAlignment="1">
      <alignment horizontal="right" vertical="center"/>
    </xf>
    <xf numFmtId="181" fontId="122" fillId="0" borderId="0" xfId="171" applyNumberFormat="1" applyFont="1" applyFill="1" applyBorder="1" applyAlignment="1">
      <alignment horizontal="right" vertical="center"/>
    </xf>
    <xf numFmtId="210" fontId="122" fillId="0" borderId="0" xfId="171" applyNumberFormat="1" applyFont="1" applyFill="1" applyBorder="1" applyAlignment="1">
      <alignment horizontal="right" vertical="center"/>
    </xf>
    <xf numFmtId="210" fontId="122" fillId="0" borderId="8" xfId="171" applyNumberFormat="1" applyFont="1" applyFill="1" applyBorder="1" applyAlignment="1">
      <alignment horizontal="right" vertical="center"/>
    </xf>
    <xf numFmtId="1" fontId="122" fillId="0" borderId="0" xfId="171" applyNumberFormat="1" applyFont="1" applyFill="1" applyBorder="1" applyAlignment="1">
      <alignment horizontal="right" vertical="center"/>
    </xf>
    <xf numFmtId="1" fontId="122" fillId="0" borderId="8" xfId="171" applyNumberFormat="1" applyFont="1" applyFill="1" applyBorder="1" applyAlignment="1">
      <alignment horizontal="right" vertical="center"/>
    </xf>
    <xf numFmtId="226" fontId="122" fillId="0" borderId="0" xfId="171" applyFont="1" applyFill="1" applyBorder="1" applyAlignment="1">
      <alignment horizontal="right" vertical="center"/>
    </xf>
    <xf numFmtId="9" fontId="122" fillId="0" borderId="8" xfId="171" applyNumberFormat="1" applyFont="1" applyFill="1" applyBorder="1">
      <alignment vertical="center"/>
    </xf>
    <xf numFmtId="9" fontId="122" fillId="0" borderId="0" xfId="171" applyNumberFormat="1" applyFont="1" applyFill="1" applyBorder="1">
      <alignment vertical="center"/>
    </xf>
    <xf numFmtId="192" fontId="126" fillId="0" borderId="0" xfId="14" applyNumberFormat="1" applyFont="1" applyFill="1">
      <alignment vertical="center"/>
    </xf>
    <xf numFmtId="192" fontId="126" fillId="0" borderId="8" xfId="14" applyNumberFormat="1" applyFont="1" applyFill="1" applyBorder="1">
      <alignment vertical="center"/>
    </xf>
    <xf numFmtId="37" fontId="122" fillId="0" borderId="0" xfId="171" applyNumberFormat="1" applyFont="1" applyFill="1" applyBorder="1">
      <alignment vertical="center"/>
    </xf>
    <xf numFmtId="218" fontId="122" fillId="0" borderId="0" xfId="171" applyNumberFormat="1" applyFont="1" applyFill="1" applyBorder="1">
      <alignment vertical="center"/>
    </xf>
    <xf numFmtId="218" fontId="122" fillId="0" borderId="8" xfId="171" applyNumberFormat="1" applyFont="1" applyFill="1" applyBorder="1">
      <alignment vertical="center"/>
    </xf>
    <xf numFmtId="221" fontId="122" fillId="0" borderId="0" xfId="171" applyNumberFormat="1" applyFont="1" applyFill="1" applyBorder="1" applyAlignment="1">
      <alignment horizontal="right" vertical="center"/>
    </xf>
    <xf numFmtId="219" fontId="122" fillId="0" borderId="0" xfId="171" applyNumberFormat="1" applyFont="1" applyFill="1" applyBorder="1">
      <alignment vertical="center"/>
    </xf>
    <xf numFmtId="219" fontId="122" fillId="0" borderId="8" xfId="171" applyNumberFormat="1" applyFont="1" applyFill="1" applyBorder="1">
      <alignment vertical="center"/>
    </xf>
    <xf numFmtId="219" fontId="122" fillId="0" borderId="0" xfId="171" applyNumberFormat="1" applyFont="1" applyFill="1" applyBorder="1" applyAlignment="1">
      <alignment horizontal="right" vertical="center"/>
    </xf>
    <xf numFmtId="9" fontId="123" fillId="0" borderId="0" xfId="10" applyNumberFormat="1" applyFont="1" applyFill="1" applyBorder="1" applyAlignment="1">
      <alignment horizontal="right" vertical="center"/>
    </xf>
    <xf numFmtId="9" fontId="123" fillId="0" borderId="8" xfId="10" applyNumberFormat="1" applyFont="1" applyFill="1" applyBorder="1" applyAlignment="1">
      <alignment horizontal="right" vertical="center"/>
    </xf>
    <xf numFmtId="9" fontId="123" fillId="0" borderId="0" xfId="171" applyNumberFormat="1" applyFont="1" applyFill="1" applyBorder="1" applyAlignment="1">
      <alignment horizontal="right" vertical="center"/>
    </xf>
    <xf numFmtId="9" fontId="123" fillId="0" borderId="8" xfId="171" applyNumberFormat="1" applyFont="1" applyFill="1" applyBorder="1" applyAlignment="1">
      <alignment horizontal="right" vertical="center"/>
    </xf>
    <xf numFmtId="9" fontId="123" fillId="0" borderId="0" xfId="7" applyFont="1" applyFill="1" applyBorder="1" applyAlignment="1" applyProtection="1">
      <alignment horizontal="right" vertical="center"/>
    </xf>
    <xf numFmtId="226" fontId="123" fillId="0" borderId="0" xfId="171" applyFont="1" applyFill="1" applyBorder="1" applyAlignment="1">
      <alignment horizontal="right" vertical="center"/>
    </xf>
    <xf numFmtId="2" fontId="122" fillId="0" borderId="0" xfId="171" applyNumberFormat="1" applyFont="1" applyFill="1" applyBorder="1">
      <alignment vertical="center"/>
    </xf>
    <xf numFmtId="2" fontId="122" fillId="0" borderId="8" xfId="171" applyNumberFormat="1" applyFont="1" applyFill="1" applyBorder="1">
      <alignment vertical="center"/>
    </xf>
    <xf numFmtId="188" fontId="122" fillId="0" borderId="0" xfId="171" applyNumberFormat="1" applyFont="1" applyFill="1" applyBorder="1">
      <alignment vertical="center"/>
    </xf>
    <xf numFmtId="188" fontId="122" fillId="0" borderId="8" xfId="171" applyNumberFormat="1" applyFont="1" applyFill="1" applyBorder="1">
      <alignment vertical="center"/>
    </xf>
    <xf numFmtId="189" fontId="122" fillId="0" borderId="0" xfId="14" applyNumberFormat="1" applyFont="1" applyFill="1" applyBorder="1">
      <alignment vertical="center"/>
    </xf>
    <xf numFmtId="189" fontId="122" fillId="0" borderId="0" xfId="171" applyNumberFormat="1" applyFont="1" applyFill="1" applyBorder="1">
      <alignment vertical="center"/>
    </xf>
    <xf numFmtId="189" fontId="122" fillId="0" borderId="8" xfId="171" applyNumberFormat="1" applyFont="1" applyFill="1" applyBorder="1">
      <alignment vertical="center"/>
    </xf>
    <xf numFmtId="181" fontId="122" fillId="0" borderId="0" xfId="171" applyNumberFormat="1" applyFont="1" applyFill="1" applyBorder="1">
      <alignment vertical="center"/>
    </xf>
    <xf numFmtId="181" fontId="122" fillId="0" borderId="8" xfId="171" applyNumberFormat="1" applyFont="1" applyFill="1" applyBorder="1">
      <alignment vertical="center"/>
    </xf>
    <xf numFmtId="181" fontId="122" fillId="0" borderId="0" xfId="14" applyNumberFormat="1" applyFont="1" applyFill="1" applyBorder="1">
      <alignment vertical="center"/>
    </xf>
    <xf numFmtId="2" fontId="122" fillId="0" borderId="0" xfId="14" applyNumberFormat="1" applyFont="1" applyFill="1" applyBorder="1">
      <alignment vertical="center"/>
    </xf>
    <xf numFmtId="2" fontId="122" fillId="0" borderId="8" xfId="14" applyNumberFormat="1" applyFont="1" applyFill="1" applyBorder="1">
      <alignment vertical="center"/>
    </xf>
    <xf numFmtId="188" fontId="122" fillId="0" borderId="0" xfId="14" applyNumberFormat="1" applyFont="1" applyFill="1" applyBorder="1">
      <alignment vertical="center"/>
    </xf>
    <xf numFmtId="188" fontId="122" fillId="0" borderId="8" xfId="14" applyNumberFormat="1" applyFont="1" applyFill="1" applyBorder="1">
      <alignment vertical="center"/>
    </xf>
    <xf numFmtId="189" fontId="122" fillId="0" borderId="8" xfId="14" applyNumberFormat="1" applyFont="1" applyFill="1" applyBorder="1">
      <alignment vertical="center"/>
    </xf>
    <xf numFmtId="219" fontId="23" fillId="0" borderId="8" xfId="171" applyNumberFormat="1" applyFont="1" applyFill="1" applyBorder="1">
      <alignment vertical="center"/>
    </xf>
    <xf numFmtId="2" fontId="23" fillId="0" borderId="0" xfId="171" applyNumberFormat="1" applyFont="1" applyFill="1" applyBorder="1">
      <alignment vertical="center"/>
    </xf>
    <xf numFmtId="2" fontId="23" fillId="0" borderId="8" xfId="171" applyNumberFormat="1" applyFont="1" applyFill="1" applyBorder="1">
      <alignment vertical="center"/>
    </xf>
    <xf numFmtId="188" fontId="23" fillId="0" borderId="0" xfId="171" applyNumberFormat="1" applyFont="1" applyFill="1" applyBorder="1">
      <alignment vertical="center"/>
    </xf>
    <xf numFmtId="188" fontId="23" fillId="0" borderId="8" xfId="171" applyNumberFormat="1" applyFont="1" applyFill="1" applyBorder="1">
      <alignment vertical="center"/>
    </xf>
    <xf numFmtId="189" fontId="23" fillId="0" borderId="0" xfId="171" applyNumberFormat="1" applyFont="1" applyFill="1" applyBorder="1">
      <alignment vertical="center"/>
    </xf>
    <xf numFmtId="1" fontId="122" fillId="0" borderId="0" xfId="171" applyNumberFormat="1" applyFont="1" applyFill="1" applyBorder="1">
      <alignment vertical="center"/>
    </xf>
    <xf numFmtId="1" fontId="122" fillId="0" borderId="8" xfId="171" applyNumberFormat="1" applyFont="1" applyFill="1" applyBorder="1">
      <alignment vertical="center"/>
    </xf>
    <xf numFmtId="37" fontId="122" fillId="0" borderId="4" xfId="171" applyNumberFormat="1" applyFont="1" applyFill="1" applyBorder="1">
      <alignment vertical="center"/>
    </xf>
    <xf numFmtId="38" fontId="122" fillId="0" borderId="0" xfId="10" applyNumberFormat="1" applyFont="1" applyFill="1" applyBorder="1" applyAlignment="1">
      <alignment horizontal="right" vertical="center"/>
    </xf>
    <xf numFmtId="38" fontId="122" fillId="0" borderId="8" xfId="10" applyNumberFormat="1" applyFont="1" applyFill="1" applyBorder="1" applyAlignment="1">
      <alignment horizontal="right" vertical="center"/>
    </xf>
    <xf numFmtId="181" fontId="123" fillId="0" borderId="8" xfId="10" applyNumberFormat="1" applyFont="1" applyFill="1" applyBorder="1" applyAlignment="1">
      <alignment horizontal="right" vertical="center"/>
    </xf>
    <xf numFmtId="181" fontId="123" fillId="0" borderId="0" xfId="171" applyNumberFormat="1" applyFont="1" applyFill="1" applyBorder="1" applyAlignment="1">
      <alignment horizontal="right" vertical="center"/>
    </xf>
    <xf numFmtId="181" fontId="123" fillId="0" borderId="8" xfId="171" applyNumberFormat="1" applyFont="1" applyFill="1" applyBorder="1" applyAlignment="1">
      <alignment horizontal="right" vertical="center"/>
    </xf>
    <xf numFmtId="38" fontId="123" fillId="0" borderId="0" xfId="171" applyNumberFormat="1" applyFont="1" applyFill="1" applyBorder="1" applyAlignment="1">
      <alignment horizontal="right" vertical="center"/>
    </xf>
    <xf numFmtId="209" fontId="122" fillId="0" borderId="8" xfId="171" applyNumberFormat="1" applyFont="1" applyFill="1" applyBorder="1">
      <alignment vertical="center"/>
    </xf>
    <xf numFmtId="209" fontId="122" fillId="0" borderId="0" xfId="171" applyNumberFormat="1" applyFont="1" applyFill="1" applyBorder="1">
      <alignment vertical="center"/>
    </xf>
    <xf numFmtId="188" fontId="122" fillId="0" borderId="0" xfId="7" applyNumberFormat="1" applyFont="1" applyFill="1" applyBorder="1" applyAlignment="1">
      <alignment horizontal="right" vertical="center"/>
    </xf>
    <xf numFmtId="188" fontId="122" fillId="0" borderId="8" xfId="171" applyNumberFormat="1" applyFont="1" applyFill="1" applyBorder="1" applyAlignment="1">
      <alignment horizontal="right" vertical="center"/>
    </xf>
    <xf numFmtId="188" fontId="122" fillId="0" borderId="0" xfId="171" applyNumberFormat="1" applyFont="1" applyFill="1" applyBorder="1" applyAlignment="1">
      <alignment horizontal="right" vertical="center"/>
    </xf>
    <xf numFmtId="209" fontId="122" fillId="0" borderId="0" xfId="10" applyNumberFormat="1" applyFont="1" applyFill="1" applyBorder="1" applyAlignment="1">
      <alignment horizontal="right" vertical="center"/>
    </xf>
    <xf numFmtId="209" fontId="122" fillId="0" borderId="8" xfId="10" applyNumberFormat="1" applyFont="1" applyFill="1" applyBorder="1" applyAlignment="1">
      <alignment horizontal="right" vertical="center"/>
    </xf>
    <xf numFmtId="209" fontId="122" fillId="0" borderId="0" xfId="171" applyNumberFormat="1" applyFont="1" applyFill="1" applyBorder="1" applyAlignment="1">
      <alignment horizontal="right" vertical="center"/>
    </xf>
    <xf numFmtId="209" fontId="122" fillId="0" borderId="0" xfId="7" applyNumberFormat="1" applyFont="1" applyFill="1" applyBorder="1" applyAlignment="1">
      <alignment horizontal="right" vertical="center"/>
    </xf>
    <xf numFmtId="209" fontId="122" fillId="0" borderId="8" xfId="171" applyNumberFormat="1" applyFont="1" applyFill="1" applyBorder="1" applyAlignment="1">
      <alignment horizontal="right" vertical="center"/>
    </xf>
    <xf numFmtId="216" fontId="122" fillId="0" borderId="0" xfId="14" applyNumberFormat="1" applyFont="1" applyFill="1" applyBorder="1" applyAlignment="1">
      <alignment horizontal="left" vertical="center" indent="1"/>
    </xf>
    <xf numFmtId="216" fontId="122" fillId="0" borderId="8" xfId="14" applyNumberFormat="1" applyFont="1" applyFill="1" applyBorder="1" applyAlignment="1">
      <alignment horizontal="left" vertical="center" indent="1"/>
    </xf>
    <xf numFmtId="177" fontId="122" fillId="0" borderId="0" xfId="14" applyFont="1" applyFill="1" applyBorder="1" applyAlignment="1">
      <alignment horizontal="center" vertical="center"/>
    </xf>
    <xf numFmtId="177" fontId="122" fillId="0" borderId="8" xfId="14" applyFont="1" applyFill="1" applyBorder="1" applyAlignment="1">
      <alignment horizontal="center" vertical="center"/>
    </xf>
    <xf numFmtId="181" fontId="23" fillId="0" borderId="6" xfId="7" applyNumberFormat="1" applyFont="1" applyFill="1" applyBorder="1" applyAlignment="1">
      <alignment horizontal="left" wrapText="1" indent="2"/>
    </xf>
    <xf numFmtId="181" fontId="23" fillId="0" borderId="6" xfId="9" applyNumberFormat="1" applyFont="1" applyFill="1" applyBorder="1" applyAlignment="1">
      <alignment horizontal="left" indent="2"/>
    </xf>
    <xf numFmtId="9" fontId="23" fillId="0" borderId="6" xfId="7" applyFont="1" applyFill="1" applyBorder="1" applyAlignment="1">
      <alignment horizontal="left" indent="1"/>
    </xf>
    <xf numFmtId="37" fontId="21" fillId="0" borderId="0" xfId="13" applyNumberFormat="1" applyFont="1" applyFill="1" applyBorder="1" applyAlignment="1">
      <alignment horizontal="right" vertical="center"/>
    </xf>
    <xf numFmtId="37" fontId="21" fillId="0" borderId="0" xfId="13" applyNumberFormat="1" applyFont="1" applyFill="1" applyBorder="1">
      <alignment vertical="center"/>
    </xf>
    <xf numFmtId="37" fontId="21" fillId="0" borderId="8" xfId="13" applyNumberFormat="1" applyFont="1" applyFill="1" applyBorder="1">
      <alignment vertical="center"/>
    </xf>
    <xf numFmtId="37" fontId="21" fillId="0" borderId="0" xfId="14" applyNumberFormat="1" applyFont="1" applyFill="1" applyBorder="1">
      <alignment vertical="center"/>
    </xf>
    <xf numFmtId="9" fontId="23" fillId="0" borderId="6" xfId="7" applyFont="1" applyFill="1" applyBorder="1" applyAlignment="1">
      <alignment horizontal="left" vertical="center" indent="2"/>
    </xf>
    <xf numFmtId="37" fontId="77" fillId="0" borderId="0" xfId="13" applyNumberFormat="1" applyFont="1" applyFill="1" applyBorder="1" applyAlignment="1">
      <alignment horizontal="right" vertical="center"/>
    </xf>
    <xf numFmtId="37" fontId="77" fillId="0" borderId="0" xfId="13" applyNumberFormat="1" applyFont="1" applyFill="1" applyBorder="1">
      <alignment vertical="center"/>
    </xf>
    <xf numFmtId="37" fontId="77" fillId="0" borderId="0" xfId="13" applyNumberFormat="1" applyFont="1" applyFill="1" applyBorder="1" applyAlignment="1">
      <alignment horizontal="center" vertical="center"/>
    </xf>
    <xf numFmtId="37" fontId="77" fillId="0" borderId="8" xfId="13" applyNumberFormat="1" applyFont="1" applyFill="1" applyBorder="1" applyAlignment="1">
      <alignment horizontal="center" vertical="center"/>
    </xf>
    <xf numFmtId="37" fontId="77" fillId="0" borderId="0" xfId="14" applyNumberFormat="1" applyFont="1" applyFill="1" applyBorder="1">
      <alignment vertical="center"/>
    </xf>
    <xf numFmtId="37" fontId="77" fillId="0" borderId="8" xfId="13" applyNumberFormat="1" applyFont="1" applyFill="1" applyBorder="1">
      <alignment vertical="center"/>
    </xf>
    <xf numFmtId="37" fontId="77" fillId="0" borderId="6" xfId="13" applyNumberFormat="1" applyFont="1" applyFill="1" applyBorder="1">
      <alignment vertical="center"/>
    </xf>
    <xf numFmtId="37" fontId="77" fillId="0" borderId="6" xfId="7" applyNumberFormat="1" applyFont="1" applyFill="1" applyBorder="1">
      <alignment vertical="center"/>
    </xf>
    <xf numFmtId="178" fontId="77" fillId="0" borderId="0" xfId="10" applyFont="1" applyFill="1" applyBorder="1" applyAlignment="1">
      <alignment horizontal="right"/>
    </xf>
    <xf numFmtId="178" fontId="77" fillId="0" borderId="0" xfId="10" applyFont="1" applyFill="1" applyBorder="1" applyAlignment="1">
      <alignment horizontal="right" vertical="center"/>
    </xf>
    <xf numFmtId="178" fontId="77" fillId="0" borderId="0" xfId="10" applyFont="1" applyFill="1" applyBorder="1">
      <alignment vertical="center"/>
    </xf>
    <xf numFmtId="178" fontId="77" fillId="0" borderId="8" xfId="10" applyFont="1" applyFill="1" applyBorder="1">
      <alignment vertical="center"/>
    </xf>
    <xf numFmtId="192" fontId="77" fillId="0" borderId="0" xfId="14" applyNumberFormat="1" applyFont="1" applyFill="1" applyBorder="1">
      <alignment vertical="center"/>
    </xf>
    <xf numFmtId="178" fontId="77" fillId="0" borderId="6" xfId="10" applyFont="1" applyFill="1" applyBorder="1">
      <alignment vertical="center"/>
    </xf>
    <xf numFmtId="178" fontId="128" fillId="0" borderId="0" xfId="10" applyFont="1" applyFill="1" applyBorder="1" applyAlignment="1">
      <alignment horizontal="right"/>
    </xf>
    <xf numFmtId="178" fontId="128" fillId="0" borderId="0" xfId="10" applyFont="1" applyFill="1" applyBorder="1" applyAlignment="1">
      <alignment horizontal="right" vertical="center"/>
    </xf>
    <xf numFmtId="178" fontId="128" fillId="0" borderId="0" xfId="10" applyFont="1" applyFill="1" applyBorder="1">
      <alignment vertical="center"/>
    </xf>
    <xf numFmtId="181" fontId="128" fillId="0" borderId="0" xfId="7" applyNumberFormat="1" applyFont="1" applyFill="1" applyBorder="1">
      <alignment vertical="center"/>
    </xf>
    <xf numFmtId="181" fontId="128" fillId="0" borderId="8" xfId="7" applyNumberFormat="1" applyFont="1" applyFill="1" applyBorder="1">
      <alignment vertical="center"/>
    </xf>
    <xf numFmtId="9" fontId="128" fillId="0" borderId="0" xfId="7" applyFont="1" applyFill="1" applyBorder="1">
      <alignment vertical="center"/>
    </xf>
    <xf numFmtId="9" fontId="128" fillId="0" borderId="8" xfId="7" applyFont="1" applyFill="1" applyBorder="1">
      <alignment vertical="center"/>
    </xf>
    <xf numFmtId="181" fontId="128" fillId="0" borderId="6" xfId="7" applyNumberFormat="1" applyFont="1" applyFill="1" applyBorder="1">
      <alignment vertical="center"/>
    </xf>
    <xf numFmtId="181" fontId="128" fillId="0" borderId="0" xfId="7" applyNumberFormat="1" applyFont="1" applyFill="1" applyBorder="1" applyAlignment="1">
      <alignment horizontal="right" vertical="center"/>
    </xf>
    <xf numFmtId="38" fontId="77" fillId="0" borderId="0" xfId="13" applyNumberFormat="1" applyFont="1" applyFill="1" applyBorder="1" applyAlignment="1">
      <alignment horizontal="right" vertical="center"/>
    </xf>
    <xf numFmtId="38" fontId="77" fillId="0" borderId="0" xfId="13" applyNumberFormat="1" applyFont="1" applyFill="1" applyBorder="1">
      <alignment vertical="center"/>
    </xf>
    <xf numFmtId="38" fontId="77" fillId="0" borderId="8" xfId="13" applyNumberFormat="1" applyFont="1" applyFill="1" applyBorder="1">
      <alignment vertical="center"/>
    </xf>
    <xf numFmtId="38" fontId="77" fillId="0" borderId="6" xfId="13" applyNumberFormat="1" applyFont="1" applyFill="1" applyBorder="1">
      <alignment vertical="center"/>
    </xf>
    <xf numFmtId="38" fontId="77" fillId="0" borderId="0" xfId="13" applyNumberFormat="1" applyFont="1" applyFill="1" applyBorder="1" applyAlignment="1">
      <alignment horizontal="center" vertical="center"/>
    </xf>
    <xf numFmtId="38" fontId="77" fillId="0" borderId="8" xfId="13" applyNumberFormat="1" applyFont="1" applyFill="1" applyBorder="1" applyAlignment="1">
      <alignment horizontal="center" vertical="center"/>
    </xf>
    <xf numFmtId="181" fontId="77" fillId="0" borderId="0" xfId="7" applyNumberFormat="1" applyFont="1" applyFill="1" applyBorder="1" applyAlignment="1">
      <alignment horizontal="right" vertical="center"/>
    </xf>
    <xf numFmtId="181" fontId="77" fillId="0" borderId="0" xfId="7" applyNumberFormat="1" applyFont="1" applyFill="1" applyBorder="1">
      <alignment vertical="center"/>
    </xf>
    <xf numFmtId="192" fontId="77" fillId="0" borderId="8" xfId="14" applyNumberFormat="1" applyFont="1" applyFill="1" applyBorder="1">
      <alignment vertical="center"/>
    </xf>
    <xf numFmtId="181" fontId="77" fillId="0" borderId="0" xfId="13" applyNumberFormat="1" applyFont="1" applyFill="1" applyBorder="1">
      <alignment vertical="center"/>
    </xf>
    <xf numFmtId="184" fontId="77" fillId="0" borderId="0" xfId="8" applyNumberFormat="1" applyFont="1" applyFill="1" applyBorder="1" applyAlignment="1">
      <alignment horizontal="right"/>
    </xf>
    <xf numFmtId="184" fontId="77" fillId="0" borderId="0" xfId="8" applyNumberFormat="1" applyFont="1" applyFill="1" applyBorder="1"/>
    <xf numFmtId="184" fontId="77" fillId="0" borderId="8" xfId="8" applyNumberFormat="1" applyFont="1" applyFill="1" applyBorder="1"/>
    <xf numFmtId="177" fontId="77" fillId="0" borderId="0" xfId="14" applyNumberFormat="1" applyFont="1" applyFill="1" applyBorder="1">
      <alignment vertical="center"/>
    </xf>
    <xf numFmtId="226" fontId="77" fillId="0" borderId="0" xfId="13" applyFont="1" applyFill="1" applyBorder="1">
      <alignment vertical="center"/>
    </xf>
    <xf numFmtId="226" fontId="77" fillId="0" borderId="8" xfId="13" applyFont="1" applyFill="1" applyBorder="1">
      <alignment vertical="center"/>
    </xf>
    <xf numFmtId="2" fontId="77" fillId="0" borderId="8" xfId="13" applyNumberFormat="1" applyFont="1" applyFill="1" applyBorder="1">
      <alignment vertical="center"/>
    </xf>
    <xf numFmtId="2" fontId="77" fillId="0" borderId="0" xfId="13" applyNumberFormat="1" applyFont="1" applyFill="1" applyBorder="1">
      <alignment vertical="center"/>
    </xf>
    <xf numFmtId="181" fontId="128" fillId="0" borderId="0" xfId="13" applyNumberFormat="1" applyFont="1" applyFill="1" applyBorder="1" applyAlignment="1">
      <alignment horizontal="right" vertical="center"/>
    </xf>
    <xf numFmtId="181" fontId="128" fillId="0" borderId="0" xfId="13" applyNumberFormat="1" applyFont="1" applyFill="1" applyBorder="1" applyAlignment="1">
      <alignment horizontal="center" vertical="center"/>
    </xf>
    <xf numFmtId="181" fontId="128" fillId="0" borderId="8" xfId="13" applyNumberFormat="1" applyFont="1" applyFill="1" applyBorder="1" applyAlignment="1">
      <alignment horizontal="right" vertical="center"/>
    </xf>
    <xf numFmtId="181" fontId="128" fillId="0" borderId="6" xfId="13" applyNumberFormat="1" applyFont="1" applyFill="1" applyBorder="1" applyAlignment="1">
      <alignment horizontal="right" vertical="center"/>
    </xf>
    <xf numFmtId="9" fontId="128" fillId="0" borderId="6" xfId="13" applyNumberFormat="1" applyFont="1" applyFill="1" applyBorder="1" applyAlignment="1">
      <alignment horizontal="right" vertical="center"/>
    </xf>
    <xf numFmtId="178" fontId="77" fillId="0" borderId="0" xfId="10" applyFont="1" applyFill="1" applyBorder="1" applyAlignment="1" applyProtection="1">
      <alignment horizontal="right"/>
    </xf>
    <xf numFmtId="178" fontId="77" fillId="0" borderId="0" xfId="10" applyFont="1" applyFill="1" applyBorder="1" applyAlignment="1" applyProtection="1"/>
    <xf numFmtId="178" fontId="77" fillId="0" borderId="8" xfId="10" applyFont="1" applyFill="1" applyBorder="1" applyAlignment="1" applyProtection="1"/>
    <xf numFmtId="178" fontId="77" fillId="0" borderId="0" xfId="10" applyFont="1" applyFill="1" applyBorder="1" applyAlignment="1">
      <alignment horizontal="center" vertical="center"/>
    </xf>
    <xf numFmtId="192" fontId="77" fillId="0" borderId="0" xfId="14" applyNumberFormat="1" applyFont="1" applyFill="1" applyBorder="1" applyAlignment="1">
      <alignment horizontal="right" vertical="center"/>
    </xf>
    <xf numFmtId="192" fontId="77" fillId="0" borderId="6" xfId="14" applyNumberFormat="1" applyFont="1" applyFill="1" applyBorder="1">
      <alignment vertical="center"/>
    </xf>
    <xf numFmtId="192" fontId="77" fillId="0" borderId="6" xfId="13" applyNumberFormat="1" applyFont="1" applyFill="1" applyBorder="1">
      <alignment vertical="center"/>
    </xf>
    <xf numFmtId="218" fontId="77" fillId="0" borderId="0" xfId="10" applyNumberFormat="1" applyFont="1" applyFill="1" applyBorder="1">
      <alignment vertical="center"/>
    </xf>
    <xf numFmtId="218" fontId="77" fillId="0" borderId="8" xfId="10" applyNumberFormat="1" applyFont="1" applyFill="1" applyBorder="1">
      <alignment vertical="center"/>
    </xf>
    <xf numFmtId="218" fontId="77" fillId="0" borderId="0" xfId="14" applyNumberFormat="1" applyFont="1" applyFill="1" applyBorder="1">
      <alignment vertical="center"/>
    </xf>
    <xf numFmtId="218" fontId="77" fillId="0" borderId="8" xfId="14" applyNumberFormat="1" applyFont="1" applyFill="1" applyBorder="1">
      <alignment vertical="center"/>
    </xf>
    <xf numFmtId="218" fontId="77" fillId="0" borderId="0" xfId="13" applyNumberFormat="1" applyFont="1" applyFill="1" applyBorder="1">
      <alignment vertical="center"/>
    </xf>
    <xf numFmtId="193" fontId="77" fillId="0" borderId="8" xfId="13" applyNumberFormat="1" applyFont="1" applyFill="1" applyBorder="1">
      <alignment vertical="center"/>
    </xf>
    <xf numFmtId="193" fontId="77" fillId="0" borderId="0" xfId="13" applyNumberFormat="1" applyFont="1" applyFill="1" applyBorder="1">
      <alignment vertical="center"/>
    </xf>
    <xf numFmtId="181" fontId="128" fillId="0" borderId="0" xfId="10" applyNumberFormat="1" applyFont="1" applyFill="1" applyBorder="1" applyAlignment="1">
      <alignment horizontal="right" vertical="center"/>
    </xf>
    <xf numFmtId="181" fontId="128" fillId="0" borderId="0" xfId="10" applyNumberFormat="1" applyFont="1" applyFill="1" applyBorder="1" applyAlignment="1">
      <alignment horizontal="center" vertical="center"/>
    </xf>
    <xf numFmtId="181" fontId="128" fillId="0" borderId="0" xfId="10" applyNumberFormat="1" applyFont="1" applyFill="1" applyBorder="1">
      <alignment vertical="center"/>
    </xf>
    <xf numFmtId="181" fontId="128" fillId="0" borderId="8" xfId="10" applyNumberFormat="1" applyFont="1" applyFill="1" applyBorder="1">
      <alignment vertical="center"/>
    </xf>
    <xf numFmtId="181" fontId="128" fillId="0" borderId="0" xfId="13" applyNumberFormat="1" applyFont="1" applyFill="1" applyBorder="1">
      <alignment vertical="center"/>
    </xf>
    <xf numFmtId="3" fontId="77" fillId="0" borderId="0" xfId="13" applyNumberFormat="1" applyFont="1" applyFill="1" applyBorder="1">
      <alignment vertical="center"/>
    </xf>
    <xf numFmtId="178" fontId="128" fillId="0" borderId="0" xfId="10" applyFont="1" applyFill="1" applyBorder="1" applyAlignment="1">
      <alignment horizontal="center" vertical="center"/>
    </xf>
    <xf numFmtId="178" fontId="128" fillId="0" borderId="8" xfId="10" applyFont="1" applyFill="1" applyBorder="1">
      <alignment vertical="center"/>
    </xf>
    <xf numFmtId="226" fontId="128" fillId="0" borderId="0" xfId="13" applyFont="1" applyFill="1" applyBorder="1">
      <alignment vertical="center"/>
    </xf>
    <xf numFmtId="37" fontId="21" fillId="0" borderId="8" xfId="14" applyNumberFormat="1" applyFont="1" applyFill="1" applyBorder="1">
      <alignment vertical="center"/>
    </xf>
    <xf numFmtId="38" fontId="77" fillId="0" borderId="0" xfId="13" applyNumberFormat="1" applyFont="1" applyFill="1" applyBorder="1" applyAlignment="1">
      <alignment horizontal="center" vertical="center"/>
    </xf>
    <xf numFmtId="38" fontId="77" fillId="0" borderId="8" xfId="13" applyNumberFormat="1" applyFont="1" applyFill="1" applyBorder="1" applyAlignment="1">
      <alignment horizontal="center" vertical="center"/>
    </xf>
    <xf numFmtId="183" fontId="77" fillId="0" borderId="0" xfId="13" applyNumberFormat="1" applyFont="1" applyFill="1" applyBorder="1">
      <alignment vertical="center"/>
    </xf>
    <xf numFmtId="178" fontId="77" fillId="0" borderId="0" xfId="10" applyFont="1" applyFill="1" applyBorder="1" applyAlignment="1">
      <alignment horizontal="center"/>
    </xf>
    <xf numFmtId="178" fontId="77" fillId="0" borderId="4" xfId="10" applyFont="1" applyFill="1" applyBorder="1">
      <alignment vertical="center"/>
    </xf>
    <xf numFmtId="178" fontId="77" fillId="0" borderId="8" xfId="10" applyFont="1" applyFill="1" applyBorder="1" applyAlignment="1">
      <alignment horizontal="center"/>
    </xf>
    <xf numFmtId="9" fontId="77" fillId="0" borderId="0" xfId="7" applyFont="1" applyFill="1" applyBorder="1">
      <alignment vertical="center"/>
    </xf>
    <xf numFmtId="9" fontId="77" fillId="0" borderId="0" xfId="13" applyNumberFormat="1" applyFont="1" applyFill="1" applyBorder="1" applyAlignment="1">
      <alignment horizontal="center" vertical="center"/>
    </xf>
    <xf numFmtId="9" fontId="77" fillId="0" borderId="8" xfId="13" applyNumberFormat="1" applyFont="1" applyFill="1" applyBorder="1" applyAlignment="1">
      <alignment horizontal="center" vertical="center"/>
    </xf>
    <xf numFmtId="9" fontId="77" fillId="0" borderId="0" xfId="10" applyNumberFormat="1" applyFont="1" applyFill="1" applyBorder="1">
      <alignment vertical="center"/>
    </xf>
    <xf numFmtId="9" fontId="77" fillId="0" borderId="0" xfId="13" applyNumberFormat="1" applyFont="1" applyFill="1" applyBorder="1">
      <alignment vertical="center"/>
    </xf>
    <xf numFmtId="9" fontId="77" fillId="0" borderId="0" xfId="10" applyNumberFormat="1" applyFont="1" applyFill="1" applyBorder="1" applyAlignment="1">
      <alignment horizontal="center"/>
    </xf>
    <xf numFmtId="9" fontId="128" fillId="0" borderId="8" xfId="10" applyNumberFormat="1" applyFont="1" applyFill="1" applyBorder="1">
      <alignment vertical="center"/>
    </xf>
    <xf numFmtId="9" fontId="77" fillId="0" borderId="4" xfId="10" applyNumberFormat="1" applyFont="1" applyFill="1" applyBorder="1">
      <alignment vertical="center"/>
    </xf>
    <xf numFmtId="9" fontId="77" fillId="0" borderId="8" xfId="7" applyNumberFormat="1" applyFont="1" applyFill="1" applyBorder="1" applyAlignment="1">
      <alignment horizontal="right"/>
    </xf>
    <xf numFmtId="9" fontId="77" fillId="0" borderId="0" xfId="7" applyNumberFormat="1" applyFont="1" applyFill="1" applyBorder="1" applyAlignment="1">
      <alignment horizontal="right"/>
    </xf>
    <xf numFmtId="9" fontId="77" fillId="0" borderId="0" xfId="7" applyNumberFormat="1" applyFont="1" applyFill="1" applyBorder="1" applyAlignment="1">
      <alignment horizontal="right" vertical="center"/>
    </xf>
    <xf numFmtId="9" fontId="77" fillId="0" borderId="8" xfId="7" applyNumberFormat="1" applyFont="1" applyFill="1" applyBorder="1" applyAlignment="1">
      <alignment horizontal="right" vertical="center"/>
    </xf>
    <xf numFmtId="9" fontId="77" fillId="0" borderId="8" xfId="10" applyNumberFormat="1" applyFont="1" applyFill="1" applyBorder="1">
      <alignment vertical="center"/>
    </xf>
    <xf numFmtId="9" fontId="77" fillId="0" borderId="6" xfId="10" applyNumberFormat="1" applyFont="1" applyFill="1" applyBorder="1">
      <alignment vertical="center"/>
    </xf>
    <xf numFmtId="181" fontId="77" fillId="0" borderId="0" xfId="13" applyNumberFormat="1" applyFont="1" applyFill="1" applyBorder="1" applyAlignment="1">
      <alignment horizontal="center" vertical="center"/>
    </xf>
    <xf numFmtId="181" fontId="77" fillId="0" borderId="8" xfId="13" applyNumberFormat="1" applyFont="1" applyFill="1" applyBorder="1" applyAlignment="1">
      <alignment horizontal="center" vertical="center"/>
    </xf>
    <xf numFmtId="181" fontId="127" fillId="0" borderId="0" xfId="7" applyNumberFormat="1" applyFont="1" applyFill="1" applyBorder="1">
      <alignment vertical="center"/>
    </xf>
    <xf numFmtId="181" fontId="129" fillId="0" borderId="8" xfId="7" applyNumberFormat="1" applyFont="1" applyFill="1" applyBorder="1">
      <alignment vertical="center"/>
    </xf>
    <xf numFmtId="181" fontId="127" fillId="0" borderId="4" xfId="7" applyNumberFormat="1" applyFont="1" applyFill="1" applyBorder="1">
      <alignment vertical="center"/>
    </xf>
    <xf numFmtId="181" fontId="77" fillId="0" borderId="8" xfId="7" applyNumberFormat="1" applyFont="1" applyFill="1" applyBorder="1">
      <alignment vertical="center"/>
    </xf>
    <xf numFmtId="192" fontId="77" fillId="0" borderId="0" xfId="12" applyNumberFormat="1" applyFont="1" applyFill="1" applyBorder="1">
      <alignment vertical="center"/>
    </xf>
    <xf numFmtId="192" fontId="77" fillId="0" borderId="8" xfId="12" applyNumberFormat="1" applyFont="1" applyFill="1" applyBorder="1">
      <alignment vertical="center"/>
    </xf>
    <xf numFmtId="192" fontId="77" fillId="0" borderId="6" xfId="12" applyNumberFormat="1" applyFont="1" applyFill="1" applyBorder="1">
      <alignment vertical="center"/>
    </xf>
    <xf numFmtId="192" fontId="77" fillId="0" borderId="0" xfId="12" applyNumberFormat="1" applyFont="1" applyFill="1" applyBorder="1" applyAlignment="1">
      <alignment horizontal="center" vertical="center"/>
    </xf>
    <xf numFmtId="192" fontId="77" fillId="0" borderId="8" xfId="12" applyNumberFormat="1" applyFont="1" applyFill="1" applyBorder="1" applyAlignment="1">
      <alignment horizontal="center" vertical="center"/>
    </xf>
    <xf numFmtId="192" fontId="127" fillId="0" borderId="0" xfId="12" applyNumberFormat="1" applyFont="1" applyFill="1" applyBorder="1">
      <alignment vertical="center"/>
    </xf>
    <xf numFmtId="192" fontId="129" fillId="0" borderId="8" xfId="12" applyNumberFormat="1" applyFont="1" applyFill="1" applyBorder="1">
      <alignment vertical="center"/>
    </xf>
    <xf numFmtId="192" fontId="127" fillId="0" borderId="4" xfId="12" applyNumberFormat="1" applyFont="1" applyFill="1" applyBorder="1">
      <alignment vertical="center"/>
    </xf>
    <xf numFmtId="192" fontId="77" fillId="37" borderId="0" xfId="12" applyNumberFormat="1" applyFont="1" applyFill="1" applyBorder="1">
      <alignment vertical="center"/>
    </xf>
    <xf numFmtId="192" fontId="77" fillId="37" borderId="8" xfId="12" applyNumberFormat="1" applyFont="1" applyFill="1" applyBorder="1">
      <alignment vertical="center"/>
    </xf>
    <xf numFmtId="38" fontId="128" fillId="0" borderId="8" xfId="13" applyNumberFormat="1" applyFont="1" applyFill="1" applyBorder="1">
      <alignment vertical="center"/>
    </xf>
    <xf numFmtId="38" fontId="77" fillId="0" borderId="4" xfId="13" applyNumberFormat="1" applyFont="1" applyFill="1" applyBorder="1" applyAlignment="1">
      <alignment horizontal="right" vertical="center"/>
    </xf>
    <xf numFmtId="38" fontId="77" fillId="0" borderId="8" xfId="13" applyNumberFormat="1" applyFont="1" applyFill="1" applyBorder="1" applyAlignment="1">
      <alignment horizontal="right" vertical="center"/>
    </xf>
    <xf numFmtId="181" fontId="77" fillId="0" borderId="0" xfId="7" applyNumberFormat="1" applyFont="1" applyFill="1" applyBorder="1" applyAlignment="1">
      <alignment horizontal="center" vertical="center"/>
    </xf>
    <xf numFmtId="181" fontId="77" fillId="0" borderId="4" xfId="7" applyNumberFormat="1" applyFont="1" applyFill="1" applyBorder="1" applyAlignment="1">
      <alignment horizontal="right" vertical="center"/>
    </xf>
    <xf numFmtId="181" fontId="77" fillId="0" borderId="8" xfId="7" applyNumberFormat="1" applyFont="1" applyFill="1" applyBorder="1" applyAlignment="1">
      <alignment horizontal="right" vertical="center"/>
    </xf>
    <xf numFmtId="181" fontId="77" fillId="0" borderId="6" xfId="7" applyNumberFormat="1" applyFont="1" applyFill="1" applyBorder="1">
      <alignment vertical="center"/>
    </xf>
    <xf numFmtId="37" fontId="128" fillId="0" borderId="8" xfId="13" applyNumberFormat="1" applyFont="1" applyFill="1" applyBorder="1">
      <alignment vertical="center"/>
    </xf>
    <xf numFmtId="37" fontId="77" fillId="0" borderId="4" xfId="13" applyNumberFormat="1" applyFont="1" applyFill="1" applyBorder="1">
      <alignment vertical="center"/>
    </xf>
    <xf numFmtId="37" fontId="128" fillId="0" borderId="8" xfId="13" applyNumberFormat="1" applyFont="1" applyFill="1" applyBorder="1" applyAlignment="1">
      <alignment horizontal="center" vertical="center"/>
    </xf>
    <xf numFmtId="37" fontId="77" fillId="0" borderId="4" xfId="13" applyNumberFormat="1" applyFont="1" applyFill="1" applyBorder="1" applyAlignment="1">
      <alignment horizontal="center" vertical="center"/>
    </xf>
    <xf numFmtId="37" fontId="128" fillId="0" borderId="8" xfId="13" applyNumberFormat="1" applyFont="1" applyFill="1" applyBorder="1" applyAlignment="1">
      <alignment horizontal="right" vertical="center"/>
    </xf>
    <xf numFmtId="37" fontId="77" fillId="0" borderId="0" xfId="8" applyNumberFormat="1" applyFont="1" applyFill="1" applyBorder="1"/>
    <xf numFmtId="37" fontId="77" fillId="0" borderId="0" xfId="7" applyNumberFormat="1" applyFont="1" applyFill="1" applyBorder="1">
      <alignment vertical="center"/>
    </xf>
    <xf numFmtId="37" fontId="77" fillId="0" borderId="8" xfId="7" applyNumberFormat="1" applyFont="1" applyFill="1" applyBorder="1">
      <alignment vertical="center"/>
    </xf>
    <xf numFmtId="37" fontId="130" fillId="32" borderId="0" xfId="0" applyNumberFormat="1" applyFont="1" applyFill="1" applyAlignment="1"/>
    <xf numFmtId="37" fontId="130" fillId="32" borderId="0" xfId="0" applyNumberFormat="1" applyFont="1" applyFill="1" applyBorder="1" applyAlignment="1"/>
    <xf numFmtId="37" fontId="77" fillId="0" borderId="4" xfId="7" applyNumberFormat="1" applyFont="1" applyFill="1" applyBorder="1">
      <alignment vertical="center"/>
    </xf>
    <xf numFmtId="37" fontId="77" fillId="0" borderId="0" xfId="7" applyNumberFormat="1" applyFont="1" applyFill="1" applyBorder="1" applyAlignment="1">
      <alignment horizontal="right" vertical="center"/>
    </xf>
    <xf numFmtId="37" fontId="77" fillId="0" borderId="0" xfId="12" applyNumberFormat="1" applyFont="1" applyFill="1" applyBorder="1" applyAlignment="1">
      <alignment horizontal="center" vertical="center"/>
    </xf>
    <xf numFmtId="37" fontId="77" fillId="0" borderId="8" xfId="12" applyNumberFormat="1" applyFont="1" applyFill="1" applyBorder="1" applyAlignment="1">
      <alignment horizontal="center" vertical="center"/>
    </xf>
    <xf numFmtId="37" fontId="77" fillId="0" borderId="0" xfId="12" applyNumberFormat="1" applyFont="1" applyFill="1" applyBorder="1">
      <alignment vertical="center"/>
    </xf>
    <xf numFmtId="37" fontId="128" fillId="0" borderId="8" xfId="12" applyNumberFormat="1" applyFont="1" applyFill="1" applyBorder="1">
      <alignment vertical="center"/>
    </xf>
    <xf numFmtId="37" fontId="77" fillId="0" borderId="4" xfId="12" applyNumberFormat="1" applyFont="1" applyFill="1" applyBorder="1">
      <alignment vertical="center"/>
    </xf>
    <xf numFmtId="37" fontId="77" fillId="0" borderId="8" xfId="12" applyNumberFormat="1" applyFont="1" applyFill="1" applyBorder="1" applyAlignment="1">
      <alignment horizontal="right" vertical="center"/>
    </xf>
    <xf numFmtId="37" fontId="77" fillId="0" borderId="0" xfId="12" applyNumberFormat="1" applyFont="1" applyFill="1" applyBorder="1" applyAlignment="1">
      <alignment horizontal="right" vertical="center"/>
    </xf>
    <xf numFmtId="37" fontId="77" fillId="0" borderId="8" xfId="12" applyNumberFormat="1" applyFont="1" applyFill="1" applyBorder="1">
      <alignment vertical="center"/>
    </xf>
    <xf numFmtId="37" fontId="77" fillId="0" borderId="6" xfId="12" applyNumberFormat="1" applyFont="1" applyFill="1" applyBorder="1">
      <alignment vertical="center"/>
    </xf>
    <xf numFmtId="37" fontId="77" fillId="0" borderId="4" xfId="13" applyNumberFormat="1" applyFont="1" applyFill="1" applyBorder="1" applyAlignment="1">
      <alignment horizontal="right" vertical="center"/>
    </xf>
    <xf numFmtId="39" fontId="77" fillId="0" borderId="0" xfId="8" applyNumberFormat="1" applyFont="1" applyFill="1" applyBorder="1"/>
    <xf numFmtId="39" fontId="77" fillId="0" borderId="0" xfId="8" applyNumberFormat="1" applyFont="1" applyFill="1" applyBorder="1" applyAlignment="1">
      <alignment wrapText="1"/>
    </xf>
    <xf numFmtId="39" fontId="77" fillId="0" borderId="8" xfId="8" applyNumberFormat="1" applyFont="1" applyFill="1" applyBorder="1"/>
    <xf numFmtId="39" fontId="77" fillId="0" borderId="0" xfId="9" applyNumberFormat="1" applyFont="1" applyFill="1" applyBorder="1"/>
    <xf numFmtId="39" fontId="128" fillId="0" borderId="8" xfId="9" applyNumberFormat="1" applyFont="1" applyFill="1" applyBorder="1"/>
    <xf numFmtId="39" fontId="77" fillId="0" borderId="0" xfId="13" applyNumberFormat="1" applyFont="1" applyFill="1" applyBorder="1">
      <alignment vertical="center"/>
    </xf>
    <xf numFmtId="39" fontId="77" fillId="0" borderId="4" xfId="8" applyNumberFormat="1" applyFont="1" applyFill="1" applyBorder="1"/>
    <xf numFmtId="39" fontId="77" fillId="0" borderId="8" xfId="13" applyNumberFormat="1" applyFont="1" applyFill="1" applyBorder="1">
      <alignment vertical="center"/>
    </xf>
    <xf numFmtId="39" fontId="77" fillId="0" borderId="6" xfId="13" applyNumberFormat="1" applyFont="1" applyFill="1" applyBorder="1">
      <alignment vertical="center"/>
    </xf>
    <xf numFmtId="39" fontId="128" fillId="0" borderId="8" xfId="8" applyNumberFormat="1" applyFont="1" applyFill="1" applyBorder="1"/>
    <xf numFmtId="39" fontId="77" fillId="0" borderId="0" xfId="7" applyNumberFormat="1" applyFont="1" applyFill="1" applyBorder="1" applyAlignment="1"/>
    <xf numFmtId="39" fontId="77" fillId="0" borderId="8" xfId="7" applyNumberFormat="1" applyFont="1" applyFill="1" applyBorder="1" applyAlignment="1"/>
    <xf numFmtId="181" fontId="128" fillId="0" borderId="0" xfId="8" applyNumberFormat="1" applyFont="1" applyFill="1" applyBorder="1" applyAlignment="1">
      <alignment horizontal="center"/>
    </xf>
    <xf numFmtId="181" fontId="128" fillId="0" borderId="4" xfId="13" applyNumberFormat="1" applyFont="1" applyFill="1" applyBorder="1" applyAlignment="1">
      <alignment horizontal="center" vertical="center"/>
    </xf>
    <xf numFmtId="181" fontId="128" fillId="0" borderId="8" xfId="13" applyNumberFormat="1" applyFont="1" applyFill="1" applyBorder="1">
      <alignment vertical="center"/>
    </xf>
    <xf numFmtId="181" fontId="128" fillId="0" borderId="6" xfId="13" applyNumberFormat="1" applyFont="1" applyFill="1" applyBorder="1">
      <alignment vertical="center"/>
    </xf>
    <xf numFmtId="181" fontId="128" fillId="0" borderId="8" xfId="13" applyNumberFormat="1" applyFont="1" applyFill="1" applyBorder="1" applyAlignment="1">
      <alignment horizontal="center" vertical="center"/>
    </xf>
    <xf numFmtId="178" fontId="77" fillId="0" borderId="4" xfId="10" applyFont="1" applyFill="1" applyBorder="1" applyAlignment="1" applyProtection="1"/>
    <xf numFmtId="178" fontId="77" fillId="0" borderId="4" xfId="10" applyFont="1" applyFill="1" applyBorder="1" applyAlignment="1">
      <alignment horizontal="right" vertical="center"/>
    </xf>
    <xf numFmtId="178" fontId="127" fillId="0" borderId="0" xfId="10" applyFont="1" applyFill="1" applyBorder="1" applyAlignment="1" applyProtection="1"/>
    <xf numFmtId="178" fontId="127" fillId="0" borderId="8" xfId="10" applyFont="1" applyFill="1" applyBorder="1" applyAlignment="1" applyProtection="1"/>
    <xf numFmtId="178" fontId="77" fillId="0" borderId="4" xfId="10" applyFont="1" applyFill="1" applyBorder="1" applyAlignment="1">
      <alignment horizontal="center" vertical="center"/>
    </xf>
    <xf numFmtId="178" fontId="77" fillId="0" borderId="8" xfId="10" applyFont="1" applyFill="1" applyBorder="1" applyAlignment="1">
      <alignment horizontal="center" vertical="center"/>
    </xf>
    <xf numFmtId="38" fontId="77" fillId="0" borderId="0" xfId="13" applyNumberFormat="1" applyFont="1" applyFill="1" applyBorder="1">
      <alignment vertical="center"/>
    </xf>
    <xf numFmtId="178" fontId="77" fillId="0" borderId="0" xfId="10" applyNumberFormat="1" applyFont="1" applyFill="1" applyBorder="1" applyAlignment="1" applyProtection="1"/>
    <xf numFmtId="178" fontId="128" fillId="0" borderId="8" xfId="10" applyNumberFormat="1" applyFont="1" applyFill="1" applyBorder="1" applyAlignment="1" applyProtection="1"/>
    <xf numFmtId="226" fontId="77" fillId="0" borderId="4" xfId="13" applyFont="1" applyFill="1" applyBorder="1">
      <alignment vertical="center"/>
    </xf>
    <xf numFmtId="178" fontId="77" fillId="0" borderId="8" xfId="10" applyNumberFormat="1" applyFont="1" applyFill="1" applyBorder="1" applyAlignment="1" applyProtection="1"/>
    <xf numFmtId="226" fontId="77" fillId="0" borderId="0" xfId="13" applyFont="1" applyFill="1" applyBorder="1" applyAlignment="1">
      <alignment horizontal="center" vertical="center"/>
    </xf>
    <xf numFmtId="3" fontId="128" fillId="0" borderId="8" xfId="13" applyNumberFormat="1" applyFont="1" applyFill="1" applyBorder="1">
      <alignment vertical="center"/>
    </xf>
    <xf numFmtId="218" fontId="77" fillId="0" borderId="8" xfId="13" applyNumberFormat="1" applyFont="1" applyFill="1" applyBorder="1">
      <alignment vertical="center"/>
    </xf>
    <xf numFmtId="220" fontId="77" fillId="0" borderId="0" xfId="14" applyNumberFormat="1" applyFont="1" applyFill="1" applyBorder="1">
      <alignment vertical="center"/>
    </xf>
    <xf numFmtId="220" fontId="77" fillId="0" borderId="8" xfId="12" applyNumberFormat="1" applyFont="1" applyFill="1" applyBorder="1">
      <alignment vertical="center"/>
    </xf>
    <xf numFmtId="220" fontId="77" fillId="0" borderId="6" xfId="12" applyNumberFormat="1" applyFont="1" applyFill="1" applyBorder="1">
      <alignment vertical="center"/>
    </xf>
    <xf numFmtId="178" fontId="128" fillId="0" borderId="8" xfId="10" applyFont="1" applyFill="1" applyBorder="1" applyAlignment="1">
      <alignment horizontal="right" vertical="center"/>
    </xf>
    <xf numFmtId="43" fontId="77" fillId="0" borderId="8" xfId="10" applyNumberFormat="1" applyFont="1" applyFill="1" applyBorder="1">
      <alignment vertical="center"/>
    </xf>
    <xf numFmtId="9" fontId="77" fillId="0" borderId="6" xfId="7" applyFont="1" applyFill="1" applyBorder="1">
      <alignment vertical="center"/>
    </xf>
    <xf numFmtId="9" fontId="128" fillId="0" borderId="0" xfId="7" applyFont="1" applyFill="1" applyBorder="1" applyAlignment="1">
      <alignment horizontal="right" vertical="center"/>
    </xf>
    <xf numFmtId="9" fontId="128" fillId="0" borderId="8" xfId="7" applyFont="1" applyFill="1" applyBorder="1" applyAlignment="1">
      <alignment horizontal="right" vertical="center"/>
    </xf>
    <xf numFmtId="9" fontId="128" fillId="0" borderId="4" xfId="7" applyFont="1" applyFill="1" applyBorder="1">
      <alignment vertical="center"/>
    </xf>
    <xf numFmtId="9" fontId="128" fillId="0" borderId="6" xfId="7" applyFont="1" applyFill="1" applyBorder="1">
      <alignment vertical="center"/>
    </xf>
    <xf numFmtId="9" fontId="77" fillId="0" borderId="8" xfId="7" applyFont="1" applyFill="1" applyBorder="1">
      <alignment vertical="center"/>
    </xf>
    <xf numFmtId="9" fontId="77" fillId="0" borderId="0" xfId="7" applyFont="1" applyFill="1" applyBorder="1" applyAlignment="1">
      <alignment horizontal="right" vertical="center"/>
    </xf>
    <xf numFmtId="9" fontId="77" fillId="0" borderId="4" xfId="7" applyFont="1" applyFill="1" applyBorder="1">
      <alignment vertical="center"/>
    </xf>
    <xf numFmtId="192" fontId="128" fillId="0" borderId="0" xfId="12" applyNumberFormat="1" applyFont="1" applyFill="1" applyBorder="1">
      <alignment vertical="center"/>
    </xf>
    <xf numFmtId="192" fontId="128" fillId="0" borderId="4" xfId="12" applyNumberFormat="1" applyFont="1" applyFill="1" applyBorder="1">
      <alignment vertical="center"/>
    </xf>
    <xf numFmtId="192" fontId="128" fillId="0" borderId="8" xfId="12" applyNumberFormat="1" applyFont="1" applyFill="1" applyBorder="1">
      <alignment vertical="center"/>
    </xf>
    <xf numFmtId="9" fontId="128" fillId="0" borderId="0" xfId="7" applyNumberFormat="1" applyFont="1" applyFill="1" applyBorder="1">
      <alignment vertical="center"/>
    </xf>
    <xf numFmtId="220" fontId="128" fillId="0" borderId="0" xfId="12" applyNumberFormat="1" applyFont="1" applyFill="1" applyBorder="1">
      <alignment vertical="center"/>
    </xf>
    <xf numFmtId="220" fontId="128" fillId="0" borderId="4" xfId="12" applyNumberFormat="1" applyFont="1" applyFill="1" applyBorder="1">
      <alignment vertical="center"/>
    </xf>
    <xf numFmtId="220" fontId="128" fillId="0" borderId="8" xfId="12" applyNumberFormat="1" applyFont="1" applyFill="1" applyBorder="1">
      <alignment vertical="center"/>
    </xf>
    <xf numFmtId="220" fontId="128" fillId="0" borderId="0" xfId="12" applyNumberFormat="1" applyFont="1" applyFill="1" applyBorder="1" applyAlignment="1">
      <alignment horizontal="center" vertical="center"/>
    </xf>
    <xf numFmtId="220" fontId="128" fillId="0" borderId="4" xfId="12" applyNumberFormat="1" applyFont="1" applyFill="1" applyBorder="1" applyAlignment="1">
      <alignment horizontal="center" vertical="center"/>
    </xf>
    <xf numFmtId="220" fontId="128" fillId="0" borderId="8" xfId="12" applyNumberFormat="1" applyFont="1" applyFill="1" applyBorder="1" applyAlignment="1">
      <alignment horizontal="center" vertical="center"/>
    </xf>
    <xf numFmtId="9" fontId="128" fillId="0" borderId="6" xfId="7" applyFont="1" applyFill="1" applyBorder="1" applyAlignment="1">
      <alignment horizontal="right" vertical="center"/>
    </xf>
    <xf numFmtId="220" fontId="77" fillId="0" borderId="0" xfId="12" applyNumberFormat="1" applyFont="1" applyFill="1" applyBorder="1">
      <alignment vertical="center"/>
    </xf>
    <xf numFmtId="220" fontId="77" fillId="0" borderId="0" xfId="12" applyNumberFormat="1" applyFont="1" applyFill="1" applyBorder="1" applyAlignment="1">
      <alignment horizontal="center" vertical="center"/>
    </xf>
    <xf numFmtId="9" fontId="77" fillId="0" borderId="4" xfId="7" applyFont="1" applyFill="1" applyBorder="1" applyAlignment="1">
      <alignment horizontal="right" vertical="center"/>
    </xf>
    <xf numFmtId="9" fontId="77" fillId="0" borderId="8" xfId="7" applyFont="1" applyFill="1" applyBorder="1" applyAlignment="1">
      <alignment horizontal="right" vertical="center"/>
    </xf>
    <xf numFmtId="220" fontId="77" fillId="0" borderId="8" xfId="12" applyNumberFormat="1" applyFont="1" applyFill="1" applyBorder="1" applyAlignment="1">
      <alignment horizontal="center" vertical="center"/>
    </xf>
    <xf numFmtId="9" fontId="128" fillId="0" borderId="0" xfId="7" applyFont="1" applyFill="1" applyBorder="1" applyAlignment="1">
      <alignment horizontal="center" vertical="center"/>
    </xf>
    <xf numFmtId="9" fontId="128" fillId="0" borderId="8" xfId="7" applyFont="1" applyFill="1" applyBorder="1" applyAlignment="1">
      <alignment horizontal="center" vertical="center"/>
    </xf>
    <xf numFmtId="226" fontId="128" fillId="0" borderId="8" xfId="13" applyFont="1" applyFill="1" applyBorder="1">
      <alignment vertical="center"/>
    </xf>
    <xf numFmtId="181" fontId="77" fillId="0" borderId="4" xfId="7" applyNumberFormat="1" applyFont="1" applyFill="1" applyBorder="1">
      <alignment vertical="center"/>
    </xf>
    <xf numFmtId="3" fontId="131" fillId="0" borderId="0" xfId="170" applyNumberFormat="1" applyFont="1" applyFill="1"/>
    <xf numFmtId="3" fontId="131" fillId="0" borderId="8" xfId="170" applyNumberFormat="1" applyFont="1" applyFill="1" applyBorder="1"/>
    <xf numFmtId="3" fontId="131" fillId="0" borderId="6" xfId="170" applyNumberFormat="1" applyFont="1" applyFill="1" applyBorder="1"/>
    <xf numFmtId="209" fontId="10" fillId="9" borderId="8" xfId="7" applyNumberFormat="1" applyFont="1" applyFill="1" applyBorder="1" applyAlignment="1">
      <alignment vertical="center"/>
    </xf>
    <xf numFmtId="226" fontId="10" fillId="34" borderId="8" xfId="171" applyFont="1" applyFill="1" applyBorder="1">
      <alignment vertical="center"/>
    </xf>
    <xf numFmtId="226" fontId="10" fillId="2" borderId="8" xfId="171" applyFont="1" applyFill="1" applyBorder="1">
      <alignment vertical="center"/>
    </xf>
    <xf numFmtId="226" fontId="123" fillId="0" borderId="8" xfId="171" applyFont="1" applyFill="1" applyBorder="1" applyAlignment="1">
      <alignment horizontal="right" vertical="center"/>
    </xf>
    <xf numFmtId="226" fontId="122" fillId="0" borderId="8" xfId="171" applyFont="1" applyFill="1" applyBorder="1" applyAlignment="1">
      <alignment horizontal="right" vertical="center"/>
    </xf>
    <xf numFmtId="37" fontId="122" fillId="0" borderId="8" xfId="171" applyNumberFormat="1" applyFont="1" applyFill="1" applyBorder="1">
      <alignment vertical="center"/>
    </xf>
    <xf numFmtId="181" fontId="123" fillId="0" borderId="8" xfId="7" applyNumberFormat="1" applyFont="1" applyFill="1" applyBorder="1" applyAlignment="1">
      <alignment horizontal="right" vertical="center"/>
    </xf>
    <xf numFmtId="217" fontId="10" fillId="0" borderId="8" xfId="171" applyNumberFormat="1" applyFont="1" applyFill="1" applyBorder="1">
      <alignment vertical="center"/>
    </xf>
    <xf numFmtId="210" fontId="10" fillId="0" borderId="0" xfId="171" applyNumberFormat="1" applyFont="1" applyFill="1" applyBorder="1" applyAlignment="1">
      <alignment horizontal="right" vertical="center"/>
    </xf>
    <xf numFmtId="210" fontId="10" fillId="0" borderId="8" xfId="171" applyNumberFormat="1" applyFont="1" applyFill="1" applyBorder="1" applyAlignment="1">
      <alignment horizontal="right" vertical="center"/>
    </xf>
    <xf numFmtId="226" fontId="12" fillId="34" borderId="0" xfId="171" applyFont="1" applyFill="1" applyBorder="1">
      <alignment vertical="center"/>
    </xf>
    <xf numFmtId="38" fontId="12" fillId="34" borderId="6" xfId="172" applyNumberFormat="1" applyFont="1" applyFill="1" applyBorder="1"/>
    <xf numFmtId="38" fontId="10" fillId="9" borderId="0" xfId="171" applyNumberFormat="1" applyFont="1" applyFill="1" applyBorder="1" applyAlignment="1">
      <alignment horizontal="right" vertical="center"/>
    </xf>
    <xf numFmtId="38" fontId="10" fillId="9" borderId="8" xfId="171" applyNumberFormat="1" applyFont="1" applyFill="1" applyBorder="1" applyAlignment="1">
      <alignment horizontal="right" vertical="center"/>
    </xf>
    <xf numFmtId="178" fontId="10" fillId="9" borderId="0" xfId="10" applyFont="1" applyFill="1" applyBorder="1">
      <alignment vertical="center"/>
    </xf>
    <xf numFmtId="178" fontId="10" fillId="9" borderId="8" xfId="10" applyFont="1" applyFill="1" applyBorder="1">
      <alignment vertical="center"/>
    </xf>
    <xf numFmtId="43" fontId="10" fillId="9" borderId="0" xfId="10" applyNumberFormat="1" applyFont="1" applyFill="1" applyBorder="1">
      <alignment vertical="center"/>
    </xf>
    <xf numFmtId="37" fontId="10" fillId="0" borderId="6" xfId="172" quotePrefix="1" applyNumberFormat="1" applyFont="1" applyFill="1" applyBorder="1" applyAlignment="1">
      <alignment horizontal="left" indent="1"/>
    </xf>
    <xf numFmtId="38" fontId="10" fillId="0" borderId="6" xfId="172" applyNumberFormat="1" applyFont="1" applyFill="1" applyBorder="1" applyAlignment="1">
      <alignment horizontal="left" indent="1"/>
    </xf>
    <xf numFmtId="37" fontId="77" fillId="9" borderId="0" xfId="171" applyNumberFormat="1" applyFont="1" applyFill="1" applyBorder="1">
      <alignment vertical="center"/>
    </xf>
    <xf numFmtId="37" fontId="77" fillId="9" borderId="8" xfId="171" applyNumberFormat="1" applyFont="1" applyFill="1" applyBorder="1">
      <alignment vertical="center"/>
    </xf>
    <xf numFmtId="9" fontId="12" fillId="0" borderId="6" xfId="7" applyNumberFormat="1" applyFont="1" applyFill="1" applyBorder="1" applyAlignment="1">
      <alignment horizontal="left" vertical="center"/>
    </xf>
    <xf numFmtId="9" fontId="92" fillId="0" borderId="0" xfId="7" applyNumberFormat="1" applyFont="1" applyFill="1" applyBorder="1">
      <alignment vertical="center"/>
    </xf>
    <xf numFmtId="181" fontId="128" fillId="9" borderId="0" xfId="7" applyNumberFormat="1" applyFont="1" applyFill="1" applyBorder="1">
      <alignment vertical="center"/>
    </xf>
    <xf numFmtId="181" fontId="128" fillId="9" borderId="8" xfId="7" applyNumberFormat="1" applyFont="1" applyFill="1" applyBorder="1">
      <alignment vertical="center"/>
    </xf>
    <xf numFmtId="181" fontId="128" fillId="9" borderId="0" xfId="171" applyNumberFormat="1" applyFont="1" applyFill="1" applyBorder="1">
      <alignment vertical="center"/>
    </xf>
    <xf numFmtId="181" fontId="128" fillId="9" borderId="8" xfId="171" applyNumberFormat="1" applyFont="1" applyFill="1" applyBorder="1">
      <alignment vertical="center"/>
    </xf>
    <xf numFmtId="37" fontId="92" fillId="9" borderId="0" xfId="171" applyNumberFormat="1" applyFont="1" applyFill="1" applyBorder="1">
      <alignment vertical="center"/>
    </xf>
    <xf numFmtId="189" fontId="10" fillId="0" borderId="6" xfId="171" applyNumberFormat="1" applyFont="1" applyFill="1" applyBorder="1" applyAlignment="1">
      <alignment horizontal="left" vertical="center" indent="1"/>
    </xf>
    <xf numFmtId="226" fontId="10" fillId="0" borderId="60" xfId="172" applyFont="1" applyFill="1" applyBorder="1"/>
    <xf numFmtId="226" fontId="75" fillId="0" borderId="58" xfId="13" applyFont="1" applyFill="1" applyBorder="1">
      <alignment vertical="center"/>
    </xf>
    <xf numFmtId="226" fontId="71" fillId="35" borderId="59" xfId="13" applyFont="1" applyFill="1" applyBorder="1" applyAlignment="1">
      <alignment horizontal="center" vertical="center"/>
    </xf>
    <xf numFmtId="226" fontId="71" fillId="35" borderId="60" xfId="13" applyFont="1" applyFill="1" applyBorder="1" applyAlignment="1">
      <alignment horizontal="center" vertical="center"/>
    </xf>
    <xf numFmtId="226" fontId="76" fillId="0" borderId="18" xfId="13" applyFont="1" applyFill="1" applyBorder="1">
      <alignment vertical="center"/>
    </xf>
    <xf numFmtId="226" fontId="76" fillId="0" borderId="29" xfId="13" applyFont="1" applyFill="1" applyBorder="1">
      <alignment vertical="center"/>
    </xf>
    <xf numFmtId="226" fontId="76" fillId="0" borderId="18" xfId="13" applyFont="1" applyBorder="1">
      <alignment vertical="center"/>
    </xf>
    <xf numFmtId="226" fontId="76" fillId="0" borderId="0" xfId="13" applyFont="1" applyFill="1">
      <alignment vertical="center"/>
    </xf>
    <xf numFmtId="226" fontId="76" fillId="0" borderId="0" xfId="13" applyFont="1">
      <alignment vertical="center"/>
    </xf>
    <xf numFmtId="9" fontId="76" fillId="0" borderId="0" xfId="7" applyFont="1" applyFill="1">
      <alignment vertical="center"/>
    </xf>
    <xf numFmtId="9" fontId="76" fillId="0" borderId="8" xfId="7" applyFont="1" applyFill="1" applyBorder="1">
      <alignment vertical="center"/>
    </xf>
    <xf numFmtId="9" fontId="133" fillId="0" borderId="0" xfId="13" applyNumberFormat="1" applyFont="1" applyFill="1">
      <alignment vertical="center"/>
    </xf>
    <xf numFmtId="9" fontId="83" fillId="0" borderId="18" xfId="7" applyFont="1" applyFill="1" applyBorder="1">
      <alignment vertical="center"/>
    </xf>
    <xf numFmtId="9" fontId="83" fillId="0" borderId="29" xfId="7" applyFont="1" applyFill="1" applyBorder="1">
      <alignment vertical="center"/>
    </xf>
    <xf numFmtId="226" fontId="83" fillId="0" borderId="0" xfId="13" applyFont="1" applyFill="1">
      <alignment vertical="center"/>
    </xf>
    <xf numFmtId="226" fontId="83" fillId="0" borderId="0" xfId="13" applyFont="1">
      <alignment vertical="center"/>
    </xf>
    <xf numFmtId="9" fontId="83" fillId="0" borderId="0" xfId="7" applyFont="1" applyFill="1" applyBorder="1">
      <alignment vertical="center"/>
    </xf>
    <xf numFmtId="9" fontId="83" fillId="0" borderId="8" xfId="7" applyFont="1" applyFill="1" applyBorder="1">
      <alignment vertical="center"/>
    </xf>
    <xf numFmtId="9" fontId="133" fillId="0" borderId="0" xfId="7" applyFont="1" applyFill="1" applyBorder="1">
      <alignment vertical="center"/>
    </xf>
    <xf numFmtId="9" fontId="83" fillId="0" borderId="0" xfId="7" applyFont="1" applyFill="1">
      <alignment vertical="center"/>
    </xf>
    <xf numFmtId="9" fontId="133" fillId="0" borderId="0" xfId="7" applyFont="1" applyFill="1">
      <alignment vertical="center"/>
    </xf>
    <xf numFmtId="226" fontId="5" fillId="39" borderId="0" xfId="13" applyFill="1">
      <alignment vertical="center"/>
    </xf>
    <xf numFmtId="38" fontId="7" fillId="0" borderId="6" xfId="9" applyNumberFormat="1" applyFont="1" applyFill="1" applyBorder="1" applyAlignment="1">
      <alignment horizontal="left" indent="1"/>
    </xf>
    <xf numFmtId="37" fontId="97" fillId="0" borderId="6" xfId="9" applyNumberFormat="1" applyFont="1" applyFill="1" applyBorder="1" applyAlignment="1">
      <alignment horizontal="left"/>
    </xf>
    <xf numFmtId="37" fontId="97" fillId="0" borderId="0" xfId="13" applyNumberFormat="1" applyFont="1" applyFill="1" applyBorder="1">
      <alignment vertical="center"/>
    </xf>
    <xf numFmtId="37" fontId="97" fillId="0" borderId="8" xfId="13" applyNumberFormat="1" applyFont="1" applyFill="1" applyBorder="1">
      <alignment vertical="center"/>
    </xf>
    <xf numFmtId="37" fontId="99" fillId="0" borderId="8" xfId="13" applyNumberFormat="1" applyFont="1" applyFill="1" applyBorder="1">
      <alignment vertical="center"/>
    </xf>
    <xf numFmtId="37" fontId="97" fillId="0" borderId="4" xfId="13" applyNumberFormat="1" applyFont="1" applyFill="1" applyBorder="1">
      <alignment vertical="center"/>
    </xf>
    <xf numFmtId="37" fontId="97" fillId="0" borderId="6" xfId="13" applyNumberFormat="1" applyFont="1" applyFill="1" applyBorder="1">
      <alignment vertical="center"/>
    </xf>
    <xf numFmtId="181" fontId="122" fillId="0" borderId="0" xfId="13" applyNumberFormat="1" applyFont="1" applyFill="1" applyBorder="1">
      <alignment vertical="center"/>
    </xf>
    <xf numFmtId="38" fontId="77" fillId="0" borderId="0" xfId="171" applyNumberFormat="1" applyFont="1" applyFill="1" applyBorder="1" applyAlignment="1">
      <alignment horizontal="right" vertical="center"/>
    </xf>
    <xf numFmtId="9" fontId="23" fillId="0" borderId="8" xfId="7" applyNumberFormat="1" applyFont="1" applyFill="1" applyBorder="1">
      <alignment vertical="center"/>
    </xf>
    <xf numFmtId="225" fontId="77" fillId="0" borderId="0" xfId="13" applyNumberFormat="1" applyFont="1" applyFill="1" applyBorder="1">
      <alignment vertical="center"/>
    </xf>
    <xf numFmtId="225" fontId="77" fillId="0" borderId="0" xfId="14" applyNumberFormat="1" applyFont="1" applyFill="1" applyBorder="1">
      <alignment vertical="center"/>
    </xf>
    <xf numFmtId="225" fontId="77" fillId="0" borderId="8" xfId="13" applyNumberFormat="1" applyFont="1" applyFill="1" applyBorder="1">
      <alignment vertical="center"/>
    </xf>
    <xf numFmtId="2" fontId="7" fillId="0" borderId="0" xfId="13" applyNumberFormat="1" applyFont="1">
      <alignment vertical="center"/>
    </xf>
    <xf numFmtId="226" fontId="81" fillId="33" borderId="8" xfId="13" applyFont="1" applyFill="1" applyBorder="1" applyAlignment="1">
      <alignment horizontal="center" vertical="center"/>
    </xf>
    <xf numFmtId="226" fontId="76" fillId="0" borderId="8" xfId="13" applyFont="1" applyFill="1" applyBorder="1">
      <alignment vertical="center"/>
    </xf>
    <xf numFmtId="9" fontId="133" fillId="0" borderId="8" xfId="7" applyFont="1" applyFill="1" applyBorder="1">
      <alignment vertical="center"/>
    </xf>
    <xf numFmtId="9" fontId="7" fillId="0" borderId="8" xfId="13" applyNumberFormat="1" applyFont="1" applyBorder="1">
      <alignment vertical="center"/>
    </xf>
    <xf numFmtId="9" fontId="7" fillId="0" borderId="8" xfId="7" applyFont="1" applyBorder="1">
      <alignment vertical="center"/>
    </xf>
    <xf numFmtId="9" fontId="133" fillId="0" borderId="8" xfId="13" applyNumberFormat="1" applyFont="1" applyFill="1" applyBorder="1">
      <alignment vertical="center"/>
    </xf>
    <xf numFmtId="181" fontId="7" fillId="0" borderId="8" xfId="7" applyNumberFormat="1" applyFont="1" applyFill="1" applyBorder="1">
      <alignment vertical="center"/>
    </xf>
    <xf numFmtId="192" fontId="93" fillId="0" borderId="8" xfId="14" applyNumberFormat="1" applyFont="1" applyFill="1" applyBorder="1">
      <alignment vertical="center"/>
    </xf>
    <xf numFmtId="9" fontId="93" fillId="0" borderId="8" xfId="7" applyFont="1" applyFill="1" applyBorder="1">
      <alignment vertical="center"/>
    </xf>
    <xf numFmtId="9" fontId="93" fillId="0" borderId="8" xfId="13" applyNumberFormat="1" applyFont="1" applyFill="1" applyBorder="1">
      <alignment vertical="center"/>
    </xf>
    <xf numFmtId="9" fontId="7" fillId="0" borderId="8" xfId="13" applyNumberFormat="1" applyFont="1" applyFill="1" applyBorder="1">
      <alignment vertical="center"/>
    </xf>
    <xf numFmtId="10" fontId="7" fillId="0" borderId="8" xfId="13" applyNumberFormat="1" applyFont="1" applyFill="1" applyBorder="1">
      <alignment vertical="center"/>
    </xf>
    <xf numFmtId="184" fontId="93" fillId="0" borderId="0" xfId="14" applyNumberFormat="1" applyFont="1" applyFill="1">
      <alignment vertical="center"/>
    </xf>
    <xf numFmtId="184" fontId="93" fillId="0" borderId="0" xfId="13" applyNumberFormat="1" applyFont="1" applyFill="1">
      <alignment vertical="center"/>
    </xf>
    <xf numFmtId="226" fontId="7" fillId="33" borderId="8" xfId="13" applyFont="1" applyFill="1" applyBorder="1" applyAlignment="1">
      <alignment horizontal="center" vertical="center"/>
    </xf>
    <xf numFmtId="177" fontId="7" fillId="0" borderId="59" xfId="14" applyFont="1" applyBorder="1">
      <alignment vertical="center"/>
    </xf>
    <xf numFmtId="177" fontId="7" fillId="0" borderId="59" xfId="13" applyNumberFormat="1" applyFont="1" applyBorder="1">
      <alignment vertical="center"/>
    </xf>
    <xf numFmtId="181" fontId="0" fillId="0" borderId="37" xfId="7" applyNumberFormat="1" applyFont="1" applyFill="1" applyBorder="1" applyAlignment="1"/>
    <xf numFmtId="44" fontId="7" fillId="0" borderId="0" xfId="13" applyNumberFormat="1" applyFont="1" applyFill="1">
      <alignment vertical="center"/>
    </xf>
    <xf numFmtId="44" fontId="7" fillId="0" borderId="8" xfId="13" applyNumberFormat="1" applyFont="1" applyFill="1" applyBorder="1">
      <alignment vertical="center"/>
    </xf>
    <xf numFmtId="219" fontId="12" fillId="44" borderId="6" xfId="171" applyNumberFormat="1" applyFont="1" applyFill="1" applyBorder="1">
      <alignment vertical="center"/>
    </xf>
    <xf numFmtId="219" fontId="10" fillId="44" borderId="0" xfId="171" applyNumberFormat="1" applyFont="1" applyFill="1" applyBorder="1">
      <alignment vertical="center"/>
    </xf>
    <xf numFmtId="219" fontId="10" fillId="44" borderId="8" xfId="171" applyNumberFormat="1" applyFont="1" applyFill="1" applyBorder="1">
      <alignment vertical="center"/>
    </xf>
    <xf numFmtId="219" fontId="10" fillId="44" borderId="0" xfId="171" applyNumberFormat="1" applyFont="1" applyFill="1" applyBorder="1" applyAlignment="1">
      <alignment horizontal="right" vertical="center"/>
    </xf>
    <xf numFmtId="226" fontId="12" fillId="44" borderId="6" xfId="171" applyFont="1" applyFill="1" applyBorder="1">
      <alignment vertical="center"/>
    </xf>
    <xf numFmtId="192" fontId="10" fillId="44" borderId="0" xfId="14" applyNumberFormat="1" applyFont="1" applyFill="1" applyBorder="1">
      <alignment vertical="center"/>
    </xf>
    <xf numFmtId="192" fontId="10" fillId="44" borderId="8" xfId="14" applyNumberFormat="1" applyFont="1" applyFill="1" applyBorder="1">
      <alignment vertical="center"/>
    </xf>
    <xf numFmtId="9" fontId="10" fillId="0" borderId="0" xfId="171" applyNumberFormat="1" applyFont="1" applyFill="1" applyBorder="1">
      <alignment vertical="center"/>
    </xf>
    <xf numFmtId="226" fontId="10" fillId="2" borderId="0" xfId="171" applyFont="1" applyFill="1" applyBorder="1" applyAlignment="1">
      <alignment vertical="center"/>
    </xf>
    <xf numFmtId="38" fontId="10" fillId="0" borderId="0" xfId="13" applyNumberFormat="1" applyFont="1" applyFill="1" applyBorder="1">
      <alignment vertical="center"/>
    </xf>
    <xf numFmtId="38" fontId="77" fillId="0" borderId="0" xfId="13" applyNumberFormat="1" applyFont="1" applyFill="1" applyBorder="1">
      <alignment vertical="center"/>
    </xf>
    <xf numFmtId="38" fontId="77" fillId="0" borderId="8" xfId="13" applyNumberFormat="1" applyFont="1" applyFill="1" applyBorder="1">
      <alignment vertical="center"/>
    </xf>
    <xf numFmtId="177" fontId="93" fillId="0" borderId="62" xfId="14" applyFont="1" applyBorder="1">
      <alignment vertical="center"/>
    </xf>
    <xf numFmtId="192" fontId="93" fillId="9" borderId="0" xfId="14" applyNumberFormat="1" applyFont="1" applyFill="1">
      <alignment vertical="center"/>
    </xf>
    <xf numFmtId="192" fontId="7" fillId="9" borderId="0" xfId="14" applyNumberFormat="1" applyFont="1" applyFill="1">
      <alignment vertical="center"/>
    </xf>
    <xf numFmtId="226" fontId="10" fillId="0" borderId="8" xfId="7" applyNumberFormat="1" applyFont="1" applyFill="1" applyBorder="1">
      <alignment vertical="center"/>
    </xf>
    <xf numFmtId="0" fontId="7" fillId="0" borderId="0" xfId="13" applyNumberFormat="1" applyFont="1">
      <alignment vertical="center"/>
    </xf>
    <xf numFmtId="0" fontId="7" fillId="0" borderId="8" xfId="13" applyNumberFormat="1" applyFont="1" applyBorder="1">
      <alignment vertical="center"/>
    </xf>
    <xf numFmtId="0" fontId="12" fillId="2" borderId="6" xfId="9" applyNumberFormat="1" applyFont="1" applyFill="1" applyBorder="1" applyAlignment="1">
      <alignment horizontal="center"/>
    </xf>
    <xf numFmtId="38" fontId="10" fillId="0" borderId="8" xfId="13" applyNumberFormat="1" applyFont="1" applyFill="1" applyBorder="1">
      <alignment vertical="center"/>
    </xf>
    <xf numFmtId="0" fontId="77" fillId="0" borderId="0" xfId="13" applyNumberFormat="1" applyFont="1" applyFill="1" applyBorder="1">
      <alignment vertical="center"/>
    </xf>
    <xf numFmtId="0" fontId="77" fillId="0" borderId="8" xfId="13" applyNumberFormat="1" applyFont="1" applyFill="1" applyBorder="1">
      <alignment vertical="center"/>
    </xf>
    <xf numFmtId="226" fontId="34" fillId="0" borderId="0" xfId="0" applyFont="1">
      <alignment vertical="center"/>
    </xf>
    <xf numFmtId="0" fontId="34" fillId="0" borderId="0" xfId="0" applyNumberFormat="1" applyFont="1">
      <alignment vertical="center"/>
    </xf>
    <xf numFmtId="192" fontId="34" fillId="0" borderId="0" xfId="12" applyNumberFormat="1" applyFont="1">
      <alignment vertical="center"/>
    </xf>
    <xf numFmtId="185" fontId="77" fillId="0" borderId="6" xfId="10" applyNumberFormat="1" applyFont="1" applyFill="1" applyBorder="1">
      <alignment vertical="center"/>
    </xf>
    <xf numFmtId="0" fontId="12" fillId="2" borderId="8" xfId="9" applyNumberFormat="1" applyFont="1" applyFill="1" applyBorder="1" applyAlignment="1">
      <alignment horizontal="center"/>
    </xf>
    <xf numFmtId="0" fontId="77" fillId="0" borderId="6" xfId="13" applyNumberFormat="1" applyFont="1" applyFill="1" applyBorder="1">
      <alignment vertical="center"/>
    </xf>
    <xf numFmtId="0" fontId="10" fillId="0" borderId="8" xfId="13" applyNumberFormat="1" applyFont="1" applyFill="1" applyBorder="1">
      <alignment vertical="center"/>
    </xf>
    <xf numFmtId="0" fontId="10" fillId="0" borderId="0" xfId="13" applyNumberFormat="1" applyFont="1" applyFill="1" applyBorder="1">
      <alignment vertical="center"/>
    </xf>
    <xf numFmtId="181" fontId="79" fillId="0" borderId="6" xfId="9" applyNumberFormat="1" applyFont="1" applyFill="1" applyBorder="1" applyAlignment="1">
      <alignment horizontal="left" indent="2"/>
    </xf>
    <xf numFmtId="192" fontId="10" fillId="0" borderId="8" xfId="7" applyNumberFormat="1" applyFont="1" applyFill="1" applyBorder="1">
      <alignment vertical="center"/>
    </xf>
    <xf numFmtId="192" fontId="10" fillId="0" borderId="0" xfId="7" applyNumberFormat="1" applyFont="1" applyFill="1" applyBorder="1">
      <alignment vertical="center"/>
    </xf>
    <xf numFmtId="226" fontId="0" fillId="44" borderId="0" xfId="0" applyFill="1">
      <alignment vertical="center"/>
    </xf>
    <xf numFmtId="0" fontId="7" fillId="0" borderId="0" xfId="13" applyNumberFormat="1" applyFont="1" applyBorder="1">
      <alignment vertical="center"/>
    </xf>
    <xf numFmtId="188" fontId="77" fillId="0" borderId="6" xfId="13" applyNumberFormat="1" applyFont="1" applyFill="1" applyBorder="1">
      <alignment vertical="center"/>
    </xf>
    <xf numFmtId="188" fontId="77" fillId="0" borderId="0" xfId="13" applyNumberFormat="1" applyFont="1" applyFill="1" applyBorder="1">
      <alignment vertical="center"/>
    </xf>
    <xf numFmtId="227" fontId="10" fillId="0" borderId="54" xfId="229" applyFont="1" applyFill="1" applyBorder="1">
      <alignment vertical="center"/>
    </xf>
    <xf numFmtId="227" fontId="10" fillId="0" borderId="59" xfId="230" applyFont="1" applyFill="1" applyBorder="1"/>
    <xf numFmtId="227" fontId="10" fillId="0" borderId="60" xfId="230" applyFont="1" applyFill="1" applyBorder="1"/>
    <xf numFmtId="227" fontId="10" fillId="0" borderId="0" xfId="229" applyFont="1" applyFill="1" applyBorder="1">
      <alignment vertical="center"/>
    </xf>
    <xf numFmtId="227" fontId="10" fillId="0" borderId="8" xfId="229" applyFont="1" applyFill="1" applyBorder="1">
      <alignment vertical="center"/>
    </xf>
    <xf numFmtId="227" fontId="10" fillId="0" borderId="6" xfId="229" applyFont="1" applyFill="1" applyBorder="1">
      <alignment vertical="center"/>
    </xf>
    <xf numFmtId="227" fontId="10" fillId="0" borderId="0" xfId="230" applyFont="1" applyFill="1" applyBorder="1"/>
    <xf numFmtId="227" fontId="10" fillId="0" borderId="8" xfId="230" applyFont="1" applyFill="1" applyBorder="1"/>
    <xf numFmtId="227" fontId="10" fillId="2" borderId="6" xfId="230" applyFont="1" applyFill="1" applyBorder="1" applyAlignment="1">
      <alignment horizontal="left"/>
    </xf>
    <xf numFmtId="227" fontId="12" fillId="2" borderId="0" xfId="230" applyFont="1" applyFill="1" applyBorder="1" applyAlignment="1">
      <alignment horizontal="center"/>
    </xf>
    <xf numFmtId="227" fontId="12" fillId="2" borderId="8" xfId="230" applyFont="1" applyFill="1" applyBorder="1" applyAlignment="1">
      <alignment horizontal="center"/>
    </xf>
    <xf numFmtId="227" fontId="12" fillId="2" borderId="0" xfId="229" applyFont="1" applyFill="1" applyBorder="1" applyAlignment="1">
      <alignment horizontal="center" vertical="center"/>
    </xf>
    <xf numFmtId="227" fontId="12" fillId="2" borderId="8" xfId="229" applyFont="1" applyFill="1" applyBorder="1" applyAlignment="1">
      <alignment horizontal="center" vertical="center"/>
    </xf>
    <xf numFmtId="227" fontId="12" fillId="2" borderId="4" xfId="229" applyFont="1" applyFill="1" applyBorder="1" applyAlignment="1">
      <alignment horizontal="center" vertical="center"/>
    </xf>
    <xf numFmtId="227" fontId="12" fillId="2" borderId="6" xfId="230" applyFont="1" applyFill="1" applyBorder="1" applyAlignment="1">
      <alignment horizontal="center"/>
    </xf>
    <xf numFmtId="227" fontId="12" fillId="2" borderId="0" xfId="229" applyFont="1" applyFill="1" applyBorder="1" applyAlignment="1">
      <alignment horizontal="right" vertical="center"/>
    </xf>
    <xf numFmtId="227" fontId="12" fillId="2" borderId="8" xfId="229" applyFont="1" applyFill="1" applyBorder="1" applyAlignment="1">
      <alignment horizontal="right" vertical="center"/>
    </xf>
    <xf numFmtId="227" fontId="12" fillId="2" borderId="4" xfId="229" applyFont="1" applyFill="1" applyBorder="1" applyAlignment="1">
      <alignment horizontal="right" vertical="center"/>
    </xf>
    <xf numFmtId="227" fontId="10" fillId="2" borderId="0" xfId="229" applyFont="1" applyFill="1" applyBorder="1">
      <alignment vertical="center"/>
    </xf>
    <xf numFmtId="227" fontId="12" fillId="0" borderId="0" xfId="229" applyFont="1" applyFill="1" applyBorder="1" applyAlignment="1">
      <alignment horizontal="right" vertical="center"/>
    </xf>
    <xf numFmtId="227" fontId="12" fillId="0" borderId="8" xfId="229" applyFont="1" applyFill="1" applyBorder="1" applyAlignment="1">
      <alignment horizontal="right" vertical="center"/>
    </xf>
    <xf numFmtId="227" fontId="10" fillId="0" borderId="0" xfId="229" applyFont="1" applyFill="1" applyBorder="1" applyAlignment="1">
      <alignment horizontal="left" vertical="center"/>
    </xf>
    <xf numFmtId="227" fontId="12" fillId="34" borderId="0" xfId="229" applyFont="1" applyFill="1" applyBorder="1">
      <alignment vertical="center"/>
    </xf>
    <xf numFmtId="227" fontId="10" fillId="0" borderId="0" xfId="229" applyFont="1" applyFill="1" applyBorder="1" applyAlignment="1">
      <alignment horizontal="left" vertical="center" indent="1"/>
    </xf>
    <xf numFmtId="227" fontId="10" fillId="0" borderId="0" xfId="229" applyNumberFormat="1" applyFont="1" applyFill="1" applyBorder="1" applyAlignment="1">
      <alignment horizontal="left" vertical="center"/>
    </xf>
    <xf numFmtId="227" fontId="10" fillId="0" borderId="0" xfId="229" applyFont="1" applyFill="1" applyBorder="1" applyAlignment="1">
      <alignment horizontal="right" vertical="center"/>
    </xf>
    <xf numFmtId="227" fontId="10" fillId="0" borderId="8" xfId="229" applyFont="1" applyFill="1" applyBorder="1" applyAlignment="1">
      <alignment horizontal="right" vertical="center"/>
    </xf>
    <xf numFmtId="192" fontId="10" fillId="0" borderId="0" xfId="229" applyNumberFormat="1" applyFont="1" applyFill="1" applyBorder="1" applyAlignment="1">
      <alignment horizontal="right" vertical="center"/>
    </xf>
    <xf numFmtId="192" fontId="10" fillId="0" borderId="8" xfId="229" applyNumberFormat="1" applyFont="1" applyFill="1" applyBorder="1" applyAlignment="1">
      <alignment horizontal="right" vertical="center"/>
    </xf>
    <xf numFmtId="227" fontId="23" fillId="0" borderId="0" xfId="229" applyFont="1" applyFill="1" applyBorder="1" applyAlignment="1">
      <alignment horizontal="right" vertical="center"/>
    </xf>
    <xf numFmtId="227" fontId="23" fillId="0" borderId="8" xfId="229" applyFont="1" applyFill="1" applyBorder="1" applyAlignment="1">
      <alignment horizontal="right" vertical="center"/>
    </xf>
    <xf numFmtId="227" fontId="125" fillId="0" borderId="0" xfId="229" applyFont="1" applyFill="1" applyBorder="1">
      <alignment vertical="center"/>
    </xf>
    <xf numFmtId="227" fontId="23" fillId="0" borderId="0" xfId="229" applyFont="1" applyFill="1" applyBorder="1">
      <alignment vertical="center"/>
    </xf>
    <xf numFmtId="227" fontId="12" fillId="0" borderId="0" xfId="229" applyFont="1" applyFill="1" applyBorder="1">
      <alignment vertical="center"/>
    </xf>
    <xf numFmtId="38" fontId="10" fillId="9" borderId="0" xfId="229" applyNumberFormat="1" applyFont="1" applyFill="1" applyBorder="1">
      <alignment vertical="center"/>
    </xf>
    <xf numFmtId="38" fontId="12" fillId="34" borderId="6" xfId="230" applyNumberFormat="1" applyFont="1" applyFill="1" applyBorder="1"/>
    <xf numFmtId="38" fontId="10" fillId="0" borderId="0" xfId="229" applyNumberFormat="1" applyFont="1" applyFill="1" applyBorder="1" applyAlignment="1">
      <alignment horizontal="right" vertical="center"/>
    </xf>
    <xf numFmtId="38" fontId="10" fillId="0" borderId="8" xfId="229" applyNumberFormat="1" applyFont="1" applyFill="1" applyBorder="1" applyAlignment="1">
      <alignment horizontal="right" vertical="center"/>
    </xf>
    <xf numFmtId="38" fontId="10" fillId="0" borderId="0" xfId="229" applyNumberFormat="1" applyFont="1" applyFill="1" applyBorder="1">
      <alignment vertical="center"/>
    </xf>
    <xf numFmtId="38" fontId="10" fillId="0" borderId="8" xfId="229" applyNumberFormat="1" applyFont="1" applyFill="1" applyBorder="1">
      <alignment vertical="center"/>
    </xf>
    <xf numFmtId="37" fontId="10" fillId="0" borderId="6" xfId="230" applyNumberFormat="1" applyFont="1" applyFill="1" applyBorder="1"/>
    <xf numFmtId="37" fontId="122" fillId="0" borderId="0" xfId="229" applyNumberFormat="1" applyFont="1" applyFill="1" applyBorder="1" applyAlignment="1">
      <alignment horizontal="right" vertical="center"/>
    </xf>
    <xf numFmtId="37" fontId="122" fillId="0" borderId="8" xfId="229" applyNumberFormat="1" applyFont="1" applyFill="1" applyBorder="1" applyAlignment="1">
      <alignment horizontal="right" vertical="center"/>
    </xf>
    <xf numFmtId="37" fontId="122" fillId="0" borderId="0" xfId="229" applyNumberFormat="1" applyFont="1" applyFill="1" applyBorder="1">
      <alignment vertical="center"/>
    </xf>
    <xf numFmtId="37" fontId="122" fillId="0" borderId="8" xfId="229" applyNumberFormat="1" applyFont="1" applyFill="1" applyBorder="1">
      <alignment vertical="center"/>
    </xf>
    <xf numFmtId="37" fontId="12" fillId="0" borderId="6" xfId="230" applyNumberFormat="1" applyFont="1" applyFill="1" applyBorder="1"/>
    <xf numFmtId="37" fontId="10" fillId="0" borderId="0" xfId="229" applyNumberFormat="1" applyFont="1" applyFill="1" applyBorder="1">
      <alignment vertical="center"/>
    </xf>
    <xf numFmtId="37" fontId="10" fillId="0" borderId="8" xfId="229" applyNumberFormat="1" applyFont="1" applyFill="1" applyBorder="1">
      <alignment vertical="center"/>
    </xf>
    <xf numFmtId="37" fontId="92" fillId="0" borderId="0" xfId="229" applyNumberFormat="1" applyFont="1" applyFill="1" applyBorder="1">
      <alignment vertical="center"/>
    </xf>
    <xf numFmtId="37" fontId="122" fillId="0" borderId="4" xfId="229" applyNumberFormat="1" applyFont="1" applyFill="1" applyBorder="1">
      <alignment vertical="center"/>
    </xf>
    <xf numFmtId="37" fontId="10" fillId="0" borderId="6" xfId="230" applyNumberFormat="1" applyFont="1" applyFill="1" applyBorder="1" applyAlignment="1">
      <alignment wrapText="1"/>
    </xf>
    <xf numFmtId="37" fontId="12" fillId="9" borderId="6" xfId="230" applyNumberFormat="1" applyFont="1" applyFill="1" applyBorder="1"/>
    <xf numFmtId="37" fontId="10" fillId="9" borderId="0" xfId="229" applyNumberFormat="1" applyFont="1" applyFill="1" applyBorder="1">
      <alignment vertical="center"/>
    </xf>
    <xf numFmtId="37" fontId="10" fillId="9" borderId="8" xfId="229" applyNumberFormat="1" applyFont="1" applyFill="1" applyBorder="1">
      <alignment vertical="center"/>
    </xf>
    <xf numFmtId="37" fontId="92" fillId="9" borderId="0" xfId="229" applyNumberFormat="1" applyFont="1" applyFill="1" applyBorder="1">
      <alignment vertical="center"/>
    </xf>
    <xf numFmtId="37" fontId="10" fillId="0" borderId="6" xfId="230" quotePrefix="1" applyNumberFormat="1" applyFont="1" applyFill="1" applyBorder="1"/>
    <xf numFmtId="38" fontId="10" fillId="0" borderId="6" xfId="230" quotePrefix="1" applyNumberFormat="1" applyFont="1" applyFill="1" applyBorder="1"/>
    <xf numFmtId="38" fontId="92" fillId="0" borderId="0" xfId="229" applyNumberFormat="1" applyFont="1" applyFill="1" applyBorder="1">
      <alignment vertical="center"/>
    </xf>
    <xf numFmtId="38" fontId="10" fillId="0" borderId="6" xfId="230" applyNumberFormat="1" applyFont="1" applyFill="1" applyBorder="1"/>
    <xf numFmtId="38" fontId="10" fillId="0" borderId="4" xfId="229" applyNumberFormat="1" applyFont="1" applyFill="1" applyBorder="1">
      <alignment vertical="center"/>
    </xf>
    <xf numFmtId="38" fontId="10" fillId="0" borderId="6" xfId="230" quotePrefix="1" applyNumberFormat="1" applyFont="1" applyFill="1" applyBorder="1" applyAlignment="1">
      <alignment horizontal="left" indent="1"/>
    </xf>
    <xf numFmtId="38" fontId="10" fillId="0" borderId="6" xfId="230" applyNumberFormat="1" applyFont="1" applyFill="1" applyBorder="1" applyAlignment="1">
      <alignment horizontal="left" indent="1"/>
    </xf>
    <xf numFmtId="37" fontId="12" fillId="0" borderId="6" xfId="230" applyNumberFormat="1" applyFont="1" applyFill="1" applyBorder="1" applyAlignment="1">
      <alignment horizontal="left"/>
    </xf>
    <xf numFmtId="37" fontId="12" fillId="0" borderId="6" xfId="229" applyNumberFormat="1" applyFont="1" applyFill="1" applyBorder="1">
      <alignment vertical="center"/>
    </xf>
    <xf numFmtId="181" fontId="10" fillId="0" borderId="6" xfId="230" applyNumberFormat="1" applyFont="1" applyFill="1" applyBorder="1"/>
    <xf numFmtId="181" fontId="10" fillId="0" borderId="8" xfId="229" applyNumberFormat="1" applyFont="1" applyFill="1" applyBorder="1">
      <alignment vertical="center"/>
    </xf>
    <xf numFmtId="181" fontId="10" fillId="0" borderId="0" xfId="229" applyNumberFormat="1" applyFont="1" applyFill="1" applyBorder="1">
      <alignment vertical="center"/>
    </xf>
    <xf numFmtId="37" fontId="77" fillId="9" borderId="0" xfId="229" applyNumberFormat="1" applyFont="1" applyFill="1" applyBorder="1">
      <alignment vertical="center"/>
    </xf>
    <xf numFmtId="37" fontId="77" fillId="9" borderId="8" xfId="229" applyNumberFormat="1" applyFont="1" applyFill="1" applyBorder="1">
      <alignment vertical="center"/>
    </xf>
    <xf numFmtId="227" fontId="10" fillId="0" borderId="6" xfId="230" applyFont="1" applyFill="1" applyBorder="1"/>
    <xf numFmtId="181" fontId="12" fillId="0" borderId="6" xfId="230" applyNumberFormat="1" applyFont="1" applyFill="1" applyBorder="1"/>
    <xf numFmtId="37" fontId="12" fillId="0" borderId="0" xfId="230" applyNumberFormat="1" applyFont="1" applyFill="1" applyBorder="1" applyAlignment="1"/>
    <xf numFmtId="37" fontId="12" fillId="0" borderId="8" xfId="230" applyNumberFormat="1" applyFont="1" applyFill="1" applyBorder="1" applyAlignment="1"/>
    <xf numFmtId="37" fontId="12" fillId="0" borderId="0" xfId="229" applyNumberFormat="1" applyFont="1" applyFill="1" applyBorder="1">
      <alignment vertical="center"/>
    </xf>
    <xf numFmtId="37" fontId="12" fillId="0" borderId="8" xfId="229" applyNumberFormat="1" applyFont="1" applyFill="1" applyBorder="1">
      <alignment vertical="center"/>
    </xf>
    <xf numFmtId="217" fontId="12" fillId="0" borderId="6" xfId="230" applyNumberFormat="1" applyFont="1" applyFill="1" applyBorder="1" applyAlignment="1">
      <alignment horizontal="left"/>
    </xf>
    <xf numFmtId="217" fontId="122" fillId="0" borderId="0" xfId="230" applyNumberFormat="1" applyFont="1" applyFill="1" applyBorder="1" applyAlignment="1"/>
    <xf numFmtId="217" fontId="122" fillId="0" borderId="8" xfId="230" applyNumberFormat="1" applyFont="1" applyFill="1" applyBorder="1" applyAlignment="1"/>
    <xf numFmtId="217" fontId="122" fillId="0" borderId="0" xfId="229" applyNumberFormat="1" applyFont="1" applyFill="1" applyBorder="1">
      <alignment vertical="center"/>
    </xf>
    <xf numFmtId="217" fontId="122" fillId="0" borderId="8" xfId="229" applyNumberFormat="1" applyFont="1" applyFill="1" applyBorder="1">
      <alignment vertical="center"/>
    </xf>
    <xf numFmtId="227" fontId="12" fillId="0" borderId="6" xfId="230" applyFont="1" applyFill="1" applyBorder="1"/>
    <xf numFmtId="227" fontId="122" fillId="0" borderId="0" xfId="230" applyFont="1" applyFill="1" applyBorder="1"/>
    <xf numFmtId="227" fontId="122" fillId="0" borderId="8" xfId="230" applyFont="1" applyFill="1" applyBorder="1"/>
    <xf numFmtId="227" fontId="122" fillId="0" borderId="0" xfId="229" applyFont="1" applyFill="1" applyBorder="1">
      <alignment vertical="center"/>
    </xf>
    <xf numFmtId="227" fontId="122" fillId="0" borderId="8" xfId="229" applyFont="1" applyFill="1" applyBorder="1">
      <alignment vertical="center"/>
    </xf>
    <xf numFmtId="224" fontId="122" fillId="0" borderId="0" xfId="231" applyNumberFormat="1" applyFont="1" applyFill="1" applyBorder="1"/>
    <xf numFmtId="224" fontId="122" fillId="0" borderId="8" xfId="231" applyNumberFormat="1" applyFont="1" applyFill="1" applyBorder="1"/>
    <xf numFmtId="224" fontId="122" fillId="0" borderId="0" xfId="229" applyNumberFormat="1" applyFont="1" applyFill="1" applyBorder="1">
      <alignment vertical="center"/>
    </xf>
    <xf numFmtId="224" fontId="122" fillId="0" borderId="8" xfId="229" applyNumberFormat="1" applyFont="1" applyFill="1" applyBorder="1">
      <alignment vertical="center"/>
    </xf>
    <xf numFmtId="184" fontId="10" fillId="0" borderId="0" xfId="231" applyNumberFormat="1" applyFont="1" applyFill="1" applyBorder="1"/>
    <xf numFmtId="184" fontId="10" fillId="0" borderId="8" xfId="231" applyNumberFormat="1" applyFont="1" applyFill="1" applyBorder="1"/>
    <xf numFmtId="227" fontId="10" fillId="34" borderId="6" xfId="230" applyFont="1" applyFill="1" applyBorder="1" applyAlignment="1">
      <alignment horizontal="left"/>
    </xf>
    <xf numFmtId="227" fontId="12" fillId="34" borderId="0" xfId="230" applyFont="1" applyFill="1" applyBorder="1" applyAlignment="1">
      <alignment horizontal="center"/>
    </xf>
    <xf numFmtId="227" fontId="12" fillId="34" borderId="8" xfId="230" applyFont="1" applyFill="1" applyBorder="1" applyAlignment="1">
      <alignment horizontal="center"/>
    </xf>
    <xf numFmtId="227" fontId="10" fillId="34" borderId="0" xfId="229" applyFont="1" applyFill="1" applyBorder="1">
      <alignment vertical="center"/>
    </xf>
    <xf numFmtId="227" fontId="10" fillId="34" borderId="8" xfId="229" applyFont="1" applyFill="1" applyBorder="1">
      <alignment vertical="center"/>
    </xf>
    <xf numFmtId="227" fontId="12" fillId="34" borderId="6" xfId="229" applyFont="1" applyFill="1" applyBorder="1" applyAlignment="1">
      <alignment horizontal="center" vertical="center"/>
    </xf>
    <xf numFmtId="181" fontId="10" fillId="0" borderId="8" xfId="229" applyNumberFormat="1" applyFont="1" applyFill="1" applyBorder="1" applyAlignment="1">
      <alignment horizontal="right" vertical="center"/>
    </xf>
    <xf numFmtId="181" fontId="10" fillId="0" borderId="0" xfId="229" applyNumberFormat="1" applyFont="1" applyFill="1" applyBorder="1" applyAlignment="1">
      <alignment horizontal="right" vertical="center"/>
    </xf>
    <xf numFmtId="181" fontId="12" fillId="0" borderId="6" xfId="230" applyNumberFormat="1" applyFont="1" applyFill="1" applyBorder="1" applyAlignment="1">
      <alignment horizontal="left"/>
    </xf>
    <xf numFmtId="227" fontId="10" fillId="0" borderId="6" xfId="230" applyFont="1" applyFill="1" applyBorder="1" applyAlignment="1">
      <alignment horizontal="right" wrapText="1"/>
    </xf>
    <xf numFmtId="227" fontId="12" fillId="0" borderId="8" xfId="229" applyFont="1" applyFill="1" applyBorder="1">
      <alignment vertical="center"/>
    </xf>
    <xf numFmtId="181" fontId="23" fillId="0" borderId="0" xfId="229" applyNumberFormat="1" applyFont="1" applyFill="1" applyBorder="1">
      <alignment vertical="center"/>
    </xf>
    <xf numFmtId="181" fontId="23" fillId="0" borderId="8" xfId="229" applyNumberFormat="1" applyFont="1" applyFill="1" applyBorder="1">
      <alignment vertical="center"/>
    </xf>
    <xf numFmtId="181" fontId="10" fillId="9" borderId="6" xfId="230" applyNumberFormat="1" applyFont="1" applyFill="1" applyBorder="1"/>
    <xf numFmtId="181" fontId="128" fillId="9" borderId="0" xfId="229" applyNumberFormat="1" applyFont="1" applyFill="1" applyBorder="1">
      <alignment vertical="center"/>
    </xf>
    <xf numFmtId="181" fontId="128" fillId="9" borderId="8" xfId="229" applyNumberFormat="1" applyFont="1" applyFill="1" applyBorder="1">
      <alignment vertical="center"/>
    </xf>
    <xf numFmtId="181" fontId="23" fillId="0" borderId="0" xfId="229" applyNumberFormat="1" applyFont="1" applyFill="1" applyBorder="1" applyAlignment="1">
      <alignment horizontal="center" vertical="center"/>
    </xf>
    <xf numFmtId="181" fontId="23" fillId="0" borderId="8" xfId="229" applyNumberFormat="1" applyFont="1" applyFill="1" applyBorder="1" applyAlignment="1">
      <alignment horizontal="center" vertical="center"/>
    </xf>
    <xf numFmtId="227" fontId="5" fillId="0" borderId="6" xfId="229" applyFont="1" applyFill="1" applyBorder="1">
      <alignment vertical="center"/>
    </xf>
    <xf numFmtId="227" fontId="5" fillId="0" borderId="0" xfId="229" applyFont="1" applyFill="1" applyBorder="1">
      <alignment vertical="center"/>
    </xf>
    <xf numFmtId="227" fontId="5" fillId="0" borderId="8" xfId="229" applyFont="1" applyFill="1" applyBorder="1">
      <alignment vertical="center"/>
    </xf>
    <xf numFmtId="227" fontId="5" fillId="0" borderId="0" xfId="229" applyFill="1" applyBorder="1">
      <alignment vertical="center"/>
    </xf>
    <xf numFmtId="227" fontId="10" fillId="2" borderId="8" xfId="229" applyFont="1" applyFill="1" applyBorder="1">
      <alignment vertical="center"/>
    </xf>
    <xf numFmtId="227" fontId="10" fillId="0" borderId="6" xfId="232" applyFont="1" applyFill="1" applyBorder="1" applyProtection="1"/>
    <xf numFmtId="227" fontId="12" fillId="0" borderId="0" xfId="232" applyFont="1" applyFill="1" applyBorder="1" applyProtection="1"/>
    <xf numFmtId="227" fontId="12" fillId="0" borderId="8" xfId="232" applyFont="1" applyFill="1" applyBorder="1" applyProtection="1"/>
    <xf numFmtId="181" fontId="10" fillId="0" borderId="6" xfId="232" applyNumberFormat="1" applyFont="1" applyFill="1" applyBorder="1" applyProtection="1"/>
    <xf numFmtId="227" fontId="12" fillId="0" borderId="6" xfId="232" applyFont="1" applyFill="1" applyBorder="1" applyProtection="1"/>
    <xf numFmtId="227" fontId="10" fillId="2" borderId="0" xfId="229" applyFont="1" applyFill="1" applyBorder="1" applyAlignment="1">
      <alignment vertical="center" wrapText="1"/>
    </xf>
    <xf numFmtId="37" fontId="10" fillId="0" borderId="6" xfId="229" applyNumberFormat="1" applyFont="1" applyFill="1" applyBorder="1">
      <alignment vertical="center"/>
    </xf>
    <xf numFmtId="209" fontId="10" fillId="0" borderId="6" xfId="230" applyNumberFormat="1" applyFont="1" applyFill="1" applyBorder="1" applyAlignment="1">
      <alignment horizontal="left"/>
    </xf>
    <xf numFmtId="209" fontId="10" fillId="0" borderId="0" xfId="229" applyNumberFormat="1" applyFont="1" applyFill="1" applyBorder="1" applyAlignment="1">
      <alignment horizontal="center" vertical="center"/>
    </xf>
    <xf numFmtId="209" fontId="10" fillId="0" borderId="8" xfId="229" applyNumberFormat="1" applyFont="1" applyFill="1" applyBorder="1" applyAlignment="1">
      <alignment horizontal="center" vertical="center"/>
    </xf>
    <xf numFmtId="209" fontId="10" fillId="0" borderId="0" xfId="229" applyNumberFormat="1" applyFont="1" applyFill="1" applyBorder="1">
      <alignment vertical="center"/>
    </xf>
    <xf numFmtId="209" fontId="10" fillId="0" borderId="8" xfId="229" applyNumberFormat="1" applyFont="1" applyFill="1" applyBorder="1">
      <alignment vertical="center"/>
    </xf>
    <xf numFmtId="227" fontId="12" fillId="2" borderId="6" xfId="229" applyFont="1" applyFill="1" applyBorder="1" applyAlignment="1">
      <alignment horizontal="center" vertical="center"/>
    </xf>
    <xf numFmtId="227" fontId="12" fillId="0" borderId="6" xfId="229" applyFont="1" applyFill="1" applyBorder="1" applyAlignment="1">
      <alignment horizontal="left" vertical="center"/>
    </xf>
    <xf numFmtId="9" fontId="122" fillId="0" borderId="0" xfId="229" applyNumberFormat="1" applyFont="1" applyFill="1" applyBorder="1" applyAlignment="1">
      <alignment horizontal="right" vertical="center"/>
    </xf>
    <xf numFmtId="9" fontId="122" fillId="0" borderId="8" xfId="229" applyNumberFormat="1" applyFont="1" applyFill="1" applyBorder="1" applyAlignment="1">
      <alignment horizontal="right" vertical="center"/>
    </xf>
    <xf numFmtId="181" fontId="122" fillId="0" borderId="0" xfId="229" applyNumberFormat="1" applyFont="1" applyFill="1" applyBorder="1" applyAlignment="1">
      <alignment horizontal="right" vertical="center"/>
    </xf>
    <xf numFmtId="38" fontId="122" fillId="0" borderId="0" xfId="229" applyNumberFormat="1" applyFont="1" applyFill="1" applyBorder="1" applyAlignment="1">
      <alignment horizontal="right" vertical="center"/>
    </xf>
    <xf numFmtId="38" fontId="122" fillId="0" borderId="8" xfId="229" applyNumberFormat="1" applyFont="1" applyFill="1" applyBorder="1" applyAlignment="1">
      <alignment horizontal="right" vertical="center"/>
    </xf>
    <xf numFmtId="38" fontId="10" fillId="0" borderId="0" xfId="229" applyNumberFormat="1" applyFont="1" applyFill="1" applyBorder="1" applyAlignment="1">
      <alignment horizontal="left" vertical="center" indent="1"/>
    </xf>
    <xf numFmtId="210" fontId="10" fillId="0" borderId="0" xfId="229" applyNumberFormat="1" applyFont="1" applyFill="1" applyBorder="1" applyAlignment="1">
      <alignment horizontal="right" vertical="center"/>
    </xf>
    <xf numFmtId="210" fontId="10" fillId="0" borderId="8" xfId="229" applyNumberFormat="1" applyFont="1" applyFill="1" applyBorder="1" applyAlignment="1">
      <alignment horizontal="right" vertical="center"/>
    </xf>
    <xf numFmtId="38" fontId="77" fillId="0" borderId="0" xfId="229" applyNumberFormat="1" applyFont="1" applyFill="1" applyBorder="1" applyAlignment="1">
      <alignment horizontal="right" vertical="center"/>
    </xf>
    <xf numFmtId="227" fontId="10" fillId="0" borderId="6" xfId="229" applyFont="1" applyFill="1" applyBorder="1" applyAlignment="1">
      <alignment horizontal="left" vertical="center" indent="2"/>
    </xf>
    <xf numFmtId="210" fontId="122" fillId="0" borderId="0" xfId="229" applyNumberFormat="1" applyFont="1" applyFill="1" applyBorder="1" applyAlignment="1">
      <alignment horizontal="right" vertical="center"/>
    </xf>
    <xf numFmtId="210" fontId="122" fillId="0" borderId="8" xfId="229" applyNumberFormat="1" applyFont="1" applyFill="1" applyBorder="1" applyAlignment="1">
      <alignment horizontal="right" vertical="center"/>
    </xf>
    <xf numFmtId="1" fontId="122" fillId="0" borderId="0" xfId="229" applyNumberFormat="1" applyFont="1" applyFill="1" applyBorder="1" applyAlignment="1">
      <alignment horizontal="right" vertical="center"/>
    </xf>
    <xf numFmtId="1" fontId="122" fillId="0" borderId="8" xfId="229" applyNumberFormat="1" applyFont="1" applyFill="1" applyBorder="1" applyAlignment="1">
      <alignment horizontal="right" vertical="center"/>
    </xf>
    <xf numFmtId="227" fontId="122" fillId="0" borderId="0" xfId="229" applyFont="1" applyFill="1" applyBorder="1" applyAlignment="1">
      <alignment horizontal="right" vertical="center"/>
    </xf>
    <xf numFmtId="227" fontId="12" fillId="0" borderId="6" xfId="229" applyFont="1" applyFill="1" applyBorder="1">
      <alignment vertical="center"/>
    </xf>
    <xf numFmtId="9" fontId="122" fillId="0" borderId="8" xfId="229" applyNumberFormat="1" applyFont="1" applyFill="1" applyBorder="1">
      <alignment vertical="center"/>
    </xf>
    <xf numFmtId="9" fontId="122" fillId="0" borderId="0" xfId="229" applyNumberFormat="1" applyFont="1" applyFill="1" applyBorder="1">
      <alignment vertical="center"/>
    </xf>
    <xf numFmtId="9" fontId="10" fillId="0" borderId="0" xfId="229" applyNumberFormat="1" applyFont="1" applyFill="1" applyBorder="1" applyAlignment="1">
      <alignment horizontal="right" vertical="center"/>
    </xf>
    <xf numFmtId="9" fontId="10" fillId="0" borderId="8" xfId="229" applyNumberFormat="1" applyFont="1" applyFill="1" applyBorder="1" applyAlignment="1">
      <alignment horizontal="right" vertical="center"/>
    </xf>
    <xf numFmtId="227" fontId="7" fillId="0" borderId="0" xfId="229" applyFont="1">
      <alignment vertical="center"/>
    </xf>
    <xf numFmtId="227" fontId="78" fillId="0" borderId="6" xfId="229" applyFont="1" applyFill="1" applyBorder="1">
      <alignment vertical="center"/>
    </xf>
    <xf numFmtId="218" fontId="122" fillId="0" borderId="0" xfId="229" applyNumberFormat="1" applyFont="1" applyFill="1" applyBorder="1">
      <alignment vertical="center"/>
    </xf>
    <xf numFmtId="218" fontId="122" fillId="0" borderId="8" xfId="229" applyNumberFormat="1" applyFont="1" applyFill="1" applyBorder="1">
      <alignment vertical="center"/>
    </xf>
    <xf numFmtId="221" fontId="122" fillId="0" borderId="0" xfId="229" applyNumberFormat="1" applyFont="1" applyFill="1" applyBorder="1" applyAlignment="1">
      <alignment horizontal="right" vertical="center"/>
    </xf>
    <xf numFmtId="227" fontId="10" fillId="0" borderId="6" xfId="229" applyFont="1" applyFill="1" applyBorder="1" applyAlignment="1">
      <alignment horizontal="left" vertical="center"/>
    </xf>
    <xf numFmtId="9" fontId="123" fillId="0" borderId="0" xfId="229" applyNumberFormat="1" applyFont="1" applyFill="1" applyBorder="1" applyAlignment="1">
      <alignment horizontal="right" vertical="center"/>
    </xf>
    <xf numFmtId="9" fontId="123" fillId="0" borderId="8" xfId="229" applyNumberFormat="1" applyFont="1" applyFill="1" applyBorder="1" applyAlignment="1">
      <alignment horizontal="right" vertical="center"/>
    </xf>
    <xf numFmtId="227" fontId="123" fillId="0" borderId="0" xfId="229" applyFont="1" applyFill="1" applyBorder="1" applyAlignment="1">
      <alignment horizontal="right" vertical="center"/>
    </xf>
    <xf numFmtId="227" fontId="123" fillId="0" borderId="8" xfId="229" applyFont="1" applyFill="1" applyBorder="1" applyAlignment="1">
      <alignment horizontal="right" vertical="center"/>
    </xf>
    <xf numFmtId="227" fontId="10" fillId="0" borderId="6" xfId="229" applyFont="1" applyFill="1" applyBorder="1" applyAlignment="1">
      <alignment vertical="center"/>
    </xf>
    <xf numFmtId="227" fontId="122" fillId="0" borderId="8" xfId="229" applyFont="1" applyFill="1" applyBorder="1" applyAlignment="1">
      <alignment horizontal="right" vertical="center"/>
    </xf>
    <xf numFmtId="219" fontId="10" fillId="0" borderId="6" xfId="229" applyNumberFormat="1" applyFont="1" applyFill="1" applyBorder="1">
      <alignment vertical="center"/>
    </xf>
    <xf numFmtId="219" fontId="122" fillId="0" borderId="0" xfId="229" applyNumberFormat="1" applyFont="1" applyFill="1" applyBorder="1">
      <alignment vertical="center"/>
    </xf>
    <xf numFmtId="219" fontId="122" fillId="0" borderId="8" xfId="229" applyNumberFormat="1" applyFont="1" applyFill="1" applyBorder="1">
      <alignment vertical="center"/>
    </xf>
    <xf numFmtId="219" fontId="122" fillId="0" borderId="0" xfId="229" applyNumberFormat="1" applyFont="1" applyFill="1" applyBorder="1" applyAlignment="1">
      <alignment horizontal="right" vertical="center"/>
    </xf>
    <xf numFmtId="9" fontId="10" fillId="0" borderId="6" xfId="229" applyNumberFormat="1" applyFont="1" applyFill="1" applyBorder="1" applyAlignment="1">
      <alignment horizontal="left" vertical="center"/>
    </xf>
    <xf numFmtId="219" fontId="10" fillId="0" borderId="0" xfId="229" applyNumberFormat="1" applyFont="1" applyFill="1" applyBorder="1">
      <alignment vertical="center"/>
    </xf>
    <xf numFmtId="219" fontId="10" fillId="0" borderId="8" xfId="229" applyNumberFormat="1" applyFont="1" applyFill="1" applyBorder="1">
      <alignment vertical="center"/>
    </xf>
    <xf numFmtId="189" fontId="10" fillId="0" borderId="6" xfId="229" applyNumberFormat="1" applyFont="1" applyFill="1" applyBorder="1">
      <alignment vertical="center"/>
    </xf>
    <xf numFmtId="2" fontId="122" fillId="0" borderId="0" xfId="229" applyNumberFormat="1" applyFont="1" applyFill="1" applyBorder="1">
      <alignment vertical="center"/>
    </xf>
    <xf numFmtId="2" fontId="122" fillId="0" borderId="8" xfId="229" applyNumberFormat="1" applyFont="1" applyFill="1" applyBorder="1">
      <alignment vertical="center"/>
    </xf>
    <xf numFmtId="188" fontId="122" fillId="0" borderId="0" xfId="229" applyNumberFormat="1" applyFont="1" applyFill="1" applyBorder="1">
      <alignment vertical="center"/>
    </xf>
    <xf numFmtId="188" fontId="122" fillId="0" borderId="8" xfId="229" applyNumberFormat="1" applyFont="1" applyFill="1" applyBorder="1">
      <alignment vertical="center"/>
    </xf>
    <xf numFmtId="189" fontId="122" fillId="0" borderId="0" xfId="229" applyNumberFormat="1" applyFont="1" applyFill="1" applyBorder="1">
      <alignment vertical="center"/>
    </xf>
    <xf numFmtId="189" fontId="122" fillId="0" borderId="8" xfId="229" applyNumberFormat="1" applyFont="1" applyFill="1" applyBorder="1">
      <alignment vertical="center"/>
    </xf>
    <xf numFmtId="181" fontId="122" fillId="0" borderId="0" xfId="229" applyNumberFormat="1" applyFont="1" applyFill="1" applyBorder="1">
      <alignment vertical="center"/>
    </xf>
    <xf numFmtId="181" fontId="122" fillId="0" borderId="8" xfId="229" applyNumberFormat="1" applyFont="1" applyFill="1" applyBorder="1">
      <alignment vertical="center"/>
    </xf>
    <xf numFmtId="219" fontId="12" fillId="44" borderId="6" xfId="229" applyNumberFormat="1" applyFont="1" applyFill="1" applyBorder="1">
      <alignment vertical="center"/>
    </xf>
    <xf numFmtId="219" fontId="10" fillId="44" borderId="0" xfId="229" applyNumberFormat="1" applyFont="1" applyFill="1" applyBorder="1">
      <alignment vertical="center"/>
    </xf>
    <xf numFmtId="219" fontId="10" fillId="44" borderId="8" xfId="229" applyNumberFormat="1" applyFont="1" applyFill="1" applyBorder="1">
      <alignment vertical="center"/>
    </xf>
    <xf numFmtId="219" fontId="10" fillId="44" borderId="0" xfId="229" applyNumberFormat="1" applyFont="1" applyFill="1" applyBorder="1" applyAlignment="1">
      <alignment horizontal="right" vertical="center"/>
    </xf>
    <xf numFmtId="1" fontId="23" fillId="0" borderId="0" xfId="229" applyNumberFormat="1" applyFont="1" applyFill="1" applyBorder="1">
      <alignment vertical="center"/>
    </xf>
    <xf numFmtId="1" fontId="23" fillId="0" borderId="8" xfId="229" applyNumberFormat="1" applyFont="1" applyFill="1" applyBorder="1">
      <alignment vertical="center"/>
    </xf>
    <xf numFmtId="40" fontId="10" fillId="0" borderId="6" xfId="229" applyNumberFormat="1" applyFont="1" applyFill="1" applyBorder="1" applyAlignment="1">
      <alignment horizontal="left" vertical="center" indent="1"/>
    </xf>
    <xf numFmtId="219" fontId="23" fillId="0" borderId="0" xfId="229" applyNumberFormat="1" applyFont="1" applyFill="1" applyBorder="1">
      <alignment vertical="center"/>
    </xf>
    <xf numFmtId="219" fontId="23" fillId="0" borderId="8" xfId="229" applyNumberFormat="1" applyFont="1" applyFill="1" applyBorder="1">
      <alignment vertical="center"/>
    </xf>
    <xf numFmtId="219" fontId="10" fillId="0" borderId="0" xfId="229" applyNumberFormat="1" applyFont="1" applyFill="1" applyBorder="1" applyAlignment="1">
      <alignment horizontal="right" vertical="center"/>
    </xf>
    <xf numFmtId="2" fontId="23" fillId="0" borderId="0" xfId="229" applyNumberFormat="1" applyFont="1" applyFill="1" applyBorder="1">
      <alignment vertical="center"/>
    </xf>
    <xf numFmtId="2" fontId="23" fillId="0" borderId="8" xfId="229" applyNumberFormat="1" applyFont="1" applyFill="1" applyBorder="1">
      <alignment vertical="center"/>
    </xf>
    <xf numFmtId="188" fontId="23" fillId="0" borderId="0" xfId="229" applyNumberFormat="1" applyFont="1" applyFill="1" applyBorder="1">
      <alignment vertical="center"/>
    </xf>
    <xf numFmtId="188" fontId="23" fillId="0" borderId="8" xfId="229" applyNumberFormat="1" applyFont="1" applyFill="1" applyBorder="1">
      <alignment vertical="center"/>
    </xf>
    <xf numFmtId="189" fontId="23" fillId="0" borderId="0" xfId="229" applyNumberFormat="1" applyFont="1" applyFill="1" applyBorder="1">
      <alignment vertical="center"/>
    </xf>
    <xf numFmtId="189" fontId="10" fillId="0" borderId="6" xfId="229" applyNumberFormat="1" applyFont="1" applyFill="1" applyBorder="1" applyAlignment="1">
      <alignment horizontal="left" vertical="center" indent="1"/>
    </xf>
    <xf numFmtId="227" fontId="12" fillId="44" borderId="6" xfId="229" applyFont="1" applyFill="1" applyBorder="1">
      <alignment vertical="center"/>
    </xf>
    <xf numFmtId="1" fontId="122" fillId="0" borderId="0" xfId="229" applyNumberFormat="1" applyFont="1" applyFill="1" applyBorder="1">
      <alignment vertical="center"/>
    </xf>
    <xf numFmtId="1" fontId="122" fillId="0" borderId="8" xfId="229" applyNumberFormat="1" applyFont="1" applyFill="1" applyBorder="1">
      <alignment vertical="center"/>
    </xf>
    <xf numFmtId="227" fontId="10" fillId="0" borderId="6" xfId="229" applyFont="1" applyFill="1" applyBorder="1" applyAlignment="1">
      <alignment horizontal="left" vertical="center" indent="1"/>
    </xf>
    <xf numFmtId="181" fontId="123" fillId="0" borderId="0" xfId="229" applyNumberFormat="1" applyFont="1" applyFill="1" applyBorder="1" applyAlignment="1">
      <alignment horizontal="right" vertical="center"/>
    </xf>
    <xf numFmtId="181" fontId="123" fillId="0" borderId="8" xfId="229" applyNumberFormat="1" applyFont="1" applyFill="1" applyBorder="1" applyAlignment="1">
      <alignment horizontal="right" vertical="center"/>
    </xf>
    <xf numFmtId="38" fontId="123" fillId="0" borderId="0" xfId="229" applyNumberFormat="1" applyFont="1" applyFill="1" applyBorder="1" applyAlignment="1">
      <alignment horizontal="right" vertical="center"/>
    </xf>
    <xf numFmtId="38" fontId="10" fillId="0" borderId="6" xfId="229" applyNumberFormat="1" applyFont="1" applyFill="1" applyBorder="1" applyAlignment="1">
      <alignment horizontal="left" vertical="center"/>
    </xf>
    <xf numFmtId="9" fontId="10" fillId="0" borderId="0" xfId="229" applyNumberFormat="1" applyFont="1" applyFill="1" applyBorder="1">
      <alignment vertical="center"/>
    </xf>
    <xf numFmtId="38" fontId="122" fillId="9" borderId="0" xfId="229" applyNumberFormat="1" applyFont="1" applyFill="1" applyBorder="1" applyAlignment="1">
      <alignment horizontal="right" vertical="center"/>
    </xf>
    <xf numFmtId="1" fontId="10" fillId="0" borderId="0" xfId="229" applyNumberFormat="1" applyFont="1" applyFill="1" applyBorder="1">
      <alignment vertical="center"/>
    </xf>
    <xf numFmtId="1" fontId="10" fillId="0" borderId="8" xfId="229" applyNumberFormat="1" applyFont="1" applyFill="1" applyBorder="1">
      <alignment vertical="center"/>
    </xf>
    <xf numFmtId="210" fontId="10" fillId="0" borderId="0" xfId="229" applyNumberFormat="1" applyFont="1" applyFill="1" applyBorder="1">
      <alignment vertical="center"/>
    </xf>
    <xf numFmtId="210" fontId="10" fillId="0" borderId="8" xfId="229" applyNumberFormat="1" applyFont="1" applyFill="1" applyBorder="1">
      <alignment vertical="center"/>
    </xf>
    <xf numFmtId="217" fontId="10" fillId="0" borderId="6" xfId="229" applyNumberFormat="1" applyFont="1" applyFill="1" applyBorder="1">
      <alignment vertical="center"/>
    </xf>
    <xf numFmtId="217" fontId="10" fillId="0" borderId="0" xfId="229" applyNumberFormat="1" applyFont="1" applyFill="1" applyBorder="1" applyAlignment="1">
      <alignment horizontal="right"/>
    </xf>
    <xf numFmtId="217" fontId="10" fillId="0" borderId="8" xfId="229" applyNumberFormat="1" applyFont="1" applyFill="1" applyBorder="1" applyAlignment="1">
      <alignment horizontal="right"/>
    </xf>
    <xf numFmtId="217" fontId="10" fillId="0" borderId="0" xfId="229" applyNumberFormat="1" applyFont="1" applyFill="1" applyBorder="1">
      <alignment vertical="center"/>
    </xf>
    <xf numFmtId="217" fontId="10" fillId="0" borderId="8" xfId="229" applyNumberFormat="1" applyFont="1" applyFill="1" applyBorder="1">
      <alignment vertical="center"/>
    </xf>
    <xf numFmtId="227" fontId="10" fillId="0" borderId="6" xfId="229" applyFont="1" applyFill="1" applyBorder="1" applyAlignment="1">
      <alignment vertical="center" wrapText="1"/>
    </xf>
    <xf numFmtId="188" fontId="122" fillId="0" borderId="8" xfId="229" applyNumberFormat="1" applyFont="1" applyFill="1" applyBorder="1" applyAlignment="1">
      <alignment horizontal="right" vertical="center"/>
    </xf>
    <xf numFmtId="188" fontId="122" fillId="0" borderId="0" xfId="229" applyNumberFormat="1" applyFont="1" applyFill="1" applyBorder="1" applyAlignment="1">
      <alignment horizontal="right" vertical="center"/>
    </xf>
    <xf numFmtId="209" fontId="10" fillId="0" borderId="6" xfId="229" applyNumberFormat="1" applyFont="1" applyFill="1" applyBorder="1" applyAlignment="1">
      <alignment vertical="center" wrapText="1"/>
    </xf>
    <xf numFmtId="209" fontId="122" fillId="0" borderId="0" xfId="229" applyNumberFormat="1" applyFont="1" applyFill="1" applyBorder="1" applyAlignment="1">
      <alignment horizontal="right" vertical="center"/>
    </xf>
    <xf numFmtId="209" fontId="122" fillId="0" borderId="8" xfId="229" applyNumberFormat="1" applyFont="1" applyFill="1" applyBorder="1" applyAlignment="1">
      <alignment horizontal="right" vertical="center"/>
    </xf>
    <xf numFmtId="209" fontId="122" fillId="0" borderId="0" xfId="229" applyNumberFormat="1" applyFont="1" applyFill="1" applyBorder="1">
      <alignment vertical="center"/>
    </xf>
    <xf numFmtId="209" fontId="122" fillId="0" borderId="8" xfId="229" applyNumberFormat="1" applyFont="1" applyFill="1" applyBorder="1">
      <alignment vertical="center"/>
    </xf>
    <xf numFmtId="227" fontId="10" fillId="2" borderId="6" xfId="229" applyFont="1" applyFill="1" applyBorder="1">
      <alignment vertical="center"/>
    </xf>
    <xf numFmtId="227" fontId="12" fillId="2" borderId="0" xfId="229" applyFont="1" applyFill="1" applyBorder="1">
      <alignment vertical="center"/>
    </xf>
    <xf numFmtId="227" fontId="12" fillId="2" borderId="8" xfId="229" applyFont="1" applyFill="1" applyBorder="1">
      <alignment vertical="center"/>
    </xf>
    <xf numFmtId="183" fontId="10" fillId="0" borderId="0" xfId="229" applyNumberFormat="1" applyFont="1" applyFill="1" applyBorder="1">
      <alignment vertical="center"/>
    </xf>
    <xf numFmtId="183" fontId="10" fillId="0" borderId="8" xfId="229" applyNumberFormat="1" applyFont="1" applyFill="1" applyBorder="1">
      <alignment vertical="center"/>
    </xf>
    <xf numFmtId="227" fontId="10" fillId="5" borderId="6" xfId="229" applyFont="1" applyFill="1" applyBorder="1">
      <alignment vertical="center"/>
    </xf>
    <xf numFmtId="183" fontId="10" fillId="5" borderId="0" xfId="229" applyNumberFormat="1" applyFont="1" applyFill="1" applyBorder="1">
      <alignment vertical="center"/>
    </xf>
    <xf numFmtId="183" fontId="10" fillId="5" borderId="8" xfId="229" applyNumberFormat="1" applyFont="1" applyFill="1" applyBorder="1">
      <alignment vertical="center"/>
    </xf>
    <xf numFmtId="227" fontId="10" fillId="5" borderId="0" xfId="229" applyFont="1" applyFill="1" applyBorder="1">
      <alignment vertical="center"/>
    </xf>
    <xf numFmtId="227" fontId="10" fillId="5" borderId="8" xfId="229" applyFont="1" applyFill="1" applyBorder="1">
      <alignment vertical="center"/>
    </xf>
    <xf numFmtId="219" fontId="88" fillId="33" borderId="38" xfId="229" applyNumberFormat="1" applyFont="1" applyFill="1" applyBorder="1">
      <alignment vertical="center"/>
    </xf>
    <xf numFmtId="219" fontId="79" fillId="33" borderId="38" xfId="229" applyNumberFormat="1" applyFont="1" applyFill="1" applyBorder="1" applyAlignment="1">
      <alignment horizontal="center" vertical="center"/>
    </xf>
    <xf numFmtId="219" fontId="87" fillId="33" borderId="38" xfId="229" applyNumberFormat="1" applyFont="1" applyFill="1" applyBorder="1" applyAlignment="1">
      <alignment horizontal="center" vertical="center"/>
    </xf>
    <xf numFmtId="227" fontId="5" fillId="0" borderId="0" xfId="229">
      <alignment vertical="center"/>
    </xf>
    <xf numFmtId="219" fontId="10" fillId="0" borderId="30" xfId="229" applyNumberFormat="1" applyFont="1" applyFill="1" applyBorder="1">
      <alignment vertical="center"/>
    </xf>
    <xf numFmtId="227" fontId="23" fillId="0" borderId="63" xfId="229" applyFont="1" applyFill="1" applyBorder="1" applyAlignment="1">
      <alignment horizontal="left" vertical="center" indent="1"/>
    </xf>
    <xf numFmtId="1" fontId="23" fillId="0" borderId="63" xfId="229" applyNumberFormat="1" applyFont="1" applyFill="1" applyBorder="1">
      <alignment vertical="center"/>
    </xf>
    <xf numFmtId="181" fontId="23" fillId="0" borderId="63" xfId="7" applyNumberFormat="1" applyFont="1" applyFill="1" applyBorder="1">
      <alignment vertical="center"/>
    </xf>
    <xf numFmtId="40" fontId="23" fillId="0" borderId="64" xfId="229" applyNumberFormat="1" applyFont="1" applyFill="1" applyBorder="1" applyAlignment="1">
      <alignment horizontal="left" vertical="center" indent="1"/>
    </xf>
    <xf numFmtId="1" fontId="23" fillId="0" borderId="64" xfId="229" applyNumberFormat="1" applyFont="1" applyFill="1" applyBorder="1">
      <alignment vertical="center"/>
    </xf>
    <xf numFmtId="181" fontId="80" fillId="0" borderId="64" xfId="7" applyNumberFormat="1" applyFont="1" applyFill="1" applyBorder="1">
      <alignment vertical="center"/>
    </xf>
    <xf numFmtId="219" fontId="10" fillId="0" borderId="31" xfId="229" applyNumberFormat="1" applyFont="1" applyFill="1" applyBorder="1">
      <alignment vertical="center"/>
    </xf>
    <xf numFmtId="219" fontId="23" fillId="0" borderId="63" xfId="229" applyNumberFormat="1" applyFont="1" applyFill="1" applyBorder="1">
      <alignment vertical="center"/>
    </xf>
    <xf numFmtId="219" fontId="10" fillId="0" borderId="63" xfId="229" applyNumberFormat="1" applyFont="1" applyFill="1" applyBorder="1">
      <alignment vertical="center"/>
    </xf>
    <xf numFmtId="188" fontId="23" fillId="0" borderId="64" xfId="229" applyNumberFormat="1" applyFont="1" applyFill="1" applyBorder="1">
      <alignment vertical="center"/>
    </xf>
    <xf numFmtId="227" fontId="10" fillId="0" borderId="30" xfId="229" applyFont="1" applyFill="1" applyBorder="1">
      <alignment vertical="center"/>
    </xf>
    <xf numFmtId="227" fontId="5" fillId="0" borderId="0" xfId="229" applyFont="1" applyFill="1">
      <alignment vertical="center"/>
    </xf>
    <xf numFmtId="227" fontId="5" fillId="0" borderId="0" xfId="229" applyFont="1">
      <alignment vertical="center"/>
    </xf>
    <xf numFmtId="227" fontId="5" fillId="39" borderId="0" xfId="229" applyFill="1">
      <alignment vertical="center"/>
    </xf>
    <xf numFmtId="227" fontId="5" fillId="0" borderId="0" xfId="229" applyFill="1">
      <alignment vertical="center"/>
    </xf>
    <xf numFmtId="0" fontId="81" fillId="46" borderId="0" xfId="233" applyFont="1" applyFill="1" applyAlignment="1"/>
    <xf numFmtId="0" fontId="81" fillId="46" borderId="0" xfId="233" applyFont="1" applyFill="1" applyAlignment="1">
      <alignment horizontal="right"/>
    </xf>
    <xf numFmtId="0" fontId="81" fillId="0" borderId="0" xfId="233" applyFont="1" applyFill="1" applyAlignment="1">
      <alignment horizontal="right"/>
    </xf>
    <xf numFmtId="0" fontId="75" fillId="0" borderId="0" xfId="233" applyFont="1">
      <alignment vertical="center"/>
    </xf>
    <xf numFmtId="0" fontId="75" fillId="42" borderId="0" xfId="233" applyFont="1" applyFill="1">
      <alignment vertical="center"/>
    </xf>
    <xf numFmtId="192" fontId="75" fillId="42" borderId="0" xfId="14" applyNumberFormat="1" applyFont="1" applyFill="1" applyAlignment="1"/>
    <xf numFmtId="192" fontId="146" fillId="42" borderId="0" xfId="14" applyNumberFormat="1" applyFont="1" applyFill="1" applyAlignment="1"/>
    <xf numFmtId="192" fontId="146" fillId="0" borderId="0" xfId="14" applyNumberFormat="1" applyFont="1" applyFill="1" applyAlignment="1"/>
    <xf numFmtId="0" fontId="76" fillId="0" borderId="0" xfId="233" applyFont="1" applyFill="1" applyAlignment="1">
      <alignment horizontal="left" indent="1"/>
    </xf>
    <xf numFmtId="220" fontId="75" fillId="0" borderId="0" xfId="14" applyNumberFormat="1" applyFont="1" applyFill="1" applyAlignment="1"/>
    <xf numFmtId="181" fontId="7" fillId="0" borderId="0" xfId="7" applyNumberFormat="1" applyFont="1" applyFill="1" applyAlignment="1"/>
    <xf numFmtId="0" fontId="7" fillId="0" borderId="0" xfId="233" applyFont="1" applyFill="1">
      <alignment vertical="center"/>
    </xf>
    <xf numFmtId="220" fontId="146" fillId="0" borderId="0" xfId="14" applyNumberFormat="1" applyFont="1" applyFill="1" applyAlignment="1"/>
    <xf numFmtId="0" fontId="75" fillId="0" borderId="0" xfId="233" applyFont="1" applyAlignment="1">
      <alignment horizontal="left" indent="1"/>
    </xf>
    <xf numFmtId="192" fontId="146" fillId="0" borderId="0" xfId="14" applyNumberFormat="1" applyFont="1" applyAlignment="1"/>
    <xf numFmtId="220" fontId="146" fillId="0" borderId="0" xfId="14" applyNumberFormat="1" applyFont="1" applyAlignment="1"/>
    <xf numFmtId="44" fontId="75" fillId="0" borderId="0" xfId="233" applyNumberFormat="1" applyFont="1">
      <alignment vertical="center"/>
    </xf>
    <xf numFmtId="0" fontId="76" fillId="0" borderId="0" xfId="233" applyFont="1" applyFill="1" applyAlignment="1">
      <alignment horizontal="left" indent="2"/>
    </xf>
    <xf numFmtId="0" fontId="75" fillId="0" borderId="0" xfId="233" applyFont="1" applyAlignment="1">
      <alignment horizontal="left" indent="2"/>
    </xf>
    <xf numFmtId="0" fontId="7" fillId="0" borderId="0" xfId="233" applyFont="1" applyAlignment="1">
      <alignment horizontal="left" indent="2"/>
    </xf>
    <xf numFmtId="192" fontId="93" fillId="0" borderId="0" xfId="14" applyNumberFormat="1" applyFont="1" applyAlignment="1"/>
    <xf numFmtId="192" fontId="93" fillId="0" borderId="0" xfId="14" applyNumberFormat="1" applyFont="1" applyFill="1" applyAlignment="1"/>
    <xf numFmtId="220" fontId="93" fillId="0" borderId="0" xfId="14" applyNumberFormat="1" applyFont="1" applyAlignment="1"/>
    <xf numFmtId="0" fontId="7" fillId="0" borderId="0" xfId="233" applyFont="1">
      <alignment vertical="center"/>
    </xf>
    <xf numFmtId="0" fontId="112" fillId="0" borderId="0" xfId="233" applyFont="1" applyAlignment="1">
      <alignment horizontal="left" indent="2"/>
    </xf>
    <xf numFmtId="181" fontId="7" fillId="0" borderId="0" xfId="233" applyNumberFormat="1" applyFont="1" applyAlignment="1"/>
    <xf numFmtId="181" fontId="7" fillId="0" borderId="0" xfId="233" applyNumberFormat="1" applyFont="1" applyFill="1" applyAlignment="1"/>
    <xf numFmtId="0" fontId="112" fillId="0" borderId="0" xfId="233" applyFont="1" applyAlignment="1">
      <alignment horizontal="left" indent="1"/>
    </xf>
    <xf numFmtId="10" fontId="7" fillId="0" borderId="0" xfId="233" applyNumberFormat="1" applyFont="1" applyAlignment="1"/>
    <xf numFmtId="10" fontId="7" fillId="0" borderId="0" xfId="233" applyNumberFormat="1" applyFont="1" applyFill="1" applyAlignment="1"/>
    <xf numFmtId="0" fontId="7" fillId="0" borderId="0" xfId="233" applyFont="1" applyAlignment="1">
      <alignment horizontal="left" indent="1"/>
    </xf>
    <xf numFmtId="192" fontId="7" fillId="0" borderId="0" xfId="14" applyNumberFormat="1" applyFont="1" applyAlignment="1"/>
    <xf numFmtId="192" fontId="7" fillId="0" borderId="0" xfId="14" applyNumberFormat="1" applyFont="1" applyFill="1" applyAlignment="1"/>
    <xf numFmtId="220" fontId="7" fillId="0" borderId="0" xfId="14" applyNumberFormat="1" applyFont="1" applyAlignment="1"/>
    <xf numFmtId="44" fontId="7" fillId="0" borderId="0" xfId="233" applyNumberFormat="1" applyFont="1" applyFill="1">
      <alignment vertical="center"/>
    </xf>
    <xf numFmtId="0" fontId="75" fillId="0" borderId="0" xfId="233" applyFont="1" applyFill="1">
      <alignment vertical="center"/>
    </xf>
    <xf numFmtId="3" fontId="75" fillId="0" borderId="0" xfId="233" applyNumberFormat="1" applyFont="1">
      <alignment vertical="center"/>
    </xf>
    <xf numFmtId="3" fontId="146" fillId="0" borderId="0" xfId="233" applyNumberFormat="1" applyFont="1">
      <alignment vertical="center"/>
    </xf>
    <xf numFmtId="4" fontId="7" fillId="0" borderId="0" xfId="233" applyNumberFormat="1" applyFont="1" applyFill="1">
      <alignment vertical="center"/>
    </xf>
    <xf numFmtId="3" fontId="93" fillId="0" borderId="0" xfId="233" applyNumberFormat="1" applyFont="1">
      <alignment vertical="center"/>
    </xf>
    <xf numFmtId="3" fontId="7" fillId="0" borderId="0" xfId="233" applyNumberFormat="1" applyFont="1">
      <alignment vertical="center"/>
    </xf>
    <xf numFmtId="192" fontId="7" fillId="0" borderId="0" xfId="7" applyNumberFormat="1" applyFont="1">
      <alignment vertical="center"/>
    </xf>
    <xf numFmtId="228" fontId="93" fillId="0" borderId="0" xfId="233" applyNumberFormat="1" applyFont="1" applyAlignment="1">
      <alignment horizontal="right" vertical="top" wrapText="1"/>
    </xf>
    <xf numFmtId="1" fontId="7" fillId="0" borderId="0" xfId="233" applyNumberFormat="1" applyFont="1">
      <alignment vertical="center"/>
    </xf>
    <xf numFmtId="228" fontId="150" fillId="0" borderId="0" xfId="233" applyNumberFormat="1" applyFont="1" applyAlignment="1">
      <alignment horizontal="right" vertical="top" wrapText="1"/>
    </xf>
    <xf numFmtId="228" fontId="151" fillId="0" borderId="0" xfId="233" applyNumberFormat="1" applyFont="1" applyAlignment="1">
      <alignment horizontal="right" vertical="top" wrapText="1"/>
    </xf>
    <xf numFmtId="228" fontId="7" fillId="0" borderId="0" xfId="233" applyNumberFormat="1" applyFont="1" applyFill="1">
      <alignment vertical="center"/>
    </xf>
    <xf numFmtId="0" fontId="152" fillId="0" borderId="0" xfId="233" applyFont="1" applyAlignment="1">
      <alignment horizontal="left" vertical="top" indent="1"/>
    </xf>
    <xf numFmtId="220" fontId="7" fillId="0" borderId="0" xfId="14" applyNumberFormat="1" applyFont="1" applyFill="1" applyAlignment="1"/>
    <xf numFmtId="181" fontId="7" fillId="0" borderId="0" xfId="7" applyNumberFormat="1" applyFont="1" applyFill="1" applyAlignment="1">
      <alignment horizontal="left" indent="1"/>
    </xf>
    <xf numFmtId="220" fontId="75" fillId="0" borderId="0" xfId="14" applyNumberFormat="1" applyFont="1" applyFill="1" applyAlignment="1">
      <alignment horizontal="left" indent="1"/>
    </xf>
    <xf numFmtId="0" fontId="7" fillId="0" borderId="0" xfId="233" applyFont="1" applyFill="1" applyAlignment="1">
      <alignment horizontal="left" vertical="center" indent="1"/>
    </xf>
    <xf numFmtId="0" fontId="152" fillId="0" borderId="0" xfId="233" applyFont="1" applyAlignment="1">
      <alignment horizontal="left" vertical="top" indent="2"/>
    </xf>
    <xf numFmtId="0" fontId="7" fillId="0" borderId="0" xfId="233" applyFont="1" applyAlignment="1">
      <alignment horizontal="left" vertical="center" indent="1"/>
    </xf>
    <xf numFmtId="0" fontId="75" fillId="7" borderId="0" xfId="233" applyFont="1" applyFill="1">
      <alignment vertical="center"/>
    </xf>
    <xf numFmtId="3" fontId="75" fillId="7" borderId="0" xfId="233" applyNumberFormat="1" applyFont="1" applyFill="1">
      <alignment vertical="center"/>
    </xf>
    <xf numFmtId="3" fontId="146" fillId="7" borderId="0" xfId="233" applyNumberFormat="1" applyFont="1" applyFill="1">
      <alignment vertical="center"/>
    </xf>
    <xf numFmtId="192" fontId="75" fillId="0" borderId="0" xfId="14" applyNumberFormat="1" applyFont="1" applyFill="1" applyAlignment="1"/>
    <xf numFmtId="3" fontId="7" fillId="0" borderId="0" xfId="233" applyNumberFormat="1" applyFont="1" applyFill="1">
      <alignment vertical="center"/>
    </xf>
    <xf numFmtId="0" fontId="76" fillId="7" borderId="0" xfId="233" applyFont="1" applyFill="1" applyAlignment="1">
      <alignment horizontal="left" indent="1"/>
    </xf>
    <xf numFmtId="220" fontId="75" fillId="7" borderId="0" xfId="14" applyNumberFormat="1" applyFont="1" applyFill="1" applyAlignment="1"/>
    <xf numFmtId="181" fontId="7" fillId="7" borderId="0" xfId="7" applyNumberFormat="1" applyFont="1" applyFill="1" applyAlignment="1"/>
    <xf numFmtId="3" fontId="75" fillId="47" borderId="0" xfId="233" applyNumberFormat="1" applyFont="1" applyFill="1">
      <alignment vertical="center"/>
    </xf>
    <xf numFmtId="0" fontId="147" fillId="0" borderId="0" xfId="233" applyFont="1">
      <alignment vertical="center"/>
    </xf>
    <xf numFmtId="192" fontId="75" fillId="0" borderId="0" xfId="14" applyNumberFormat="1" applyFont="1" applyAlignment="1"/>
    <xf numFmtId="220" fontId="75" fillId="0" borderId="0" xfId="14" applyNumberFormat="1" applyFont="1" applyAlignment="1"/>
    <xf numFmtId="0" fontId="107" fillId="0" borderId="0" xfId="233" applyFont="1" applyAlignment="1">
      <alignment horizontal="left" indent="1"/>
    </xf>
    <xf numFmtId="181" fontId="75" fillId="42" borderId="0" xfId="7" applyNumberFormat="1" applyFont="1" applyFill="1">
      <alignment vertical="center"/>
    </xf>
    <xf numFmtId="181" fontId="75" fillId="0" borderId="0" xfId="7" applyNumberFormat="1" applyFont="1" applyFill="1">
      <alignment vertical="center"/>
    </xf>
    <xf numFmtId="181" fontId="75" fillId="0" borderId="0" xfId="7" applyNumberFormat="1" applyFont="1">
      <alignment vertical="center"/>
    </xf>
    <xf numFmtId="181" fontId="93" fillId="0" borderId="0" xfId="233" applyNumberFormat="1" applyFont="1">
      <alignment vertical="center"/>
    </xf>
    <xf numFmtId="10" fontId="7" fillId="0" borderId="0" xfId="233" applyNumberFormat="1" applyFont="1">
      <alignment vertical="center"/>
    </xf>
    <xf numFmtId="10" fontId="7" fillId="0" borderId="0" xfId="233" applyNumberFormat="1" applyFont="1" applyFill="1">
      <alignment vertical="center"/>
    </xf>
    <xf numFmtId="0" fontId="91" fillId="0" borderId="0" xfId="233" applyFont="1">
      <alignment vertical="center"/>
    </xf>
    <xf numFmtId="181" fontId="7" fillId="0" borderId="0" xfId="233" applyNumberFormat="1" applyFont="1">
      <alignment vertical="center"/>
    </xf>
    <xf numFmtId="0" fontId="75" fillId="0" borderId="0" xfId="233" applyFont="1" applyAlignment="1"/>
    <xf numFmtId="0" fontId="146" fillId="0" borderId="0" xfId="233" applyFont="1">
      <alignment vertical="center"/>
    </xf>
    <xf numFmtId="0" fontId="75" fillId="0" borderId="0" xfId="233" applyFont="1" applyAlignment="1">
      <alignment wrapText="1"/>
    </xf>
    <xf numFmtId="181" fontId="93" fillId="0" borderId="0" xfId="7" applyNumberFormat="1" applyFont="1" applyFill="1" applyAlignment="1"/>
    <xf numFmtId="181" fontId="93" fillId="0" borderId="0" xfId="233" applyNumberFormat="1" applyFont="1" applyFill="1">
      <alignment vertical="center"/>
    </xf>
    <xf numFmtId="0" fontId="7" fillId="9" borderId="0" xfId="233" applyFont="1" applyFill="1">
      <alignment vertical="center"/>
    </xf>
    <xf numFmtId="181" fontId="93" fillId="9" borderId="0" xfId="233" applyNumberFormat="1" applyFont="1" applyFill="1">
      <alignment vertical="center"/>
    </xf>
    <xf numFmtId="0" fontId="7" fillId="42" borderId="0" xfId="233" applyFont="1" applyFill="1">
      <alignment vertical="center"/>
    </xf>
    <xf numFmtId="0" fontId="150" fillId="0" borderId="0" xfId="233" applyFont="1" applyAlignment="1">
      <alignment horizontal="left" vertical="top"/>
    </xf>
    <xf numFmtId="228" fontId="93" fillId="0" borderId="0" xfId="233" applyNumberFormat="1" applyFont="1">
      <alignment vertical="center"/>
    </xf>
    <xf numFmtId="228" fontId="93" fillId="0" borderId="0" xfId="233" applyNumberFormat="1" applyFont="1" applyFill="1">
      <alignment vertical="center"/>
    </xf>
    <xf numFmtId="229" fontId="151" fillId="0" borderId="0" xfId="233" applyNumberFormat="1" applyFont="1" applyAlignment="1">
      <alignment horizontal="right" vertical="top" wrapText="1"/>
    </xf>
    <xf numFmtId="181" fontId="151" fillId="0" borderId="0" xfId="16" applyNumberFormat="1" applyFont="1" applyAlignment="1">
      <alignment horizontal="right" vertical="top" wrapText="1"/>
    </xf>
    <xf numFmtId="228" fontId="93" fillId="0" borderId="0" xfId="16" applyNumberFormat="1" applyFont="1" applyAlignment="1">
      <alignment horizontal="right" vertical="top" wrapText="1"/>
    </xf>
    <xf numFmtId="9" fontId="93" fillId="0" borderId="0" xfId="16" applyFont="1" applyAlignment="1">
      <alignment horizontal="right" vertical="top" wrapText="1"/>
    </xf>
    <xf numFmtId="0" fontId="7" fillId="0" borderId="0" xfId="233" applyFont="1" applyFill="1" applyAlignment="1">
      <alignment horizontal="left" indent="1"/>
    </xf>
    <xf numFmtId="177" fontId="151" fillId="0" borderId="0" xfId="14" applyFont="1" applyAlignment="1">
      <alignment horizontal="right" vertical="top" wrapText="1"/>
    </xf>
    <xf numFmtId="192" fontId="93" fillId="0" borderId="0" xfId="14" applyNumberFormat="1" applyFont="1" applyAlignment="1">
      <alignment horizontal="right" vertical="top" wrapText="1"/>
    </xf>
    <xf numFmtId="177" fontId="93" fillId="0" borderId="0" xfId="14" applyFont="1" applyAlignment="1">
      <alignment horizontal="right" vertical="top" wrapText="1"/>
    </xf>
    <xf numFmtId="0" fontId="7" fillId="0" borderId="0" xfId="233" applyFont="1" applyAlignment="1"/>
    <xf numFmtId="0" fontId="154" fillId="0" borderId="0" xfId="233" applyFont="1" applyAlignment="1">
      <alignment horizontal="left" indent="1"/>
    </xf>
    <xf numFmtId="181" fontId="154" fillId="0" borderId="0" xfId="7" applyNumberFormat="1" applyFont="1" applyAlignment="1">
      <alignment horizontal="right" vertical="top" wrapText="1"/>
    </xf>
    <xf numFmtId="228" fontId="154" fillId="0" borderId="0" xfId="233" applyNumberFormat="1" applyFont="1" applyAlignment="1">
      <alignment horizontal="right" vertical="top" wrapText="1"/>
    </xf>
    <xf numFmtId="228" fontId="154" fillId="0" borderId="0" xfId="233" applyNumberFormat="1" applyFont="1">
      <alignment vertical="center"/>
    </xf>
    <xf numFmtId="228" fontId="154" fillId="0" borderId="0" xfId="233" applyNumberFormat="1" applyFont="1" applyFill="1">
      <alignment vertical="center"/>
    </xf>
    <xf numFmtId="0" fontId="154" fillId="0" borderId="0" xfId="233" applyFont="1">
      <alignment vertical="center"/>
    </xf>
    <xf numFmtId="229" fontId="93" fillId="0" borderId="0" xfId="233" applyNumberFormat="1" applyFont="1" applyAlignment="1">
      <alignment horizontal="right" vertical="top" wrapText="1"/>
    </xf>
    <xf numFmtId="228" fontId="151" fillId="0" borderId="0" xfId="233" applyNumberFormat="1" applyFont="1" applyFill="1" applyAlignment="1">
      <alignment horizontal="right" vertical="top" wrapText="1"/>
    </xf>
    <xf numFmtId="181" fontId="151" fillId="0" borderId="0" xfId="233" applyNumberFormat="1" applyFont="1" applyFill="1" applyAlignment="1">
      <alignment horizontal="right" vertical="top" wrapText="1"/>
    </xf>
    <xf numFmtId="181" fontId="151" fillId="0" borderId="0" xfId="16" applyNumberFormat="1" applyFont="1" applyFill="1" applyAlignment="1">
      <alignment horizontal="right" vertical="top" wrapText="1"/>
    </xf>
    <xf numFmtId="181" fontId="7" fillId="0" borderId="0" xfId="7" applyNumberFormat="1" applyFont="1" applyAlignment="1">
      <alignment horizontal="right" vertical="top" wrapText="1"/>
    </xf>
    <xf numFmtId="228" fontId="7" fillId="0" borderId="0" xfId="233" applyNumberFormat="1" applyFont="1" applyAlignment="1">
      <alignment horizontal="right" vertical="top" wrapText="1"/>
    </xf>
    <xf numFmtId="181" fontId="151" fillId="0" borderId="0" xfId="7" applyNumberFormat="1" applyFont="1" applyAlignment="1">
      <alignment horizontal="right" vertical="top" wrapText="1"/>
    </xf>
    <xf numFmtId="0" fontId="75" fillId="7" borderId="0" xfId="233" applyFont="1" applyFill="1" applyAlignment="1"/>
    <xf numFmtId="228" fontId="151" fillId="7" borderId="0" xfId="233" applyNumberFormat="1" applyFont="1" applyFill="1" applyAlignment="1">
      <alignment horizontal="right" vertical="top" wrapText="1"/>
    </xf>
    <xf numFmtId="228" fontId="93" fillId="7" borderId="0" xfId="233" applyNumberFormat="1" applyFont="1" applyFill="1" applyAlignment="1">
      <alignment horizontal="right" vertical="top" wrapText="1"/>
    </xf>
    <xf numFmtId="228" fontId="93" fillId="7" borderId="0" xfId="233" applyNumberFormat="1" applyFont="1" applyFill="1">
      <alignment vertical="center"/>
    </xf>
    <xf numFmtId="181" fontId="151" fillId="7" borderId="0" xfId="233" applyNumberFormat="1" applyFont="1" applyFill="1" applyAlignment="1">
      <alignment horizontal="right" vertical="top" wrapText="1"/>
    </xf>
    <xf numFmtId="181" fontId="7" fillId="0" borderId="0" xfId="233" applyNumberFormat="1" applyFont="1" applyFill="1">
      <alignment vertical="center"/>
    </xf>
    <xf numFmtId="0" fontId="7" fillId="7" borderId="0" xfId="233" applyFont="1" applyFill="1">
      <alignment vertical="center"/>
    </xf>
    <xf numFmtId="181" fontId="7" fillId="7" borderId="0" xfId="7" applyNumberFormat="1" applyFont="1" applyFill="1">
      <alignment vertical="center"/>
    </xf>
    <xf numFmtId="0" fontId="7" fillId="7" borderId="0" xfId="233" applyFont="1" applyFill="1" applyAlignment="1"/>
    <xf numFmtId="181" fontId="93" fillId="7" borderId="0" xfId="16" applyNumberFormat="1" applyFont="1" applyFill="1" applyAlignment="1"/>
    <xf numFmtId="181" fontId="7" fillId="7" borderId="0" xfId="16" applyNumberFormat="1" applyFont="1" applyFill="1" applyAlignment="1"/>
    <xf numFmtId="181" fontId="7" fillId="0" borderId="0" xfId="16" applyNumberFormat="1" applyFont="1" applyFill="1" applyAlignment="1"/>
    <xf numFmtId="9" fontId="93" fillId="0" borderId="0" xfId="16" applyFont="1" applyAlignment="1"/>
    <xf numFmtId="228" fontId="7" fillId="0" borderId="0" xfId="233" applyNumberFormat="1" applyFont="1">
      <alignment vertical="center"/>
    </xf>
    <xf numFmtId="0" fontId="75" fillId="0" borderId="0" xfId="233" applyFont="1" applyFill="1" applyAlignment="1"/>
    <xf numFmtId="228" fontId="93" fillId="0" borderId="0" xfId="233" applyNumberFormat="1" applyFont="1" applyFill="1" applyAlignment="1">
      <alignment horizontal="right" vertical="top" wrapText="1"/>
    </xf>
    <xf numFmtId="181" fontId="93" fillId="0" borderId="0" xfId="233" applyNumberFormat="1" applyFont="1" applyFill="1" applyAlignment="1">
      <alignment horizontal="right" vertical="top" wrapText="1"/>
    </xf>
    <xf numFmtId="0" fontId="152" fillId="0" borderId="0" xfId="233" applyFont="1" applyFill="1" applyAlignment="1">
      <alignment horizontal="left" vertical="top" indent="1"/>
    </xf>
    <xf numFmtId="228" fontId="150" fillId="0" borderId="0" xfId="233" applyNumberFormat="1" applyFont="1" applyFill="1" applyAlignment="1">
      <alignment horizontal="right" vertical="top" wrapText="1"/>
    </xf>
    <xf numFmtId="0" fontId="147" fillId="0" borderId="0" xfId="233" applyFont="1" applyAlignment="1">
      <alignment horizontal="left" indent="2"/>
    </xf>
    <xf numFmtId="228" fontId="146" fillId="0" borderId="0" xfId="233" applyNumberFormat="1" applyFont="1" applyAlignment="1">
      <alignment horizontal="right" vertical="top" wrapText="1"/>
    </xf>
    <xf numFmtId="0" fontId="75" fillId="0" borderId="0" xfId="233" applyFont="1" applyAlignment="1">
      <alignment horizontal="left" indent="3"/>
    </xf>
    <xf numFmtId="228" fontId="150" fillId="7" borderId="0" xfId="233" applyNumberFormat="1" applyFont="1" applyFill="1" applyAlignment="1">
      <alignment horizontal="right" vertical="top" wrapText="1"/>
    </xf>
    <xf numFmtId="228" fontId="7" fillId="7" borderId="0" xfId="233" applyNumberFormat="1" applyFont="1" applyFill="1">
      <alignment vertical="center"/>
    </xf>
    <xf numFmtId="181" fontId="7" fillId="7" borderId="0" xfId="233" applyNumberFormat="1" applyFont="1" applyFill="1">
      <alignment vertical="center"/>
    </xf>
    <xf numFmtId="181" fontId="93" fillId="7" borderId="0" xfId="233" applyNumberFormat="1" applyFont="1" applyFill="1" applyAlignment="1">
      <alignment horizontal="right" vertical="top" wrapText="1"/>
    </xf>
    <xf numFmtId="229" fontId="150" fillId="0" borderId="0" xfId="233" applyNumberFormat="1" applyFont="1" applyAlignment="1">
      <alignment horizontal="right" vertical="top" wrapText="1"/>
    </xf>
    <xf numFmtId="229" fontId="150" fillId="0" borderId="0" xfId="233" applyNumberFormat="1" applyFont="1" applyFill="1" applyAlignment="1">
      <alignment horizontal="right" vertical="top" wrapText="1"/>
    </xf>
    <xf numFmtId="44" fontId="7" fillId="0" borderId="0" xfId="233" applyNumberFormat="1" applyFont="1">
      <alignment vertical="center"/>
    </xf>
    <xf numFmtId="0" fontId="91" fillId="42" borderId="0" xfId="233" applyFont="1" applyFill="1">
      <alignment vertical="center"/>
    </xf>
    <xf numFmtId="3" fontId="93" fillId="7" borderId="0" xfId="233" applyNumberFormat="1" applyFont="1" applyFill="1">
      <alignment vertical="center"/>
    </xf>
    <xf numFmtId="0" fontId="76" fillId="0" borderId="0" xfId="233" applyFont="1" applyAlignment="1">
      <alignment horizontal="left" vertical="center" indent="1"/>
    </xf>
    <xf numFmtId="9" fontId="76" fillId="0" borderId="0" xfId="7" applyNumberFormat="1" applyFont="1">
      <alignment vertical="center"/>
    </xf>
    <xf numFmtId="0" fontId="76" fillId="0" borderId="0" xfId="233" applyFont="1" applyFill="1">
      <alignment vertical="center"/>
    </xf>
    <xf numFmtId="0" fontId="76" fillId="0" borderId="0" xfId="233" applyFont="1">
      <alignment vertical="center"/>
    </xf>
    <xf numFmtId="9" fontId="76" fillId="0" borderId="0" xfId="233" applyNumberFormat="1" applyFont="1">
      <alignment vertical="center"/>
    </xf>
    <xf numFmtId="9" fontId="76" fillId="0" borderId="0" xfId="7" applyFont="1">
      <alignment vertical="center"/>
    </xf>
    <xf numFmtId="9" fontId="76" fillId="0" borderId="0" xfId="233" applyNumberFormat="1" applyFont="1" applyFill="1">
      <alignment vertical="center"/>
    </xf>
    <xf numFmtId="230" fontId="7" fillId="0" borderId="0" xfId="14" applyNumberFormat="1" applyFont="1">
      <alignment vertical="center"/>
    </xf>
    <xf numFmtId="20" fontId="7" fillId="0" borderId="0" xfId="233" applyNumberFormat="1" applyFont="1">
      <alignment vertical="center"/>
    </xf>
    <xf numFmtId="0" fontId="7" fillId="0" borderId="0" xfId="233" applyFont="1" applyAlignment="1">
      <alignment horizontal="center" vertical="center"/>
    </xf>
    <xf numFmtId="0" fontId="81" fillId="33" borderId="19" xfId="233" applyFont="1" applyFill="1" applyBorder="1">
      <alignment vertical="center"/>
    </xf>
    <xf numFmtId="0" fontId="81" fillId="33" borderId="22" xfId="233" applyFont="1" applyFill="1" applyBorder="1">
      <alignment vertical="center"/>
    </xf>
    <xf numFmtId="0" fontId="81" fillId="33" borderId="0" xfId="233" applyFont="1" applyFill="1" applyBorder="1" applyAlignment="1">
      <alignment horizontal="center" vertical="center"/>
    </xf>
    <xf numFmtId="0" fontId="81" fillId="33" borderId="0" xfId="233" applyFont="1" applyFill="1" applyBorder="1" applyAlignment="1">
      <alignment horizontal="center" vertical="center" wrapText="1"/>
    </xf>
    <xf numFmtId="0" fontId="81" fillId="33" borderId="23" xfId="233" applyFont="1" applyFill="1" applyBorder="1" applyAlignment="1">
      <alignment horizontal="center" vertical="center"/>
    </xf>
    <xf numFmtId="0" fontId="7" fillId="0" borderId="22" xfId="233" applyFont="1" applyBorder="1">
      <alignment vertical="center"/>
    </xf>
    <xf numFmtId="0" fontId="7" fillId="0" borderId="23" xfId="233" applyFont="1" applyBorder="1">
      <alignment vertical="center"/>
    </xf>
    <xf numFmtId="0" fontId="7" fillId="0" borderId="22" xfId="233" applyFont="1" applyBorder="1" applyAlignment="1">
      <alignment horizontal="left" vertical="center" indent="1"/>
    </xf>
    <xf numFmtId="0" fontId="7" fillId="0" borderId="24" xfId="233" applyFont="1" applyBorder="1" applyAlignment="1">
      <alignment horizontal="left" vertical="center" indent="1"/>
    </xf>
    <xf numFmtId="192" fontId="7" fillId="0" borderId="18" xfId="14" applyNumberFormat="1" applyFont="1" applyBorder="1">
      <alignment vertical="center"/>
    </xf>
    <xf numFmtId="0" fontId="7" fillId="0" borderId="25" xfId="233" applyFont="1" applyBorder="1">
      <alignment vertical="center"/>
    </xf>
    <xf numFmtId="0" fontId="7" fillId="0" borderId="0" xfId="233" applyFont="1" applyBorder="1">
      <alignment vertical="center"/>
    </xf>
    <xf numFmtId="0" fontId="7" fillId="0" borderId="65" xfId="233" applyFont="1" applyBorder="1">
      <alignment vertical="center"/>
    </xf>
    <xf numFmtId="192" fontId="7" fillId="0" borderId="59" xfId="14" applyNumberFormat="1" applyFont="1" applyBorder="1">
      <alignment vertical="center"/>
    </xf>
    <xf numFmtId="192" fontId="7" fillId="0" borderId="66" xfId="14" applyNumberFormat="1" applyFont="1" applyBorder="1">
      <alignment vertical="center"/>
    </xf>
    <xf numFmtId="9" fontId="7" fillId="0" borderId="0" xfId="7" applyNumberFormat="1" applyFont="1" applyBorder="1">
      <alignment vertical="center"/>
    </xf>
    <xf numFmtId="9" fontId="7" fillId="0" borderId="23" xfId="7" applyFont="1" applyBorder="1">
      <alignment vertical="center"/>
    </xf>
    <xf numFmtId="192" fontId="7" fillId="0" borderId="23" xfId="14" applyNumberFormat="1" applyFont="1" applyBorder="1">
      <alignment vertical="center"/>
    </xf>
    <xf numFmtId="9" fontId="76" fillId="0" borderId="22" xfId="7" applyFont="1" applyBorder="1" applyAlignment="1">
      <alignment horizontal="left" vertical="center" indent="2"/>
    </xf>
    <xf numFmtId="9" fontId="76" fillId="0" borderId="0" xfId="7" applyFont="1" applyBorder="1">
      <alignment vertical="center"/>
    </xf>
    <xf numFmtId="9" fontId="76" fillId="0" borderId="23" xfId="7" applyFont="1" applyBorder="1">
      <alignment vertical="center"/>
    </xf>
    <xf numFmtId="0" fontId="76" fillId="0" borderId="22" xfId="233" applyFont="1" applyBorder="1" applyAlignment="1">
      <alignment horizontal="left" vertical="center" indent="2"/>
    </xf>
    <xf numFmtId="9" fontId="76" fillId="0" borderId="0" xfId="7" applyNumberFormat="1" applyFont="1" applyBorder="1">
      <alignment vertical="center"/>
    </xf>
    <xf numFmtId="192" fontId="76" fillId="0" borderId="0" xfId="14" applyNumberFormat="1" applyFont="1" applyBorder="1">
      <alignment vertical="center"/>
    </xf>
    <xf numFmtId="192" fontId="7" fillId="0" borderId="0" xfId="233" applyNumberFormat="1" applyFont="1" applyBorder="1">
      <alignment vertical="center"/>
    </xf>
    <xf numFmtId="0" fontId="76" fillId="0" borderId="0" xfId="233" applyFont="1" applyBorder="1">
      <alignment vertical="center"/>
    </xf>
    <xf numFmtId="0" fontId="76" fillId="0" borderId="24" xfId="233" applyFont="1" applyBorder="1" applyAlignment="1">
      <alignment horizontal="left" vertical="center" indent="2"/>
    </xf>
    <xf numFmtId="9" fontId="76" fillId="0" borderId="18" xfId="7" applyFont="1" applyBorder="1">
      <alignment vertical="center"/>
    </xf>
    <xf numFmtId="0" fontId="76" fillId="0" borderId="18" xfId="233" applyFont="1" applyBorder="1">
      <alignment vertical="center"/>
    </xf>
    <xf numFmtId="9" fontId="76" fillId="0" borderId="25" xfId="7" applyFont="1" applyBorder="1">
      <alignment vertical="center"/>
    </xf>
    <xf numFmtId="0" fontId="7" fillId="0" borderId="59" xfId="233" applyFont="1" applyBorder="1">
      <alignment vertical="center"/>
    </xf>
    <xf numFmtId="0" fontId="7" fillId="0" borderId="66" xfId="233" applyFont="1" applyBorder="1">
      <alignment vertical="center"/>
    </xf>
    <xf numFmtId="181" fontId="7" fillId="0" borderId="18" xfId="233" applyNumberFormat="1" applyFont="1" applyBorder="1">
      <alignment vertical="center"/>
    </xf>
    <xf numFmtId="181" fontId="7" fillId="0" borderId="0" xfId="233" applyNumberFormat="1" applyFont="1" applyBorder="1">
      <alignment vertical="center"/>
    </xf>
    <xf numFmtId="0" fontId="7" fillId="0" borderId="65" xfId="233" applyFont="1" applyBorder="1" applyAlignment="1">
      <alignment horizontal="left" vertical="center"/>
    </xf>
    <xf numFmtId="181" fontId="7" fillId="0" borderId="59" xfId="233" applyNumberFormat="1" applyFont="1" applyBorder="1">
      <alignment vertical="center"/>
    </xf>
    <xf numFmtId="0" fontId="76" fillId="0" borderId="22" xfId="233" applyFont="1" applyBorder="1" applyAlignment="1">
      <alignment horizontal="left" vertical="center" indent="1"/>
    </xf>
    <xf numFmtId="181" fontId="76" fillId="0" borderId="0" xfId="233" applyNumberFormat="1" applyFont="1" applyBorder="1">
      <alignment vertical="center"/>
    </xf>
    <xf numFmtId="0" fontId="7" fillId="0" borderId="22" xfId="233" applyFont="1" applyBorder="1" applyAlignment="1">
      <alignment horizontal="left" vertical="center"/>
    </xf>
    <xf numFmtId="0" fontId="76" fillId="0" borderId="24" xfId="233" applyFont="1" applyBorder="1" applyAlignment="1">
      <alignment horizontal="left" vertical="center" indent="1"/>
    </xf>
    <xf numFmtId="9" fontId="76" fillId="0" borderId="18" xfId="7" applyNumberFormat="1" applyFont="1" applyBorder="1">
      <alignment vertical="center"/>
    </xf>
    <xf numFmtId="181" fontId="76" fillId="0" borderId="18" xfId="233" applyNumberFormat="1" applyFont="1" applyBorder="1">
      <alignment vertical="center"/>
    </xf>
    <xf numFmtId="1" fontId="7" fillId="0" borderId="59" xfId="233" applyNumberFormat="1" applyFont="1" applyBorder="1">
      <alignment vertical="center"/>
    </xf>
    <xf numFmtId="0" fontId="7" fillId="0" borderId="26" xfId="233" applyFont="1" applyBorder="1">
      <alignment vertical="center"/>
    </xf>
    <xf numFmtId="0" fontId="7" fillId="0" borderId="27" xfId="233" applyFont="1" applyBorder="1">
      <alignment vertical="center"/>
    </xf>
    <xf numFmtId="0" fontId="7" fillId="0" borderId="28" xfId="233" applyFont="1" applyBorder="1">
      <alignment vertical="center"/>
    </xf>
    <xf numFmtId="0" fontId="5" fillId="0" borderId="0" xfId="229" applyNumberFormat="1">
      <alignment vertical="center"/>
    </xf>
    <xf numFmtId="0" fontId="5" fillId="0" borderId="0" xfId="229" applyNumberFormat="1" applyFont="1">
      <alignment vertical="center"/>
    </xf>
    <xf numFmtId="192" fontId="0" fillId="0" borderId="0" xfId="14" applyNumberFormat="1" applyFont="1">
      <alignment vertical="center"/>
    </xf>
    <xf numFmtId="1" fontId="5" fillId="0" borderId="0" xfId="229" applyNumberFormat="1">
      <alignment vertical="center"/>
    </xf>
    <xf numFmtId="181" fontId="93" fillId="0" borderId="0" xfId="7" applyNumberFormat="1" applyFont="1" applyAlignment="1">
      <alignment horizontal="right" vertical="top" wrapText="1"/>
    </xf>
    <xf numFmtId="220" fontId="0" fillId="0" borderId="0" xfId="14" applyNumberFormat="1" applyFont="1">
      <alignment vertical="center"/>
    </xf>
    <xf numFmtId="231" fontId="83" fillId="2" borderId="0" xfId="234" applyFont="1" applyFill="1" applyBorder="1" applyAlignment="1">
      <alignment horizontal="center" vertical="center"/>
    </xf>
    <xf numFmtId="231" fontId="75" fillId="2" borderId="4" xfId="234" applyFont="1" applyFill="1" applyBorder="1" applyAlignment="1">
      <alignment horizontal="center" vertical="center"/>
    </xf>
    <xf numFmtId="231" fontId="75" fillId="2" borderId="0" xfId="234" applyFont="1" applyFill="1" applyBorder="1" applyAlignment="1">
      <alignment horizontal="center" vertical="center"/>
    </xf>
    <xf numFmtId="231" fontId="75" fillId="2" borderId="8" xfId="234" applyFont="1" applyFill="1" applyBorder="1" applyAlignment="1">
      <alignment horizontal="center" vertical="center"/>
    </xf>
    <xf numFmtId="231" fontId="7" fillId="0" borderId="0" xfId="234" applyFont="1">
      <alignment vertical="center"/>
    </xf>
    <xf numFmtId="231" fontId="81" fillId="33" borderId="0" xfId="234" applyFont="1" applyFill="1" applyBorder="1">
      <alignment vertical="center"/>
    </xf>
    <xf numFmtId="177" fontId="7" fillId="0" borderId="0" xfId="14" applyNumberFormat="1" applyFont="1">
      <alignment vertical="center"/>
    </xf>
    <xf numFmtId="231" fontId="75" fillId="9" borderId="6" xfId="235" applyFont="1" applyFill="1" applyBorder="1" applyAlignment="1">
      <alignment horizontal="left"/>
    </xf>
    <xf numFmtId="38" fontId="75" fillId="0" borderId="6" xfId="235" applyNumberFormat="1" applyFont="1" applyFill="1" applyBorder="1"/>
    <xf numFmtId="38" fontId="7" fillId="0" borderId="6" xfId="235" applyNumberFormat="1" applyFont="1" applyFill="1" applyBorder="1" applyAlignment="1">
      <alignment horizontal="left"/>
    </xf>
    <xf numFmtId="38" fontId="7" fillId="0" borderId="6" xfId="235" applyNumberFormat="1" applyFont="1" applyFill="1" applyBorder="1" applyAlignment="1">
      <alignment horizontal="left" indent="1"/>
    </xf>
    <xf numFmtId="184" fontId="7" fillId="0" borderId="0" xfId="14" applyNumberFormat="1" applyFont="1">
      <alignment vertical="center"/>
    </xf>
    <xf numFmtId="38" fontId="7" fillId="0" borderId="6" xfId="235" applyNumberFormat="1" applyFont="1" applyFill="1" applyBorder="1"/>
    <xf numFmtId="38" fontId="7" fillId="0" borderId="6" xfId="235" quotePrefix="1" applyNumberFormat="1" applyFont="1" applyFill="1" applyBorder="1"/>
    <xf numFmtId="38" fontId="7" fillId="0" borderId="6" xfId="235" quotePrefix="1" applyNumberFormat="1" applyFont="1" applyFill="1" applyBorder="1" applyAlignment="1">
      <alignment horizontal="left" indent="1"/>
    </xf>
    <xf numFmtId="184" fontId="75" fillId="0" borderId="0" xfId="14" applyNumberFormat="1" applyFont="1">
      <alignment vertical="center"/>
    </xf>
    <xf numFmtId="231" fontId="75" fillId="0" borderId="0" xfId="234" applyFont="1">
      <alignment vertical="center"/>
    </xf>
    <xf numFmtId="177" fontId="75" fillId="0" borderId="0" xfId="14" applyNumberFormat="1" applyFont="1">
      <alignment vertical="center"/>
    </xf>
    <xf numFmtId="231" fontId="7" fillId="0" borderId="6" xfId="235" applyFont="1" applyFill="1" applyBorder="1"/>
    <xf numFmtId="209" fontId="7" fillId="0" borderId="6" xfId="234" applyNumberFormat="1" applyFont="1" applyFill="1" applyBorder="1">
      <alignment vertical="center"/>
    </xf>
    <xf numFmtId="38" fontId="75" fillId="0" borderId="6" xfId="235" applyNumberFormat="1" applyFont="1" applyFill="1" applyBorder="1" applyAlignment="1">
      <alignment horizontal="left"/>
    </xf>
    <xf numFmtId="181" fontId="7" fillId="0" borderId="6" xfId="7" applyNumberFormat="1" applyFont="1" applyFill="1" applyBorder="1" applyAlignment="1">
      <alignment horizontal="left" indent="1"/>
    </xf>
    <xf numFmtId="181" fontId="7" fillId="0" borderId="6" xfId="7" applyNumberFormat="1" applyFont="1" applyFill="1" applyBorder="1" applyAlignment="1">
      <alignment horizontal="left"/>
    </xf>
    <xf numFmtId="220" fontId="7" fillId="0" borderId="0" xfId="14" applyNumberFormat="1" applyFont="1">
      <alignment vertical="center"/>
    </xf>
    <xf numFmtId="231" fontId="7" fillId="0" borderId="0" xfId="14" applyNumberFormat="1" applyFont="1" applyAlignment="1">
      <alignment horizontal="center" vertical="center"/>
    </xf>
    <xf numFmtId="231" fontId="7" fillId="0" borderId="0" xfId="234" applyFont="1" applyAlignment="1">
      <alignment horizontal="center" vertical="center"/>
    </xf>
    <xf numFmtId="181" fontId="76" fillId="0" borderId="6" xfId="7" applyNumberFormat="1" applyFont="1" applyFill="1" applyBorder="1" applyAlignment="1">
      <alignment horizontal="left" indent="2"/>
    </xf>
    <xf numFmtId="9" fontId="157" fillId="0" borderId="0" xfId="7" applyFont="1">
      <alignment vertical="center"/>
    </xf>
    <xf numFmtId="231" fontId="7" fillId="0" borderId="0" xfId="234" applyFont="1" applyBorder="1">
      <alignment vertical="center"/>
    </xf>
    <xf numFmtId="177" fontId="76" fillId="0" borderId="0" xfId="14" applyNumberFormat="1" applyFont="1">
      <alignment vertical="center"/>
    </xf>
    <xf numFmtId="9" fontId="158" fillId="0" borderId="0" xfId="7" applyFont="1">
      <alignment vertical="center"/>
    </xf>
    <xf numFmtId="231" fontId="76" fillId="0" borderId="0" xfId="234" applyFont="1">
      <alignment vertical="center"/>
    </xf>
    <xf numFmtId="192" fontId="158" fillId="0" borderId="0" xfId="7" applyNumberFormat="1" applyFont="1">
      <alignment vertical="center"/>
    </xf>
    <xf numFmtId="232" fontId="7" fillId="0" borderId="0" xfId="234" applyNumberFormat="1" applyFont="1">
      <alignment vertical="center"/>
    </xf>
    <xf numFmtId="181" fontId="7" fillId="0" borderId="6" xfId="235" applyNumberFormat="1" applyFont="1" applyFill="1" applyBorder="1"/>
    <xf numFmtId="231" fontId="7" fillId="0" borderId="6" xfId="234" applyFont="1" applyFill="1" applyBorder="1">
      <alignment vertical="center"/>
    </xf>
    <xf numFmtId="0" fontId="75" fillId="34" borderId="0" xfId="234" applyNumberFormat="1" applyFont="1" applyFill="1" applyAlignment="1">
      <alignment horizontal="center" vertical="center"/>
    </xf>
    <xf numFmtId="177" fontId="7" fillId="0" borderId="0" xfId="234" applyNumberFormat="1" applyFont="1">
      <alignment vertical="center"/>
    </xf>
    <xf numFmtId="184" fontId="7" fillId="0" borderId="0" xfId="234" applyNumberFormat="1" applyFont="1">
      <alignment vertical="center"/>
    </xf>
    <xf numFmtId="217" fontId="75" fillId="0" borderId="6" xfId="235" applyNumberFormat="1" applyFont="1" applyFill="1" applyBorder="1" applyAlignment="1">
      <alignment horizontal="left"/>
    </xf>
    <xf numFmtId="231" fontId="75" fillId="0" borderId="6" xfId="235" applyFont="1" applyFill="1" applyBorder="1"/>
    <xf numFmtId="188" fontId="7" fillId="0" borderId="0" xfId="234" applyNumberFormat="1" applyFont="1">
      <alignment vertical="center"/>
    </xf>
    <xf numFmtId="231" fontId="7" fillId="0" borderId="6" xfId="235" applyFont="1" applyFill="1" applyBorder="1" applyAlignment="1">
      <alignment horizontal="left"/>
    </xf>
    <xf numFmtId="231" fontId="75" fillId="37" borderId="6" xfId="235" applyFont="1" applyFill="1" applyBorder="1" applyAlignment="1">
      <alignment horizontal="left"/>
    </xf>
    <xf numFmtId="231" fontId="7" fillId="37" borderId="0" xfId="234" applyFont="1" applyFill="1">
      <alignment vertical="center"/>
    </xf>
    <xf numFmtId="0" fontId="75" fillId="37" borderId="0" xfId="234" applyNumberFormat="1" applyFont="1" applyFill="1" applyAlignment="1">
      <alignment horizontal="center" vertical="center"/>
    </xf>
    <xf numFmtId="231" fontId="75" fillId="0" borderId="6" xfId="236" applyFont="1" applyFill="1" applyBorder="1" applyProtection="1"/>
    <xf numFmtId="177" fontId="75" fillId="0" borderId="0" xfId="14" applyFont="1">
      <alignment vertical="center"/>
    </xf>
    <xf numFmtId="178" fontId="7" fillId="0" borderId="0" xfId="10" applyFont="1" applyFill="1" applyBorder="1" applyAlignment="1">
      <alignment horizontal="left" vertical="center"/>
    </xf>
    <xf numFmtId="178" fontId="7" fillId="9" borderId="6" xfId="10" applyFont="1" applyFill="1" applyBorder="1" applyAlignment="1">
      <alignment horizontal="left" vertical="center"/>
    </xf>
    <xf numFmtId="177" fontId="7" fillId="9" borderId="0" xfId="14" applyFont="1" applyFill="1">
      <alignment vertical="center"/>
    </xf>
    <xf numFmtId="178" fontId="7" fillId="0" borderId="0" xfId="10" applyFont="1" applyFill="1" applyBorder="1" applyAlignment="1" applyProtection="1">
      <alignment horizontal="left"/>
    </xf>
    <xf numFmtId="178" fontId="75" fillId="0" borderId="6" xfId="10" applyFont="1" applyFill="1" applyBorder="1" applyAlignment="1">
      <alignment horizontal="left" vertical="center"/>
    </xf>
    <xf numFmtId="178" fontId="7" fillId="9" borderId="6" xfId="10" applyFont="1" applyFill="1" applyBorder="1" applyAlignment="1" applyProtection="1">
      <alignment horizontal="left"/>
    </xf>
    <xf numFmtId="178" fontId="75" fillId="0" borderId="6" xfId="10" applyFont="1" applyFill="1" applyBorder="1" applyAlignment="1" applyProtection="1"/>
    <xf numFmtId="0" fontId="75" fillId="0" borderId="6" xfId="10" applyNumberFormat="1" applyFont="1" applyFill="1" applyBorder="1" applyAlignment="1" applyProtection="1"/>
    <xf numFmtId="177" fontId="159" fillId="0" borderId="0" xfId="14" applyFont="1">
      <alignment vertical="center"/>
    </xf>
    <xf numFmtId="231" fontId="7" fillId="2" borderId="6" xfId="235" applyFont="1" applyFill="1" applyBorder="1" applyAlignment="1">
      <alignment horizontal="left"/>
    </xf>
    <xf numFmtId="231" fontId="75" fillId="2" borderId="6" xfId="235" applyFont="1" applyFill="1" applyBorder="1" applyAlignment="1">
      <alignment horizontal="center"/>
    </xf>
    <xf numFmtId="38" fontId="7" fillId="0" borderId="6" xfId="234" applyNumberFormat="1" applyFont="1" applyFill="1" applyBorder="1">
      <alignment vertical="center"/>
    </xf>
    <xf numFmtId="231" fontId="7" fillId="2" borderId="6" xfId="234" applyFont="1" applyFill="1" applyBorder="1">
      <alignment vertical="center"/>
    </xf>
    <xf numFmtId="0" fontId="7" fillId="0" borderId="0" xfId="234" applyNumberFormat="1" applyFont="1">
      <alignment vertical="center"/>
    </xf>
    <xf numFmtId="0" fontId="7" fillId="0" borderId="6" xfId="10" applyNumberFormat="1" applyFont="1" applyFill="1" applyBorder="1" applyAlignment="1" applyProtection="1">
      <alignment horizontal="left"/>
    </xf>
    <xf numFmtId="0" fontId="81" fillId="33" borderId="19" xfId="234" applyNumberFormat="1" applyFont="1" applyFill="1" applyBorder="1">
      <alignment vertical="center"/>
    </xf>
    <xf numFmtId="0" fontId="81" fillId="33" borderId="20" xfId="234" applyNumberFormat="1" applyFont="1" applyFill="1" applyBorder="1" applyAlignment="1">
      <alignment horizontal="center" vertical="center"/>
    </xf>
    <xf numFmtId="0" fontId="81" fillId="33" borderId="21" xfId="234" applyNumberFormat="1" applyFont="1" applyFill="1" applyBorder="1" applyAlignment="1">
      <alignment horizontal="center" vertical="center"/>
    </xf>
    <xf numFmtId="231" fontId="7" fillId="0" borderId="22" xfId="235" applyFont="1" applyFill="1" applyBorder="1" applyAlignment="1">
      <alignment horizontal="left"/>
    </xf>
    <xf numFmtId="177" fontId="7" fillId="0" borderId="0" xfId="14" applyFont="1" applyFill="1" applyBorder="1">
      <alignment vertical="center"/>
    </xf>
    <xf numFmtId="177" fontId="7" fillId="0" borderId="23" xfId="14" applyFont="1" applyFill="1" applyBorder="1">
      <alignment vertical="center"/>
    </xf>
    <xf numFmtId="9" fontId="7" fillId="0" borderId="22" xfId="7" applyFont="1" applyFill="1" applyBorder="1" applyAlignment="1">
      <alignment horizontal="left" wrapText="1"/>
    </xf>
    <xf numFmtId="9" fontId="7" fillId="0" borderId="23" xfId="7" applyFont="1" applyFill="1" applyBorder="1">
      <alignment vertical="center"/>
    </xf>
    <xf numFmtId="38" fontId="7" fillId="0" borderId="22" xfId="235" applyNumberFormat="1" applyFont="1" applyFill="1" applyBorder="1"/>
    <xf numFmtId="38" fontId="75" fillId="0" borderId="22" xfId="235" applyNumberFormat="1" applyFont="1" applyFill="1" applyBorder="1"/>
    <xf numFmtId="231" fontId="7" fillId="0" borderId="22" xfId="234" applyFont="1" applyFill="1" applyBorder="1">
      <alignment vertical="center"/>
    </xf>
    <xf numFmtId="181" fontId="7" fillId="0" borderId="0" xfId="7" applyNumberFormat="1" applyFont="1" applyFill="1" applyBorder="1">
      <alignment vertical="center"/>
    </xf>
    <xf numFmtId="181" fontId="7" fillId="0" borderId="23" xfId="7" applyNumberFormat="1" applyFont="1" applyFill="1" applyBorder="1">
      <alignment vertical="center"/>
    </xf>
    <xf numFmtId="177" fontId="7" fillId="0" borderId="0" xfId="14" applyFont="1" applyBorder="1">
      <alignment vertical="center"/>
    </xf>
    <xf numFmtId="177" fontId="7" fillId="0" borderId="23" xfId="14" applyFont="1" applyBorder="1">
      <alignment vertical="center"/>
    </xf>
    <xf numFmtId="184" fontId="7" fillId="0" borderId="0" xfId="14" applyNumberFormat="1" applyFont="1" applyBorder="1">
      <alignment vertical="center"/>
    </xf>
    <xf numFmtId="184" fontId="7" fillId="0" borderId="23" xfId="14" applyNumberFormat="1" applyFont="1" applyBorder="1">
      <alignment vertical="center"/>
    </xf>
    <xf numFmtId="38" fontId="7" fillId="0" borderId="22" xfId="235" quotePrefix="1" applyNumberFormat="1" applyFont="1" applyFill="1" applyBorder="1"/>
    <xf numFmtId="184" fontId="7" fillId="0" borderId="0" xfId="234" applyNumberFormat="1" applyFont="1" applyBorder="1">
      <alignment vertical="center"/>
    </xf>
    <xf numFmtId="184" fontId="7" fillId="0" borderId="23" xfId="234" applyNumberFormat="1" applyFont="1" applyBorder="1">
      <alignment vertical="center"/>
    </xf>
    <xf numFmtId="231" fontId="7" fillId="0" borderId="22" xfId="234" applyFont="1" applyBorder="1">
      <alignment vertical="center"/>
    </xf>
    <xf numFmtId="231" fontId="7" fillId="0" borderId="23" xfId="234" applyFont="1" applyBorder="1">
      <alignment vertical="center"/>
    </xf>
    <xf numFmtId="209" fontId="7" fillId="0" borderId="22" xfId="234" applyNumberFormat="1" applyFont="1" applyFill="1" applyBorder="1">
      <alignment vertical="center"/>
    </xf>
    <xf numFmtId="9" fontId="7" fillId="0" borderId="22" xfId="7" applyFont="1" applyFill="1" applyBorder="1" applyAlignment="1">
      <alignment horizontal="left" vertical="center"/>
    </xf>
    <xf numFmtId="181" fontId="7" fillId="0" borderId="22" xfId="7" applyNumberFormat="1" applyFont="1" applyFill="1" applyBorder="1" applyAlignment="1"/>
    <xf numFmtId="38" fontId="7" fillId="0" borderId="22" xfId="235" applyNumberFormat="1" applyFont="1" applyFill="1" applyBorder="1" applyAlignment="1">
      <alignment horizontal="left"/>
    </xf>
    <xf numFmtId="181" fontId="7" fillId="0" borderId="26" xfId="7" applyNumberFormat="1" applyFont="1" applyFill="1" applyBorder="1" applyAlignment="1"/>
    <xf numFmtId="9" fontId="7" fillId="0" borderId="27" xfId="7" applyFont="1" applyBorder="1">
      <alignment vertical="center"/>
    </xf>
    <xf numFmtId="9" fontId="7" fillId="0" borderId="28" xfId="7" applyFont="1" applyBorder="1">
      <alignment vertical="center"/>
    </xf>
    <xf numFmtId="231" fontId="7" fillId="0" borderId="63" xfId="234" applyFont="1" applyBorder="1">
      <alignment vertical="center"/>
    </xf>
    <xf numFmtId="10" fontId="7" fillId="0" borderId="63" xfId="7" applyNumberFormat="1" applyFont="1" applyBorder="1">
      <alignment vertical="center"/>
    </xf>
    <xf numFmtId="231" fontId="7" fillId="0" borderId="63" xfId="234" applyFont="1" applyBorder="1" applyAlignment="1">
      <alignment horizontal="center" vertical="center"/>
    </xf>
    <xf numFmtId="49" fontId="7" fillId="0" borderId="63" xfId="234" applyNumberFormat="1" applyFont="1" applyBorder="1">
      <alignment vertical="center"/>
    </xf>
    <xf numFmtId="231" fontId="5" fillId="0" borderId="0" xfId="234" applyFont="1">
      <alignment vertical="center"/>
    </xf>
    <xf numFmtId="231" fontId="5" fillId="0" borderId="0" xfId="234">
      <alignment vertical="center"/>
    </xf>
    <xf numFmtId="181" fontId="7" fillId="0" borderId="0" xfId="7" applyNumberFormat="1" applyFont="1" applyFill="1" applyBorder="1" applyAlignment="1">
      <alignment horizontal="left"/>
    </xf>
    <xf numFmtId="181" fontId="5" fillId="0" borderId="0" xfId="7" applyNumberFormat="1">
      <alignment vertical="center"/>
    </xf>
    <xf numFmtId="0" fontId="5" fillId="0" borderId="0" xfId="234" applyNumberFormat="1">
      <alignment vertical="center"/>
    </xf>
    <xf numFmtId="192" fontId="5" fillId="0" borderId="0" xfId="14" applyNumberFormat="1" applyFont="1">
      <alignment vertical="center"/>
    </xf>
    <xf numFmtId="9" fontId="7" fillId="0" borderId="0" xfId="7" applyNumberFormat="1" applyFont="1" applyFill="1">
      <alignment vertical="center"/>
    </xf>
    <xf numFmtId="220" fontId="107" fillId="0" borderId="0" xfId="14" applyNumberFormat="1" applyFont="1" applyAlignment="1"/>
    <xf numFmtId="37" fontId="10" fillId="0" borderId="6" xfId="230" quotePrefix="1" applyNumberFormat="1" applyFont="1" applyFill="1" applyBorder="1" applyAlignment="1">
      <alignment horizontal="left"/>
    </xf>
    <xf numFmtId="192" fontId="92" fillId="0" borderId="8" xfId="14" applyNumberFormat="1" applyFont="1" applyFill="1" applyBorder="1">
      <alignment vertical="center"/>
    </xf>
    <xf numFmtId="38" fontId="92" fillId="0" borderId="8" xfId="229" applyNumberFormat="1" applyFont="1" applyFill="1" applyBorder="1">
      <alignment vertical="center"/>
    </xf>
    <xf numFmtId="227" fontId="5" fillId="0" borderId="8" xfId="229" applyFill="1" applyBorder="1">
      <alignment vertical="center"/>
    </xf>
    <xf numFmtId="38" fontId="77" fillId="0" borderId="8" xfId="229" applyNumberFormat="1" applyFont="1" applyFill="1" applyBorder="1" applyAlignment="1">
      <alignment horizontal="right" vertical="center"/>
    </xf>
    <xf numFmtId="233" fontId="10" fillId="0" borderId="0" xfId="229" applyNumberFormat="1" applyFont="1" applyFill="1" applyBorder="1">
      <alignment vertical="center"/>
    </xf>
    <xf numFmtId="37" fontId="10" fillId="9" borderId="6" xfId="230" quotePrefix="1" applyNumberFormat="1" applyFont="1" applyFill="1" applyBorder="1" applyAlignment="1">
      <alignment horizontal="left" indent="1"/>
    </xf>
    <xf numFmtId="37" fontId="10" fillId="9" borderId="4" xfId="229" applyNumberFormat="1" applyFont="1" applyFill="1" applyBorder="1">
      <alignment vertical="center"/>
    </xf>
    <xf numFmtId="38" fontId="10" fillId="9" borderId="6" xfId="230" quotePrefix="1" applyNumberFormat="1" applyFont="1" applyFill="1" applyBorder="1" applyAlignment="1">
      <alignment horizontal="left" indent="1"/>
    </xf>
    <xf numFmtId="181" fontId="10" fillId="9" borderId="4" xfId="7" applyNumberFormat="1" applyFont="1" applyFill="1" applyBorder="1">
      <alignment vertical="center"/>
    </xf>
    <xf numFmtId="181" fontId="10" fillId="9" borderId="0" xfId="7" applyNumberFormat="1" applyFont="1" applyFill="1" applyBorder="1">
      <alignment vertical="center"/>
    </xf>
    <xf numFmtId="181" fontId="10" fillId="9" borderId="8" xfId="7" applyNumberFormat="1" applyFont="1" applyFill="1" applyBorder="1">
      <alignment vertical="center"/>
    </xf>
    <xf numFmtId="38" fontId="92" fillId="9" borderId="0" xfId="229" applyNumberFormat="1" applyFont="1" applyFill="1" applyBorder="1">
      <alignment vertical="center"/>
    </xf>
    <xf numFmtId="181" fontId="92" fillId="9" borderId="0" xfId="7" applyNumberFormat="1" applyFont="1" applyFill="1" applyBorder="1">
      <alignment vertical="center"/>
    </xf>
    <xf numFmtId="233" fontId="10" fillId="9" borderId="0" xfId="229" applyNumberFormat="1" applyFont="1" applyFill="1" applyBorder="1">
      <alignment vertical="center"/>
    </xf>
    <xf numFmtId="233" fontId="122" fillId="0" borderId="0" xfId="229" applyNumberFormat="1" applyFont="1" applyFill="1" applyBorder="1">
      <alignment vertical="center"/>
    </xf>
    <xf numFmtId="181" fontId="10" fillId="48" borderId="8" xfId="7" applyNumberFormat="1" applyFont="1" applyFill="1" applyBorder="1">
      <alignment vertical="center"/>
    </xf>
    <xf numFmtId="226" fontId="5" fillId="44" borderId="0" xfId="0" applyFont="1" applyFill="1">
      <alignment vertical="center"/>
    </xf>
    <xf numFmtId="37" fontId="77" fillId="48" borderId="0" xfId="13" applyNumberFormat="1" applyFont="1" applyFill="1" applyBorder="1">
      <alignment vertical="center"/>
    </xf>
    <xf numFmtId="37" fontId="10" fillId="48" borderId="0" xfId="13" applyNumberFormat="1" applyFont="1" applyFill="1" applyBorder="1">
      <alignment vertical="center"/>
    </xf>
    <xf numFmtId="181" fontId="10" fillId="48" borderId="0" xfId="7" applyNumberFormat="1" applyFont="1" applyFill="1" applyBorder="1">
      <alignment vertical="center"/>
    </xf>
    <xf numFmtId="37" fontId="77" fillId="9" borderId="0" xfId="13" applyNumberFormat="1" applyFont="1" applyFill="1" applyBorder="1">
      <alignment vertical="center"/>
    </xf>
    <xf numFmtId="9" fontId="122" fillId="0" borderId="0" xfId="14" applyNumberFormat="1" applyFont="1" applyFill="1" applyBorder="1">
      <alignment vertical="center"/>
    </xf>
    <xf numFmtId="227" fontId="11" fillId="0" borderId="0" xfId="229" applyFont="1" applyFill="1" applyBorder="1">
      <alignment vertical="center"/>
    </xf>
    <xf numFmtId="192" fontId="79" fillId="0" borderId="0" xfId="14" applyNumberFormat="1" applyFont="1" applyFill="1" applyBorder="1">
      <alignment vertical="center"/>
    </xf>
    <xf numFmtId="9" fontId="79" fillId="0" borderId="0" xfId="14" applyNumberFormat="1" applyFont="1" applyFill="1" applyBorder="1">
      <alignment vertical="center"/>
    </xf>
    <xf numFmtId="9" fontId="10" fillId="49" borderId="0" xfId="229" applyNumberFormat="1" applyFont="1" applyFill="1" applyBorder="1">
      <alignment vertical="center"/>
    </xf>
    <xf numFmtId="181" fontId="10" fillId="49" borderId="0" xfId="229" applyNumberFormat="1" applyFont="1" applyFill="1" applyBorder="1">
      <alignment vertical="center"/>
    </xf>
    <xf numFmtId="177" fontId="10" fillId="49" borderId="0" xfId="229" applyNumberFormat="1" applyFont="1" applyFill="1" applyBorder="1" applyAlignment="1">
      <alignment horizontal="right" vertical="center"/>
    </xf>
    <xf numFmtId="9" fontId="77" fillId="9" borderId="0" xfId="229" applyNumberFormat="1" applyFont="1" applyFill="1" applyBorder="1">
      <alignment vertical="center"/>
    </xf>
    <xf numFmtId="38" fontId="123" fillId="47" borderId="0" xfId="229" applyNumberFormat="1" applyFont="1" applyFill="1" applyBorder="1" applyAlignment="1">
      <alignment horizontal="right" vertical="center"/>
    </xf>
    <xf numFmtId="181" fontId="123" fillId="47" borderId="0" xfId="7" applyNumberFormat="1" applyFont="1" applyFill="1" applyBorder="1" applyAlignment="1">
      <alignment horizontal="right" vertical="center"/>
    </xf>
    <xf numFmtId="9" fontId="123" fillId="49" borderId="0" xfId="7" applyFont="1" applyFill="1" applyBorder="1">
      <alignment vertical="center"/>
    </xf>
    <xf numFmtId="38" fontId="122" fillId="0" borderId="0" xfId="229" applyNumberFormat="1" applyFont="1" applyFill="1" applyBorder="1">
      <alignment vertical="center"/>
    </xf>
    <xf numFmtId="210" fontId="122" fillId="0" borderId="0" xfId="229" applyNumberFormat="1" applyFont="1" applyFill="1" applyBorder="1">
      <alignment vertical="center"/>
    </xf>
    <xf numFmtId="38" fontId="10" fillId="47" borderId="0" xfId="229" applyNumberFormat="1" applyFont="1" applyFill="1" applyBorder="1">
      <alignment vertical="center"/>
    </xf>
    <xf numFmtId="181" fontId="123" fillId="47" borderId="0" xfId="7" applyNumberFormat="1" applyFont="1" applyFill="1" applyBorder="1">
      <alignment vertical="center"/>
    </xf>
    <xf numFmtId="178" fontId="10" fillId="47" borderId="0" xfId="10" applyFont="1" applyFill="1" applyBorder="1">
      <alignment vertical="center"/>
    </xf>
    <xf numFmtId="209" fontId="10" fillId="47" borderId="0" xfId="7" applyNumberFormat="1" applyFont="1" applyFill="1" applyBorder="1">
      <alignment vertical="center"/>
    </xf>
    <xf numFmtId="178" fontId="10" fillId="47" borderId="8" xfId="10" applyFont="1" applyFill="1" applyBorder="1">
      <alignment vertical="center"/>
    </xf>
    <xf numFmtId="9" fontId="10" fillId="47" borderId="0" xfId="7" applyFont="1" applyFill="1" applyBorder="1">
      <alignment vertical="center"/>
    </xf>
    <xf numFmtId="37" fontId="77" fillId="0" borderId="0" xfId="229" applyNumberFormat="1" applyFont="1" applyFill="1" applyBorder="1">
      <alignment vertical="center"/>
    </xf>
    <xf numFmtId="39" fontId="10" fillId="9" borderId="0" xfId="229" applyNumberFormat="1" applyFont="1" applyFill="1" applyBorder="1">
      <alignment vertical="center"/>
    </xf>
    <xf numFmtId="37" fontId="122" fillId="9" borderId="0" xfId="229" applyNumberFormat="1" applyFont="1" applyFill="1" applyBorder="1">
      <alignment vertical="center"/>
    </xf>
    <xf numFmtId="181" fontId="128" fillId="0" borderId="0" xfId="229" applyNumberFormat="1" applyFont="1" applyFill="1" applyBorder="1">
      <alignment vertical="center"/>
    </xf>
    <xf numFmtId="181" fontId="128" fillId="47" borderId="0" xfId="229" applyNumberFormat="1" applyFont="1" applyFill="1" applyBorder="1">
      <alignment vertical="center"/>
    </xf>
    <xf numFmtId="227" fontId="79" fillId="0" borderId="0" xfId="229" applyFont="1" applyFill="1" applyBorder="1">
      <alignment vertical="center"/>
    </xf>
    <xf numFmtId="177" fontId="10" fillId="0" borderId="0" xfId="229" applyNumberFormat="1" applyFont="1" applyFill="1" applyBorder="1" applyAlignment="1">
      <alignment horizontal="right" vertical="center"/>
    </xf>
    <xf numFmtId="9" fontId="10" fillId="0" borderId="0" xfId="14" applyNumberFormat="1" applyFont="1" applyFill="1" applyBorder="1">
      <alignment vertical="center"/>
    </xf>
    <xf numFmtId="181" fontId="123" fillId="0" borderId="0" xfId="7" applyNumberFormat="1" applyFont="1" applyFill="1" applyBorder="1">
      <alignment vertical="center"/>
    </xf>
    <xf numFmtId="209" fontId="10" fillId="0" borderId="0" xfId="7" applyNumberFormat="1" applyFont="1" applyFill="1" applyBorder="1">
      <alignment vertical="center"/>
    </xf>
    <xf numFmtId="227" fontId="12" fillId="0" borderId="0" xfId="229" applyFont="1" applyFill="1" applyBorder="1" applyAlignment="1">
      <alignment horizontal="center" vertical="center"/>
    </xf>
    <xf numFmtId="234" fontId="12" fillId="0" borderId="0" xfId="229" applyNumberFormat="1" applyFont="1" applyFill="1" applyBorder="1" applyAlignment="1">
      <alignment horizontal="right" vertical="center"/>
    </xf>
    <xf numFmtId="234" fontId="12" fillId="34" borderId="0" xfId="229" applyNumberFormat="1" applyFont="1" applyFill="1" applyBorder="1" applyAlignment="1">
      <alignment horizontal="right" vertical="center"/>
    </xf>
    <xf numFmtId="9" fontId="23" fillId="50" borderId="0" xfId="7" applyFont="1" applyFill="1" applyBorder="1" applyAlignment="1">
      <alignment horizontal="right" vertical="center"/>
    </xf>
    <xf numFmtId="227" fontId="12" fillId="2" borderId="19" xfId="229" applyFont="1" applyFill="1" applyBorder="1" applyAlignment="1">
      <alignment horizontal="left" vertical="center"/>
    </xf>
    <xf numFmtId="227" fontId="12" fillId="2" borderId="20" xfId="229" applyFont="1" applyFill="1" applyBorder="1" applyAlignment="1">
      <alignment horizontal="right" vertical="center"/>
    </xf>
    <xf numFmtId="227" fontId="12" fillId="2" borderId="21" xfId="229" applyFont="1" applyFill="1" applyBorder="1" applyAlignment="1">
      <alignment horizontal="right" vertical="center"/>
    </xf>
    <xf numFmtId="192" fontId="10" fillId="0" borderId="22" xfId="14" applyNumberFormat="1" applyFont="1" applyFill="1" applyBorder="1">
      <alignment vertical="center"/>
    </xf>
    <xf numFmtId="192" fontId="10" fillId="0" borderId="23" xfId="14" applyNumberFormat="1" applyFont="1" applyFill="1" applyBorder="1">
      <alignment vertical="center"/>
    </xf>
    <xf numFmtId="227" fontId="23" fillId="0" borderId="26" xfId="229" applyFont="1" applyFill="1" applyBorder="1" applyAlignment="1">
      <alignment horizontal="left" vertical="center" indent="1"/>
    </xf>
    <xf numFmtId="9" fontId="23" fillId="0" borderId="27" xfId="229" applyNumberFormat="1" applyFont="1" applyFill="1" applyBorder="1">
      <alignment vertical="center"/>
    </xf>
    <xf numFmtId="181" fontId="23" fillId="0" borderId="28" xfId="229" applyNumberFormat="1" applyFont="1" applyFill="1" applyBorder="1">
      <alignment vertical="center"/>
    </xf>
    <xf numFmtId="9" fontId="123" fillId="0" borderId="0" xfId="7" applyFont="1" applyFill="1" applyBorder="1">
      <alignment vertical="center"/>
    </xf>
    <xf numFmtId="227" fontId="10" fillId="0" borderId="0" xfId="229" applyFont="1" applyFill="1" applyBorder="1" applyAlignment="1">
      <alignment vertical="center" wrapText="1"/>
    </xf>
    <xf numFmtId="227" fontId="87" fillId="0" borderId="0" xfId="229" applyFont="1" applyFill="1" applyBorder="1" applyAlignment="1">
      <alignment horizontal="right" vertical="center"/>
    </xf>
    <xf numFmtId="227" fontId="87" fillId="0" borderId="8" xfId="229" applyFont="1" applyFill="1" applyBorder="1" applyAlignment="1">
      <alignment horizontal="right" vertical="center"/>
    </xf>
    <xf numFmtId="192" fontId="79" fillId="0" borderId="0" xfId="14" applyNumberFormat="1" applyFont="1" applyFill="1" applyBorder="1" applyAlignment="1">
      <alignment horizontal="right" vertical="center"/>
    </xf>
    <xf numFmtId="227" fontId="79" fillId="0" borderId="8" xfId="229" applyFont="1" applyFill="1" applyBorder="1">
      <alignment vertical="center"/>
    </xf>
    <xf numFmtId="181" fontId="79" fillId="0" borderId="0" xfId="7" applyNumberFormat="1" applyFont="1" applyFill="1" applyBorder="1">
      <alignment vertical="center"/>
    </xf>
    <xf numFmtId="181" fontId="79" fillId="0" borderId="8" xfId="7" applyNumberFormat="1" applyFont="1" applyFill="1" applyBorder="1">
      <alignment vertical="center"/>
    </xf>
    <xf numFmtId="9" fontId="123" fillId="0" borderId="8" xfId="7" applyFont="1" applyFill="1" applyBorder="1">
      <alignment vertical="center"/>
    </xf>
    <xf numFmtId="181" fontId="123" fillId="0" borderId="8" xfId="7" applyNumberFormat="1" applyFont="1" applyFill="1" applyBorder="1">
      <alignment vertical="center"/>
    </xf>
    <xf numFmtId="38" fontId="122" fillId="0" borderId="8" xfId="229" applyNumberFormat="1" applyFont="1" applyFill="1" applyBorder="1">
      <alignment vertical="center"/>
    </xf>
    <xf numFmtId="9" fontId="92" fillId="0" borderId="0" xfId="7" applyFont="1" applyFill="1" applyBorder="1">
      <alignment vertical="center"/>
    </xf>
    <xf numFmtId="9" fontId="122" fillId="0" borderId="0" xfId="7" applyNumberFormat="1" applyFont="1" applyFill="1" applyBorder="1">
      <alignment vertical="center"/>
    </xf>
    <xf numFmtId="209" fontId="10" fillId="0" borderId="0" xfId="7" applyNumberFormat="1" applyFont="1" applyFill="1" applyBorder="1" applyAlignment="1">
      <alignment vertical="center"/>
    </xf>
    <xf numFmtId="209" fontId="10" fillId="0" borderId="8" xfId="7" applyNumberFormat="1" applyFont="1" applyFill="1" applyBorder="1" applyAlignment="1">
      <alignment vertical="center"/>
    </xf>
    <xf numFmtId="209" fontId="10" fillId="0" borderId="8" xfId="7" applyNumberFormat="1" applyFont="1" applyFill="1" applyBorder="1">
      <alignment vertical="center"/>
    </xf>
    <xf numFmtId="9" fontId="123" fillId="0" borderId="0" xfId="7" applyNumberFormat="1" applyFont="1" applyFill="1" applyBorder="1">
      <alignment vertical="center"/>
    </xf>
    <xf numFmtId="233" fontId="10" fillId="0" borderId="8" xfId="229" applyNumberFormat="1" applyFont="1" applyFill="1" applyBorder="1">
      <alignment vertical="center"/>
    </xf>
    <xf numFmtId="227" fontId="10" fillId="2" borderId="8" xfId="229" applyFont="1" applyFill="1" applyBorder="1" applyAlignment="1">
      <alignment vertical="center" wrapText="1"/>
    </xf>
    <xf numFmtId="226" fontId="160" fillId="0" borderId="0" xfId="0" applyFont="1">
      <alignment vertical="center"/>
    </xf>
    <xf numFmtId="227" fontId="12" fillId="0" borderId="6" xfId="230" applyFont="1" applyFill="1" applyBorder="1" applyAlignment="1">
      <alignment horizontal="left"/>
    </xf>
    <xf numFmtId="9" fontId="123" fillId="0" borderId="0" xfId="7" applyFont="1" applyFill="1" applyBorder="1" applyAlignment="1">
      <alignment horizontal="right" vertical="center"/>
    </xf>
    <xf numFmtId="9" fontId="123" fillId="0" borderId="8" xfId="7" applyFont="1" applyFill="1" applyBorder="1" applyAlignment="1">
      <alignment horizontal="right" vertical="center"/>
    </xf>
    <xf numFmtId="219" fontId="87" fillId="33" borderId="64" xfId="229" applyNumberFormat="1" applyFont="1" applyFill="1" applyBorder="1" applyAlignment="1">
      <alignment horizontal="center" vertical="center"/>
    </xf>
    <xf numFmtId="37" fontId="77" fillId="48" borderId="8" xfId="13" applyNumberFormat="1" applyFont="1" applyFill="1" applyBorder="1">
      <alignment vertical="center"/>
    </xf>
    <xf numFmtId="226" fontId="161" fillId="0" borderId="0" xfId="0" applyFont="1" applyBorder="1">
      <alignment vertical="center"/>
    </xf>
    <xf numFmtId="192" fontId="34" fillId="0" borderId="0" xfId="12" applyNumberFormat="1" applyFont="1" applyBorder="1">
      <alignment vertical="center"/>
    </xf>
    <xf numFmtId="226" fontId="34" fillId="0" borderId="0" xfId="0" applyFont="1" applyBorder="1">
      <alignment vertical="center"/>
    </xf>
    <xf numFmtId="0" fontId="161" fillId="41" borderId="0" xfId="0" applyNumberFormat="1" applyFont="1" applyFill="1" applyBorder="1" applyAlignment="1">
      <alignment horizontal="center" vertical="center"/>
    </xf>
    <xf numFmtId="0" fontId="34" fillId="34" borderId="0" xfId="0" applyNumberFormat="1" applyFont="1" applyFill="1" applyBorder="1" applyAlignment="1">
      <alignment horizontal="center" vertical="center"/>
    </xf>
    <xf numFmtId="0" fontId="34" fillId="0" borderId="0" xfId="0" applyNumberFormat="1" applyFont="1" applyBorder="1" applyAlignment="1">
      <alignment horizontal="center" vertical="center"/>
    </xf>
    <xf numFmtId="0" fontId="34" fillId="34" borderId="0" xfId="0" applyNumberFormat="1" applyFont="1" applyFill="1" applyBorder="1">
      <alignment vertical="center"/>
    </xf>
    <xf numFmtId="9" fontId="164" fillId="0" borderId="0" xfId="7" applyFont="1" applyBorder="1">
      <alignment vertical="center"/>
    </xf>
    <xf numFmtId="0" fontId="34" fillId="0" borderId="0" xfId="0" applyNumberFormat="1" applyFont="1" applyBorder="1">
      <alignment vertical="center"/>
    </xf>
    <xf numFmtId="192" fontId="34" fillId="0" borderId="0" xfId="0" applyNumberFormat="1" applyFont="1" applyBorder="1">
      <alignment vertical="center"/>
    </xf>
    <xf numFmtId="177" fontId="34" fillId="0" borderId="0" xfId="12" applyFont="1" applyBorder="1">
      <alignment vertical="center"/>
    </xf>
    <xf numFmtId="192" fontId="34" fillId="0" borderId="0" xfId="7" applyNumberFormat="1" applyFont="1" applyBorder="1">
      <alignment vertical="center"/>
    </xf>
    <xf numFmtId="192" fontId="161" fillId="0" borderId="0" xfId="12" applyNumberFormat="1" applyFont="1" applyBorder="1">
      <alignment vertical="center"/>
    </xf>
    <xf numFmtId="9" fontId="34" fillId="0" borderId="0" xfId="7" applyFont="1" applyBorder="1">
      <alignment vertical="center"/>
    </xf>
    <xf numFmtId="192" fontId="34" fillId="0" borderId="0" xfId="12" applyNumberFormat="1" applyFont="1" applyBorder="1" applyAlignment="1">
      <alignment horizontal="center" vertical="center"/>
    </xf>
    <xf numFmtId="226" fontId="162" fillId="41" borderId="0" xfId="0" applyFont="1" applyFill="1" applyBorder="1">
      <alignment vertical="center"/>
    </xf>
    <xf numFmtId="9" fontId="163" fillId="0" borderId="0" xfId="7" applyFont="1" applyBorder="1" applyAlignment="1">
      <alignment horizontal="center" vertical="center"/>
    </xf>
    <xf numFmtId="192" fontId="34" fillId="0" borderId="0" xfId="0" applyNumberFormat="1" applyFont="1" applyBorder="1" applyAlignment="1">
      <alignment horizontal="center" vertical="center"/>
    </xf>
    <xf numFmtId="226" fontId="164" fillId="0" borderId="0" xfId="0" applyFont="1" applyBorder="1">
      <alignment vertical="center"/>
    </xf>
    <xf numFmtId="38" fontId="161" fillId="0" borderId="0" xfId="9" applyNumberFormat="1" applyFont="1" applyFill="1" applyBorder="1"/>
    <xf numFmtId="192" fontId="165" fillId="0" borderId="0" xfId="12" applyNumberFormat="1" applyFont="1" applyBorder="1">
      <alignment vertical="center"/>
    </xf>
    <xf numFmtId="226" fontId="161" fillId="34" borderId="0" xfId="9" applyFont="1" applyFill="1" applyBorder="1" applyAlignment="1">
      <alignment horizontal="left"/>
    </xf>
    <xf numFmtId="209" fontId="161" fillId="34" borderId="0" xfId="9" applyNumberFormat="1" applyFont="1" applyFill="1" applyBorder="1"/>
    <xf numFmtId="181" fontId="161" fillId="0" borderId="0" xfId="7" applyNumberFormat="1" applyFont="1" applyFill="1" applyBorder="1" applyAlignment="1"/>
    <xf numFmtId="226" fontId="34" fillId="34" borderId="0" xfId="0" applyFont="1" applyFill="1" applyBorder="1">
      <alignment vertical="center"/>
    </xf>
    <xf numFmtId="226" fontId="34" fillId="0" borderId="0" xfId="0" applyFont="1" applyFill="1" applyBorder="1">
      <alignment vertical="center"/>
    </xf>
    <xf numFmtId="9" fontId="34" fillId="0" borderId="0" xfId="7" applyFont="1" applyFill="1" applyBorder="1">
      <alignment vertical="center"/>
    </xf>
    <xf numFmtId="226" fontId="34" fillId="0" borderId="0" xfId="0" applyFont="1" applyFill="1">
      <alignment vertical="center"/>
    </xf>
    <xf numFmtId="226" fontId="161" fillId="34" borderId="0" xfId="0" applyFont="1" applyFill="1" applyBorder="1">
      <alignment vertical="center"/>
    </xf>
    <xf numFmtId="9" fontId="161" fillId="0" borderId="0" xfId="7" applyFont="1" applyBorder="1" applyAlignment="1">
      <alignment horizontal="center" vertical="center"/>
    </xf>
    <xf numFmtId="226" fontId="167" fillId="0" borderId="0" xfId="0" applyFont="1" applyBorder="1">
      <alignment vertical="center"/>
    </xf>
    <xf numFmtId="9" fontId="167" fillId="0" borderId="0" xfId="7" applyFont="1" applyBorder="1">
      <alignment vertical="center"/>
    </xf>
    <xf numFmtId="0" fontId="167" fillId="0" borderId="0" xfId="0" applyNumberFormat="1" applyFont="1">
      <alignment vertical="center"/>
    </xf>
    <xf numFmtId="226" fontId="167" fillId="0" borderId="0" xfId="0" applyFont="1">
      <alignment vertical="center"/>
    </xf>
    <xf numFmtId="226" fontId="168" fillId="0" borderId="0" xfId="0" applyFont="1" applyBorder="1" applyAlignment="1">
      <alignment horizontal="left" vertical="center" indent="1"/>
    </xf>
    <xf numFmtId="9" fontId="168" fillId="0" borderId="0" xfId="7" applyFont="1" applyBorder="1" applyAlignment="1">
      <alignment horizontal="center" vertical="center"/>
    </xf>
    <xf numFmtId="0" fontId="167" fillId="0" borderId="0" xfId="0" applyNumberFormat="1" applyFont="1" applyBorder="1" applyAlignment="1">
      <alignment horizontal="center" vertical="center"/>
    </xf>
    <xf numFmtId="193" fontId="34" fillId="0" borderId="0" xfId="0" applyNumberFormat="1" applyFont="1" applyBorder="1" applyAlignment="1">
      <alignment horizontal="center" vertical="center"/>
    </xf>
    <xf numFmtId="193" fontId="34" fillId="9" borderId="0" xfId="0" applyNumberFormat="1" applyFont="1" applyFill="1" applyBorder="1" applyAlignment="1">
      <alignment horizontal="center" vertical="center"/>
    </xf>
    <xf numFmtId="0" fontId="161" fillId="0" borderId="0" xfId="0" applyNumberFormat="1" applyFont="1" applyFill="1" applyBorder="1" applyAlignment="1">
      <alignment horizontal="center" vertical="center"/>
    </xf>
    <xf numFmtId="0" fontId="34" fillId="0" borderId="0" xfId="0" applyNumberFormat="1" applyFont="1" applyFill="1" applyBorder="1" applyAlignment="1">
      <alignment horizontal="center" vertical="center"/>
    </xf>
    <xf numFmtId="0" fontId="167" fillId="0" borderId="0" xfId="0" applyNumberFormat="1" applyFont="1" applyFill="1" applyBorder="1" applyAlignment="1">
      <alignment horizontal="center" vertical="center"/>
    </xf>
    <xf numFmtId="192" fontId="34" fillId="0" borderId="0" xfId="12" applyNumberFormat="1" applyFont="1" applyFill="1" applyBorder="1" applyAlignment="1">
      <alignment horizontal="center" vertical="center"/>
    </xf>
    <xf numFmtId="192" fontId="34" fillId="0" borderId="0" xfId="12" applyNumberFormat="1" applyFont="1" applyFill="1" applyBorder="1">
      <alignment vertical="center"/>
    </xf>
    <xf numFmtId="192" fontId="161" fillId="0" borderId="0" xfId="12" applyNumberFormat="1" applyFont="1" applyFill="1" applyBorder="1">
      <alignment vertical="center"/>
    </xf>
    <xf numFmtId="192" fontId="34" fillId="0" borderId="0" xfId="0" applyNumberFormat="1" applyFont="1" applyFill="1" applyBorder="1">
      <alignment vertical="center"/>
    </xf>
    <xf numFmtId="192" fontId="165" fillId="0" borderId="0" xfId="12" applyNumberFormat="1" applyFont="1" applyFill="1" applyBorder="1">
      <alignment vertical="center"/>
    </xf>
    <xf numFmtId="177" fontId="34" fillId="0" borderId="0" xfId="12" applyFont="1" applyFill="1" applyBorder="1">
      <alignment vertical="center"/>
    </xf>
    <xf numFmtId="9" fontId="164" fillId="0" borderId="0" xfId="7" applyFont="1" applyFill="1" applyBorder="1">
      <alignment vertical="center"/>
    </xf>
    <xf numFmtId="226" fontId="161" fillId="0" borderId="0" xfId="0" applyFont="1" applyFill="1" applyBorder="1">
      <alignment vertical="center"/>
    </xf>
    <xf numFmtId="0" fontId="161" fillId="41" borderId="8" xfId="0" applyNumberFormat="1" applyFont="1" applyFill="1" applyBorder="1" applyAlignment="1">
      <alignment horizontal="center" vertical="center"/>
    </xf>
    <xf numFmtId="0" fontId="34" fillId="34" borderId="8" xfId="0" applyNumberFormat="1" applyFont="1" applyFill="1" applyBorder="1" applyAlignment="1">
      <alignment horizontal="center" vertical="center"/>
    </xf>
    <xf numFmtId="193" fontId="34" fillId="9" borderId="8" xfId="0" applyNumberFormat="1" applyFont="1" applyFill="1" applyBorder="1" applyAlignment="1">
      <alignment horizontal="center" vertical="center"/>
    </xf>
    <xf numFmtId="9" fontId="168" fillId="0" borderId="8" xfId="7" applyFont="1" applyBorder="1" applyAlignment="1">
      <alignment horizontal="center" vertical="center"/>
    </xf>
    <xf numFmtId="192" fontId="34" fillId="0" borderId="8" xfId="12" applyNumberFormat="1" applyFont="1" applyBorder="1" applyAlignment="1">
      <alignment horizontal="center" vertical="center"/>
    </xf>
    <xf numFmtId="0" fontId="167" fillId="0" borderId="8" xfId="0" applyNumberFormat="1" applyFont="1" applyBorder="1" applyAlignment="1">
      <alignment horizontal="center" vertical="center"/>
    </xf>
    <xf numFmtId="0" fontId="34" fillId="0" borderId="8" xfId="0" applyNumberFormat="1" applyFont="1" applyBorder="1" applyAlignment="1">
      <alignment horizontal="center" vertical="center"/>
    </xf>
    <xf numFmtId="0" fontId="34" fillId="34" borderId="8" xfId="0" applyNumberFormat="1" applyFont="1" applyFill="1" applyBorder="1">
      <alignment vertical="center"/>
    </xf>
    <xf numFmtId="192" fontId="34" fillId="0" borderId="8" xfId="12" applyNumberFormat="1" applyFont="1" applyBorder="1">
      <alignment vertical="center"/>
    </xf>
    <xf numFmtId="192" fontId="161" fillId="0" borderId="8" xfId="12" applyNumberFormat="1" applyFont="1" applyBorder="1">
      <alignment vertical="center"/>
    </xf>
    <xf numFmtId="9" fontId="167" fillId="0" borderId="8" xfId="7" applyFont="1" applyBorder="1">
      <alignment vertical="center"/>
    </xf>
    <xf numFmtId="0" fontId="34" fillId="0" borderId="8" xfId="0" applyNumberFormat="1" applyFont="1" applyBorder="1">
      <alignment vertical="center"/>
    </xf>
    <xf numFmtId="192" fontId="34" fillId="0" borderId="8" xfId="0" applyNumberFormat="1" applyFont="1" applyBorder="1">
      <alignment vertical="center"/>
    </xf>
    <xf numFmtId="192" fontId="165" fillId="0" borderId="8" xfId="12" applyNumberFormat="1" applyFont="1" applyBorder="1">
      <alignment vertical="center"/>
    </xf>
    <xf numFmtId="177" fontId="34" fillId="0" borderId="8" xfId="12" applyFont="1" applyBorder="1">
      <alignment vertical="center"/>
    </xf>
    <xf numFmtId="226" fontId="34" fillId="0" borderId="8" xfId="0" applyFont="1" applyBorder="1">
      <alignment vertical="center"/>
    </xf>
    <xf numFmtId="9" fontId="164" fillId="0" borderId="8" xfId="7" applyFont="1" applyBorder="1">
      <alignment vertical="center"/>
    </xf>
    <xf numFmtId="192" fontId="34" fillId="0" borderId="8" xfId="7" applyNumberFormat="1" applyFont="1" applyBorder="1">
      <alignment vertical="center"/>
    </xf>
    <xf numFmtId="226" fontId="161" fillId="34" borderId="8" xfId="0" applyFont="1" applyFill="1" applyBorder="1">
      <alignment vertical="center"/>
    </xf>
    <xf numFmtId="226" fontId="34" fillId="0" borderId="8" xfId="0" applyFont="1" applyFill="1" applyBorder="1">
      <alignment vertical="center"/>
    </xf>
    <xf numFmtId="9" fontId="34" fillId="0" borderId="8" xfId="7" applyFont="1" applyBorder="1">
      <alignment vertical="center"/>
    </xf>
    <xf numFmtId="9" fontId="34" fillId="0" borderId="8" xfId="7" applyFont="1" applyFill="1" applyBorder="1">
      <alignment vertical="center"/>
    </xf>
    <xf numFmtId="226" fontId="34" fillId="34" borderId="8" xfId="0" applyFont="1" applyFill="1" applyBorder="1">
      <alignment vertical="center"/>
    </xf>
    <xf numFmtId="193" fontId="34" fillId="0" borderId="8" xfId="0" applyNumberFormat="1" applyFont="1" applyBorder="1" applyAlignment="1">
      <alignment horizontal="center" vertical="center"/>
    </xf>
    <xf numFmtId="226" fontId="161" fillId="42" borderId="0" xfId="0" applyFont="1" applyFill="1" applyBorder="1">
      <alignment vertical="center"/>
    </xf>
    <xf numFmtId="192" fontId="34" fillId="42" borderId="0" xfId="12" applyNumberFormat="1" applyFont="1" applyFill="1" applyBorder="1">
      <alignment vertical="center"/>
    </xf>
    <xf numFmtId="192" fontId="34" fillId="42" borderId="8" xfId="12" applyNumberFormat="1" applyFont="1" applyFill="1" applyBorder="1">
      <alignment vertical="center"/>
    </xf>
    <xf numFmtId="192" fontId="161" fillId="42" borderId="0" xfId="12" applyNumberFormat="1" applyFont="1" applyFill="1" applyBorder="1">
      <alignment vertical="center"/>
    </xf>
    <xf numFmtId="192" fontId="161" fillId="42" borderId="8" xfId="12" applyNumberFormat="1" applyFont="1" applyFill="1" applyBorder="1">
      <alignment vertical="center"/>
    </xf>
    <xf numFmtId="226" fontId="169" fillId="42" borderId="0" xfId="0" applyFont="1" applyFill="1" applyBorder="1">
      <alignment vertical="center"/>
    </xf>
    <xf numFmtId="9" fontId="169" fillId="42" borderId="0" xfId="7" applyFont="1" applyFill="1" applyBorder="1">
      <alignment vertical="center"/>
    </xf>
    <xf numFmtId="9" fontId="169" fillId="42" borderId="8" xfId="7" applyFont="1" applyFill="1" applyBorder="1">
      <alignment vertical="center"/>
    </xf>
    <xf numFmtId="0" fontId="161" fillId="0" borderId="0" xfId="0" applyNumberFormat="1" applyFont="1">
      <alignment vertical="center"/>
    </xf>
    <xf numFmtId="226" fontId="161" fillId="0" borderId="0" xfId="0" applyFont="1">
      <alignment vertical="center"/>
    </xf>
    <xf numFmtId="181" fontId="161" fillId="0" borderId="0" xfId="7" applyNumberFormat="1" applyFont="1" applyBorder="1" applyAlignment="1">
      <alignment horizontal="center" vertical="center"/>
    </xf>
    <xf numFmtId="181" fontId="161" fillId="0" borderId="8" xfId="7" applyNumberFormat="1" applyFont="1" applyBorder="1" applyAlignment="1">
      <alignment horizontal="center" vertical="center"/>
    </xf>
    <xf numFmtId="226" fontId="23" fillId="0" borderId="0" xfId="9" applyFont="1" applyFill="1" applyBorder="1" applyAlignment="1">
      <alignment horizontal="right"/>
    </xf>
    <xf numFmtId="226" fontId="10" fillId="0" borderId="59" xfId="13" applyFont="1" applyFill="1" applyBorder="1">
      <alignment vertical="center"/>
    </xf>
    <xf numFmtId="192" fontId="12" fillId="2" borderId="4" xfId="14" applyNumberFormat="1" applyFont="1" applyFill="1" applyBorder="1" applyAlignment="1">
      <alignment horizontal="center" vertical="center"/>
    </xf>
    <xf numFmtId="181" fontId="128" fillId="0" borderId="4" xfId="7" applyNumberFormat="1" applyFont="1" applyFill="1" applyBorder="1">
      <alignment vertical="center"/>
    </xf>
    <xf numFmtId="181" fontId="10" fillId="0" borderId="4" xfId="13" applyNumberFormat="1" applyFont="1" applyFill="1" applyBorder="1">
      <alignment vertical="center"/>
    </xf>
    <xf numFmtId="181" fontId="23" fillId="0" borderId="4" xfId="7" applyNumberFormat="1" applyFont="1" applyFill="1" applyBorder="1">
      <alignment vertical="center"/>
    </xf>
    <xf numFmtId="38" fontId="77" fillId="0" borderId="4" xfId="13" applyNumberFormat="1" applyFont="1" applyFill="1" applyBorder="1">
      <alignment vertical="center"/>
    </xf>
    <xf numFmtId="38" fontId="10" fillId="0" borderId="4" xfId="13" applyNumberFormat="1" applyFont="1" applyFill="1" applyBorder="1">
      <alignment vertical="center"/>
    </xf>
    <xf numFmtId="37" fontId="10" fillId="0" borderId="4" xfId="14" applyNumberFormat="1" applyFont="1" applyFill="1" applyBorder="1">
      <alignment vertical="center"/>
    </xf>
    <xf numFmtId="192" fontId="77" fillId="0" borderId="4" xfId="14" applyNumberFormat="1" applyFont="1" applyFill="1" applyBorder="1">
      <alignment vertical="center"/>
    </xf>
    <xf numFmtId="192" fontId="122" fillId="0" borderId="4" xfId="14" applyNumberFormat="1" applyFont="1" applyFill="1" applyBorder="1">
      <alignment vertical="center"/>
    </xf>
    <xf numFmtId="37" fontId="21" fillId="0" borderId="4" xfId="14" applyNumberFormat="1" applyFont="1" applyFill="1" applyBorder="1">
      <alignment vertical="center"/>
    </xf>
    <xf numFmtId="2" fontId="77" fillId="0" borderId="4" xfId="13" applyNumberFormat="1" applyFont="1" applyFill="1" applyBorder="1">
      <alignment vertical="center"/>
    </xf>
    <xf numFmtId="181" fontId="128" fillId="0" borderId="4" xfId="13" applyNumberFormat="1" applyFont="1" applyFill="1" applyBorder="1" applyAlignment="1">
      <alignment horizontal="right" vertical="center"/>
    </xf>
    <xf numFmtId="181" fontId="23" fillId="0" borderId="4" xfId="13" applyNumberFormat="1" applyFont="1" applyFill="1" applyBorder="1">
      <alignment vertical="center"/>
    </xf>
    <xf numFmtId="181" fontId="124" fillId="0" borderId="4" xfId="13" applyNumberFormat="1" applyFont="1" applyFill="1" applyBorder="1">
      <alignment vertical="center"/>
    </xf>
    <xf numFmtId="192" fontId="10" fillId="0" borderId="4" xfId="14" applyNumberFormat="1" applyFont="1" applyFill="1" applyBorder="1">
      <alignment vertical="center"/>
    </xf>
    <xf numFmtId="217" fontId="122" fillId="0" borderId="4" xfId="14" applyNumberFormat="1" applyFont="1" applyFill="1" applyBorder="1">
      <alignment vertical="center"/>
    </xf>
    <xf numFmtId="0" fontId="77" fillId="0" borderId="4" xfId="13" applyNumberFormat="1" applyFont="1" applyFill="1" applyBorder="1">
      <alignment vertical="center"/>
    </xf>
    <xf numFmtId="226" fontId="10" fillId="0" borderId="0" xfId="13" applyFont="1" applyFill="1" applyBorder="1" applyAlignment="1">
      <alignment vertical="center" wrapText="1"/>
    </xf>
    <xf numFmtId="192" fontId="77" fillId="0" borderId="4" xfId="12" applyNumberFormat="1" applyFont="1" applyFill="1" applyBorder="1">
      <alignment vertical="center"/>
    </xf>
    <xf numFmtId="226" fontId="10" fillId="0" borderId="0" xfId="7" applyNumberFormat="1" applyFont="1" applyFill="1" applyBorder="1">
      <alignment vertical="center"/>
    </xf>
    <xf numFmtId="3" fontId="131" fillId="0" borderId="0" xfId="0" applyNumberFormat="1" applyFont="1" applyFill="1" applyBorder="1" applyAlignment="1"/>
    <xf numFmtId="181" fontId="117" fillId="0" borderId="4" xfId="13" applyNumberFormat="1" applyFont="1" applyFill="1" applyBorder="1">
      <alignment vertical="center"/>
    </xf>
    <xf numFmtId="38" fontId="77" fillId="0" borderId="4" xfId="13" applyNumberFormat="1" applyFont="1" applyFill="1" applyBorder="1">
      <alignment vertical="center"/>
    </xf>
    <xf numFmtId="37" fontId="10" fillId="48" borderId="8" xfId="13" applyNumberFormat="1" applyFont="1" applyFill="1" applyBorder="1">
      <alignment vertical="center"/>
    </xf>
    <xf numFmtId="39" fontId="77" fillId="0" borderId="4" xfId="13" applyNumberFormat="1" applyFont="1" applyFill="1" applyBorder="1">
      <alignment vertical="center"/>
    </xf>
    <xf numFmtId="181" fontId="128" fillId="0" borderId="4" xfId="13" applyNumberFormat="1" applyFont="1" applyFill="1" applyBorder="1">
      <alignment vertical="center"/>
    </xf>
    <xf numFmtId="37" fontId="122" fillId="0" borderId="4" xfId="13" applyNumberFormat="1" applyFont="1" applyFill="1" applyBorder="1">
      <alignment vertical="center"/>
    </xf>
    <xf numFmtId="220" fontId="77" fillId="0" borderId="4" xfId="12" applyNumberFormat="1" applyFont="1" applyFill="1" applyBorder="1">
      <alignment vertical="center"/>
    </xf>
    <xf numFmtId="216" fontId="10" fillId="0" borderId="4" xfId="12" applyNumberFormat="1" applyFont="1" applyFill="1" applyBorder="1">
      <alignment vertical="center"/>
    </xf>
    <xf numFmtId="220" fontId="122" fillId="0" borderId="4" xfId="12" applyNumberFormat="1" applyFont="1" applyFill="1" applyBorder="1">
      <alignment vertical="center"/>
    </xf>
    <xf numFmtId="0" fontId="10" fillId="0" borderId="4" xfId="13" applyNumberFormat="1" applyFont="1" applyFill="1" applyBorder="1">
      <alignment vertical="center"/>
    </xf>
    <xf numFmtId="9" fontId="23" fillId="0" borderId="4" xfId="7" applyNumberFormat="1" applyFont="1" applyFill="1" applyBorder="1">
      <alignment vertical="center"/>
    </xf>
    <xf numFmtId="220" fontId="10" fillId="0" borderId="4" xfId="12" applyNumberFormat="1" applyFont="1" applyFill="1" applyBorder="1">
      <alignment vertical="center"/>
    </xf>
    <xf numFmtId="9" fontId="128" fillId="0" borderId="4" xfId="7" applyFont="1" applyFill="1" applyBorder="1" applyAlignment="1">
      <alignment horizontal="right" vertical="center"/>
    </xf>
    <xf numFmtId="1" fontId="10" fillId="0" borderId="4" xfId="13" applyNumberFormat="1" applyFont="1" applyFill="1" applyBorder="1">
      <alignment vertical="center"/>
    </xf>
    <xf numFmtId="194" fontId="10" fillId="0" borderId="4" xfId="10" applyNumberFormat="1" applyFont="1" applyFill="1" applyBorder="1" applyAlignment="1">
      <alignment horizontal="center" vertical="center"/>
    </xf>
    <xf numFmtId="3" fontId="131" fillId="0" borderId="8" xfId="0" applyNumberFormat="1" applyFont="1" applyFill="1" applyBorder="1" applyAlignment="1"/>
    <xf numFmtId="226" fontId="10" fillId="0" borderId="4" xfId="7" applyNumberFormat="1" applyFont="1" applyFill="1" applyBorder="1">
      <alignment vertical="center"/>
    </xf>
    <xf numFmtId="209" fontId="10" fillId="34" borderId="4" xfId="13" applyNumberFormat="1" applyFont="1" applyFill="1" applyBorder="1">
      <alignment vertical="center"/>
    </xf>
    <xf numFmtId="192" fontId="122" fillId="0" borderId="4" xfId="12" applyNumberFormat="1" applyFont="1" applyFill="1" applyBorder="1">
      <alignment vertical="center"/>
    </xf>
    <xf numFmtId="192" fontId="77" fillId="48" borderId="4" xfId="12" applyNumberFormat="1" applyFont="1" applyFill="1" applyBorder="1">
      <alignment vertical="center"/>
    </xf>
    <xf numFmtId="181" fontId="23" fillId="48" borderId="4" xfId="7" applyNumberFormat="1" applyFont="1" applyFill="1" applyBorder="1">
      <alignment vertical="center"/>
    </xf>
    <xf numFmtId="181" fontId="10" fillId="48" borderId="4" xfId="7" applyNumberFormat="1" applyFont="1" applyFill="1" applyBorder="1">
      <alignment vertical="center"/>
    </xf>
    <xf numFmtId="181" fontId="23" fillId="48" borderId="4" xfId="13" applyNumberFormat="1" applyFont="1" applyFill="1" applyBorder="1">
      <alignment vertical="center"/>
    </xf>
    <xf numFmtId="0" fontId="77" fillId="48" borderId="4" xfId="13" applyNumberFormat="1" applyFont="1" applyFill="1" applyBorder="1">
      <alignment vertical="center"/>
    </xf>
    <xf numFmtId="3" fontId="131" fillId="48" borderId="4" xfId="0" applyNumberFormat="1" applyFont="1" applyFill="1" applyBorder="1" applyAlignment="1"/>
    <xf numFmtId="181" fontId="7" fillId="48" borderId="0" xfId="7" applyNumberFormat="1" applyFont="1" applyFill="1" applyBorder="1">
      <alignment vertical="center"/>
    </xf>
    <xf numFmtId="181" fontId="126" fillId="0" borderId="0" xfId="7" applyNumberFormat="1" applyFont="1" applyBorder="1">
      <alignment vertical="center"/>
    </xf>
    <xf numFmtId="226" fontId="91" fillId="9" borderId="0" xfId="13" applyFont="1" applyFill="1">
      <alignment vertical="center"/>
    </xf>
    <xf numFmtId="192" fontId="34" fillId="0" borderId="8" xfId="12" applyNumberFormat="1" applyFont="1" applyFill="1" applyBorder="1">
      <alignment vertical="center"/>
    </xf>
    <xf numFmtId="9" fontId="168" fillId="0" borderId="0" xfId="7" applyFont="1" applyBorder="1" applyAlignment="1">
      <alignment horizontal="right" vertical="center"/>
    </xf>
    <xf numFmtId="181" fontId="34" fillId="0" borderId="0" xfId="7" applyNumberFormat="1" applyFont="1" applyBorder="1">
      <alignment vertical="center"/>
    </xf>
    <xf numFmtId="0" fontId="12" fillId="2" borderId="0" xfId="9" applyNumberFormat="1" applyFont="1" applyFill="1" applyBorder="1" applyAlignment="1">
      <alignment horizontal="center"/>
    </xf>
    <xf numFmtId="226" fontId="128" fillId="0" borderId="6" xfId="13" applyFont="1" applyFill="1" applyBorder="1">
      <alignment vertical="center"/>
    </xf>
    <xf numFmtId="37" fontId="10" fillId="0" borderId="6" xfId="13" applyNumberFormat="1" applyFont="1" applyFill="1" applyBorder="1" applyAlignment="1">
      <alignment horizontal="right" vertical="center"/>
    </xf>
    <xf numFmtId="37" fontId="10" fillId="0" borderId="6" xfId="14" applyNumberFormat="1" applyFont="1" applyFill="1" applyBorder="1">
      <alignment vertical="center"/>
    </xf>
    <xf numFmtId="37" fontId="21" fillId="0" borderId="6" xfId="14" applyNumberFormat="1" applyFont="1" applyFill="1" applyBorder="1">
      <alignment vertical="center"/>
    </xf>
    <xf numFmtId="192" fontId="10" fillId="0" borderId="6" xfId="7" applyNumberFormat="1" applyFont="1" applyFill="1" applyBorder="1">
      <alignment vertical="center"/>
    </xf>
    <xf numFmtId="192" fontId="12" fillId="51" borderId="6" xfId="14" applyNumberFormat="1" applyFont="1" applyFill="1" applyBorder="1" applyAlignment="1">
      <alignment horizontal="center" vertical="center"/>
    </xf>
    <xf numFmtId="192" fontId="12" fillId="51" borderId="4" xfId="14" applyNumberFormat="1" applyFont="1" applyFill="1" applyBorder="1" applyAlignment="1">
      <alignment horizontal="center" vertical="center"/>
    </xf>
    <xf numFmtId="0" fontId="12" fillId="51" borderId="6" xfId="9" applyNumberFormat="1" applyFont="1" applyFill="1" applyBorder="1" applyAlignment="1">
      <alignment horizontal="center"/>
    </xf>
    <xf numFmtId="0" fontId="12" fillId="51" borderId="4" xfId="9" applyNumberFormat="1" applyFont="1" applyFill="1" applyBorder="1" applyAlignment="1">
      <alignment horizontal="center"/>
    </xf>
    <xf numFmtId="178" fontId="77" fillId="0" borderId="6" xfId="14" applyNumberFormat="1" applyFont="1" applyFill="1" applyBorder="1">
      <alignment vertical="center"/>
    </xf>
    <xf numFmtId="226" fontId="12" fillId="34" borderId="27" xfId="9" applyFont="1" applyFill="1" applyBorder="1" applyAlignment="1">
      <alignment horizontal="center"/>
    </xf>
    <xf numFmtId="178" fontId="77" fillId="0" borderId="6" xfId="10" applyFont="1" applyFill="1" applyBorder="1" applyAlignment="1">
      <alignment horizontal="center"/>
    </xf>
    <xf numFmtId="9" fontId="77" fillId="0" borderId="6" xfId="7" applyNumberFormat="1" applyFont="1" applyFill="1" applyBorder="1" applyAlignment="1">
      <alignment horizontal="right"/>
    </xf>
    <xf numFmtId="9" fontId="10" fillId="0" borderId="6" xfId="7" applyNumberFormat="1" applyFont="1" applyFill="1" applyBorder="1" applyAlignment="1">
      <alignment horizontal="right"/>
    </xf>
    <xf numFmtId="181" fontId="117" fillId="0" borderId="6" xfId="7" applyNumberFormat="1" applyFont="1" applyFill="1" applyBorder="1" applyAlignment="1">
      <alignment horizontal="right" vertical="center"/>
    </xf>
    <xf numFmtId="181" fontId="117" fillId="0" borderId="6" xfId="7" applyNumberFormat="1" applyFont="1" applyFill="1" applyBorder="1">
      <alignment vertical="center"/>
    </xf>
    <xf numFmtId="192" fontId="77" fillId="37" borderId="6" xfId="12" applyNumberFormat="1" applyFont="1" applyFill="1" applyBorder="1">
      <alignment vertical="center"/>
    </xf>
    <xf numFmtId="181" fontId="23" fillId="37" borderId="6" xfId="13" applyNumberFormat="1" applyFont="1" applyFill="1" applyBorder="1">
      <alignment vertical="center"/>
    </xf>
    <xf numFmtId="209" fontId="10" fillId="34" borderId="6" xfId="9" applyNumberFormat="1" applyFont="1" applyFill="1" applyBorder="1" applyAlignment="1">
      <alignment horizontal="right"/>
    </xf>
    <xf numFmtId="178" fontId="10" fillId="0" borderId="6" xfId="10" applyFont="1" applyFill="1" applyBorder="1" applyAlignment="1">
      <alignment horizontal="center"/>
    </xf>
    <xf numFmtId="181" fontId="77" fillId="0" borderId="6" xfId="7" applyNumberFormat="1" applyFont="1" applyFill="1" applyBorder="1" applyAlignment="1">
      <alignment horizontal="right" vertical="center"/>
    </xf>
    <xf numFmtId="37" fontId="77" fillId="0" borderId="6" xfId="10" applyNumberFormat="1" applyFont="1" applyFill="1" applyBorder="1" applyAlignment="1">
      <alignment horizontal="center"/>
    </xf>
    <xf numFmtId="37" fontId="10" fillId="0" borderId="6" xfId="13" applyNumberFormat="1" applyFont="1" applyFill="1" applyBorder="1" applyAlignment="1">
      <alignment horizontal="center" vertical="center"/>
    </xf>
    <xf numFmtId="191" fontId="10" fillId="0" borderId="6" xfId="8" applyNumberFormat="1" applyFont="1" applyFill="1" applyBorder="1"/>
    <xf numFmtId="39" fontId="77" fillId="0" borderId="6" xfId="8" applyNumberFormat="1" applyFont="1" applyFill="1" applyBorder="1"/>
    <xf numFmtId="184" fontId="10" fillId="0" borderId="6" xfId="8" applyNumberFormat="1" applyFont="1" applyFill="1" applyBorder="1"/>
    <xf numFmtId="181" fontId="23" fillId="0" borderId="6" xfId="7" applyNumberFormat="1" applyFont="1" applyFill="1" applyBorder="1" applyAlignment="1">
      <alignment horizontal="right" vertical="center"/>
    </xf>
    <xf numFmtId="181" fontId="10" fillId="0" borderId="6" xfId="13" applyNumberFormat="1" applyFont="1" applyFill="1" applyBorder="1" applyAlignment="1">
      <alignment horizontal="center" vertical="center"/>
    </xf>
    <xf numFmtId="181" fontId="23" fillId="0" borderId="6" xfId="13" applyNumberFormat="1" applyFont="1" applyFill="1" applyBorder="1" applyAlignment="1">
      <alignment horizontal="center" vertical="center"/>
    </xf>
    <xf numFmtId="178" fontId="77" fillId="0" borderId="6" xfId="10" applyFont="1" applyFill="1" applyBorder="1" applyAlignment="1" applyProtection="1"/>
    <xf numFmtId="178" fontId="10" fillId="0" borderId="6" xfId="10" applyFont="1" applyFill="1" applyBorder="1" applyAlignment="1" applyProtection="1">
      <alignment vertical="center"/>
    </xf>
    <xf numFmtId="178" fontId="77" fillId="0" borderId="6" xfId="10" applyFont="1" applyFill="1" applyBorder="1" applyAlignment="1">
      <alignment horizontal="center" vertical="center"/>
    </xf>
    <xf numFmtId="181" fontId="10" fillId="0" borderId="6" xfId="10" applyNumberFormat="1" applyFont="1" applyFill="1" applyBorder="1" applyAlignment="1" applyProtection="1"/>
    <xf numFmtId="37" fontId="122" fillId="0" borderId="6" xfId="13" applyNumberFormat="1" applyFont="1" applyFill="1" applyBorder="1" applyAlignment="1">
      <alignment horizontal="center" vertical="center"/>
    </xf>
    <xf numFmtId="218" fontId="77" fillId="0" borderId="6" xfId="10" applyNumberFormat="1" applyFont="1" applyFill="1" applyBorder="1">
      <alignment vertical="center"/>
    </xf>
    <xf numFmtId="220" fontId="77" fillId="0" borderId="6" xfId="12" applyNumberFormat="1" applyFont="1" applyFill="1" applyBorder="1" applyAlignment="1">
      <alignment horizontal="center" vertical="center"/>
    </xf>
    <xf numFmtId="14" fontId="12" fillId="0" borderId="6" xfId="9" applyNumberFormat="1" applyFont="1" applyFill="1" applyBorder="1" applyAlignment="1">
      <alignment horizontal="right"/>
    </xf>
    <xf numFmtId="177" fontId="10" fillId="0" borderId="6" xfId="14" applyFont="1" applyFill="1" applyBorder="1" applyAlignment="1">
      <alignment horizontal="center" vertical="center"/>
    </xf>
    <xf numFmtId="226" fontId="10" fillId="37" borderId="6" xfId="13" applyFont="1" applyFill="1" applyBorder="1">
      <alignment vertical="center"/>
    </xf>
    <xf numFmtId="9" fontId="117" fillId="0" borderId="4" xfId="7" applyFont="1" applyFill="1" applyBorder="1">
      <alignment vertical="center"/>
    </xf>
    <xf numFmtId="192" fontId="10" fillId="0" borderId="4" xfId="7" applyNumberFormat="1" applyFont="1" applyFill="1" applyBorder="1">
      <alignment vertical="center"/>
    </xf>
    <xf numFmtId="37" fontId="77" fillId="0" borderId="4" xfId="10" applyNumberFormat="1" applyFont="1" applyFill="1" applyBorder="1">
      <alignment vertical="center"/>
    </xf>
    <xf numFmtId="37" fontId="10" fillId="0" borderId="4" xfId="10" applyNumberFormat="1" applyFont="1" applyFill="1" applyBorder="1">
      <alignment vertical="center"/>
    </xf>
    <xf numFmtId="178" fontId="10" fillId="0" borderId="4" xfId="10" applyFont="1" applyFill="1" applyBorder="1" applyAlignment="1" applyProtection="1">
      <alignment vertical="center"/>
    </xf>
    <xf numFmtId="181" fontId="10" fillId="0" borderId="4" xfId="10" applyNumberFormat="1" applyFont="1" applyFill="1" applyBorder="1" applyAlignment="1" applyProtection="1"/>
    <xf numFmtId="220" fontId="10" fillId="0" borderId="4" xfId="12" applyNumberFormat="1" applyFont="1" applyFill="1" applyBorder="1" applyAlignment="1">
      <alignment horizontal="center" vertical="center"/>
    </xf>
    <xf numFmtId="178" fontId="10" fillId="0" borderId="4" xfId="10" applyNumberFormat="1" applyFont="1" applyFill="1" applyBorder="1" applyAlignment="1">
      <alignment horizontal="center" vertical="center"/>
    </xf>
    <xf numFmtId="3" fontId="131" fillId="0" borderId="4" xfId="170" applyNumberFormat="1" applyFont="1" applyFill="1" applyBorder="1"/>
    <xf numFmtId="9" fontId="10" fillId="34" borderId="4" xfId="7" applyFont="1" applyFill="1" applyBorder="1">
      <alignment vertical="center"/>
    </xf>
    <xf numFmtId="3" fontId="77" fillId="0" borderId="4" xfId="7" applyNumberFormat="1" applyFont="1" applyFill="1" applyBorder="1">
      <alignment vertical="center"/>
    </xf>
    <xf numFmtId="40" fontId="10" fillId="0" borderId="4" xfId="13" applyNumberFormat="1" applyFont="1" applyFill="1" applyBorder="1">
      <alignment vertical="center"/>
    </xf>
    <xf numFmtId="9" fontId="10" fillId="0" borderId="4" xfId="13" applyNumberFormat="1" applyFont="1" applyFill="1" applyBorder="1">
      <alignment vertical="center"/>
    </xf>
    <xf numFmtId="181" fontId="77" fillId="0" borderId="4" xfId="13" applyNumberFormat="1" applyFont="1" applyFill="1" applyBorder="1">
      <alignment vertical="center"/>
    </xf>
    <xf numFmtId="226" fontId="10" fillId="0" borderId="27" xfId="13" applyFont="1" applyFill="1" applyBorder="1">
      <alignment vertical="center"/>
    </xf>
    <xf numFmtId="178" fontId="10" fillId="52" borderId="4" xfId="10" applyFont="1" applyFill="1" applyBorder="1">
      <alignment vertical="center"/>
    </xf>
    <xf numFmtId="9" fontId="23" fillId="52" borderId="4" xfId="13" applyNumberFormat="1" applyFont="1" applyFill="1" applyBorder="1">
      <alignment vertical="center"/>
    </xf>
    <xf numFmtId="181" fontId="77" fillId="52" borderId="4" xfId="7" applyNumberFormat="1" applyFont="1" applyFill="1" applyBorder="1">
      <alignment vertical="center"/>
    </xf>
    <xf numFmtId="192" fontId="77" fillId="52" borderId="4" xfId="12" applyNumberFormat="1" applyFont="1" applyFill="1" applyBorder="1">
      <alignment vertical="center"/>
    </xf>
    <xf numFmtId="181" fontId="23" fillId="52" borderId="4" xfId="13" applyNumberFormat="1" applyFont="1" applyFill="1" applyBorder="1">
      <alignment vertical="center"/>
    </xf>
    <xf numFmtId="37" fontId="77" fillId="52" borderId="4" xfId="13" applyNumberFormat="1" applyFont="1" applyFill="1" applyBorder="1">
      <alignment vertical="center"/>
    </xf>
    <xf numFmtId="37" fontId="10" fillId="52" borderId="4" xfId="13" applyNumberFormat="1" applyFont="1" applyFill="1" applyBorder="1">
      <alignment vertical="center"/>
    </xf>
    <xf numFmtId="192" fontId="10" fillId="52" borderId="4" xfId="12" applyNumberFormat="1" applyFont="1" applyFill="1" applyBorder="1">
      <alignment vertical="center"/>
    </xf>
    <xf numFmtId="3" fontId="131" fillId="0" borderId="4" xfId="0" applyNumberFormat="1" applyFont="1" applyFill="1" applyBorder="1" applyAlignment="1"/>
    <xf numFmtId="0" fontId="10" fillId="0" borderId="6" xfId="13" applyNumberFormat="1" applyFont="1" applyFill="1" applyBorder="1">
      <alignment vertical="center"/>
    </xf>
    <xf numFmtId="178" fontId="77" fillId="0" borderId="4" xfId="7" applyNumberFormat="1" applyFont="1" applyFill="1" applyBorder="1">
      <alignment vertical="center"/>
    </xf>
    <xf numFmtId="192" fontId="10" fillId="52" borderId="0" xfId="12" applyNumberFormat="1" applyFont="1" applyFill="1" applyBorder="1">
      <alignment vertical="center"/>
    </xf>
    <xf numFmtId="192" fontId="10" fillId="52" borderId="8" xfId="12" applyNumberFormat="1" applyFont="1" applyFill="1" applyBorder="1">
      <alignment vertical="center"/>
    </xf>
    <xf numFmtId="9" fontId="77" fillId="0" borderId="4" xfId="7" applyNumberFormat="1" applyFont="1" applyFill="1" applyBorder="1">
      <alignment vertical="center"/>
    </xf>
    <xf numFmtId="9" fontId="77" fillId="0" borderId="0" xfId="7" applyNumberFormat="1" applyFont="1" applyFill="1" applyBorder="1">
      <alignment vertical="center"/>
    </xf>
    <xf numFmtId="9" fontId="77" fillId="0" borderId="8" xfId="7" applyNumberFormat="1" applyFont="1" applyFill="1" applyBorder="1">
      <alignment vertical="center"/>
    </xf>
    <xf numFmtId="37" fontId="77" fillId="52" borderId="0" xfId="13" applyNumberFormat="1" applyFont="1" applyFill="1" applyBorder="1">
      <alignment vertical="center"/>
    </xf>
    <xf numFmtId="37" fontId="10" fillId="52" borderId="0" xfId="13" applyNumberFormat="1" applyFont="1" applyFill="1" applyBorder="1">
      <alignment vertical="center"/>
    </xf>
    <xf numFmtId="0" fontId="10" fillId="52" borderId="4" xfId="13" applyNumberFormat="1" applyFont="1" applyFill="1" applyBorder="1">
      <alignment vertical="center"/>
    </xf>
    <xf numFmtId="0" fontId="10" fillId="52" borderId="0" xfId="13" applyNumberFormat="1" applyFont="1" applyFill="1" applyBorder="1">
      <alignment vertical="center"/>
    </xf>
    <xf numFmtId="192" fontId="77" fillId="52" borderId="0" xfId="12" applyNumberFormat="1" applyFont="1" applyFill="1" applyBorder="1">
      <alignment vertical="center"/>
    </xf>
    <xf numFmtId="192" fontId="12" fillId="52" borderId="0" xfId="14" applyNumberFormat="1" applyFont="1" applyFill="1" applyBorder="1" applyAlignment="1">
      <alignment horizontal="center" vertical="center"/>
    </xf>
    <xf numFmtId="226" fontId="0" fillId="52" borderId="0" xfId="0" applyFill="1">
      <alignment vertical="center"/>
    </xf>
    <xf numFmtId="226" fontId="0" fillId="0" borderId="0" xfId="0" applyFill="1">
      <alignment vertical="center"/>
    </xf>
    <xf numFmtId="209" fontId="122" fillId="0" borderId="0" xfId="14" applyNumberFormat="1" applyFont="1" applyFill="1" applyBorder="1">
      <alignment vertical="center"/>
    </xf>
    <xf numFmtId="181" fontId="161" fillId="0" borderId="0" xfId="7" applyNumberFormat="1" applyFont="1" applyFill="1" applyBorder="1" applyAlignment="1">
      <alignment horizontal="center" vertical="center"/>
    </xf>
    <xf numFmtId="181" fontId="161" fillId="0" borderId="4" xfId="7" applyNumberFormat="1" applyFont="1" applyBorder="1" applyAlignment="1">
      <alignment horizontal="center" vertical="center"/>
    </xf>
    <xf numFmtId="9" fontId="164" fillId="0" borderId="4" xfId="7" applyFont="1" applyBorder="1">
      <alignment vertical="center"/>
    </xf>
    <xf numFmtId="9" fontId="169" fillId="42" borderId="0" xfId="7" applyNumberFormat="1" applyFont="1" applyFill="1" applyBorder="1">
      <alignment vertical="center"/>
    </xf>
    <xf numFmtId="192" fontId="34" fillId="0" borderId="4" xfId="12" applyNumberFormat="1" applyFont="1" applyBorder="1" applyAlignment="1">
      <alignment horizontal="center" vertical="center"/>
    </xf>
    <xf numFmtId="181" fontId="23" fillId="7" borderId="6" xfId="7" applyNumberFormat="1" applyFont="1" applyFill="1" applyBorder="1" applyAlignment="1">
      <alignment horizontal="left" wrapText="1" indent="2"/>
    </xf>
    <xf numFmtId="9" fontId="126" fillId="0" borderId="0" xfId="7" applyNumberFormat="1" applyFont="1" applyBorder="1">
      <alignment vertical="center"/>
    </xf>
    <xf numFmtId="9" fontId="10" fillId="7" borderId="6" xfId="9" applyNumberFormat="1" applyFont="1" applyFill="1" applyBorder="1" applyAlignment="1">
      <alignment horizontal="left" indent="1"/>
    </xf>
    <xf numFmtId="9" fontId="77" fillId="7" borderId="4" xfId="10" applyNumberFormat="1" applyFont="1" applyFill="1" applyBorder="1">
      <alignment vertical="center"/>
    </xf>
    <xf numFmtId="9" fontId="77" fillId="7" borderId="0" xfId="10" applyNumberFormat="1" applyFont="1" applyFill="1" applyBorder="1">
      <alignment vertical="center"/>
    </xf>
    <xf numFmtId="181" fontId="128" fillId="7" borderId="4" xfId="13" applyNumberFormat="1" applyFont="1" applyFill="1" applyBorder="1">
      <alignment vertical="center"/>
    </xf>
    <xf numFmtId="181" fontId="128" fillId="7" borderId="0" xfId="13" applyNumberFormat="1" applyFont="1" applyFill="1" applyBorder="1">
      <alignment vertical="center"/>
    </xf>
    <xf numFmtId="9" fontId="77" fillId="7" borderId="4" xfId="7" applyFont="1" applyFill="1" applyBorder="1">
      <alignment vertical="center"/>
    </xf>
    <xf numFmtId="9" fontId="77" fillId="7" borderId="0" xfId="7" applyFont="1" applyFill="1" applyBorder="1">
      <alignment vertical="center"/>
    </xf>
    <xf numFmtId="1" fontId="77" fillId="0" borderId="8" xfId="13" applyNumberFormat="1" applyFont="1" applyFill="1" applyBorder="1" applyAlignment="1">
      <alignment horizontal="right" vertical="center"/>
    </xf>
    <xf numFmtId="1" fontId="77" fillId="0" borderId="0" xfId="13" applyNumberFormat="1" applyFont="1" applyFill="1" applyBorder="1" applyAlignment="1">
      <alignment horizontal="right" vertical="center"/>
    </xf>
    <xf numFmtId="192" fontId="10" fillId="9" borderId="0" xfId="12" applyNumberFormat="1" applyFont="1" applyFill="1" applyBorder="1">
      <alignment vertical="center"/>
    </xf>
    <xf numFmtId="220" fontId="10" fillId="9" borderId="0" xfId="12" applyNumberFormat="1" applyFont="1" applyFill="1" applyBorder="1">
      <alignment vertical="center"/>
    </xf>
    <xf numFmtId="181" fontId="10" fillId="9" borderId="0" xfId="7" applyNumberFormat="1" applyFont="1" applyFill="1" applyBorder="1" applyAlignment="1">
      <alignment horizontal="right" vertical="center"/>
    </xf>
    <xf numFmtId="9" fontId="23" fillId="0" borderId="0" xfId="13" applyNumberFormat="1" applyFont="1" applyFill="1" applyBorder="1">
      <alignment vertical="center"/>
    </xf>
    <xf numFmtId="0" fontId="161" fillId="41" borderId="4" xfId="0" applyNumberFormat="1" applyFont="1" applyFill="1" applyBorder="1" applyAlignment="1">
      <alignment horizontal="center" vertical="center"/>
    </xf>
    <xf numFmtId="0" fontId="34" fillId="34" borderId="4" xfId="0" applyNumberFormat="1" applyFont="1" applyFill="1" applyBorder="1" applyAlignment="1">
      <alignment horizontal="center" vertical="center"/>
    </xf>
    <xf numFmtId="193" fontId="34" fillId="0" borderId="4" xfId="0" applyNumberFormat="1" applyFont="1" applyBorder="1" applyAlignment="1">
      <alignment horizontal="center" vertical="center"/>
    </xf>
    <xf numFmtId="9" fontId="168" fillId="0" borderId="4" xfId="7" applyFont="1" applyBorder="1" applyAlignment="1">
      <alignment horizontal="center" vertical="center"/>
    </xf>
    <xf numFmtId="0" fontId="34" fillId="0" borderId="4" xfId="0" applyNumberFormat="1" applyFont="1" applyBorder="1" applyAlignment="1">
      <alignment horizontal="center" vertical="center"/>
    </xf>
    <xf numFmtId="0" fontId="34" fillId="34" borderId="4" xfId="0" applyNumberFormat="1" applyFont="1" applyFill="1" applyBorder="1">
      <alignment vertical="center"/>
    </xf>
    <xf numFmtId="192" fontId="34" fillId="0" borderId="4" xfId="12" applyNumberFormat="1" applyFont="1" applyBorder="1">
      <alignment vertical="center"/>
    </xf>
    <xf numFmtId="192" fontId="161" fillId="0" borderId="4" xfId="12" applyNumberFormat="1" applyFont="1" applyBorder="1">
      <alignment vertical="center"/>
    </xf>
    <xf numFmtId="9" fontId="167" fillId="0" borderId="4" xfId="7" applyFont="1" applyBorder="1">
      <alignment vertical="center"/>
    </xf>
    <xf numFmtId="0" fontId="34" fillId="0" borderId="4" xfId="0" applyNumberFormat="1" applyFont="1" applyBorder="1">
      <alignment vertical="center"/>
    </xf>
    <xf numFmtId="192" fontId="34" fillId="42" borderId="4" xfId="12" applyNumberFormat="1" applyFont="1" applyFill="1" applyBorder="1">
      <alignment vertical="center"/>
    </xf>
    <xf numFmtId="192" fontId="34" fillId="0" borderId="4" xfId="0" applyNumberFormat="1" applyFont="1" applyBorder="1">
      <alignment vertical="center"/>
    </xf>
    <xf numFmtId="192" fontId="165" fillId="0" borderId="4" xfId="12" applyNumberFormat="1" applyFont="1" applyBorder="1">
      <alignment vertical="center"/>
    </xf>
    <xf numFmtId="177" fontId="34" fillId="0" borderId="4" xfId="12" applyFont="1" applyBorder="1">
      <alignment vertical="center"/>
    </xf>
    <xf numFmtId="226" fontId="34" fillId="0" borderId="4" xfId="0" applyFont="1" applyBorder="1">
      <alignment vertical="center"/>
    </xf>
    <xf numFmtId="192" fontId="34" fillId="0" borderId="4" xfId="7" applyNumberFormat="1" applyFont="1" applyBorder="1">
      <alignment vertical="center"/>
    </xf>
    <xf numFmtId="192" fontId="161" fillId="42" borderId="4" xfId="12" applyNumberFormat="1" applyFont="1" applyFill="1" applyBorder="1">
      <alignment vertical="center"/>
    </xf>
    <xf numFmtId="226" fontId="34" fillId="0" borderId="4" xfId="0" applyFont="1" applyFill="1" applyBorder="1">
      <alignment vertical="center"/>
    </xf>
    <xf numFmtId="9" fontId="34" fillId="0" borderId="4" xfId="7" applyFont="1" applyBorder="1">
      <alignment vertical="center"/>
    </xf>
    <xf numFmtId="9" fontId="34" fillId="0" borderId="4" xfId="7" applyFont="1" applyFill="1" applyBorder="1">
      <alignment vertical="center"/>
    </xf>
    <xf numFmtId="9" fontId="168" fillId="0" borderId="0" xfId="7" applyFont="1" applyFill="1" applyBorder="1" applyAlignment="1">
      <alignment horizontal="center" vertical="center"/>
    </xf>
    <xf numFmtId="9" fontId="23" fillId="0" borderId="4" xfId="13" applyNumberFormat="1" applyFont="1" applyFill="1" applyBorder="1">
      <alignment vertical="center"/>
    </xf>
    <xf numFmtId="9" fontId="34" fillId="0" borderId="0" xfId="0" applyNumberFormat="1" applyFont="1" applyBorder="1">
      <alignment vertical="center"/>
    </xf>
    <xf numFmtId="181" fontId="128" fillId="7" borderId="6" xfId="13" applyNumberFormat="1" applyFont="1" applyFill="1" applyBorder="1" applyAlignment="1">
      <alignment horizontal="right" vertical="center"/>
    </xf>
    <xf numFmtId="177" fontId="10" fillId="0" borderId="0" xfId="12" applyFont="1" applyFill="1" applyBorder="1">
      <alignment vertical="center"/>
    </xf>
    <xf numFmtId="177" fontId="10" fillId="0" borderId="8" xfId="12" applyFont="1" applyFill="1" applyBorder="1">
      <alignment vertical="center"/>
    </xf>
    <xf numFmtId="209" fontId="122" fillId="0" borderId="8" xfId="14" applyNumberFormat="1" applyFont="1" applyFill="1" applyBorder="1">
      <alignment vertical="center"/>
    </xf>
    <xf numFmtId="9" fontId="128" fillId="7" borderId="0" xfId="13" applyNumberFormat="1" applyFont="1" applyFill="1" applyBorder="1">
      <alignment vertical="center"/>
    </xf>
    <xf numFmtId="9" fontId="77" fillId="7" borderId="8" xfId="10" applyNumberFormat="1" applyFont="1" applyFill="1" applyBorder="1">
      <alignment vertical="center"/>
    </xf>
    <xf numFmtId="37" fontId="10" fillId="52" borderId="8" xfId="13" applyNumberFormat="1" applyFont="1" applyFill="1" applyBorder="1">
      <alignment vertical="center"/>
    </xf>
    <xf numFmtId="0" fontId="10" fillId="52" borderId="8" xfId="13" applyNumberFormat="1" applyFont="1" applyFill="1" applyBorder="1">
      <alignment vertical="center"/>
    </xf>
    <xf numFmtId="181" fontId="128" fillId="7" borderId="8" xfId="13" applyNumberFormat="1" applyFont="1" applyFill="1" applyBorder="1">
      <alignment vertical="center"/>
    </xf>
    <xf numFmtId="9" fontId="77" fillId="7" borderId="8" xfId="7" applyFont="1" applyFill="1" applyBorder="1">
      <alignment vertical="center"/>
    </xf>
    <xf numFmtId="192" fontId="10" fillId="9" borderId="8" xfId="12" applyNumberFormat="1" applyFont="1" applyFill="1" applyBorder="1">
      <alignment vertical="center"/>
    </xf>
    <xf numFmtId="220" fontId="10" fillId="9" borderId="8" xfId="12" applyNumberFormat="1" applyFont="1" applyFill="1" applyBorder="1">
      <alignment vertical="center"/>
    </xf>
    <xf numFmtId="181" fontId="10" fillId="9" borderId="8" xfId="7" applyNumberFormat="1" applyFont="1" applyFill="1" applyBorder="1" applyAlignment="1">
      <alignment horizontal="right" vertical="center"/>
    </xf>
    <xf numFmtId="192" fontId="34" fillId="0" borderId="8" xfId="12" applyNumberFormat="1" applyFont="1" applyFill="1" applyBorder="1" applyAlignment="1">
      <alignment horizontal="center" vertical="center"/>
    </xf>
    <xf numFmtId="181" fontId="161" fillId="0" borderId="8" xfId="7" applyNumberFormat="1" applyFont="1" applyFill="1" applyBorder="1" applyAlignment="1">
      <alignment horizontal="center" vertical="center"/>
    </xf>
    <xf numFmtId="181" fontId="34" fillId="0" borderId="8" xfId="7" applyNumberFormat="1" applyFont="1" applyBorder="1">
      <alignment vertical="center"/>
    </xf>
    <xf numFmtId="9" fontId="169" fillId="42" borderId="8" xfId="7" applyNumberFormat="1" applyFont="1" applyFill="1" applyBorder="1">
      <alignment vertical="center"/>
    </xf>
    <xf numFmtId="9" fontId="168" fillId="0" borderId="8" xfId="7" applyFont="1" applyBorder="1" applyAlignment="1">
      <alignment horizontal="right" vertical="center"/>
    </xf>
    <xf numFmtId="9" fontId="34" fillId="0" borderId="8" xfId="0" applyNumberFormat="1" applyFont="1" applyBorder="1">
      <alignment vertical="center"/>
    </xf>
    <xf numFmtId="9" fontId="34" fillId="0" borderId="8" xfId="7" applyNumberFormat="1" applyFont="1" applyBorder="1">
      <alignment vertical="center"/>
    </xf>
    <xf numFmtId="9" fontId="34" fillId="0" borderId="8" xfId="7" applyNumberFormat="1" applyFont="1" applyFill="1" applyBorder="1">
      <alignment vertical="center"/>
    </xf>
    <xf numFmtId="9" fontId="34" fillId="34" borderId="0" xfId="7" applyFont="1" applyFill="1" applyBorder="1" applyAlignment="1">
      <alignment horizontal="center" vertical="center"/>
    </xf>
    <xf numFmtId="9" fontId="34" fillId="0" borderId="0" xfId="7" applyFont="1" applyFill="1" applyBorder="1" applyAlignment="1">
      <alignment horizontal="center" vertical="center"/>
    </xf>
    <xf numFmtId="9" fontId="167" fillId="0" borderId="0" xfId="7" applyFont="1" applyFill="1" applyBorder="1" applyAlignment="1">
      <alignment horizontal="center" vertical="center"/>
    </xf>
    <xf numFmtId="181" fontId="23" fillId="7" borderId="0" xfId="13" applyNumberFormat="1" applyFont="1" applyFill="1" applyBorder="1" applyAlignment="1">
      <alignment horizontal="right" vertical="center"/>
    </xf>
    <xf numFmtId="181" fontId="23" fillId="7" borderId="8" xfId="13" applyNumberFormat="1" applyFont="1" applyFill="1" applyBorder="1" applyAlignment="1">
      <alignment horizontal="right" vertical="center"/>
    </xf>
    <xf numFmtId="181" fontId="23" fillId="7" borderId="0" xfId="7" applyNumberFormat="1" applyFont="1" applyFill="1" applyBorder="1">
      <alignment vertical="center"/>
    </xf>
    <xf numFmtId="181" fontId="23" fillId="7" borderId="8" xfId="7" applyNumberFormat="1" applyFont="1" applyFill="1" applyBorder="1">
      <alignment vertical="center"/>
    </xf>
    <xf numFmtId="9" fontId="23" fillId="7" borderId="0" xfId="7" applyNumberFormat="1" applyFont="1" applyFill="1" applyBorder="1">
      <alignment vertical="center"/>
    </xf>
    <xf numFmtId="226" fontId="71" fillId="52" borderId="0" xfId="13" applyFont="1" applyFill="1" applyBorder="1" applyAlignment="1">
      <alignment horizontal="center" vertical="center"/>
    </xf>
    <xf numFmtId="9" fontId="7" fillId="48" borderId="0" xfId="7" applyNumberFormat="1" applyFont="1" applyFill="1" applyBorder="1">
      <alignment vertical="center"/>
    </xf>
    <xf numFmtId="9" fontId="12" fillId="0" borderId="6" xfId="7" applyFont="1" applyFill="1" applyBorder="1">
      <alignment vertical="center"/>
    </xf>
    <xf numFmtId="193" fontId="34" fillId="0" borderId="0" xfId="0" applyNumberFormat="1" applyFont="1">
      <alignment vertical="center"/>
    </xf>
    <xf numFmtId="188" fontId="77" fillId="0" borderId="8" xfId="7" applyNumberFormat="1" applyFont="1" applyFill="1" applyBorder="1">
      <alignment vertical="center"/>
    </xf>
    <xf numFmtId="177" fontId="77" fillId="0" borderId="6" xfId="12" applyFont="1" applyFill="1" applyBorder="1">
      <alignment vertical="center"/>
    </xf>
    <xf numFmtId="226" fontId="10" fillId="0" borderId="0" xfId="13" applyFont="1" applyFill="1" applyBorder="1" applyAlignment="1">
      <alignment vertical="center" wrapText="1"/>
    </xf>
    <xf numFmtId="9" fontId="23" fillId="0" borderId="8" xfId="13" applyNumberFormat="1" applyFont="1" applyFill="1" applyBorder="1">
      <alignment vertical="center"/>
    </xf>
    <xf numFmtId="9" fontId="128" fillId="7" borderId="8" xfId="13" applyNumberFormat="1" applyFont="1" applyFill="1" applyBorder="1">
      <alignment vertical="center"/>
    </xf>
    <xf numFmtId="10" fontId="77" fillId="7" borderId="0" xfId="10" applyNumberFormat="1" applyFont="1" applyFill="1" applyBorder="1">
      <alignment vertical="center"/>
    </xf>
    <xf numFmtId="181" fontId="10" fillId="7" borderId="0" xfId="7" applyNumberFormat="1" applyFont="1" applyFill="1" applyBorder="1">
      <alignment vertical="center"/>
    </xf>
    <xf numFmtId="181" fontId="10" fillId="7" borderId="8" xfId="7" applyNumberFormat="1" applyFont="1" applyFill="1" applyBorder="1">
      <alignment vertical="center"/>
    </xf>
    <xf numFmtId="181" fontId="10" fillId="7" borderId="0" xfId="7" applyNumberFormat="1" applyFont="1" applyFill="1" applyBorder="1" applyAlignment="1">
      <alignment horizontal="right" vertical="center"/>
    </xf>
    <xf numFmtId="181" fontId="10" fillId="7" borderId="0" xfId="7" applyNumberFormat="1" applyFont="1" applyFill="1" applyBorder="1" applyAlignment="1">
      <alignment horizontal="center" vertical="center"/>
    </xf>
    <xf numFmtId="181" fontId="10" fillId="7" borderId="4" xfId="7" applyNumberFormat="1" applyFont="1" applyFill="1" applyBorder="1" applyAlignment="1">
      <alignment horizontal="right" vertical="center"/>
    </xf>
    <xf numFmtId="181" fontId="10" fillId="7" borderId="8" xfId="7" applyNumberFormat="1" applyFont="1" applyFill="1" applyBorder="1" applyAlignment="1">
      <alignment horizontal="right" vertical="center"/>
    </xf>
    <xf numFmtId="181" fontId="23" fillId="7" borderId="0" xfId="13" applyNumberFormat="1" applyFont="1" applyFill="1" applyBorder="1">
      <alignment vertical="center"/>
    </xf>
    <xf numFmtId="181" fontId="23" fillId="7" borderId="8" xfId="13" applyNumberFormat="1" applyFont="1" applyFill="1" applyBorder="1">
      <alignment vertical="center"/>
    </xf>
    <xf numFmtId="181" fontId="23" fillId="7" borderId="4" xfId="13" applyNumberFormat="1" applyFont="1" applyFill="1" applyBorder="1">
      <alignment vertical="center"/>
    </xf>
    <xf numFmtId="9" fontId="23" fillId="7" borderId="0" xfId="13" applyNumberFormat="1" applyFont="1" applyFill="1" applyBorder="1">
      <alignment vertical="center"/>
    </xf>
    <xf numFmtId="9" fontId="23" fillId="7" borderId="8" xfId="13" applyNumberFormat="1" applyFont="1" applyFill="1" applyBorder="1">
      <alignment vertical="center"/>
    </xf>
    <xf numFmtId="181" fontId="23" fillId="7" borderId="6" xfId="13" applyNumberFormat="1" applyFont="1" applyFill="1" applyBorder="1">
      <alignment vertical="center"/>
    </xf>
    <xf numFmtId="9" fontId="23" fillId="7" borderId="4" xfId="13" applyNumberFormat="1" applyFont="1" applyFill="1" applyBorder="1">
      <alignment vertical="center"/>
    </xf>
    <xf numFmtId="178" fontId="77" fillId="7" borderId="4" xfId="7" applyNumberFormat="1" applyFont="1" applyFill="1" applyBorder="1">
      <alignment vertical="center"/>
    </xf>
    <xf numFmtId="38" fontId="10" fillId="7" borderId="0" xfId="13" applyNumberFormat="1" applyFont="1" applyFill="1" applyBorder="1">
      <alignment vertical="center"/>
    </xf>
    <xf numFmtId="38" fontId="10" fillId="7" borderId="8" xfId="13" applyNumberFormat="1" applyFont="1" applyFill="1" applyBorder="1">
      <alignment vertical="center"/>
    </xf>
    <xf numFmtId="38" fontId="10" fillId="7" borderId="0" xfId="13" applyNumberFormat="1" applyFont="1" applyFill="1" applyBorder="1" applyAlignment="1">
      <alignment horizontal="right" vertical="center"/>
    </xf>
    <xf numFmtId="38" fontId="23" fillId="7" borderId="8" xfId="13" applyNumberFormat="1" applyFont="1" applyFill="1" applyBorder="1">
      <alignment vertical="center"/>
    </xf>
    <xf numFmtId="38" fontId="10" fillId="7" borderId="0" xfId="13" applyNumberFormat="1" applyFont="1" applyFill="1" applyBorder="1" applyAlignment="1">
      <alignment horizontal="center" vertical="center"/>
    </xf>
    <xf numFmtId="38" fontId="10" fillId="7" borderId="4" xfId="13" applyNumberFormat="1" applyFont="1" applyFill="1" applyBorder="1" applyAlignment="1">
      <alignment horizontal="right" vertical="center"/>
    </xf>
    <xf numFmtId="38" fontId="10" fillId="7" borderId="8" xfId="13" applyNumberFormat="1" applyFont="1" applyFill="1" applyBorder="1" applyAlignment="1">
      <alignment horizontal="right" vertical="center"/>
    </xf>
    <xf numFmtId="181" fontId="23" fillId="7" borderId="4" xfId="7" applyNumberFormat="1" applyFont="1" applyFill="1" applyBorder="1">
      <alignment vertical="center"/>
    </xf>
    <xf numFmtId="38" fontId="10" fillId="7" borderId="4" xfId="13" applyNumberFormat="1" applyFont="1" applyFill="1" applyBorder="1">
      <alignment vertical="center"/>
    </xf>
    <xf numFmtId="9" fontId="10" fillId="7" borderId="4" xfId="7" applyFont="1" applyFill="1" applyBorder="1">
      <alignment vertical="center"/>
    </xf>
    <xf numFmtId="9" fontId="10" fillId="7" borderId="0" xfId="7" applyFont="1" applyFill="1" applyBorder="1">
      <alignment vertical="center"/>
    </xf>
    <xf numFmtId="9" fontId="10" fillId="7" borderId="8" xfId="7" applyFont="1" applyFill="1" applyBorder="1">
      <alignment vertical="center"/>
    </xf>
    <xf numFmtId="38" fontId="10" fillId="7" borderId="6" xfId="13" applyNumberFormat="1" applyFont="1" applyFill="1" applyBorder="1" applyAlignment="1">
      <alignment horizontal="right" vertical="center"/>
    </xf>
    <xf numFmtId="38" fontId="10" fillId="7" borderId="6" xfId="13" applyNumberFormat="1" applyFont="1" applyFill="1" applyBorder="1">
      <alignment vertical="center"/>
    </xf>
    <xf numFmtId="181" fontId="10" fillId="7" borderId="0" xfId="13" applyNumberFormat="1" applyFont="1" applyFill="1" applyBorder="1">
      <alignment vertical="center"/>
    </xf>
    <xf numFmtId="181" fontId="10" fillId="7" borderId="8" xfId="13" applyNumberFormat="1" applyFont="1" applyFill="1" applyBorder="1">
      <alignment vertical="center"/>
    </xf>
    <xf numFmtId="181" fontId="10" fillId="7" borderId="4" xfId="13" applyNumberFormat="1" applyFont="1" applyFill="1" applyBorder="1">
      <alignment vertical="center"/>
    </xf>
    <xf numFmtId="181" fontId="10" fillId="7" borderId="6" xfId="13" applyNumberFormat="1" applyFont="1" applyFill="1" applyBorder="1">
      <alignment vertical="center"/>
    </xf>
    <xf numFmtId="37" fontId="10" fillId="0" borderId="6" xfId="9" quotePrefix="1" applyNumberFormat="1" applyFont="1" applyFill="1" applyBorder="1" applyAlignment="1">
      <alignment horizontal="left" indent="2"/>
    </xf>
    <xf numFmtId="37" fontId="10" fillId="0" borderId="4" xfId="9" applyNumberFormat="1" applyFont="1" applyFill="1" applyBorder="1" applyAlignment="1">
      <alignment horizontal="left" indent="2"/>
    </xf>
    <xf numFmtId="9" fontId="10" fillId="7" borderId="6" xfId="9" applyNumberFormat="1" applyFont="1" applyFill="1" applyBorder="1" applyAlignment="1">
      <alignment horizontal="left" indent="2"/>
    </xf>
    <xf numFmtId="220" fontId="34" fillId="0" borderId="0" xfId="12" applyNumberFormat="1" applyFont="1" applyBorder="1">
      <alignment vertical="center"/>
    </xf>
    <xf numFmtId="181" fontId="34" fillId="0" borderId="0" xfId="7" applyNumberFormat="1" applyFont="1" applyFill="1" applyBorder="1">
      <alignment vertical="center"/>
    </xf>
    <xf numFmtId="181" fontId="34" fillId="0" borderId="0" xfId="0" applyNumberFormat="1" applyFont="1" applyBorder="1">
      <alignment vertical="center"/>
    </xf>
    <xf numFmtId="9" fontId="10" fillId="9" borderId="4" xfId="7" applyFont="1" applyFill="1" applyBorder="1">
      <alignment vertical="center"/>
    </xf>
    <xf numFmtId="192" fontId="77" fillId="9" borderId="0" xfId="12" applyNumberFormat="1" applyFont="1" applyFill="1" applyBorder="1">
      <alignment vertical="center"/>
    </xf>
    <xf numFmtId="9" fontId="23" fillId="9" borderId="0" xfId="13" applyNumberFormat="1" applyFont="1" applyFill="1" applyBorder="1">
      <alignment vertical="center"/>
    </xf>
    <xf numFmtId="0" fontId="77" fillId="9" borderId="0" xfId="13" applyNumberFormat="1" applyFont="1" applyFill="1" applyBorder="1">
      <alignment vertical="center"/>
    </xf>
    <xf numFmtId="0" fontId="10" fillId="9" borderId="0" xfId="13" applyNumberFormat="1" applyFont="1" applyFill="1" applyBorder="1">
      <alignment vertical="center"/>
    </xf>
    <xf numFmtId="9" fontId="23" fillId="9" borderId="0" xfId="7" applyNumberFormat="1" applyFont="1" applyFill="1" applyBorder="1">
      <alignment vertical="center"/>
    </xf>
    <xf numFmtId="9" fontId="77" fillId="9" borderId="0" xfId="7" applyFont="1" applyFill="1" applyBorder="1">
      <alignment vertical="center"/>
    </xf>
    <xf numFmtId="37" fontId="127" fillId="0" borderId="0" xfId="13" applyNumberFormat="1" applyFont="1" applyFill="1" applyBorder="1">
      <alignment vertical="center"/>
    </xf>
    <xf numFmtId="192" fontId="10" fillId="52" borderId="0" xfId="14" applyNumberFormat="1" applyFont="1" applyFill="1" applyBorder="1" applyAlignment="1">
      <alignment horizontal="center" vertical="center"/>
    </xf>
    <xf numFmtId="220" fontId="12" fillId="9" borderId="0" xfId="12" applyNumberFormat="1" applyFont="1" applyFill="1" applyBorder="1">
      <alignment vertical="center"/>
    </xf>
    <xf numFmtId="0" fontId="161" fillId="34" borderId="0" xfId="0" applyNumberFormat="1" applyFont="1" applyFill="1" applyBorder="1" applyAlignment="1">
      <alignment horizontal="center" vertical="center"/>
    </xf>
    <xf numFmtId="193" fontId="161" fillId="0" borderId="0" xfId="0" applyNumberFormat="1" applyFont="1" applyBorder="1" applyAlignment="1">
      <alignment horizontal="center" vertical="center"/>
    </xf>
    <xf numFmtId="9" fontId="170" fillId="0" borderId="0" xfId="7" applyFont="1" applyBorder="1" applyAlignment="1">
      <alignment horizontal="center" vertical="center"/>
    </xf>
    <xf numFmtId="192" fontId="161" fillId="0" borderId="0" xfId="12" applyNumberFormat="1" applyFont="1" applyFill="1" applyBorder="1" applyAlignment="1">
      <alignment horizontal="center" vertical="center"/>
    </xf>
    <xf numFmtId="192" fontId="161" fillId="0" borderId="0" xfId="12" applyNumberFormat="1" applyFont="1" applyBorder="1" applyAlignment="1">
      <alignment horizontal="center" vertical="center"/>
    </xf>
    <xf numFmtId="0" fontId="161" fillId="34" borderId="0" xfId="0" applyNumberFormat="1" applyFont="1" applyFill="1" applyBorder="1">
      <alignment vertical="center"/>
    </xf>
    <xf numFmtId="181" fontId="161" fillId="0" borderId="0" xfId="7" applyNumberFormat="1" applyFont="1" applyBorder="1">
      <alignment vertical="center"/>
    </xf>
    <xf numFmtId="9" fontId="169" fillId="0" borderId="0" xfId="7" applyFont="1" applyBorder="1">
      <alignment vertical="center"/>
    </xf>
    <xf numFmtId="0" fontId="161" fillId="0" borderId="0" xfId="0" applyNumberFormat="1" applyFont="1" applyBorder="1">
      <alignment vertical="center"/>
    </xf>
    <xf numFmtId="192" fontId="161" fillId="0" borderId="0" xfId="0" applyNumberFormat="1" applyFont="1" applyBorder="1">
      <alignment vertical="center"/>
    </xf>
    <xf numFmtId="192" fontId="171" fillId="0" borderId="0" xfId="12" applyNumberFormat="1" applyFont="1" applyBorder="1">
      <alignment vertical="center"/>
    </xf>
    <xf numFmtId="9" fontId="172" fillId="0" borderId="0" xfId="7" applyFont="1" applyBorder="1">
      <alignment vertical="center"/>
    </xf>
    <xf numFmtId="192" fontId="161" fillId="0" borderId="0" xfId="7" applyNumberFormat="1" applyFont="1" applyBorder="1">
      <alignment vertical="center"/>
    </xf>
    <xf numFmtId="9" fontId="161" fillId="0" borderId="0" xfId="7" applyFont="1" applyBorder="1">
      <alignment vertical="center"/>
    </xf>
    <xf numFmtId="9" fontId="161" fillId="0" borderId="0" xfId="7" applyFont="1" applyFill="1" applyBorder="1">
      <alignment vertical="center"/>
    </xf>
    <xf numFmtId="9" fontId="170" fillId="0" borderId="0" xfId="7" applyFont="1" applyBorder="1" applyAlignment="1">
      <alignment horizontal="right" vertical="center"/>
    </xf>
    <xf numFmtId="9" fontId="161" fillId="0" borderId="0" xfId="0" applyNumberFormat="1" applyFont="1" applyBorder="1">
      <alignment vertical="center"/>
    </xf>
    <xf numFmtId="9" fontId="167" fillId="0" borderId="0" xfId="0" applyNumberFormat="1" applyFont="1" applyFill="1" applyBorder="1" applyAlignment="1">
      <alignment horizontal="center" vertical="center"/>
    </xf>
    <xf numFmtId="192" fontId="161" fillId="9" borderId="0" xfId="12" applyNumberFormat="1" applyFont="1" applyFill="1" applyBorder="1">
      <alignment vertical="center"/>
    </xf>
    <xf numFmtId="192" fontId="77" fillId="53" borderId="0" xfId="12" applyNumberFormat="1" applyFont="1" applyFill="1" applyBorder="1">
      <alignment vertical="center"/>
    </xf>
    <xf numFmtId="226" fontId="10" fillId="34" borderId="0" xfId="9" applyFont="1" applyFill="1" applyBorder="1" applyAlignment="1">
      <alignment horizontal="center"/>
    </xf>
    <xf numFmtId="178" fontId="127" fillId="0" borderId="8" xfId="10" applyFont="1" applyFill="1" applyBorder="1">
      <alignment vertical="center"/>
    </xf>
    <xf numFmtId="181" fontId="12" fillId="0" borderId="0" xfId="13" applyNumberFormat="1" applyFont="1" applyFill="1" applyBorder="1">
      <alignment vertical="center"/>
    </xf>
    <xf numFmtId="181" fontId="12" fillId="0" borderId="8" xfId="13" applyNumberFormat="1" applyFont="1" applyFill="1" applyBorder="1">
      <alignment vertical="center"/>
    </xf>
    <xf numFmtId="178" fontId="127" fillId="0" borderId="0" xfId="10" applyFont="1" applyFill="1" applyBorder="1">
      <alignment vertical="center"/>
    </xf>
    <xf numFmtId="9" fontId="24" fillId="0" borderId="8" xfId="7" applyNumberFormat="1" applyFont="1" applyFill="1" applyBorder="1">
      <alignment vertical="center"/>
    </xf>
    <xf numFmtId="9" fontId="12" fillId="0" borderId="8" xfId="7" applyFont="1" applyFill="1" applyBorder="1">
      <alignment vertical="center"/>
    </xf>
    <xf numFmtId="38" fontId="12" fillId="0" borderId="8" xfId="13" applyNumberFormat="1" applyFont="1" applyFill="1" applyBorder="1">
      <alignment vertical="center"/>
    </xf>
    <xf numFmtId="38" fontId="127" fillId="0" borderId="0" xfId="13" applyNumberFormat="1" applyFont="1" applyFill="1" applyBorder="1">
      <alignment vertical="center"/>
    </xf>
    <xf numFmtId="38" fontId="127" fillId="0" borderId="8" xfId="13" applyNumberFormat="1" applyFont="1" applyFill="1" applyBorder="1">
      <alignment vertical="center"/>
    </xf>
    <xf numFmtId="38" fontId="12" fillId="0" borderId="0" xfId="13" applyNumberFormat="1" applyFont="1" applyFill="1" applyBorder="1">
      <alignment vertical="center"/>
    </xf>
    <xf numFmtId="9" fontId="127" fillId="0" borderId="8" xfId="7" applyFont="1" applyFill="1" applyBorder="1">
      <alignment vertical="center"/>
    </xf>
    <xf numFmtId="37" fontId="12" fillId="0" borderId="8" xfId="13" applyNumberFormat="1" applyFont="1" applyFill="1" applyBorder="1">
      <alignment vertical="center"/>
    </xf>
    <xf numFmtId="37" fontId="12" fillId="0" borderId="0" xfId="13" applyNumberFormat="1" applyFont="1" applyFill="1" applyBorder="1" applyAlignment="1">
      <alignment horizontal="right" vertical="center"/>
    </xf>
    <xf numFmtId="37" fontId="12" fillId="0" borderId="0" xfId="14" applyNumberFormat="1" applyFont="1" applyFill="1" applyBorder="1">
      <alignment vertical="center"/>
    </xf>
    <xf numFmtId="37" fontId="12" fillId="0" borderId="8" xfId="14" applyNumberFormat="1" applyFont="1" applyFill="1" applyBorder="1">
      <alignment vertical="center"/>
    </xf>
    <xf numFmtId="192" fontId="127" fillId="0" borderId="0" xfId="14" applyNumberFormat="1" applyFont="1" applyFill="1" applyBorder="1">
      <alignment vertical="center"/>
    </xf>
    <xf numFmtId="192" fontId="121" fillId="0" borderId="8" xfId="14" applyNumberFormat="1" applyFont="1" applyFill="1" applyBorder="1">
      <alignment vertical="center"/>
    </xf>
    <xf numFmtId="37" fontId="127" fillId="0" borderId="8" xfId="13" applyNumberFormat="1" applyFont="1" applyFill="1" applyBorder="1">
      <alignment vertical="center"/>
    </xf>
    <xf numFmtId="2" fontId="127" fillId="0" borderId="8" xfId="13" applyNumberFormat="1" applyFont="1" applyFill="1" applyBorder="1">
      <alignment vertical="center"/>
    </xf>
    <xf numFmtId="181" fontId="12" fillId="0" borderId="8" xfId="13" applyNumberFormat="1" applyFont="1" applyFill="1" applyBorder="1" applyAlignment="1">
      <alignment horizontal="right" vertical="center"/>
    </xf>
    <xf numFmtId="181" fontId="12" fillId="0" borderId="0" xfId="13" applyNumberFormat="1" applyFont="1" applyFill="1" applyBorder="1" applyAlignment="1">
      <alignment horizontal="right" vertical="center"/>
    </xf>
    <xf numFmtId="181" fontId="129" fillId="0" borderId="0" xfId="13" applyNumberFormat="1" applyFont="1" applyFill="1" applyBorder="1" applyAlignment="1">
      <alignment horizontal="right" vertical="center"/>
    </xf>
    <xf numFmtId="9" fontId="129" fillId="0" borderId="0" xfId="7" applyFont="1" applyFill="1" applyBorder="1" applyAlignment="1">
      <alignment horizontal="right" vertical="center"/>
    </xf>
    <xf numFmtId="181" fontId="24" fillId="7" borderId="0" xfId="13" applyNumberFormat="1" applyFont="1" applyFill="1" applyBorder="1" applyAlignment="1">
      <alignment horizontal="right" vertical="center"/>
    </xf>
    <xf numFmtId="181" fontId="24" fillId="0" borderId="0" xfId="13" applyNumberFormat="1" applyFont="1" applyFill="1" applyBorder="1">
      <alignment vertical="center"/>
    </xf>
    <xf numFmtId="181" fontId="80" fillId="0" borderId="0" xfId="13" applyNumberFormat="1" applyFont="1" applyFill="1" applyBorder="1">
      <alignment vertical="center"/>
    </xf>
    <xf numFmtId="226" fontId="15" fillId="0" borderId="0" xfId="13" applyFont="1" applyFill="1" applyBorder="1">
      <alignment vertical="center"/>
    </xf>
    <xf numFmtId="178" fontId="121" fillId="0" borderId="8" xfId="10" applyFont="1" applyFill="1" applyBorder="1">
      <alignment vertical="center"/>
    </xf>
    <xf numFmtId="192" fontId="12" fillId="0" borderId="8" xfId="14" applyNumberFormat="1" applyFont="1" applyFill="1" applyBorder="1" applyAlignment="1">
      <alignment horizontal="right" vertical="center"/>
    </xf>
    <xf numFmtId="178" fontId="12" fillId="0" borderId="8" xfId="10" applyFont="1" applyFill="1" applyBorder="1">
      <alignment vertical="center"/>
    </xf>
    <xf numFmtId="192" fontId="12" fillId="0" borderId="8" xfId="14" applyNumberFormat="1" applyFont="1" applyFill="1" applyBorder="1">
      <alignment vertical="center"/>
    </xf>
    <xf numFmtId="192" fontId="12" fillId="0" borderId="8" xfId="14" applyNumberFormat="1" applyFont="1" applyFill="1" applyBorder="1" applyAlignment="1" applyProtection="1"/>
    <xf numFmtId="192" fontId="12" fillId="0" borderId="8" xfId="7" applyNumberFormat="1" applyFont="1" applyFill="1" applyBorder="1">
      <alignment vertical="center"/>
    </xf>
    <xf numFmtId="217" fontId="121" fillId="0" borderId="8" xfId="14" applyNumberFormat="1" applyFont="1" applyFill="1" applyBorder="1">
      <alignment vertical="center"/>
    </xf>
    <xf numFmtId="9" fontId="24" fillId="0" borderId="8" xfId="7" applyFont="1" applyFill="1" applyBorder="1">
      <alignment vertical="center"/>
    </xf>
    <xf numFmtId="192" fontId="12" fillId="0" borderId="0" xfId="14" applyNumberFormat="1" applyFont="1" applyFill="1" applyBorder="1">
      <alignment vertical="center"/>
    </xf>
    <xf numFmtId="0" fontId="127" fillId="0" borderId="8" xfId="13" applyNumberFormat="1" applyFont="1" applyFill="1" applyBorder="1">
      <alignment vertical="center"/>
    </xf>
    <xf numFmtId="181" fontId="24" fillId="7" borderId="0" xfId="7" applyNumberFormat="1" applyFont="1" applyFill="1" applyBorder="1">
      <alignment vertical="center"/>
    </xf>
    <xf numFmtId="1" fontId="127" fillId="0" borderId="0" xfId="13" applyNumberFormat="1" applyFont="1" applyFill="1" applyBorder="1" applyAlignment="1">
      <alignment horizontal="right" vertical="center"/>
    </xf>
    <xf numFmtId="188" fontId="127" fillId="0" borderId="8" xfId="7" applyNumberFormat="1" applyFont="1" applyFill="1" applyBorder="1">
      <alignment vertical="center"/>
    </xf>
    <xf numFmtId="37" fontId="77" fillId="9" borderId="8" xfId="13" applyNumberFormat="1" applyFont="1" applyFill="1" applyBorder="1">
      <alignment vertical="center"/>
    </xf>
    <xf numFmtId="209" fontId="161" fillId="0" borderId="0" xfId="12" applyNumberFormat="1" applyFont="1" applyBorder="1">
      <alignment vertical="center"/>
    </xf>
    <xf numFmtId="209" fontId="161" fillId="0" borderId="0" xfId="0" applyNumberFormat="1" applyFont="1" applyFill="1" applyBorder="1">
      <alignment vertical="center"/>
    </xf>
    <xf numFmtId="209" fontId="161" fillId="42" borderId="0" xfId="12" applyNumberFormat="1" applyFont="1" applyFill="1" applyBorder="1">
      <alignment vertical="center"/>
    </xf>
    <xf numFmtId="193" fontId="34" fillId="0" borderId="0" xfId="12" applyNumberFormat="1" applyFont="1" applyFill="1" applyBorder="1" applyAlignment="1">
      <alignment horizontal="center" vertical="center"/>
    </xf>
    <xf numFmtId="9" fontId="167" fillId="0" borderId="0" xfId="7" applyFont="1" applyFill="1" applyBorder="1">
      <alignment vertical="center"/>
    </xf>
    <xf numFmtId="0" fontId="34" fillId="0" borderId="0" xfId="0" applyNumberFormat="1" applyFont="1" applyFill="1" applyBorder="1">
      <alignment vertical="center"/>
    </xf>
    <xf numFmtId="192" fontId="34" fillId="0" borderId="0" xfId="7" applyNumberFormat="1" applyFont="1" applyFill="1" applyBorder="1">
      <alignment vertical="center"/>
    </xf>
    <xf numFmtId="192" fontId="164" fillId="0" borderId="0" xfId="7" applyNumberFormat="1" applyFont="1" applyFill="1" applyBorder="1">
      <alignment vertical="center"/>
    </xf>
    <xf numFmtId="9" fontId="34" fillId="0" borderId="0" xfId="0" applyNumberFormat="1" applyFont="1" applyFill="1" applyBorder="1">
      <alignment vertical="center"/>
    </xf>
    <xf numFmtId="193" fontId="34" fillId="0" borderId="0" xfId="0" applyNumberFormat="1" applyFont="1" applyFill="1" applyBorder="1" applyAlignment="1">
      <alignment horizontal="center" vertical="center"/>
    </xf>
    <xf numFmtId="9" fontId="168" fillId="0" borderId="0" xfId="7" applyFont="1" applyFill="1" applyBorder="1" applyAlignment="1">
      <alignment horizontal="right" vertical="center"/>
    </xf>
    <xf numFmtId="9" fontId="77" fillId="39" borderId="0" xfId="10" applyNumberFormat="1" applyFont="1" applyFill="1" applyBorder="1">
      <alignment vertical="center"/>
    </xf>
    <xf numFmtId="226" fontId="10" fillId="0" borderId="0" xfId="13" applyFont="1" applyFill="1" applyBorder="1" applyAlignment="1">
      <alignment vertical="center" wrapText="1"/>
    </xf>
    <xf numFmtId="226" fontId="12" fillId="52" borderId="0" xfId="9" applyFont="1" applyFill="1" applyBorder="1" applyAlignment="1">
      <alignment horizontal="center"/>
    </xf>
    <xf numFmtId="178" fontId="77" fillId="9" borderId="4" xfId="7" applyNumberFormat="1" applyFont="1" applyFill="1" applyBorder="1">
      <alignment vertical="center"/>
    </xf>
    <xf numFmtId="181" fontId="23" fillId="9" borderId="4" xfId="13" applyNumberFormat="1" applyFont="1" applyFill="1" applyBorder="1">
      <alignment vertical="center"/>
    </xf>
    <xf numFmtId="192" fontId="34" fillId="0" borderId="0" xfId="0" applyNumberFormat="1" applyFont="1">
      <alignment vertical="center"/>
    </xf>
    <xf numFmtId="226" fontId="10" fillId="0" borderId="0" xfId="13" applyFont="1" applyFill="1" applyBorder="1" applyAlignment="1">
      <alignment vertical="center" wrapText="1"/>
    </xf>
    <xf numFmtId="37" fontId="77" fillId="54" borderId="4" xfId="13" applyNumberFormat="1" applyFont="1" applyFill="1" applyBorder="1">
      <alignment vertical="center"/>
    </xf>
    <xf numFmtId="177" fontId="77" fillId="0" borderId="4" xfId="12" applyFont="1" applyFill="1" applyBorder="1">
      <alignment vertical="center"/>
    </xf>
    <xf numFmtId="185" fontId="77" fillId="0" borderId="4" xfId="7" applyNumberFormat="1" applyFont="1" applyFill="1" applyBorder="1">
      <alignment vertical="center"/>
    </xf>
    <xf numFmtId="181" fontId="128" fillId="54" borderId="4" xfId="13" applyNumberFormat="1" applyFont="1" applyFill="1" applyBorder="1">
      <alignment vertical="center"/>
    </xf>
    <xf numFmtId="192" fontId="34" fillId="0" borderId="0" xfId="12" applyNumberFormat="1" applyFont="1" applyFill="1">
      <alignment vertical="center"/>
    </xf>
    <xf numFmtId="0" fontId="34" fillId="54" borderId="0" xfId="0" applyNumberFormat="1" applyFont="1" applyFill="1">
      <alignment vertical="center"/>
    </xf>
    <xf numFmtId="181" fontId="129" fillId="0" borderId="0" xfId="7" applyNumberFormat="1" applyFont="1" applyFill="1" applyBorder="1">
      <alignment vertical="center"/>
    </xf>
    <xf numFmtId="181" fontId="127" fillId="0" borderId="8" xfId="7" applyNumberFormat="1" applyFont="1" applyFill="1" applyBorder="1">
      <alignment vertical="center"/>
    </xf>
    <xf numFmtId="181" fontId="24" fillId="0" borderId="0" xfId="13" applyNumberFormat="1" applyFont="1" applyFill="1" applyBorder="1" applyAlignment="1">
      <alignment horizontal="right" vertical="center"/>
    </xf>
    <xf numFmtId="192" fontId="20" fillId="0" borderId="0" xfId="14" applyNumberFormat="1" applyFont="1" applyFill="1" applyBorder="1">
      <alignment vertical="center"/>
    </xf>
    <xf numFmtId="37" fontId="77" fillId="0" borderId="0" xfId="13" applyNumberFormat="1" applyFont="1" applyFill="1" applyBorder="1" applyAlignment="1">
      <alignment horizontal="left" vertical="center"/>
    </xf>
    <xf numFmtId="37" fontId="77" fillId="0" borderId="8" xfId="13" applyNumberFormat="1" applyFont="1" applyFill="1" applyBorder="1" applyAlignment="1">
      <alignment horizontal="left" vertical="center"/>
    </xf>
    <xf numFmtId="37" fontId="128" fillId="0" borderId="8" xfId="13" applyNumberFormat="1" applyFont="1" applyFill="1" applyBorder="1" applyAlignment="1">
      <alignment horizontal="left" vertical="center"/>
    </xf>
    <xf numFmtId="37" fontId="77" fillId="0" borderId="4" xfId="13" applyNumberFormat="1" applyFont="1" applyFill="1" applyBorder="1" applyAlignment="1">
      <alignment horizontal="left" vertical="center"/>
    </xf>
    <xf numFmtId="37" fontId="77" fillId="52" borderId="4" xfId="13" applyNumberFormat="1" applyFont="1" applyFill="1" applyBorder="1" applyAlignment="1">
      <alignment horizontal="left" vertical="center"/>
    </xf>
    <xf numFmtId="37" fontId="77" fillId="52" borderId="0" xfId="13" applyNumberFormat="1" applyFont="1" applyFill="1" applyBorder="1" applyAlignment="1">
      <alignment horizontal="left" vertical="center"/>
    </xf>
    <xf numFmtId="37" fontId="77" fillId="0" borderId="6" xfId="13" applyNumberFormat="1" applyFont="1" applyFill="1" applyBorder="1" applyAlignment="1">
      <alignment horizontal="left" vertical="center"/>
    </xf>
    <xf numFmtId="226" fontId="63" fillId="2" borderId="0" xfId="9" applyFont="1" applyFill="1" applyBorder="1" applyAlignment="1">
      <alignment horizontal="center"/>
    </xf>
    <xf numFmtId="181" fontId="5" fillId="0" borderId="0" xfId="7" applyNumberFormat="1" applyFont="1" applyFill="1" applyBorder="1">
      <alignment vertical="center"/>
    </xf>
    <xf numFmtId="226" fontId="71" fillId="38" borderId="0" xfId="13" applyFont="1" applyFill="1" applyBorder="1" applyAlignment="1">
      <alignment horizontal="center" vertical="center"/>
    </xf>
    <xf numFmtId="192" fontId="12" fillId="56" borderId="0" xfId="14" applyNumberFormat="1" applyFont="1" applyFill="1" applyBorder="1" applyAlignment="1">
      <alignment horizontal="center" vertical="center"/>
    </xf>
    <xf numFmtId="192" fontId="12" fillId="56" borderId="8" xfId="14" applyNumberFormat="1" applyFont="1" applyFill="1" applyBorder="1" applyAlignment="1">
      <alignment horizontal="center" vertical="center"/>
    </xf>
    <xf numFmtId="192" fontId="12" fillId="56" borderId="4" xfId="14" applyNumberFormat="1" applyFont="1" applyFill="1" applyBorder="1" applyAlignment="1">
      <alignment horizontal="center" vertical="center"/>
    </xf>
    <xf numFmtId="9" fontId="10" fillId="56" borderId="0" xfId="7" applyFont="1" applyFill="1" applyBorder="1" applyAlignment="1">
      <alignment horizontal="center" vertical="center"/>
    </xf>
    <xf numFmtId="9" fontId="12" fillId="56" borderId="0" xfId="7" applyFont="1" applyFill="1" applyBorder="1" applyAlignment="1">
      <alignment horizontal="center" vertical="center"/>
    </xf>
    <xf numFmtId="9" fontId="12" fillId="56" borderId="8" xfId="7" applyFont="1" applyFill="1" applyBorder="1" applyAlignment="1">
      <alignment horizontal="center" vertical="center"/>
    </xf>
    <xf numFmtId="226" fontId="12" fillId="56" borderId="0" xfId="9" applyFont="1" applyFill="1" applyBorder="1" applyAlignment="1">
      <alignment horizontal="right" vertical="center"/>
    </xf>
    <xf numFmtId="226" fontId="12" fillId="56" borderId="0" xfId="9" applyFont="1" applyFill="1" applyBorder="1" applyAlignment="1">
      <alignment horizontal="center" vertical="center"/>
    </xf>
    <xf numFmtId="226" fontId="12" fillId="56" borderId="8" xfId="9" applyFont="1" applyFill="1" applyBorder="1" applyAlignment="1">
      <alignment horizontal="center" vertical="center"/>
    </xf>
    <xf numFmtId="226" fontId="174" fillId="56" borderId="6" xfId="9" applyFont="1" applyFill="1" applyBorder="1" applyAlignment="1">
      <alignment horizontal="left" vertical="center"/>
    </xf>
    <xf numFmtId="226" fontId="12" fillId="56" borderId="6" xfId="9" applyFont="1" applyFill="1" applyBorder="1" applyAlignment="1">
      <alignment horizontal="center"/>
    </xf>
    <xf numFmtId="226" fontId="10" fillId="56" borderId="0" xfId="13" applyFont="1" applyFill="1" applyBorder="1">
      <alignment vertical="center"/>
    </xf>
    <xf numFmtId="226" fontId="10" fillId="56" borderId="6" xfId="13" applyFont="1" applyFill="1" applyBorder="1">
      <alignment vertical="center"/>
    </xf>
    <xf numFmtId="181" fontId="12" fillId="57" borderId="6" xfId="9" applyNumberFormat="1" applyFont="1" applyFill="1" applyBorder="1" applyAlignment="1">
      <alignment horizontal="left"/>
    </xf>
    <xf numFmtId="181" fontId="10" fillId="57" borderId="0" xfId="7" applyNumberFormat="1" applyFont="1" applyFill="1" applyBorder="1" applyAlignment="1">
      <alignment horizontal="right" vertical="center"/>
    </xf>
    <xf numFmtId="181" fontId="10" fillId="57" borderId="0" xfId="7" applyNumberFormat="1" applyFont="1" applyFill="1" applyBorder="1">
      <alignment vertical="center"/>
    </xf>
    <xf numFmtId="181" fontId="10" fillId="57" borderId="8" xfId="7" applyNumberFormat="1" applyFont="1" applyFill="1" applyBorder="1">
      <alignment vertical="center"/>
    </xf>
    <xf numFmtId="181" fontId="10" fillId="57" borderId="0" xfId="13" applyNumberFormat="1" applyFont="1" applyFill="1" applyBorder="1">
      <alignment vertical="center"/>
    </xf>
    <xf numFmtId="181" fontId="10" fillId="57" borderId="8" xfId="13" applyNumberFormat="1" applyFont="1" applyFill="1" applyBorder="1">
      <alignment vertical="center"/>
    </xf>
    <xf numFmtId="181" fontId="10" fillId="57" borderId="4" xfId="13" applyNumberFormat="1" applyFont="1" applyFill="1" applyBorder="1">
      <alignment vertical="center"/>
    </xf>
    <xf numFmtId="181" fontId="12" fillId="57" borderId="8" xfId="13" applyNumberFormat="1" applyFont="1" applyFill="1" applyBorder="1">
      <alignment vertical="center"/>
    </xf>
    <xf numFmtId="181" fontId="10" fillId="57" borderId="6" xfId="13" applyNumberFormat="1" applyFont="1" applyFill="1" applyBorder="1">
      <alignment vertical="center"/>
    </xf>
    <xf numFmtId="181" fontId="10" fillId="0" borderId="30" xfId="9" applyNumberFormat="1" applyFont="1" applyFill="1" applyBorder="1" applyAlignment="1">
      <alignment horizontal="left" indent="2"/>
    </xf>
    <xf numFmtId="181" fontId="10" fillId="0" borderId="62" xfId="7" applyNumberFormat="1" applyFont="1" applyFill="1" applyBorder="1" applyAlignment="1">
      <alignment horizontal="right" vertical="center"/>
    </xf>
    <xf numFmtId="181" fontId="10" fillId="0" borderId="62" xfId="7" applyNumberFormat="1" applyFont="1" applyFill="1" applyBorder="1">
      <alignment vertical="center"/>
    </xf>
    <xf numFmtId="181" fontId="10" fillId="0" borderId="70" xfId="7" applyNumberFormat="1" applyFont="1" applyFill="1" applyBorder="1">
      <alignment vertical="center"/>
    </xf>
    <xf numFmtId="181" fontId="10" fillId="0" borderId="69" xfId="7" applyNumberFormat="1" applyFont="1" applyFill="1" applyBorder="1">
      <alignment vertical="center"/>
    </xf>
    <xf numFmtId="181" fontId="12" fillId="0" borderId="62" xfId="7" applyNumberFormat="1" applyFont="1" applyFill="1" applyBorder="1">
      <alignment vertical="center"/>
    </xf>
    <xf numFmtId="181" fontId="10" fillId="0" borderId="30" xfId="7" applyNumberFormat="1" applyFont="1" applyFill="1" applyBorder="1">
      <alignment vertical="center"/>
    </xf>
    <xf numFmtId="181" fontId="10" fillId="57" borderId="4" xfId="7" applyNumberFormat="1" applyFont="1" applyFill="1" applyBorder="1">
      <alignment vertical="center"/>
    </xf>
    <xf numFmtId="181" fontId="12" fillId="57" borderId="8" xfId="7" applyNumberFormat="1" applyFont="1" applyFill="1" applyBorder="1">
      <alignment vertical="center"/>
    </xf>
    <xf numFmtId="181" fontId="10" fillId="57" borderId="6" xfId="7" applyNumberFormat="1" applyFont="1" applyFill="1" applyBorder="1">
      <alignment vertical="center"/>
    </xf>
    <xf numFmtId="181" fontId="166" fillId="0" borderId="0" xfId="7" applyNumberFormat="1" applyFont="1" applyBorder="1">
      <alignment vertical="center"/>
    </xf>
    <xf numFmtId="181" fontId="12" fillId="57" borderId="0" xfId="13" applyNumberFormat="1" applyFont="1" applyFill="1" applyBorder="1">
      <alignment vertical="center"/>
    </xf>
    <xf numFmtId="9" fontId="24" fillId="0" borderId="0" xfId="7" applyNumberFormat="1" applyFont="1" applyFill="1" applyBorder="1">
      <alignment vertical="center"/>
    </xf>
    <xf numFmtId="181" fontId="12" fillId="57" borderId="0" xfId="7" applyNumberFormat="1" applyFont="1" applyFill="1" applyBorder="1">
      <alignment vertical="center"/>
    </xf>
    <xf numFmtId="9" fontId="127" fillId="0" borderId="0" xfId="7" applyFont="1" applyFill="1" applyBorder="1">
      <alignment vertical="center"/>
    </xf>
    <xf numFmtId="192" fontId="121" fillId="0" borderId="0" xfId="14" applyNumberFormat="1" applyFont="1" applyFill="1" applyBorder="1">
      <alignment vertical="center"/>
    </xf>
    <xf numFmtId="2" fontId="127" fillId="0" borderId="0" xfId="13" applyNumberFormat="1" applyFont="1" applyFill="1" applyBorder="1">
      <alignment vertical="center"/>
    </xf>
    <xf numFmtId="178" fontId="121" fillId="0" borderId="0" xfId="10" applyFont="1" applyFill="1" applyBorder="1">
      <alignment vertical="center"/>
    </xf>
    <xf numFmtId="192" fontId="12" fillId="0" borderId="0" xfId="14" applyNumberFormat="1" applyFont="1" applyFill="1" applyBorder="1" applyAlignment="1">
      <alignment horizontal="right" vertical="center"/>
    </xf>
    <xf numFmtId="178" fontId="12" fillId="0" borderId="0" xfId="10" applyFont="1" applyFill="1" applyBorder="1">
      <alignment vertical="center"/>
    </xf>
    <xf numFmtId="192" fontId="12" fillId="0" borderId="0" xfId="14" applyNumberFormat="1" applyFont="1" applyFill="1" applyBorder="1" applyAlignment="1" applyProtection="1"/>
    <xf numFmtId="192" fontId="12" fillId="0" borderId="0" xfId="7" applyNumberFormat="1" applyFont="1" applyFill="1" applyBorder="1">
      <alignment vertical="center"/>
    </xf>
    <xf numFmtId="217" fontId="121" fillId="0" borderId="0" xfId="14" applyNumberFormat="1" applyFont="1" applyFill="1" applyBorder="1">
      <alignment vertical="center"/>
    </xf>
    <xf numFmtId="9" fontId="24" fillId="0" borderId="0" xfId="7" applyFont="1" applyFill="1" applyBorder="1">
      <alignment vertical="center"/>
    </xf>
    <xf numFmtId="0" fontId="127" fillId="0" borderId="0" xfId="13" applyNumberFormat="1" applyFont="1" applyFill="1" applyBorder="1">
      <alignment vertical="center"/>
    </xf>
    <xf numFmtId="188" fontId="127" fillId="0" borderId="0" xfId="7" applyNumberFormat="1" applyFont="1" applyFill="1" applyBorder="1">
      <alignment vertical="center"/>
    </xf>
    <xf numFmtId="181" fontId="23" fillId="7" borderId="30" xfId="7" applyNumberFormat="1" applyFont="1" applyFill="1" applyBorder="1" applyAlignment="1">
      <alignment horizontal="left" wrapText="1" indent="2"/>
    </xf>
    <xf numFmtId="181" fontId="128" fillId="0" borderId="62" xfId="7" applyNumberFormat="1" applyFont="1" applyFill="1" applyBorder="1" applyAlignment="1">
      <alignment horizontal="right" vertical="center"/>
    </xf>
    <xf numFmtId="181" fontId="128" fillId="0" borderId="62" xfId="7" applyNumberFormat="1" applyFont="1" applyFill="1" applyBorder="1">
      <alignment vertical="center"/>
    </xf>
    <xf numFmtId="181" fontId="128" fillId="0" borderId="70" xfId="7" applyNumberFormat="1" applyFont="1" applyFill="1" applyBorder="1">
      <alignment vertical="center"/>
    </xf>
    <xf numFmtId="9" fontId="128" fillId="0" borderId="62" xfId="7" applyFont="1" applyFill="1" applyBorder="1">
      <alignment vertical="center"/>
    </xf>
    <xf numFmtId="181" fontId="128" fillId="7" borderId="62" xfId="7" applyNumberFormat="1" applyFont="1" applyFill="1" applyBorder="1">
      <alignment vertical="center"/>
    </xf>
    <xf numFmtId="181" fontId="129" fillId="7" borderId="62" xfId="7" applyNumberFormat="1" applyFont="1" applyFill="1" applyBorder="1">
      <alignment vertical="center"/>
    </xf>
    <xf numFmtId="181" fontId="12" fillId="0" borderId="70" xfId="7" applyNumberFormat="1" applyFont="1" applyFill="1" applyBorder="1">
      <alignment vertical="center"/>
    </xf>
    <xf numFmtId="37" fontId="10" fillId="32" borderId="6" xfId="9" applyNumberFormat="1" applyFont="1" applyFill="1" applyBorder="1" applyAlignment="1">
      <alignment horizontal="left" indent="1"/>
    </xf>
    <xf numFmtId="37" fontId="77" fillId="32" borderId="0" xfId="13" applyNumberFormat="1" applyFont="1" applyFill="1" applyBorder="1" applyAlignment="1">
      <alignment horizontal="right" vertical="center"/>
    </xf>
    <xf numFmtId="37" fontId="77" fillId="32" borderId="0" xfId="13" applyNumberFormat="1" applyFont="1" applyFill="1" applyBorder="1">
      <alignment vertical="center"/>
    </xf>
    <xf numFmtId="37" fontId="10" fillId="32" borderId="0" xfId="13" applyNumberFormat="1" applyFont="1" applyFill="1" applyBorder="1">
      <alignment vertical="center"/>
    </xf>
    <xf numFmtId="37" fontId="10" fillId="32" borderId="0" xfId="14" applyNumberFormat="1" applyFont="1" applyFill="1" applyBorder="1">
      <alignment vertical="center"/>
    </xf>
    <xf numFmtId="37" fontId="10" fillId="32" borderId="0" xfId="13" applyNumberFormat="1" applyFont="1" applyFill="1" applyBorder="1">
      <alignment vertical="center"/>
    </xf>
    <xf numFmtId="37" fontId="77" fillId="32" borderId="4" xfId="13" applyNumberFormat="1" applyFont="1" applyFill="1" applyBorder="1">
      <alignment vertical="center"/>
    </xf>
    <xf numFmtId="37" fontId="127" fillId="32" borderId="0" xfId="13" applyNumberFormat="1" applyFont="1" applyFill="1" applyBorder="1">
      <alignment vertical="center"/>
    </xf>
    <xf numFmtId="37" fontId="10" fillId="32" borderId="6" xfId="13" applyNumberFormat="1" applyFont="1" applyFill="1" applyBorder="1">
      <alignment vertical="center"/>
    </xf>
    <xf numFmtId="37" fontId="10" fillId="32" borderId="4" xfId="13" applyNumberFormat="1" applyFont="1" applyFill="1" applyBorder="1">
      <alignment vertical="center"/>
    </xf>
    <xf numFmtId="225" fontId="77" fillId="32" borderId="0" xfId="13" applyNumberFormat="1" applyFont="1" applyFill="1" applyBorder="1">
      <alignment vertical="center"/>
    </xf>
    <xf numFmtId="37" fontId="77" fillId="32" borderId="8" xfId="13" applyNumberFormat="1" applyFont="1" applyFill="1" applyBorder="1">
      <alignment vertical="center"/>
    </xf>
    <xf numFmtId="225" fontId="77" fillId="32" borderId="0" xfId="14" applyNumberFormat="1" applyFont="1" applyFill="1" applyBorder="1">
      <alignment vertical="center"/>
    </xf>
    <xf numFmtId="225" fontId="77" fillId="32" borderId="8" xfId="13" applyNumberFormat="1" applyFont="1" applyFill="1" applyBorder="1">
      <alignment vertical="center"/>
    </xf>
    <xf numFmtId="37" fontId="77" fillId="32" borderId="6" xfId="13" applyNumberFormat="1" applyFont="1" applyFill="1" applyBorder="1">
      <alignment vertical="center"/>
    </xf>
    <xf numFmtId="181" fontId="12" fillId="55" borderId="6" xfId="9" applyNumberFormat="1" applyFont="1" applyFill="1" applyBorder="1"/>
    <xf numFmtId="181" fontId="77" fillId="55" borderId="0" xfId="7" applyNumberFormat="1" applyFont="1" applyFill="1" applyBorder="1" applyAlignment="1">
      <alignment horizontal="right" vertical="center"/>
    </xf>
    <xf numFmtId="181" fontId="77" fillId="55" borderId="0" xfId="7" applyNumberFormat="1" applyFont="1" applyFill="1" applyBorder="1">
      <alignment vertical="center"/>
    </xf>
    <xf numFmtId="38" fontId="77" fillId="55" borderId="0" xfId="13" applyNumberFormat="1" applyFont="1" applyFill="1" applyBorder="1">
      <alignment vertical="center"/>
    </xf>
    <xf numFmtId="38" fontId="77" fillId="55" borderId="8" xfId="13" applyNumberFormat="1" applyFont="1" applyFill="1" applyBorder="1">
      <alignment vertical="center"/>
    </xf>
    <xf numFmtId="192" fontId="77" fillId="55" borderId="0" xfId="14" applyNumberFormat="1" applyFont="1" applyFill="1" applyBorder="1">
      <alignment vertical="center"/>
    </xf>
    <xf numFmtId="192" fontId="77" fillId="55" borderId="8" xfId="14" applyNumberFormat="1" applyFont="1" applyFill="1" applyBorder="1">
      <alignment vertical="center"/>
    </xf>
    <xf numFmtId="192" fontId="77" fillId="55" borderId="4" xfId="14" applyNumberFormat="1" applyFont="1" applyFill="1" applyBorder="1">
      <alignment vertical="center"/>
    </xf>
    <xf numFmtId="192" fontId="127" fillId="55" borderId="0" xfId="14" applyNumberFormat="1" applyFont="1" applyFill="1" applyBorder="1">
      <alignment vertical="center"/>
    </xf>
    <xf numFmtId="181" fontId="12" fillId="0" borderId="0" xfId="7" applyNumberFormat="1" applyFont="1" applyFill="1" applyBorder="1" applyAlignment="1">
      <alignment horizontal="right" vertical="center"/>
    </xf>
    <xf numFmtId="37" fontId="10" fillId="32" borderId="8" xfId="13" applyNumberFormat="1" applyFont="1" applyFill="1" applyBorder="1">
      <alignment vertical="center"/>
    </xf>
    <xf numFmtId="181" fontId="128" fillId="7" borderId="70" xfId="7" applyNumberFormat="1" applyFont="1" applyFill="1" applyBorder="1">
      <alignment vertical="center"/>
    </xf>
    <xf numFmtId="181" fontId="128" fillId="7" borderId="69" xfId="7" applyNumberFormat="1" applyFont="1" applyFill="1" applyBorder="1">
      <alignment vertical="center"/>
    </xf>
    <xf numFmtId="181" fontId="23" fillId="7" borderId="4" xfId="13" applyNumberFormat="1" applyFont="1" applyFill="1" applyBorder="1" applyAlignment="1">
      <alignment horizontal="right" vertical="center"/>
    </xf>
    <xf numFmtId="209" fontId="122" fillId="0" borderId="4" xfId="14" applyNumberFormat="1" applyFont="1" applyFill="1" applyBorder="1">
      <alignment vertical="center"/>
    </xf>
    <xf numFmtId="1" fontId="77" fillId="0" borderId="4" xfId="13" applyNumberFormat="1" applyFont="1" applyFill="1" applyBorder="1" applyAlignment="1">
      <alignment horizontal="right" vertical="center"/>
    </xf>
    <xf numFmtId="9" fontId="12" fillId="56" borderId="4" xfId="7" applyFont="1" applyFill="1" applyBorder="1" applyAlignment="1">
      <alignment horizontal="center" vertical="center"/>
    </xf>
    <xf numFmtId="181" fontId="129" fillId="7" borderId="70" xfId="7" applyNumberFormat="1" applyFont="1" applyFill="1" applyBorder="1">
      <alignment vertical="center"/>
    </xf>
    <xf numFmtId="38" fontId="12" fillId="0" borderId="8" xfId="13" applyNumberFormat="1" applyFont="1" applyFill="1" applyBorder="1">
      <alignment vertical="center"/>
    </xf>
    <xf numFmtId="37" fontId="127" fillId="32" borderId="8" xfId="13" applyNumberFormat="1" applyFont="1" applyFill="1" applyBorder="1">
      <alignment vertical="center"/>
    </xf>
    <xf numFmtId="37" fontId="12" fillId="0" borderId="8" xfId="13" applyNumberFormat="1" applyFont="1" applyFill="1" applyBorder="1" applyAlignment="1">
      <alignment horizontal="right" vertical="center"/>
    </xf>
    <xf numFmtId="192" fontId="127" fillId="55" borderId="8" xfId="14" applyNumberFormat="1" applyFont="1" applyFill="1" applyBorder="1">
      <alignment vertical="center"/>
    </xf>
    <xf numFmtId="181" fontId="129" fillId="0" borderId="8" xfId="13" applyNumberFormat="1" applyFont="1" applyFill="1" applyBorder="1" applyAlignment="1">
      <alignment horizontal="right" vertical="center"/>
    </xf>
    <xf numFmtId="9" fontId="129" fillId="0" borderId="8" xfId="7" applyFont="1" applyFill="1" applyBorder="1" applyAlignment="1">
      <alignment horizontal="right" vertical="center"/>
    </xf>
    <xf numFmtId="181" fontId="24" fillId="7" borderId="8" xfId="13" applyNumberFormat="1" applyFont="1" applyFill="1" applyBorder="1" applyAlignment="1">
      <alignment horizontal="right" vertical="center"/>
    </xf>
    <xf numFmtId="181" fontId="24" fillId="0" borderId="8" xfId="13" applyNumberFormat="1" applyFont="1" applyFill="1" applyBorder="1">
      <alignment vertical="center"/>
    </xf>
    <xf numFmtId="181" fontId="80" fillId="0" borderId="8" xfId="13" applyNumberFormat="1" applyFont="1" applyFill="1" applyBorder="1">
      <alignment vertical="center"/>
    </xf>
    <xf numFmtId="226" fontId="15" fillId="0" borderId="8" xfId="13" applyFont="1" applyFill="1" applyBorder="1">
      <alignment vertical="center"/>
    </xf>
    <xf numFmtId="181" fontId="24" fillId="7" borderId="8" xfId="7" applyNumberFormat="1" applyFont="1" applyFill="1" applyBorder="1">
      <alignment vertical="center"/>
    </xf>
    <xf numFmtId="1" fontId="127" fillId="0" borderId="8" xfId="13" applyNumberFormat="1" applyFont="1" applyFill="1" applyBorder="1" applyAlignment="1">
      <alignment horizontal="right" vertical="center"/>
    </xf>
    <xf numFmtId="188" fontId="77" fillId="0" borderId="4" xfId="7" applyNumberFormat="1" applyFont="1" applyFill="1" applyBorder="1">
      <alignment vertical="center"/>
    </xf>
    <xf numFmtId="181" fontId="10" fillId="0" borderId="30" xfId="7" applyNumberFormat="1" applyFont="1" applyFill="1" applyBorder="1" applyAlignment="1">
      <alignment horizontal="left" indent="2"/>
    </xf>
    <xf numFmtId="192" fontId="77" fillId="32" borderId="8" xfId="14" applyNumberFormat="1" applyFont="1" applyFill="1" applyBorder="1">
      <alignment vertical="center"/>
    </xf>
    <xf numFmtId="192" fontId="77" fillId="32" borderId="4" xfId="14" applyNumberFormat="1" applyFont="1" applyFill="1" applyBorder="1">
      <alignment vertical="center"/>
    </xf>
    <xf numFmtId="192" fontId="11" fillId="32" borderId="0" xfId="14" applyNumberFormat="1" applyFont="1" applyFill="1" applyBorder="1">
      <alignment vertical="center"/>
    </xf>
    <xf numFmtId="192" fontId="11" fillId="32" borderId="8" xfId="14" applyNumberFormat="1" applyFont="1" applyFill="1" applyBorder="1">
      <alignment vertical="center"/>
    </xf>
    <xf numFmtId="192" fontId="11" fillId="32" borderId="4" xfId="14" applyNumberFormat="1" applyFont="1" applyFill="1" applyBorder="1">
      <alignment vertical="center"/>
    </xf>
    <xf numFmtId="181" fontId="23" fillId="32" borderId="8" xfId="7" applyNumberFormat="1" applyFont="1" applyFill="1" applyBorder="1">
      <alignment vertical="center"/>
    </xf>
    <xf numFmtId="181" fontId="23" fillId="32" borderId="4" xfId="7" applyNumberFormat="1" applyFont="1" applyFill="1" applyBorder="1">
      <alignment vertical="center"/>
    </xf>
    <xf numFmtId="181" fontId="23" fillId="32" borderId="0" xfId="7" applyNumberFormat="1" applyFont="1" applyFill="1" applyBorder="1">
      <alignment vertical="center"/>
    </xf>
    <xf numFmtId="9" fontId="23" fillId="0" borderId="30" xfId="7" applyFont="1" applyFill="1" applyBorder="1" applyAlignment="1">
      <alignment horizontal="left" vertical="center" indent="2"/>
    </xf>
    <xf numFmtId="9" fontId="23" fillId="0" borderId="62" xfId="7" applyFont="1" applyFill="1" applyBorder="1" applyAlignment="1">
      <alignment horizontal="right" vertical="center"/>
    </xf>
    <xf numFmtId="9" fontId="23" fillId="0" borderId="62" xfId="7" applyFont="1" applyFill="1" applyBorder="1">
      <alignment vertical="center"/>
    </xf>
    <xf numFmtId="9" fontId="23" fillId="0" borderId="70" xfId="7" applyFont="1" applyFill="1" applyBorder="1">
      <alignment vertical="center"/>
    </xf>
    <xf numFmtId="181" fontId="23" fillId="0" borderId="62" xfId="7" applyNumberFormat="1" applyFont="1" applyFill="1" applyBorder="1">
      <alignment vertical="center"/>
    </xf>
    <xf numFmtId="181" fontId="23" fillId="32" borderId="70" xfId="7" applyNumberFormat="1" applyFont="1" applyFill="1" applyBorder="1">
      <alignment vertical="center"/>
    </xf>
    <xf numFmtId="181" fontId="23" fillId="32" borderId="69" xfId="7" applyNumberFormat="1" applyFont="1" applyFill="1" applyBorder="1">
      <alignment vertical="center"/>
    </xf>
    <xf numFmtId="181" fontId="23" fillId="32" borderId="62" xfId="7" applyNumberFormat="1" applyFont="1" applyFill="1" applyBorder="1">
      <alignment vertical="center"/>
    </xf>
    <xf numFmtId="181" fontId="24" fillId="0" borderId="62" xfId="7" applyNumberFormat="1" applyFont="1" applyFill="1" applyBorder="1">
      <alignment vertical="center"/>
    </xf>
    <xf numFmtId="9" fontId="23" fillId="0" borderId="30" xfId="7" applyFont="1" applyFill="1" applyBorder="1">
      <alignment vertical="center"/>
    </xf>
    <xf numFmtId="38" fontId="10" fillId="32" borderId="6" xfId="9" applyNumberFormat="1" applyFont="1" applyFill="1" applyBorder="1" applyAlignment="1">
      <alignment horizontal="left" indent="1"/>
    </xf>
    <xf numFmtId="184" fontId="10" fillId="32" borderId="0" xfId="8" applyNumberFormat="1" applyFont="1" applyFill="1" applyBorder="1" applyAlignment="1">
      <alignment horizontal="right"/>
    </xf>
    <xf numFmtId="182" fontId="10" fillId="32" borderId="0" xfId="13" applyNumberFormat="1" applyFont="1" applyFill="1" applyBorder="1" applyAlignment="1">
      <alignment horizontal="right" vertical="center"/>
    </xf>
    <xf numFmtId="182" fontId="10" fillId="32" borderId="0" xfId="13" applyNumberFormat="1" applyFont="1" applyFill="1" applyBorder="1">
      <alignment vertical="center"/>
    </xf>
    <xf numFmtId="184" fontId="10" fillId="32" borderId="0" xfId="8" applyNumberFormat="1" applyFont="1" applyFill="1" applyBorder="1"/>
    <xf numFmtId="184" fontId="10" fillId="32" borderId="8" xfId="8" applyNumberFormat="1" applyFont="1" applyFill="1" applyBorder="1"/>
    <xf numFmtId="181" fontId="10" fillId="32" borderId="0" xfId="7" applyNumberFormat="1" applyFont="1" applyFill="1" applyBorder="1">
      <alignment vertical="center"/>
    </xf>
    <xf numFmtId="181" fontId="10" fillId="32" borderId="8" xfId="7" applyNumberFormat="1" applyFont="1" applyFill="1" applyBorder="1">
      <alignment vertical="center"/>
    </xf>
    <xf numFmtId="181" fontId="10" fillId="32" borderId="4" xfId="7" applyNumberFormat="1" applyFont="1" applyFill="1" applyBorder="1">
      <alignment vertical="center"/>
    </xf>
    <xf numFmtId="181" fontId="12" fillId="32" borderId="0" xfId="7" applyNumberFormat="1" applyFont="1" applyFill="1" applyBorder="1">
      <alignment vertical="center"/>
    </xf>
    <xf numFmtId="9" fontId="12" fillId="32" borderId="8" xfId="7" applyNumberFormat="1" applyFont="1" applyFill="1" applyBorder="1">
      <alignment vertical="center"/>
    </xf>
    <xf numFmtId="181" fontId="10" fillId="32" borderId="6" xfId="7" applyNumberFormat="1" applyFont="1" applyFill="1" applyBorder="1">
      <alignment vertical="center"/>
    </xf>
    <xf numFmtId="226" fontId="10" fillId="32" borderId="0" xfId="13" applyFont="1" applyFill="1" applyBorder="1">
      <alignment vertical="center"/>
    </xf>
    <xf numFmtId="9" fontId="10" fillId="32" borderId="0" xfId="7" applyFont="1" applyFill="1" applyBorder="1" applyAlignment="1">
      <alignment horizontal="right"/>
    </xf>
    <xf numFmtId="9" fontId="10" fillId="32" borderId="0" xfId="7" applyFont="1" applyFill="1" applyBorder="1" applyAlignment="1"/>
    <xf numFmtId="9" fontId="10" fillId="32" borderId="8" xfId="7" applyFont="1" applyFill="1" applyBorder="1" applyAlignment="1"/>
    <xf numFmtId="235" fontId="12" fillId="0" borderId="0" xfId="13" applyNumberFormat="1" applyFont="1" applyFill="1" applyBorder="1">
      <alignment vertical="center"/>
    </xf>
    <xf numFmtId="177" fontId="12" fillId="0" borderId="0" xfId="12" applyFont="1" applyFill="1" applyBorder="1">
      <alignment vertical="center"/>
    </xf>
    <xf numFmtId="181" fontId="169" fillId="42" borderId="0" xfId="7" applyNumberFormat="1" applyFont="1" applyFill="1" applyBorder="1">
      <alignment vertical="center"/>
    </xf>
    <xf numFmtId="181" fontId="169" fillId="42" borderId="8" xfId="7" applyNumberFormat="1" applyFont="1" applyFill="1" applyBorder="1">
      <alignment vertical="center"/>
    </xf>
    <xf numFmtId="226" fontId="175" fillId="0" borderId="0" xfId="0" applyFont="1">
      <alignment vertical="center"/>
    </xf>
    <xf numFmtId="9" fontId="175" fillId="0" borderId="0" xfId="0" applyNumberFormat="1" applyFont="1">
      <alignment vertical="center"/>
    </xf>
    <xf numFmtId="9" fontId="175" fillId="0" borderId="71" xfId="0" applyNumberFormat="1" applyFont="1" applyBorder="1">
      <alignment vertical="center"/>
    </xf>
    <xf numFmtId="9" fontId="10" fillId="9" borderId="6" xfId="9" applyNumberFormat="1" applyFont="1" applyFill="1" applyBorder="1"/>
    <xf numFmtId="9" fontId="128" fillId="0" borderId="0" xfId="13" applyNumberFormat="1" applyFont="1" applyFill="1" applyBorder="1" applyAlignment="1">
      <alignment horizontal="center" vertical="center"/>
    </xf>
    <xf numFmtId="9" fontId="128" fillId="0" borderId="8" xfId="7" applyNumberFormat="1" applyFont="1" applyFill="1" applyBorder="1">
      <alignment vertical="center"/>
    </xf>
    <xf numFmtId="9" fontId="128" fillId="0" borderId="0" xfId="8" applyNumberFormat="1" applyFont="1" applyFill="1" applyBorder="1" applyAlignment="1">
      <alignment horizontal="center"/>
    </xf>
    <xf numFmtId="9" fontId="128" fillId="0" borderId="4" xfId="13" applyNumberFormat="1" applyFont="1" applyFill="1" applyBorder="1" applyAlignment="1">
      <alignment horizontal="center" vertical="center"/>
    </xf>
    <xf numFmtId="9" fontId="128" fillId="0" borderId="0" xfId="13" applyNumberFormat="1" applyFont="1" applyFill="1" applyBorder="1">
      <alignment vertical="center"/>
    </xf>
    <xf numFmtId="9" fontId="128" fillId="0" borderId="8" xfId="13" applyNumberFormat="1" applyFont="1" applyFill="1" applyBorder="1">
      <alignment vertical="center"/>
    </xf>
    <xf numFmtId="9" fontId="128" fillId="0" borderId="4" xfId="13" applyNumberFormat="1" applyFont="1" applyFill="1" applyBorder="1">
      <alignment vertical="center"/>
    </xf>
    <xf numFmtId="226" fontId="10" fillId="0" borderId="8" xfId="13" applyFont="1" applyBorder="1" applyAlignment="1">
      <alignment vertical="center" wrapText="1"/>
    </xf>
    <xf numFmtId="226" fontId="10" fillId="0" borderId="8" xfId="13" applyFont="1" applyBorder="1">
      <alignment vertical="center"/>
    </xf>
    <xf numFmtId="181" fontId="117" fillId="0" borderId="8" xfId="13" applyNumberFormat="1" applyFont="1" applyBorder="1">
      <alignment vertical="center"/>
    </xf>
    <xf numFmtId="181" fontId="10" fillId="0" borderId="8" xfId="13" applyNumberFormat="1" applyFont="1" applyBorder="1">
      <alignment vertical="center"/>
    </xf>
    <xf numFmtId="181" fontId="23" fillId="0" borderId="8" xfId="13" applyNumberFormat="1" applyFont="1" applyBorder="1">
      <alignment vertical="center"/>
    </xf>
    <xf numFmtId="181" fontId="23" fillId="0" borderId="0" xfId="13" applyNumberFormat="1" applyFont="1">
      <alignment vertical="center"/>
    </xf>
    <xf numFmtId="209" fontId="10" fillId="34" borderId="0" xfId="13" applyNumberFormat="1" applyFont="1" applyFill="1">
      <alignment vertical="center"/>
    </xf>
    <xf numFmtId="38" fontId="10" fillId="0" borderId="8" xfId="13" applyNumberFormat="1" applyFont="1" applyBorder="1">
      <alignment vertical="center"/>
    </xf>
    <xf numFmtId="38" fontId="77" fillId="0" borderId="8" xfId="13" applyNumberFormat="1" applyFont="1" applyBorder="1">
      <alignment vertical="center"/>
    </xf>
    <xf numFmtId="38" fontId="10" fillId="0" borderId="0" xfId="13" applyNumberFormat="1" applyFont="1">
      <alignment vertical="center"/>
    </xf>
    <xf numFmtId="9" fontId="23" fillId="0" borderId="8" xfId="13" applyNumberFormat="1" applyFont="1" applyBorder="1">
      <alignment vertical="center"/>
    </xf>
    <xf numFmtId="9" fontId="23" fillId="7" borderId="0" xfId="13" applyNumberFormat="1" applyFont="1" applyFill="1">
      <alignment vertical="center"/>
    </xf>
    <xf numFmtId="37" fontId="77" fillId="0" borderId="8" xfId="13" applyNumberFormat="1" applyFont="1" applyBorder="1">
      <alignment vertical="center"/>
    </xf>
    <xf numFmtId="37" fontId="10" fillId="0" borderId="8" xfId="13" applyNumberFormat="1" applyFont="1" applyBorder="1">
      <alignment vertical="center"/>
    </xf>
    <xf numFmtId="38" fontId="122" fillId="0" borderId="8" xfId="13" applyNumberFormat="1" applyFont="1" applyBorder="1">
      <alignment vertical="center"/>
    </xf>
    <xf numFmtId="37" fontId="77" fillId="0" borderId="0" xfId="13" applyNumberFormat="1" applyFont="1" applyAlignment="1">
      <alignment horizontal="right" vertical="center"/>
    </xf>
    <xf numFmtId="37" fontId="97" fillId="0" borderId="0" xfId="13" applyNumberFormat="1" applyFont="1">
      <alignment vertical="center"/>
    </xf>
    <xf numFmtId="37" fontId="77" fillId="0" borderId="8" xfId="14" applyNumberFormat="1" applyFont="1" applyFill="1" applyBorder="1">
      <alignment vertical="center"/>
    </xf>
    <xf numFmtId="37" fontId="127" fillId="0" borderId="0" xfId="13" applyNumberFormat="1" applyFont="1">
      <alignment vertical="center"/>
    </xf>
    <xf numFmtId="37" fontId="10" fillId="0" borderId="0" xfId="13" applyNumberFormat="1" applyFont="1">
      <alignment vertical="center"/>
    </xf>
    <xf numFmtId="39" fontId="77" fillId="0" borderId="8" xfId="13" applyNumberFormat="1" applyFont="1" applyBorder="1">
      <alignment vertical="center"/>
    </xf>
    <xf numFmtId="181" fontId="23" fillId="0" borderId="8" xfId="13" applyNumberFormat="1" applyFont="1" applyBorder="1" applyAlignment="1">
      <alignment horizontal="right" vertical="center"/>
    </xf>
    <xf numFmtId="181" fontId="10" fillId="0" borderId="8" xfId="13" applyNumberFormat="1" applyFont="1" applyBorder="1" applyAlignment="1">
      <alignment horizontal="right" vertical="center"/>
    </xf>
    <xf numFmtId="226" fontId="12" fillId="0" borderId="8" xfId="13" applyFont="1" applyBorder="1">
      <alignment vertical="center"/>
    </xf>
    <xf numFmtId="181" fontId="124" fillId="0" borderId="0" xfId="13" applyNumberFormat="1" applyFont="1">
      <alignment vertical="center"/>
    </xf>
    <xf numFmtId="9" fontId="128" fillId="7" borderId="0" xfId="13" applyNumberFormat="1" applyFont="1" applyFill="1">
      <alignment vertical="center"/>
    </xf>
    <xf numFmtId="226" fontId="5" fillId="0" borderId="8" xfId="13" applyBorder="1">
      <alignment vertical="center"/>
    </xf>
    <xf numFmtId="226" fontId="12" fillId="0" borderId="8" xfId="9" applyFont="1" applyBorder="1" applyAlignment="1">
      <alignment horizontal="center"/>
    </xf>
    <xf numFmtId="226" fontId="12" fillId="0" borderId="0" xfId="9" applyFont="1" applyAlignment="1">
      <alignment horizontal="center"/>
    </xf>
    <xf numFmtId="181" fontId="10" fillId="0" borderId="0" xfId="13" applyNumberFormat="1" applyFont="1">
      <alignment vertical="center"/>
    </xf>
    <xf numFmtId="37" fontId="122" fillId="0" borderId="8" xfId="13" applyNumberFormat="1" applyFont="1" applyBorder="1">
      <alignment vertical="center"/>
    </xf>
    <xf numFmtId="220" fontId="77" fillId="0" borderId="8" xfId="14" applyNumberFormat="1" applyFont="1" applyFill="1" applyBorder="1">
      <alignment vertical="center"/>
    </xf>
    <xf numFmtId="216" fontId="10" fillId="0" borderId="8" xfId="14" applyNumberFormat="1" applyFont="1" applyFill="1" applyBorder="1">
      <alignment vertical="center"/>
    </xf>
    <xf numFmtId="0" fontId="77" fillId="0" borderId="8" xfId="13" applyNumberFormat="1" applyFont="1" applyBorder="1">
      <alignment vertical="center"/>
    </xf>
    <xf numFmtId="0" fontId="10" fillId="0" borderId="8" xfId="13" applyNumberFormat="1" applyFont="1" applyBorder="1">
      <alignment vertical="center"/>
    </xf>
    <xf numFmtId="192" fontId="10" fillId="9" borderId="8" xfId="14" applyNumberFormat="1" applyFont="1" applyFill="1" applyBorder="1">
      <alignment vertical="center"/>
    </xf>
    <xf numFmtId="220" fontId="10" fillId="9" borderId="8" xfId="14" applyNumberFormat="1" applyFont="1" applyFill="1" applyBorder="1">
      <alignment vertical="center"/>
    </xf>
    <xf numFmtId="220" fontId="10" fillId="0" borderId="8" xfId="14" applyNumberFormat="1" applyFont="1" applyFill="1" applyBorder="1">
      <alignment vertical="center"/>
    </xf>
    <xf numFmtId="183" fontId="10" fillId="0" borderId="8" xfId="13" applyNumberFormat="1" applyFont="1" applyBorder="1">
      <alignment vertical="center"/>
    </xf>
    <xf numFmtId="1" fontId="10" fillId="0" borderId="8" xfId="13" applyNumberFormat="1" applyFont="1" applyBorder="1">
      <alignment vertical="center"/>
    </xf>
    <xf numFmtId="3" fontId="131" fillId="0" borderId="8" xfId="0" applyNumberFormat="1" applyFont="1" applyBorder="1" applyAlignment="1"/>
    <xf numFmtId="181" fontId="23" fillId="0" borderId="4" xfId="13" applyNumberFormat="1" applyFont="1" applyBorder="1">
      <alignment vertical="center"/>
    </xf>
    <xf numFmtId="38" fontId="10" fillId="0" borderId="4" xfId="13" applyNumberFormat="1" applyFont="1" applyBorder="1">
      <alignment vertical="center"/>
    </xf>
    <xf numFmtId="181" fontId="10" fillId="0" borderId="4" xfId="13" applyNumberFormat="1" applyFont="1" applyBorder="1">
      <alignment vertical="center"/>
    </xf>
    <xf numFmtId="181" fontId="77" fillId="0" borderId="4" xfId="13" applyNumberFormat="1" applyFont="1" applyBorder="1">
      <alignment vertical="center"/>
    </xf>
    <xf numFmtId="9" fontId="23" fillId="0" borderId="4" xfId="13" applyNumberFormat="1" applyFont="1" applyBorder="1">
      <alignment vertical="center"/>
    </xf>
    <xf numFmtId="37" fontId="77" fillId="0" borderId="4" xfId="13" applyNumberFormat="1" applyFont="1" applyBorder="1">
      <alignment vertical="center"/>
    </xf>
    <xf numFmtId="37" fontId="77" fillId="0" borderId="4" xfId="13" applyNumberFormat="1" applyFont="1" applyBorder="1" applyAlignment="1">
      <alignment horizontal="left" vertical="center"/>
    </xf>
    <xf numFmtId="37" fontId="97" fillId="0" borderId="4" xfId="13" applyNumberFormat="1" applyFont="1" applyBorder="1">
      <alignment vertical="center"/>
    </xf>
    <xf numFmtId="37" fontId="10" fillId="0" borderId="4" xfId="13" applyNumberFormat="1" applyFont="1" applyBorder="1">
      <alignment vertical="center"/>
    </xf>
    <xf numFmtId="226" fontId="10" fillId="0" borderId="4" xfId="13" applyFont="1" applyBorder="1">
      <alignment vertical="center"/>
    </xf>
    <xf numFmtId="40" fontId="10" fillId="0" borderId="4" xfId="13" applyNumberFormat="1" applyFont="1" applyBorder="1">
      <alignment vertical="center"/>
    </xf>
    <xf numFmtId="181" fontId="10" fillId="0" borderId="4" xfId="13" applyNumberFormat="1" applyFont="1" applyBorder="1" applyAlignment="1">
      <alignment horizontal="right" vertical="center"/>
    </xf>
    <xf numFmtId="181" fontId="23" fillId="0" borderId="4" xfId="13" applyNumberFormat="1" applyFont="1" applyBorder="1" applyAlignment="1">
      <alignment horizontal="right" vertical="center"/>
    </xf>
    <xf numFmtId="226" fontId="23" fillId="0" borderId="4" xfId="13" applyFont="1" applyBorder="1">
      <alignment vertical="center"/>
    </xf>
    <xf numFmtId="9" fontId="10" fillId="0" borderId="4" xfId="13" applyNumberFormat="1" applyFont="1" applyBorder="1">
      <alignment vertical="center"/>
    </xf>
    <xf numFmtId="226" fontId="12" fillId="0" borderId="4" xfId="13" applyFont="1" applyBorder="1">
      <alignment vertical="center"/>
    </xf>
    <xf numFmtId="181" fontId="128" fillId="0" borderId="4" xfId="13" applyNumberFormat="1" applyFont="1" applyBorder="1">
      <alignment vertical="center"/>
    </xf>
    <xf numFmtId="181" fontId="128" fillId="7" borderId="0" xfId="13" applyNumberFormat="1" applyFont="1" applyFill="1">
      <alignment vertical="center"/>
    </xf>
    <xf numFmtId="226" fontId="5" fillId="0" borderId="4" xfId="13" applyBorder="1">
      <alignment vertical="center"/>
    </xf>
    <xf numFmtId="226" fontId="77" fillId="0" borderId="4" xfId="13" applyFont="1" applyBorder="1">
      <alignment vertical="center"/>
    </xf>
    <xf numFmtId="0" fontId="77" fillId="0" borderId="4" xfId="13" applyNumberFormat="1" applyFont="1" applyBorder="1">
      <alignment vertical="center"/>
    </xf>
    <xf numFmtId="9" fontId="10" fillId="0" borderId="8" xfId="7" applyFont="1" applyBorder="1">
      <alignment vertical="center"/>
    </xf>
    <xf numFmtId="192" fontId="12" fillId="0" borderId="8" xfId="12" applyNumberFormat="1" applyFont="1" applyFill="1" applyBorder="1">
      <alignment vertical="center"/>
    </xf>
    <xf numFmtId="177" fontId="12" fillId="0" borderId="8" xfId="12" applyFont="1" applyFill="1" applyBorder="1">
      <alignment vertical="center"/>
    </xf>
    <xf numFmtId="181" fontId="12" fillId="32" borderId="8" xfId="7" applyNumberFormat="1" applyFont="1" applyFill="1" applyBorder="1">
      <alignment vertical="center"/>
    </xf>
    <xf numFmtId="192" fontId="176" fillId="32" borderId="0" xfId="14" applyNumberFormat="1" applyFont="1" applyFill="1" applyBorder="1">
      <alignment vertical="center"/>
    </xf>
    <xf numFmtId="192" fontId="176" fillId="32" borderId="8" xfId="14" applyNumberFormat="1" applyFont="1" applyFill="1" applyBorder="1">
      <alignment vertical="center"/>
    </xf>
    <xf numFmtId="192" fontId="177" fillId="32" borderId="0" xfId="14" applyNumberFormat="1" applyFont="1" applyFill="1" applyBorder="1">
      <alignment vertical="center"/>
    </xf>
    <xf numFmtId="192" fontId="177" fillId="32" borderId="8" xfId="14" applyNumberFormat="1" applyFont="1" applyFill="1" applyBorder="1">
      <alignment vertical="center"/>
    </xf>
    <xf numFmtId="226" fontId="10" fillId="0" borderId="0" xfId="13" applyFont="1" applyFill="1" applyBorder="1" applyAlignment="1">
      <alignment vertical="center" wrapText="1"/>
    </xf>
    <xf numFmtId="226" fontId="12" fillId="34" borderId="0" xfId="9" applyFont="1" applyFill="1" applyAlignment="1">
      <alignment horizontal="center"/>
    </xf>
    <xf numFmtId="226" fontId="12" fillId="0" borderId="0" xfId="9" applyFont="1" applyFill="1" applyBorder="1" applyAlignment="1">
      <alignment horizontal="right" vertical="center"/>
    </xf>
    <xf numFmtId="226" fontId="12" fillId="0" borderId="0" xfId="9" applyFont="1" applyFill="1" applyBorder="1" applyAlignment="1">
      <alignment horizontal="center" vertical="center"/>
    </xf>
    <xf numFmtId="226" fontId="12" fillId="0" borderId="8" xfId="9" applyFont="1" applyFill="1" applyBorder="1" applyAlignment="1">
      <alignment horizontal="center" vertical="center"/>
    </xf>
    <xf numFmtId="192" fontId="12" fillId="0" borderId="4" xfId="14" applyNumberFormat="1" applyFont="1" applyFill="1" applyBorder="1" applyAlignment="1">
      <alignment horizontal="center" vertical="center"/>
    </xf>
    <xf numFmtId="9" fontId="12" fillId="0" borderId="0" xfId="7" applyFont="1" applyFill="1" applyBorder="1" applyAlignment="1">
      <alignment horizontal="center" vertical="center"/>
    </xf>
    <xf numFmtId="9" fontId="12" fillId="0" borderId="8" xfId="7" applyFont="1" applyFill="1" applyBorder="1" applyAlignment="1">
      <alignment horizontal="center" vertical="center"/>
    </xf>
    <xf numFmtId="9" fontId="12" fillId="0" borderId="4" xfId="7" applyFont="1" applyFill="1" applyBorder="1" applyAlignment="1">
      <alignment horizontal="center" vertical="center"/>
    </xf>
    <xf numFmtId="9" fontId="129" fillId="0" borderId="0" xfId="7" applyNumberFormat="1" applyFont="1" applyFill="1" applyBorder="1">
      <alignment vertical="center"/>
    </xf>
    <xf numFmtId="9" fontId="129" fillId="0" borderId="8" xfId="7" applyNumberFormat="1" applyFont="1" applyFill="1" applyBorder="1">
      <alignment vertical="center"/>
    </xf>
    <xf numFmtId="9" fontId="129" fillId="0" borderId="4" xfId="7" applyNumberFormat="1" applyFont="1" applyFill="1" applyBorder="1">
      <alignment vertical="center"/>
    </xf>
    <xf numFmtId="9" fontId="10" fillId="0" borderId="4" xfId="7" applyNumberFormat="1" applyFont="1" applyFill="1" applyBorder="1">
      <alignment vertical="center"/>
    </xf>
    <xf numFmtId="9" fontId="12" fillId="0" borderId="0" xfId="7" applyNumberFormat="1" applyFont="1" applyFill="1" applyBorder="1">
      <alignment vertical="center"/>
    </xf>
    <xf numFmtId="9" fontId="12" fillId="0" borderId="8" xfId="7" applyNumberFormat="1" applyFont="1" applyFill="1" applyBorder="1">
      <alignment vertical="center"/>
    </xf>
    <xf numFmtId="9" fontId="10" fillId="0" borderId="62" xfId="7" applyNumberFormat="1" applyFont="1" applyFill="1" applyBorder="1">
      <alignment vertical="center"/>
    </xf>
    <xf numFmtId="9" fontId="10" fillId="0" borderId="70" xfId="7" applyNumberFormat="1" applyFont="1" applyFill="1" applyBorder="1">
      <alignment vertical="center"/>
    </xf>
    <xf numFmtId="9" fontId="10" fillId="0" borderId="69" xfId="7" applyNumberFormat="1" applyFont="1" applyFill="1" applyBorder="1">
      <alignment vertical="center"/>
    </xf>
    <xf numFmtId="9" fontId="12" fillId="0" borderId="62" xfId="7" applyNumberFormat="1" applyFont="1" applyFill="1" applyBorder="1">
      <alignment vertical="center"/>
    </xf>
    <xf numFmtId="9" fontId="12" fillId="0" borderId="70" xfId="7" applyNumberFormat="1" applyFont="1" applyFill="1" applyBorder="1">
      <alignment vertical="center"/>
    </xf>
    <xf numFmtId="9" fontId="12" fillId="32" borderId="0" xfId="7" applyNumberFormat="1" applyFont="1" applyFill="1" applyBorder="1">
      <alignment vertical="center"/>
    </xf>
    <xf numFmtId="10" fontId="12" fillId="0" borderId="0" xfId="7" applyNumberFormat="1" applyFont="1" applyFill="1" applyBorder="1">
      <alignment vertical="center"/>
    </xf>
    <xf numFmtId="226" fontId="10" fillId="0" borderId="0" xfId="13" applyFont="1" applyFill="1" applyBorder="1" applyAlignment="1">
      <alignment vertical="center" wrapText="1"/>
    </xf>
    <xf numFmtId="226" fontId="178" fillId="0" borderId="0" xfId="0" applyFont="1" applyBorder="1">
      <alignment vertical="center"/>
    </xf>
    <xf numFmtId="192" fontId="178" fillId="0" borderId="0" xfId="7" applyNumberFormat="1" applyFont="1" applyBorder="1">
      <alignment vertical="center"/>
    </xf>
    <xf numFmtId="192" fontId="178" fillId="0" borderId="4" xfId="7" applyNumberFormat="1" applyFont="1" applyBorder="1">
      <alignment vertical="center"/>
    </xf>
    <xf numFmtId="192" fontId="178" fillId="0" borderId="0" xfId="7" applyNumberFormat="1" applyFont="1" applyFill="1" applyBorder="1">
      <alignment vertical="center"/>
    </xf>
    <xf numFmtId="192" fontId="178" fillId="0" borderId="8" xfId="7" applyNumberFormat="1" applyFont="1" applyBorder="1">
      <alignment vertical="center"/>
    </xf>
    <xf numFmtId="192" fontId="179" fillId="0" borderId="0" xfId="7" applyNumberFormat="1" applyFont="1" applyBorder="1">
      <alignment vertical="center"/>
    </xf>
    <xf numFmtId="192" fontId="178" fillId="9" borderId="0" xfId="7" applyNumberFormat="1" applyFont="1" applyFill="1" applyBorder="1">
      <alignment vertical="center"/>
    </xf>
    <xf numFmtId="226" fontId="180" fillId="0" borderId="0" xfId="0" applyFont="1">
      <alignment vertical="center"/>
    </xf>
    <xf numFmtId="1" fontId="34" fillId="0" borderId="0" xfId="0" applyNumberFormat="1" applyFont="1" applyFill="1" applyBorder="1" applyAlignment="1">
      <alignment horizontal="center" vertical="center"/>
    </xf>
    <xf numFmtId="9" fontId="34" fillId="0" borderId="0" xfId="7" applyNumberFormat="1" applyFont="1" applyFill="1" applyBorder="1">
      <alignment vertical="center"/>
    </xf>
    <xf numFmtId="226" fontId="34" fillId="0" borderId="0" xfId="0" applyFont="1" applyBorder="1" applyAlignment="1">
      <alignment horizontal="left" vertical="center" indent="1"/>
    </xf>
    <xf numFmtId="177" fontId="34" fillId="0" borderId="0" xfId="12" applyFont="1">
      <alignment vertical="center"/>
    </xf>
    <xf numFmtId="9" fontId="34" fillId="0" borderId="0" xfId="7" applyFont="1">
      <alignment vertical="center"/>
    </xf>
    <xf numFmtId="9" fontId="34" fillId="0" borderId="72" xfId="7" applyFont="1" applyBorder="1">
      <alignment vertical="center"/>
    </xf>
    <xf numFmtId="177" fontId="34" fillId="0" borderId="72" xfId="12" applyFont="1" applyBorder="1">
      <alignment vertical="center"/>
    </xf>
    <xf numFmtId="9" fontId="10" fillId="0" borderId="6" xfId="9" applyNumberFormat="1" applyFont="1" applyFill="1" applyBorder="1" applyAlignment="1">
      <alignment horizontal="left" indent="2"/>
    </xf>
    <xf numFmtId="9" fontId="12" fillId="0" borderId="4" xfId="7" applyNumberFormat="1" applyFont="1" applyFill="1" applyBorder="1">
      <alignment vertical="center"/>
    </xf>
    <xf numFmtId="9" fontId="10" fillId="0" borderId="8" xfId="13" applyNumberFormat="1" applyFont="1" applyFill="1" applyBorder="1">
      <alignment vertical="center"/>
    </xf>
    <xf numFmtId="9" fontId="10" fillId="0" borderId="6" xfId="7" applyNumberFormat="1" applyFont="1" applyFill="1" applyBorder="1">
      <alignment vertical="center"/>
    </xf>
    <xf numFmtId="9" fontId="10" fillId="0" borderId="6" xfId="13" applyNumberFormat="1" applyFont="1" applyFill="1" applyBorder="1">
      <alignment vertical="center"/>
    </xf>
    <xf numFmtId="9" fontId="23" fillId="0" borderId="6" xfId="13" applyNumberFormat="1" applyFont="1" applyFill="1" applyBorder="1">
      <alignment vertical="center"/>
    </xf>
    <xf numFmtId="9" fontId="23" fillId="0" borderId="6" xfId="13" applyNumberFormat="1" applyFont="1" applyBorder="1">
      <alignment vertical="center"/>
    </xf>
    <xf numFmtId="9" fontId="10" fillId="0" borderId="8" xfId="13" applyNumberFormat="1" applyFont="1" applyBorder="1">
      <alignment vertical="center"/>
    </xf>
    <xf numFmtId="9" fontId="10" fillId="0" borderId="6" xfId="13" applyNumberFormat="1" applyFont="1" applyBorder="1">
      <alignment vertical="center"/>
    </xf>
    <xf numFmtId="9" fontId="10" fillId="0" borderId="4" xfId="13" applyNumberFormat="1" applyFont="1" applyFill="1" applyBorder="1" applyAlignment="1">
      <alignment horizontal="right" vertical="center"/>
    </xf>
    <xf numFmtId="9" fontId="10" fillId="0" borderId="6" xfId="7" applyNumberFormat="1" applyFont="1" applyFill="1" applyBorder="1" applyAlignment="1">
      <alignment horizontal="left" indent="2"/>
    </xf>
    <xf numFmtId="9" fontId="10" fillId="0" borderId="0" xfId="7" applyNumberFormat="1" applyFont="1" applyFill="1" applyBorder="1" applyAlignment="1">
      <alignment horizontal="center" vertical="center"/>
    </xf>
    <xf numFmtId="9" fontId="10" fillId="0" borderId="4" xfId="7" applyNumberFormat="1" applyFont="1" applyFill="1" applyBorder="1" applyAlignment="1">
      <alignment horizontal="right" vertical="center"/>
    </xf>
    <xf numFmtId="9" fontId="10" fillId="0" borderId="6" xfId="7" applyNumberFormat="1" applyFont="1" applyFill="1" applyBorder="1" applyAlignment="1">
      <alignment horizontal="right" vertical="center"/>
    </xf>
    <xf numFmtId="9" fontId="10" fillId="0" borderId="6" xfId="7" quotePrefix="1" applyFont="1" applyFill="1" applyBorder="1" applyAlignment="1">
      <alignment horizontal="left" indent="1"/>
    </xf>
    <xf numFmtId="226" fontId="7" fillId="9" borderId="4" xfId="13" applyFont="1" applyFill="1" applyBorder="1" applyAlignment="1">
      <alignment vertical="center" wrapText="1"/>
    </xf>
    <xf numFmtId="226" fontId="7" fillId="0" borderId="4" xfId="13" applyFont="1" applyFill="1" applyBorder="1" applyAlignment="1">
      <alignment vertical="center" wrapText="1"/>
    </xf>
    <xf numFmtId="226" fontId="7" fillId="9" borderId="4" xfId="13" applyFont="1" applyFill="1" applyBorder="1">
      <alignment vertical="center"/>
    </xf>
    <xf numFmtId="226" fontId="10" fillId="0" borderId="6" xfId="13" applyFont="1" applyFill="1" applyBorder="1" applyAlignment="1">
      <alignment horizontal="left" vertical="center"/>
    </xf>
    <xf numFmtId="220" fontId="127" fillId="0" borderId="0" xfId="12" applyNumberFormat="1" applyFont="1" applyFill="1" applyBorder="1">
      <alignment vertical="center"/>
    </xf>
    <xf numFmtId="226" fontId="10" fillId="0" borderId="0" xfId="13" applyFont="1" applyFill="1" applyBorder="1" applyAlignment="1">
      <alignment horizontal="left" vertical="center"/>
    </xf>
    <xf numFmtId="226" fontId="12" fillId="56" borderId="0" xfId="9" applyFont="1" applyFill="1" applyAlignment="1">
      <alignment horizontal="right" vertical="center"/>
    </xf>
    <xf numFmtId="226" fontId="12" fillId="56" borderId="0" xfId="9" applyFont="1" applyFill="1" applyAlignment="1">
      <alignment horizontal="center" vertical="center"/>
    </xf>
    <xf numFmtId="226" fontId="10" fillId="56" borderId="0" xfId="13" applyFont="1" applyFill="1">
      <alignment vertical="center"/>
    </xf>
    <xf numFmtId="226" fontId="12" fillId="0" borderId="6" xfId="9" applyFont="1" applyBorder="1" applyAlignment="1">
      <alignment horizontal="left"/>
    </xf>
    <xf numFmtId="210" fontId="23" fillId="0" borderId="0" xfId="7" applyNumberFormat="1" applyFont="1" applyFill="1" applyBorder="1">
      <alignment vertical="center"/>
    </xf>
    <xf numFmtId="181" fontId="23" fillId="32" borderId="30" xfId="7" applyNumberFormat="1" applyFont="1" applyFill="1" applyBorder="1" applyAlignment="1">
      <alignment horizontal="left" wrapText="1" indent="2"/>
    </xf>
    <xf numFmtId="181" fontId="128" fillId="32" borderId="62" xfId="7" applyNumberFormat="1" applyFont="1" applyFill="1" applyBorder="1" applyAlignment="1">
      <alignment horizontal="right" vertical="center"/>
    </xf>
    <xf numFmtId="181" fontId="128" fillId="32" borderId="62" xfId="7" applyNumberFormat="1" applyFont="1" applyFill="1" applyBorder="1">
      <alignment vertical="center"/>
    </xf>
    <xf numFmtId="181" fontId="128" fillId="32" borderId="70" xfId="7" applyNumberFormat="1" applyFont="1" applyFill="1" applyBorder="1">
      <alignment vertical="center"/>
    </xf>
    <xf numFmtId="9" fontId="128" fillId="32" borderId="62" xfId="7" applyFont="1" applyFill="1" applyBorder="1">
      <alignment vertical="center"/>
    </xf>
    <xf numFmtId="181" fontId="128" fillId="32" borderId="69" xfId="7" applyNumberFormat="1" applyFont="1" applyFill="1" applyBorder="1">
      <alignment vertical="center"/>
    </xf>
    <xf numFmtId="181" fontId="129" fillId="32" borderId="62" xfId="7" applyNumberFormat="1" applyFont="1" applyFill="1" applyBorder="1">
      <alignment vertical="center"/>
    </xf>
    <xf numFmtId="181" fontId="128" fillId="32" borderId="6" xfId="7" applyNumberFormat="1" applyFont="1" applyFill="1" applyBorder="1">
      <alignment vertical="center"/>
    </xf>
    <xf numFmtId="181" fontId="128" fillId="32" borderId="4" xfId="7" applyNumberFormat="1" applyFont="1" applyFill="1" applyBorder="1">
      <alignment vertical="center"/>
    </xf>
    <xf numFmtId="181" fontId="128" fillId="32" borderId="0" xfId="7" applyNumberFormat="1" applyFont="1" applyFill="1" applyBorder="1">
      <alignment vertical="center"/>
    </xf>
    <xf numFmtId="9" fontId="129" fillId="0" borderId="0" xfId="7" applyFont="1" applyFill="1" applyBorder="1">
      <alignment vertical="center"/>
    </xf>
    <xf numFmtId="9" fontId="129" fillId="0" borderId="8" xfId="7" applyFont="1" applyFill="1" applyBorder="1">
      <alignment vertical="center"/>
    </xf>
    <xf numFmtId="9" fontId="129" fillId="0" borderId="4" xfId="7" applyFont="1" applyFill="1" applyBorder="1">
      <alignment vertical="center"/>
    </xf>
    <xf numFmtId="181" fontId="129" fillId="32" borderId="70" xfId="7" applyNumberFormat="1" applyFont="1" applyFill="1" applyBorder="1">
      <alignment vertical="center"/>
    </xf>
    <xf numFmtId="210" fontId="23" fillId="0" borderId="8" xfId="7" applyNumberFormat="1" applyFont="1" applyFill="1" applyBorder="1">
      <alignment vertical="center"/>
    </xf>
    <xf numFmtId="9" fontId="127" fillId="0" borderId="0" xfId="7" applyNumberFormat="1" applyFont="1" applyFill="1" applyBorder="1">
      <alignment vertical="center"/>
    </xf>
    <xf numFmtId="181" fontId="124" fillId="9" borderId="0" xfId="13" applyNumberFormat="1" applyFont="1" applyFill="1" applyBorder="1">
      <alignment vertical="center"/>
    </xf>
    <xf numFmtId="181" fontId="21" fillId="9" borderId="8" xfId="7" applyNumberFormat="1" applyFont="1" applyFill="1" applyBorder="1">
      <alignment vertical="center"/>
    </xf>
    <xf numFmtId="39" fontId="77" fillId="9" borderId="8" xfId="13" applyNumberFormat="1" applyFont="1" applyFill="1" applyBorder="1">
      <alignment vertical="center"/>
    </xf>
    <xf numFmtId="9" fontId="124" fillId="9" borderId="0" xfId="7" applyFont="1" applyFill="1" applyBorder="1" applyAlignment="1">
      <alignment horizontal="right" vertical="center"/>
    </xf>
    <xf numFmtId="9" fontId="128" fillId="0" borderId="0" xfId="13" applyNumberFormat="1" applyFont="1">
      <alignment vertical="center"/>
    </xf>
    <xf numFmtId="226" fontId="10" fillId="0" borderId="0" xfId="13" applyFont="1" applyFill="1" applyBorder="1" applyAlignment="1">
      <alignment vertical="center" wrapText="1"/>
    </xf>
    <xf numFmtId="181" fontId="167" fillId="0" borderId="0" xfId="7" applyNumberFormat="1" applyFont="1" applyBorder="1">
      <alignment vertical="center"/>
    </xf>
    <xf numFmtId="181" fontId="129" fillId="32" borderId="0" xfId="7" applyNumberFormat="1" applyFont="1" applyFill="1" applyBorder="1">
      <alignment vertical="center"/>
    </xf>
    <xf numFmtId="192" fontId="12" fillId="51" borderId="0" xfId="14" applyNumberFormat="1" applyFont="1" applyFill="1" applyBorder="1" applyAlignment="1">
      <alignment horizontal="center" vertical="center"/>
    </xf>
    <xf numFmtId="0" fontId="12" fillId="51" borderId="0" xfId="9" applyNumberFormat="1" applyFont="1" applyFill="1" applyBorder="1" applyAlignment="1">
      <alignment horizontal="center"/>
    </xf>
    <xf numFmtId="177" fontId="77" fillId="0" borderId="0" xfId="12" applyFont="1" applyFill="1" applyBorder="1">
      <alignment vertical="center"/>
    </xf>
    <xf numFmtId="181" fontId="128" fillId="7" borderId="0" xfId="13" applyNumberFormat="1" applyFont="1" applyFill="1" applyBorder="1" applyAlignment="1">
      <alignment horizontal="right" vertical="center"/>
    </xf>
    <xf numFmtId="226" fontId="10" fillId="0" borderId="0" xfId="13" applyFont="1" applyFill="1" applyBorder="1" applyAlignment="1">
      <alignment vertical="center" wrapText="1"/>
    </xf>
    <xf numFmtId="2" fontId="12" fillId="0" borderId="0" xfId="13" applyNumberFormat="1" applyFont="1" applyFill="1" applyBorder="1">
      <alignment vertical="center"/>
    </xf>
    <xf numFmtId="192" fontId="181" fillId="52" borderId="0" xfId="14" applyNumberFormat="1" applyFont="1" applyFill="1" applyBorder="1" applyAlignment="1">
      <alignment horizontal="center" vertical="center"/>
    </xf>
    <xf numFmtId="226" fontId="12" fillId="0" borderId="59" xfId="13" applyFont="1" applyFill="1" applyBorder="1">
      <alignment vertical="center"/>
    </xf>
    <xf numFmtId="181" fontId="10" fillId="0" borderId="59" xfId="7" applyNumberFormat="1" applyFont="1" applyFill="1" applyBorder="1">
      <alignment vertical="center"/>
    </xf>
    <xf numFmtId="192" fontId="12" fillId="0" borderId="59" xfId="7" applyNumberFormat="1" applyFont="1" applyFill="1" applyBorder="1">
      <alignment vertical="center"/>
    </xf>
    <xf numFmtId="9" fontId="12" fillId="56" borderId="6" xfId="7" applyFont="1" applyFill="1" applyBorder="1" applyAlignment="1">
      <alignment horizontal="center" vertical="center"/>
    </xf>
    <xf numFmtId="181" fontId="128" fillId="32" borderId="8" xfId="7" applyNumberFormat="1" applyFont="1" applyFill="1" applyBorder="1">
      <alignment vertical="center"/>
    </xf>
    <xf numFmtId="178" fontId="127" fillId="0" borderId="6" xfId="10" applyFont="1" applyFill="1" applyBorder="1">
      <alignment vertical="center"/>
    </xf>
    <xf numFmtId="181" fontId="129" fillId="0" borderId="6" xfId="7" applyNumberFormat="1" applyFont="1" applyFill="1" applyBorder="1">
      <alignment vertical="center"/>
    </xf>
    <xf numFmtId="181" fontId="182" fillId="0" borderId="59" xfId="13" applyNumberFormat="1" applyFont="1" applyFill="1" applyBorder="1">
      <alignment vertical="center"/>
    </xf>
    <xf numFmtId="181" fontId="182" fillId="0" borderId="0" xfId="7" applyNumberFormat="1" applyFont="1" applyFill="1" applyBorder="1">
      <alignment vertical="center"/>
    </xf>
    <xf numFmtId="9" fontId="183" fillId="0" borderId="0" xfId="7" applyNumberFormat="1" applyFont="1" applyFill="1" applyBorder="1">
      <alignment vertical="center"/>
    </xf>
    <xf numFmtId="9" fontId="181" fillId="0" borderId="0" xfId="7" applyNumberFormat="1" applyFont="1" applyFill="1" applyBorder="1">
      <alignment vertical="center"/>
    </xf>
    <xf numFmtId="181" fontId="183" fillId="0" borderId="0" xfId="7" applyNumberFormat="1" applyFont="1" applyFill="1" applyBorder="1">
      <alignment vertical="center"/>
    </xf>
    <xf numFmtId="9" fontId="181" fillId="0" borderId="62" xfId="7" applyNumberFormat="1" applyFont="1" applyFill="1" applyBorder="1">
      <alignment vertical="center"/>
    </xf>
    <xf numFmtId="38" fontId="181" fillId="0" borderId="0" xfId="13" applyNumberFormat="1" applyFont="1" applyFill="1" applyBorder="1">
      <alignment vertical="center"/>
    </xf>
    <xf numFmtId="181" fontId="181" fillId="0" borderId="62" xfId="7" applyNumberFormat="1" applyFont="1" applyFill="1" applyBorder="1">
      <alignment vertical="center"/>
    </xf>
    <xf numFmtId="181" fontId="181" fillId="0" borderId="0" xfId="7" applyNumberFormat="1" applyFont="1" applyFill="1" applyBorder="1">
      <alignment vertical="center"/>
    </xf>
    <xf numFmtId="37" fontId="181" fillId="0" borderId="0" xfId="13" applyNumberFormat="1" applyFont="1" applyFill="1" applyBorder="1">
      <alignment vertical="center"/>
    </xf>
    <xf numFmtId="37" fontId="181" fillId="0" borderId="0" xfId="13" applyNumberFormat="1" applyFont="1" applyFill="1" applyBorder="1" applyAlignment="1">
      <alignment horizontal="right" vertical="center"/>
    </xf>
    <xf numFmtId="37" fontId="181" fillId="0" borderId="0" xfId="14" applyNumberFormat="1" applyFont="1" applyFill="1" applyBorder="1">
      <alignment vertical="center"/>
    </xf>
    <xf numFmtId="181" fontId="181" fillId="0" borderId="0" xfId="13" applyNumberFormat="1" applyFont="1" applyFill="1" applyBorder="1">
      <alignment vertical="center"/>
    </xf>
    <xf numFmtId="2" fontId="181" fillId="0" borderId="0" xfId="13" applyNumberFormat="1" applyFont="1" applyFill="1" applyBorder="1">
      <alignment vertical="center"/>
    </xf>
    <xf numFmtId="181" fontId="181" fillId="32" borderId="0" xfId="7" applyNumberFormat="1" applyFont="1" applyFill="1" applyBorder="1">
      <alignment vertical="center"/>
    </xf>
    <xf numFmtId="181" fontId="181" fillId="0" borderId="0" xfId="13" applyNumberFormat="1" applyFont="1" applyFill="1" applyBorder="1" applyAlignment="1">
      <alignment horizontal="right" vertical="center"/>
    </xf>
    <xf numFmtId="181" fontId="183" fillId="0" borderId="0" xfId="13" applyNumberFormat="1" applyFont="1" applyFill="1" applyBorder="1">
      <alignment vertical="center"/>
    </xf>
    <xf numFmtId="178" fontId="182" fillId="0" borderId="8" xfId="10" applyFont="1" applyFill="1" applyBorder="1">
      <alignment vertical="center"/>
    </xf>
    <xf numFmtId="226" fontId="10" fillId="0" borderId="0" xfId="13" applyFont="1" applyFill="1" applyBorder="1" applyAlignment="1">
      <alignment vertical="center" wrapText="1"/>
    </xf>
    <xf numFmtId="220" fontId="77" fillId="9" borderId="0" xfId="12" applyNumberFormat="1" applyFont="1" applyFill="1" applyBorder="1">
      <alignment vertical="center"/>
    </xf>
    <xf numFmtId="226" fontId="10" fillId="0" borderId="0" xfId="13" applyFont="1" applyFill="1" applyBorder="1" applyAlignment="1">
      <alignment vertical="center" wrapText="1"/>
    </xf>
    <xf numFmtId="9" fontId="23" fillId="0" borderId="0" xfId="13" applyNumberFormat="1" applyFont="1" applyFill="1">
      <alignment vertical="center"/>
    </xf>
    <xf numFmtId="0" fontId="81" fillId="33" borderId="20" xfId="233" applyFont="1" applyFill="1" applyBorder="1" applyAlignment="1">
      <alignment horizontal="center" vertical="center"/>
    </xf>
    <xf numFmtId="0" fontId="81" fillId="33" borderId="21" xfId="233" applyFont="1" applyFill="1" applyBorder="1" applyAlignment="1">
      <alignment horizontal="center" vertical="center"/>
    </xf>
    <xf numFmtId="227" fontId="5" fillId="0" borderId="0" xfId="229" applyFont="1" applyAlignment="1">
      <alignment horizontal="center" vertical="center"/>
    </xf>
    <xf numFmtId="227" fontId="5" fillId="0" borderId="0" xfId="229" applyAlignment="1">
      <alignment horizontal="center" vertical="center"/>
    </xf>
    <xf numFmtId="231" fontId="7" fillId="0" borderId="0" xfId="234" applyFont="1" applyAlignment="1">
      <alignment horizontal="center" vertical="center"/>
    </xf>
    <xf numFmtId="231" fontId="75" fillId="0" borderId="67" xfId="234" applyFont="1" applyBorder="1" applyAlignment="1">
      <alignment horizontal="center" vertical="center"/>
    </xf>
    <xf numFmtId="231" fontId="75" fillId="0" borderId="68" xfId="234" applyFont="1" applyBorder="1" applyAlignment="1">
      <alignment horizontal="center" vertical="center"/>
    </xf>
    <xf numFmtId="226" fontId="173" fillId="2" borderId="6" xfId="9" applyFont="1" applyFill="1" applyBorder="1" applyAlignment="1">
      <alignment horizontal="center" vertical="center"/>
    </xf>
    <xf numFmtId="226" fontId="10" fillId="0" borderId="0" xfId="171" applyNumberFormat="1" applyFont="1" applyAlignment="1">
      <alignment horizontal="center" vertical="center"/>
    </xf>
    <xf numFmtId="226" fontId="5" fillId="0" borderId="0" xfId="171" applyNumberFormat="1" applyAlignment="1">
      <alignment horizontal="center" vertical="center"/>
    </xf>
    <xf numFmtId="226" fontId="7" fillId="0" borderId="0" xfId="0" applyFont="1" applyAlignment="1">
      <alignment horizontal="center" vertical="center"/>
    </xf>
    <xf numFmtId="226" fontId="5" fillId="0" borderId="42" xfId="13" applyBorder="1" applyAlignment="1">
      <alignment horizontal="center" vertical="center"/>
    </xf>
    <xf numFmtId="226" fontId="5" fillId="0" borderId="36" xfId="13" applyBorder="1" applyAlignment="1">
      <alignment horizontal="center" vertical="center"/>
    </xf>
    <xf numFmtId="226" fontId="5" fillId="0" borderId="43" xfId="13" applyBorder="1" applyAlignment="1">
      <alignment horizontal="center" vertical="center"/>
    </xf>
    <xf numFmtId="226" fontId="5" fillId="0" borderId="8" xfId="13" applyBorder="1" applyAlignment="1">
      <alignment horizontal="center" vertical="center"/>
    </xf>
    <xf numFmtId="226" fontId="5" fillId="0" borderId="47" xfId="13" applyBorder="1" applyAlignment="1">
      <alignment horizontal="center" vertical="center"/>
    </xf>
    <xf numFmtId="226" fontId="5" fillId="0" borderId="48" xfId="13" applyBorder="1" applyAlignment="1">
      <alignment horizontal="center" vertical="center"/>
    </xf>
    <xf numFmtId="226" fontId="5" fillId="0" borderId="49" xfId="13" applyBorder="1" applyAlignment="1">
      <alignment horizontal="center" vertical="center"/>
    </xf>
    <xf numFmtId="226" fontId="5" fillId="0" borderId="18" xfId="13" applyBorder="1" applyAlignment="1">
      <alignment horizontal="center" vertical="center"/>
    </xf>
    <xf numFmtId="226" fontId="5" fillId="0" borderId="50" xfId="13" applyBorder="1" applyAlignment="1">
      <alignment horizontal="center" vertical="center"/>
    </xf>
    <xf numFmtId="226" fontId="10" fillId="9" borderId="0" xfId="13" applyFont="1" applyFill="1" applyBorder="1" applyAlignment="1">
      <alignment horizontal="center" vertical="center" wrapText="1"/>
    </xf>
    <xf numFmtId="226" fontId="20" fillId="4" borderId="0" xfId="9" applyFont="1" applyFill="1" applyBorder="1" applyAlignment="1">
      <alignment horizontal="center"/>
    </xf>
    <xf numFmtId="226" fontId="10" fillId="0" borderId="0" xfId="13" applyFont="1" applyFill="1" applyBorder="1" applyAlignment="1">
      <alignment vertical="center" wrapText="1"/>
    </xf>
    <xf numFmtId="226" fontId="15" fillId="0" borderId="18" xfId="13" applyFont="1" applyBorder="1" applyAlignment="1">
      <alignment horizontal="center" vertical="center"/>
    </xf>
    <xf numFmtId="226" fontId="15" fillId="7" borderId="18" xfId="13" applyFont="1" applyFill="1" applyBorder="1" applyAlignment="1">
      <alignment horizontal="center" vertical="center"/>
    </xf>
  </cellXfs>
  <cellStyles count="239">
    <cellStyle name="_x0007_" xfId="1" xr:uid="{00000000-0005-0000-0000-000000000000}"/>
    <cellStyle name="@_text" xfId="22" xr:uid="{00000000-0005-0000-0000-000001000000}"/>
    <cellStyle name="@_text_sheet" xfId="23" xr:uid="{00000000-0005-0000-0000-000002000000}"/>
    <cellStyle name="@_text_月度分析-酒店201203" xfId="24" xr:uid="{00000000-0005-0000-0000-000003000000}"/>
    <cellStyle name="@_text_月度分析-旅游201203" xfId="25" xr:uid="{00000000-0005-0000-0000-000004000000}"/>
    <cellStyle name="@_text_月度分析-商旅201203" xfId="26" xr:uid="{00000000-0005-0000-0000-000005000000}"/>
    <cellStyle name="]_x000d__x000a_Width=615_x000d__x000a_Height=433_x000d__x000a__x000d__x000a_[Code]_x000d__x000a_Code0=/nSA38_x000d__x000a_Code1=/SA38_x000d__x000a_Code2=SA38_x000d__x000a_Code3=fs10_x000d__x000a_Code4=gr55_x000d__x000a_Code5=/ngr55_x000d__x000a__x000d__x000a_" xfId="27" xr:uid="{00000000-0005-0000-0000-000006000000}"/>
    <cellStyle name="_2008 Q4 quarterly analysis - 0205 - HNTE 15% - Final" xfId="28" xr:uid="{00000000-0005-0000-0000-000007000000}"/>
    <cellStyle name="_2009年全国预算汇总-收入费用 - 20091021 - 更新酒店预订及度假业务、市场传播" xfId="29" xr:uid="{00000000-0005-0000-0000-000008000000}"/>
    <cellStyle name="_2010.7.工资调整－人事版" xfId="30" xr:uid="{00000000-0005-0000-0000-000009000000}"/>
    <cellStyle name="_2010年上半年级别工资调整(补差人员）" xfId="31" xr:uid="{00000000-0005-0000-0000-00000A000000}"/>
    <cellStyle name="_2010年上半年级别工资调整(更新）" xfId="32" xr:uid="{00000000-0005-0000-0000-00000B000000}"/>
    <cellStyle name="_2011年前台工资预估（领班及以上）  " xfId="33" xr:uid="{00000000-0005-0000-0000-00000C000000}"/>
    <cellStyle name="_2011年前台预算（领班及以上）  " xfId="34" xr:uid="{00000000-0005-0000-0000-00000D000000}"/>
    <cellStyle name="_2011预算 - 前台" xfId="35" xr:uid="{00000000-0005-0000-0000-00000E000000}"/>
    <cellStyle name="_3 stage GG model" xfId="181" xr:uid="{00000000-0005-0000-0000-00000F000000}"/>
    <cellStyle name="_3 stage GG model 2" xfId="182" xr:uid="{00000000-0005-0000-0000-000010000000}"/>
    <cellStyle name="_Book3" xfId="36" xr:uid="{00000000-0005-0000-0000-000011000000}"/>
    <cellStyle name="_MWA RR_1-pager " xfId="183" xr:uid="{00000000-0005-0000-0000-000012000000}"/>
    <cellStyle name="_RRS1_1_1-pager " xfId="184" xr:uid="{00000000-0005-0000-0000-000013000000}"/>
    <cellStyle name="_RRS10_1_1-pager " xfId="185" xr:uid="{00000000-0005-0000-0000-000014000000}"/>
    <cellStyle name="_SUMMARY " xfId="180" xr:uid="{00000000-0005-0000-0000-000015000000}"/>
    <cellStyle name="_SUMMARY  2" xfId="186" xr:uid="{00000000-0005-0000-0000-000016000000}"/>
    <cellStyle name="_SUMMARY _1-pager " xfId="187" xr:uid="{00000000-0005-0000-0000-000017000000}"/>
    <cellStyle name="_电话营销部调整名单10.08." xfId="37" xr:uid="{00000000-0005-0000-0000-000018000000}"/>
    <cellStyle name="_电营2010年人员工资（U）" xfId="38" xr:uid="{00000000-0005-0000-0000-000019000000}"/>
    <cellStyle name="_工资调整－人事版" xfId="39" xr:uid="{00000000-0005-0000-0000-00001A000000}"/>
    <cellStyle name="_机票业务-2012.02" xfId="40" xr:uid="{00000000-0005-0000-0000-00001B000000}"/>
    <cellStyle name="_酒店业务2012-02" xfId="41" xr:uid="{00000000-0005-0000-0000-00001C000000}"/>
    <cellStyle name="_旅游业务--2012.2" xfId="42" xr:uid="{00000000-0005-0000-0000-00001D000000}"/>
    <cellStyle name="_全国分公司及部门费用汇总 - 12月_01.31" xfId="43" xr:uid="{00000000-0005-0000-0000-00001E000000}"/>
    <cellStyle name="{Comma [0]}" xfId="44" xr:uid="{00000000-0005-0000-0000-00001F000000}"/>
    <cellStyle name="{Comma}" xfId="45" xr:uid="{00000000-0005-0000-0000-000020000000}"/>
    <cellStyle name="{Date}" xfId="46" xr:uid="{00000000-0005-0000-0000-000021000000}"/>
    <cellStyle name="{Month}" xfId="47" xr:uid="{00000000-0005-0000-0000-000022000000}"/>
    <cellStyle name="{Percent}" xfId="48" xr:uid="{00000000-0005-0000-0000-000023000000}"/>
    <cellStyle name="{Thousand [0]}" xfId="49" xr:uid="{00000000-0005-0000-0000-000024000000}"/>
    <cellStyle name="{Thousand}" xfId="50" xr:uid="{00000000-0005-0000-0000-000025000000}"/>
    <cellStyle name="{Z'0000(1 dec)}" xfId="51" xr:uid="{00000000-0005-0000-0000-000026000000}"/>
    <cellStyle name="{Z'0000(4 dec)}" xfId="52" xr:uid="{00000000-0005-0000-0000-000027000000}"/>
    <cellStyle name="0_Capex &amp; Depreciation " xfId="193" xr:uid="{00000000-0005-0000-0000-000028000000}"/>
    <cellStyle name="0_Capex &amp; Depreciation  2" xfId="188" xr:uid="{00000000-0005-0000-0000-000029000000}"/>
    <cellStyle name="0_Valuing BP " xfId="199" xr:uid="{00000000-0005-0000-0000-00002A000000}"/>
    <cellStyle name="0_Valuing BP  2" xfId="189" xr:uid="{00000000-0005-0000-0000-00002B000000}"/>
    <cellStyle name="20% - 輔色1" xfId="53" xr:uid="{00000000-0005-0000-0000-00002C000000}"/>
    <cellStyle name="20% - 輔色2" xfId="54" xr:uid="{00000000-0005-0000-0000-00002D000000}"/>
    <cellStyle name="20% - 輔色3" xfId="55" xr:uid="{00000000-0005-0000-0000-00002E000000}"/>
    <cellStyle name="20% - 輔色4" xfId="56" xr:uid="{00000000-0005-0000-0000-00002F000000}"/>
    <cellStyle name="20% - 輔色5" xfId="57" xr:uid="{00000000-0005-0000-0000-000030000000}"/>
    <cellStyle name="20% - 輔色6" xfId="58" xr:uid="{00000000-0005-0000-0000-000031000000}"/>
    <cellStyle name="40% - 輔色1" xfId="59" xr:uid="{00000000-0005-0000-0000-000032000000}"/>
    <cellStyle name="40% - 輔色2" xfId="60" xr:uid="{00000000-0005-0000-0000-000033000000}"/>
    <cellStyle name="40% - 輔色3" xfId="61" xr:uid="{00000000-0005-0000-0000-000034000000}"/>
    <cellStyle name="40% - 輔色4" xfId="62" xr:uid="{00000000-0005-0000-0000-000035000000}"/>
    <cellStyle name="40% - 輔色5" xfId="63" xr:uid="{00000000-0005-0000-0000-000036000000}"/>
    <cellStyle name="40% - 輔色6" xfId="64" xr:uid="{00000000-0005-0000-0000-000037000000}"/>
    <cellStyle name="60% - 輔色1" xfId="65" xr:uid="{00000000-0005-0000-0000-000038000000}"/>
    <cellStyle name="60% - 輔色2" xfId="66" xr:uid="{00000000-0005-0000-0000-000039000000}"/>
    <cellStyle name="60% - 輔色3" xfId="67" xr:uid="{00000000-0005-0000-0000-00003A000000}"/>
    <cellStyle name="60% - 輔色4" xfId="68" xr:uid="{00000000-0005-0000-0000-00003B000000}"/>
    <cellStyle name="60% - 輔色5" xfId="69" xr:uid="{00000000-0005-0000-0000-00003C000000}"/>
    <cellStyle name="60% - 輔色6" xfId="70" xr:uid="{00000000-0005-0000-0000-00003D000000}"/>
    <cellStyle name="c_HardInc " xfId="201" xr:uid="{00000000-0005-0000-0000-00003E000000}"/>
    <cellStyle name="c_HardInc  2" xfId="190" xr:uid="{00000000-0005-0000-0000-00003F000000}"/>
    <cellStyle name="Comma 2" xfId="191" xr:uid="{00000000-0005-0000-0000-000040000000}"/>
    <cellStyle name="Comma 3 2" xfId="203" xr:uid="{00000000-0005-0000-0000-000041000000}"/>
    <cellStyle name="Currency 2" xfId="179" xr:uid="{00000000-0005-0000-0000-000042000000}"/>
    <cellStyle name="Euro" xfId="71" xr:uid="{00000000-0005-0000-0000-000043000000}"/>
    <cellStyle name="Grey" xfId="2" xr:uid="{00000000-0005-0000-0000-000044000000}"/>
    <cellStyle name="Hyperlink 2" xfId="192" xr:uid="{00000000-0005-0000-0000-000045000000}"/>
    <cellStyle name="Input [yellow]" xfId="3" xr:uid="{00000000-0005-0000-0000-000046000000}"/>
    <cellStyle name="Millares_2AV_M_M " xfId="194" xr:uid="{00000000-0005-0000-0000-000047000000}"/>
    <cellStyle name="Moneda [0]_2AV_M_M " xfId="195" xr:uid="{00000000-0005-0000-0000-000048000000}"/>
    <cellStyle name="Normal - Style1" xfId="4" xr:uid="{00000000-0005-0000-0000-000049000000}"/>
    <cellStyle name="Normal 16" xfId="206" xr:uid="{00000000-0005-0000-0000-00004A000000}"/>
    <cellStyle name="Normal 2" xfId="207" xr:uid="{00000000-0005-0000-0000-00004B000000}"/>
    <cellStyle name="Normal 2 2" xfId="225" xr:uid="{00000000-0005-0000-0000-00004C000000}"/>
    <cellStyle name="Normal 2 2 2" xfId="227" xr:uid="{00000000-0005-0000-0000-00004D000000}"/>
    <cellStyle name="Normal 2 3" xfId="228" xr:uid="{00000000-0005-0000-0000-00004E000000}"/>
    <cellStyle name="Normal 3" xfId="208" xr:uid="{00000000-0005-0000-0000-00004F000000}"/>
    <cellStyle name="Normal 3 2" xfId="226" xr:uid="{00000000-0005-0000-0000-000050000000}"/>
    <cellStyle name="Normal 4" xfId="209" xr:uid="{00000000-0005-0000-0000-000051000000}"/>
    <cellStyle name="Normal 5" xfId="210" xr:uid="{00000000-0005-0000-0000-000052000000}"/>
    <cellStyle name="Normal 6" xfId="211" xr:uid="{00000000-0005-0000-0000-000053000000}"/>
    <cellStyle name="Normal_2004 Q2 figure" xfId="5" xr:uid="{00000000-0005-0000-0000-000054000000}"/>
    <cellStyle name="Normal_2004 Q2 figure 2" xfId="174" xr:uid="{00000000-0005-0000-0000-000055000000}"/>
    <cellStyle name="Normal_2004 Q2 figure 2 2" xfId="232" xr:uid="{00000000-0005-0000-0000-000056000000}"/>
    <cellStyle name="Normal_2004 Q2 figure 2 2 2" xfId="236" xr:uid="{00000000-0005-0000-0000-000057000000}"/>
    <cellStyle name="Onedec_FT Valuation " xfId="212" xr:uid="{00000000-0005-0000-0000-000058000000}"/>
    <cellStyle name="p " xfId="213" xr:uid="{00000000-0005-0000-0000-000059000000}"/>
    <cellStyle name="Percent [2]" xfId="6" xr:uid="{00000000-0005-0000-0000-00005A000000}"/>
    <cellStyle name="Percent 10" xfId="215" xr:uid="{00000000-0005-0000-0000-00005B000000}"/>
    <cellStyle name="Percent 2" xfId="216" xr:uid="{00000000-0005-0000-0000-00005C000000}"/>
    <cellStyle name="Percent 2 2" xfId="217" xr:uid="{00000000-0005-0000-0000-00005D000000}"/>
    <cellStyle name="Percent 2 3" xfId="218" xr:uid="{00000000-0005-0000-0000-00005E000000}"/>
    <cellStyle name="RRSInstruction" xfId="219" xr:uid="{00000000-0005-0000-0000-00005F000000}"/>
    <cellStyle name="RRSInstruction 2" xfId="196" xr:uid="{00000000-0005-0000-0000-000060000000}"/>
    <cellStyle name="s_HardInc " xfId="220" xr:uid="{00000000-0005-0000-0000-000061000000}"/>
    <cellStyle name="s_HardInc  2" xfId="197" xr:uid="{00000000-0005-0000-0000-000062000000}"/>
    <cellStyle name="s_Valuation " xfId="221" xr:uid="{00000000-0005-0000-0000-000063000000}"/>
    <cellStyle name="s_Valuation  2" xfId="198" xr:uid="{00000000-0005-0000-0000-000064000000}"/>
    <cellStyle name="ssp " xfId="222" xr:uid="{00000000-0005-0000-0000-000065000000}"/>
    <cellStyle name="百分比" xfId="7" builtinId="5"/>
    <cellStyle name="百分比 10" xfId="238" xr:uid="{00000000-0005-0000-0000-000067000000}"/>
    <cellStyle name="百分比 2" xfId="16" xr:uid="{00000000-0005-0000-0000-000068000000}"/>
    <cellStyle name="百分比 3" xfId="17" xr:uid="{00000000-0005-0000-0000-000069000000}"/>
    <cellStyle name="百分比 4" xfId="21" xr:uid="{00000000-0005-0000-0000-00006A000000}"/>
    <cellStyle name="百分比 5" xfId="164" xr:uid="{00000000-0005-0000-0000-00006B000000}"/>
    <cellStyle name="百分比 6" xfId="168" xr:uid="{00000000-0005-0000-0000-00006C000000}"/>
    <cellStyle name="百分比 7" xfId="170" xr:uid="{00000000-0005-0000-0000-00006D000000}"/>
    <cellStyle name="百分比 8" xfId="177" xr:uid="{00000000-0005-0000-0000-00006E000000}"/>
    <cellStyle name="百分比 9" xfId="214" xr:uid="{00000000-0005-0000-0000-00006F000000}"/>
    <cellStyle name="備註" xfId="72" xr:uid="{00000000-0005-0000-0000-000070000000}"/>
    <cellStyle name="標題" xfId="73" xr:uid="{00000000-0005-0000-0000-000071000000}"/>
    <cellStyle name="標題 1" xfId="74" xr:uid="{00000000-0005-0000-0000-000072000000}"/>
    <cellStyle name="標題 2" xfId="75" xr:uid="{00000000-0005-0000-0000-000073000000}"/>
    <cellStyle name="標題 3" xfId="76" xr:uid="{00000000-0005-0000-0000-000074000000}"/>
    <cellStyle name="標題 4" xfId="77" xr:uid="{00000000-0005-0000-0000-000075000000}"/>
    <cellStyle name="差_08年指标预算_深圳" xfId="78" xr:uid="{00000000-0005-0000-0000-000076000000}"/>
    <cellStyle name="差_2008年10月费用预算实际 - 广州分公司" xfId="79" xr:uid="{00000000-0005-0000-0000-000077000000}"/>
    <cellStyle name="差_2008年预算 - 沈阳市场合作部" xfId="80" xr:uid="{00000000-0005-0000-0000-000078000000}"/>
    <cellStyle name="差_2008年预算 - 市场合作部" xfId="81" xr:uid="{00000000-0005-0000-0000-000079000000}"/>
    <cellStyle name="差_2009预算 - QA" xfId="82" xr:uid="{00000000-0005-0000-0000-00007A000000}"/>
    <cellStyle name="差_2009预算 - 广州商旅业务部" xfId="83" xr:uid="{00000000-0005-0000-0000-00007B000000}"/>
    <cellStyle name="差_2009预算-广州技术运营部（初稿）" xfId="84" xr:uid="{00000000-0005-0000-0000-00007C000000}"/>
    <cellStyle name="差_2010预算 - 广州商旅业务部门" xfId="85" xr:uid="{00000000-0005-0000-0000-00007D000000}"/>
    <cellStyle name="差_2011年1月费用预算实际 - 北京分公司" xfId="86" xr:uid="{00000000-0005-0000-0000-00007E000000}"/>
    <cellStyle name="差_2011年1月费用预算实际 - 成都分公司" xfId="87" xr:uid="{00000000-0005-0000-0000-00007F000000}"/>
    <cellStyle name="差_2011年1月费用预算实际 - 广州分公司" xfId="88" xr:uid="{00000000-0005-0000-0000-000080000000}"/>
    <cellStyle name="差_2011年1月费用预算实际 - 南京分公司" xfId="89" xr:uid="{00000000-0005-0000-0000-000081000000}"/>
    <cellStyle name="差_2011年1月费用预算实际 - 深圳分公司" xfId="90" xr:uid="{00000000-0005-0000-0000-000082000000}"/>
    <cellStyle name="差_2011预算 - BI" xfId="91" xr:uid="{00000000-0005-0000-0000-000083000000}"/>
    <cellStyle name="差_2011预算 - english_website" xfId="92" xr:uid="{00000000-0005-0000-0000-000084000000}"/>
    <cellStyle name="差_2011预算 - QA" xfId="93" xr:uid="{00000000-0005-0000-0000-000085000000}"/>
    <cellStyle name="差_2011预算 - 机票运营部" xfId="94" xr:uid="{00000000-0005-0000-0000-000086000000}"/>
    <cellStyle name="差_2011预算 - 技术研发中心" xfId="95" xr:uid="{00000000-0005-0000-0000-000087000000}"/>
    <cellStyle name="差_2011预算 - 酒店业务部" xfId="96" xr:uid="{00000000-0005-0000-0000-000088000000}"/>
    <cellStyle name="差_2011预算 - 丽江分公司" xfId="97" xr:uid="{00000000-0005-0000-0000-000089000000}"/>
    <cellStyle name="差_2011预算 - 领队预算拆分" xfId="98" xr:uid="{00000000-0005-0000-0000-00008A000000}"/>
    <cellStyle name="差_2011预算 - 旅游业务单列项" xfId="99" xr:uid="{00000000-0005-0000-0000-00008B000000}"/>
    <cellStyle name="差_2011预算 - 厦门分公司" xfId="100" xr:uid="{00000000-0005-0000-0000-00008C000000}"/>
    <cellStyle name="差_2011预算 - 商旅业务部" xfId="101" xr:uid="{00000000-0005-0000-0000-00008D000000}"/>
    <cellStyle name="差_2011预算 - 深圳分公司" xfId="102" xr:uid="{00000000-0005-0000-0000-00008E000000}"/>
    <cellStyle name="差_SY费用预算实际-1月" xfId="103" xr:uid="{00000000-0005-0000-0000-00008F000000}"/>
    <cellStyle name="差_北广深商旅预订1月费用" xfId="104" xr:uid="{00000000-0005-0000-0000-000090000000}"/>
    <cellStyle name="差_广州商旅预订组" xfId="105" xr:uid="{00000000-0005-0000-0000-000091000000}"/>
    <cellStyle name="差_机票业务-2012.02" xfId="106" xr:uid="{00000000-0005-0000-0000-000092000000}"/>
    <cellStyle name="差_酒店业务2012-02" xfId="107" xr:uid="{00000000-0005-0000-0000-000093000000}"/>
    <cellStyle name="差_旅游业务--2012.2" xfId="108" xr:uid="{00000000-0005-0000-0000-000094000000}"/>
    <cellStyle name="常规" xfId="0" builtinId="0"/>
    <cellStyle name="常规 2" xfId="13" xr:uid="{00000000-0005-0000-0000-000096000000}"/>
    <cellStyle name="常规 2 2" xfId="15" xr:uid="{00000000-0005-0000-0000-000097000000}"/>
    <cellStyle name="常规 2 3" xfId="171" xr:uid="{00000000-0005-0000-0000-000098000000}"/>
    <cellStyle name="常规 2 3 2" xfId="229" xr:uid="{00000000-0005-0000-0000-000099000000}"/>
    <cellStyle name="常规 2 3 2 2" xfId="234" xr:uid="{00000000-0005-0000-0000-00009A000000}"/>
    <cellStyle name="常规 2 4" xfId="233" xr:uid="{00000000-0005-0000-0000-00009B000000}"/>
    <cellStyle name="常规 3" xfId="18" xr:uid="{00000000-0005-0000-0000-00009C000000}"/>
    <cellStyle name="常规 4" xfId="109" xr:uid="{00000000-0005-0000-0000-00009D000000}"/>
    <cellStyle name="常规 5" xfId="163" xr:uid="{00000000-0005-0000-0000-00009E000000}"/>
    <cellStyle name="常规 6" xfId="167" xr:uid="{00000000-0005-0000-0000-00009F000000}"/>
    <cellStyle name="常规 7" xfId="175" xr:uid="{00000000-0005-0000-0000-0000A0000000}"/>
    <cellStyle name="常规 8" xfId="178" xr:uid="{00000000-0005-0000-0000-0000A1000000}"/>
    <cellStyle name="常规 9" xfId="237" xr:uid="{00000000-0005-0000-0000-0000A2000000}"/>
    <cellStyle name="常规_Annual" xfId="8" xr:uid="{00000000-0005-0000-0000-0000A3000000}"/>
    <cellStyle name="常规_Annual 2" xfId="173" xr:uid="{00000000-0005-0000-0000-0000A4000000}"/>
    <cellStyle name="常规_Annual 2 2" xfId="231" xr:uid="{00000000-0005-0000-0000-0000A5000000}"/>
    <cellStyle name="常规_Sheet1" xfId="9" xr:uid="{00000000-0005-0000-0000-0000A6000000}"/>
    <cellStyle name="常规_Sheet1 2" xfId="172" xr:uid="{00000000-0005-0000-0000-0000A7000000}"/>
    <cellStyle name="常规_Sheet1 2 2" xfId="230" xr:uid="{00000000-0005-0000-0000-0000A8000000}"/>
    <cellStyle name="常规_Sheet1 2 2 2" xfId="235" xr:uid="{00000000-0005-0000-0000-0000A9000000}"/>
    <cellStyle name="超链接" xfId="205" builtinId="8" customBuiltin="1"/>
    <cellStyle name="輔色1" xfId="110" xr:uid="{00000000-0005-0000-0000-0000AB000000}"/>
    <cellStyle name="輔色2" xfId="111" xr:uid="{00000000-0005-0000-0000-0000AC000000}"/>
    <cellStyle name="輔色3" xfId="112" xr:uid="{00000000-0005-0000-0000-0000AD000000}"/>
    <cellStyle name="輔色4" xfId="113" xr:uid="{00000000-0005-0000-0000-0000AE000000}"/>
    <cellStyle name="輔色5" xfId="114" xr:uid="{00000000-0005-0000-0000-0000AF000000}"/>
    <cellStyle name="輔色6" xfId="115" xr:uid="{00000000-0005-0000-0000-0000B0000000}"/>
    <cellStyle name="好_08年指标预算_深圳" xfId="116" xr:uid="{00000000-0005-0000-0000-0000B1000000}"/>
    <cellStyle name="好_2008年10月费用预算实际 - 广州分公司" xfId="117" xr:uid="{00000000-0005-0000-0000-0000B2000000}"/>
    <cellStyle name="好_2008年预算 - 沈阳市场合作部" xfId="118" xr:uid="{00000000-0005-0000-0000-0000B3000000}"/>
    <cellStyle name="好_2008年预算 - 市场合作部" xfId="119" xr:uid="{00000000-0005-0000-0000-0000B4000000}"/>
    <cellStyle name="好_2009预算 - QA" xfId="120" xr:uid="{00000000-0005-0000-0000-0000B5000000}"/>
    <cellStyle name="好_2009预算 - 广州商旅业务部" xfId="121" xr:uid="{00000000-0005-0000-0000-0000B6000000}"/>
    <cellStyle name="好_2009预算-广州技术运营部（初稿）" xfId="122" xr:uid="{00000000-0005-0000-0000-0000B7000000}"/>
    <cellStyle name="好_2010预算 - 广州商旅业务部门" xfId="123" xr:uid="{00000000-0005-0000-0000-0000B8000000}"/>
    <cellStyle name="好_2011年1月费用预算实际 - 北京分公司" xfId="124" xr:uid="{00000000-0005-0000-0000-0000B9000000}"/>
    <cellStyle name="好_2011年1月费用预算实际 - 成都分公司" xfId="125" xr:uid="{00000000-0005-0000-0000-0000BA000000}"/>
    <cellStyle name="好_2011年1月费用预算实际 - 广州分公司" xfId="126" xr:uid="{00000000-0005-0000-0000-0000BB000000}"/>
    <cellStyle name="好_2011年1月费用预算实际 - 南京分公司" xfId="127" xr:uid="{00000000-0005-0000-0000-0000BC000000}"/>
    <cellStyle name="好_2011年1月费用预算实际 - 深圳分公司" xfId="128" xr:uid="{00000000-0005-0000-0000-0000BD000000}"/>
    <cellStyle name="好_2011预算 - BI" xfId="129" xr:uid="{00000000-0005-0000-0000-0000BE000000}"/>
    <cellStyle name="好_2011预算 - english_website" xfId="130" xr:uid="{00000000-0005-0000-0000-0000BF000000}"/>
    <cellStyle name="好_2011预算 - QA" xfId="131" xr:uid="{00000000-0005-0000-0000-0000C0000000}"/>
    <cellStyle name="好_2011预算 - 机票运营部" xfId="132" xr:uid="{00000000-0005-0000-0000-0000C1000000}"/>
    <cellStyle name="好_2011预算 - 技术研发中心" xfId="133" xr:uid="{00000000-0005-0000-0000-0000C2000000}"/>
    <cellStyle name="好_2011预算 - 酒店业务部" xfId="134" xr:uid="{00000000-0005-0000-0000-0000C3000000}"/>
    <cellStyle name="好_2011预算 - 丽江分公司" xfId="135" xr:uid="{00000000-0005-0000-0000-0000C4000000}"/>
    <cellStyle name="好_2011预算 - 领队预算拆分" xfId="136" xr:uid="{00000000-0005-0000-0000-0000C5000000}"/>
    <cellStyle name="好_2011预算 - 旅游业务单列项" xfId="137" xr:uid="{00000000-0005-0000-0000-0000C6000000}"/>
    <cellStyle name="好_2011预算 - 厦门分公司" xfId="138" xr:uid="{00000000-0005-0000-0000-0000C7000000}"/>
    <cellStyle name="好_2011预算 - 商旅业务部" xfId="139" xr:uid="{00000000-0005-0000-0000-0000C8000000}"/>
    <cellStyle name="好_2011预算 - 深圳分公司" xfId="140" xr:uid="{00000000-0005-0000-0000-0000C9000000}"/>
    <cellStyle name="好_2011预算 - 香港分公司" xfId="141" xr:uid="{00000000-0005-0000-0000-0000CA000000}"/>
    <cellStyle name="好_SY费用预算实际-1月" xfId="142" xr:uid="{00000000-0005-0000-0000-0000CB000000}"/>
    <cellStyle name="好_北广深商旅预订1月费用" xfId="143" xr:uid="{00000000-0005-0000-0000-0000CC000000}"/>
    <cellStyle name="好_複本 2011预算 - 酒店業務" xfId="144" xr:uid="{00000000-0005-0000-0000-0000CD000000}"/>
    <cellStyle name="好_广州商旅预订组" xfId="145" xr:uid="{00000000-0005-0000-0000-0000CE000000}"/>
    <cellStyle name="好_机票业务-2012.02" xfId="146" xr:uid="{00000000-0005-0000-0000-0000CF000000}"/>
    <cellStyle name="好_酒店业务2012-02" xfId="147" xr:uid="{00000000-0005-0000-0000-0000D0000000}"/>
    <cellStyle name="好_旅游业务--2012.2" xfId="148" xr:uid="{00000000-0005-0000-0000-0000D1000000}"/>
    <cellStyle name="合計" xfId="149" xr:uid="{00000000-0005-0000-0000-0000D2000000}"/>
    <cellStyle name="壞" xfId="150" xr:uid="{00000000-0005-0000-0000-0000D3000000}"/>
    <cellStyle name="货币 2" xfId="204" xr:uid="{00000000-0005-0000-0000-0000D4000000}"/>
    <cellStyle name="計算方式" xfId="151" xr:uid="{00000000-0005-0000-0000-0000D5000000}"/>
    <cellStyle name="檢查儲存格" xfId="152" xr:uid="{00000000-0005-0000-0000-0000D6000000}"/>
    <cellStyle name="警告文字" xfId="153" xr:uid="{00000000-0005-0000-0000-0000D7000000}"/>
    <cellStyle name="連結的儲存格" xfId="154" xr:uid="{00000000-0005-0000-0000-0000D8000000}"/>
    <cellStyle name="千分位 2" xfId="155" xr:uid="{00000000-0005-0000-0000-0000D9000000}"/>
    <cellStyle name="千位分隔" xfId="12" builtinId="3"/>
    <cellStyle name="千位分隔 2" xfId="14" xr:uid="{00000000-0005-0000-0000-0000DB000000}"/>
    <cellStyle name="千位分隔 2 2" xfId="19" xr:uid="{00000000-0005-0000-0000-0000DC000000}"/>
    <cellStyle name="千位分隔 3" xfId="20" xr:uid="{00000000-0005-0000-0000-0000DD000000}"/>
    <cellStyle name="千位分隔 4" xfId="165" xr:uid="{00000000-0005-0000-0000-0000DE000000}"/>
    <cellStyle name="千位分隔 5" xfId="169" xr:uid="{00000000-0005-0000-0000-0000DF000000}"/>
    <cellStyle name="千位分隔 6" xfId="176" xr:uid="{00000000-0005-0000-0000-0000E0000000}"/>
    <cellStyle name="千位分隔 7" xfId="202" xr:uid="{00000000-0005-0000-0000-0000E1000000}"/>
    <cellStyle name="千位分隔[0]" xfId="10" builtinId="6"/>
    <cellStyle name="千位分隔[0] 2" xfId="156" xr:uid="{00000000-0005-0000-0000-0000E3000000}"/>
    <cellStyle name="千位分隔[0] 3" xfId="166" xr:uid="{00000000-0005-0000-0000-0000E4000000}"/>
    <cellStyle name="輸出" xfId="157" xr:uid="{00000000-0005-0000-0000-0000E5000000}"/>
    <cellStyle name="輸入" xfId="158" xr:uid="{00000000-0005-0000-0000-0000E6000000}"/>
    <cellStyle name="說明文字" xfId="159" xr:uid="{00000000-0005-0000-0000-0000E7000000}"/>
    <cellStyle name="样式 1" xfId="11" xr:uid="{00000000-0005-0000-0000-0000E8000000}"/>
    <cellStyle name="樣式 1" xfId="160" xr:uid="{00000000-0005-0000-0000-0000E9000000}"/>
    <cellStyle name="一般_2011预算 - 香港公司" xfId="161" xr:uid="{00000000-0005-0000-0000-0000EA000000}"/>
    <cellStyle name="中等" xfId="162" xr:uid="{00000000-0005-0000-0000-0000EB000000}"/>
    <cellStyle name="콤마 [0]_#3이설 견적_준공내역총괄표 " xfId="223" xr:uid="{00000000-0005-0000-0000-0000EC000000}"/>
    <cellStyle name="콤마_#3이설 견적_준공내역총괄표 " xfId="224" xr:uid="{00000000-0005-0000-0000-0000ED000000}"/>
    <cellStyle name="표준_0N-HANDLING " xfId="200" xr:uid="{00000000-0005-0000-0000-0000EE000000}"/>
  </cellStyles>
  <dxfs count="0"/>
  <tableStyles count="0" defaultTableStyle="TableStyleMedium2" defaultPivotStyle="PivotStyleLight16"/>
  <colors>
    <mruColors>
      <color rgb="FF0000FA"/>
      <color rgb="FFE0A9A8"/>
      <color rgb="FF0000FF"/>
      <color rgb="FFFF8F8F"/>
      <color rgb="FFF973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calcChain" Target="calcChain.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2.xml"/><Relationship Id="rId63" Type="http://schemas.openxmlformats.org/officeDocument/2006/relationships/externalLink" Target="externalLinks/externalLink18.xml"/><Relationship Id="rId68" Type="http://schemas.openxmlformats.org/officeDocument/2006/relationships/externalLink" Target="externalLinks/externalLink23.xml"/><Relationship Id="rId84" Type="http://schemas.openxmlformats.org/officeDocument/2006/relationships/externalLink" Target="externalLinks/externalLink39.xml"/><Relationship Id="rId89" Type="http://schemas.openxmlformats.org/officeDocument/2006/relationships/externalLink" Target="externalLinks/externalLink44.xml"/><Relationship Id="rId112" Type="http://schemas.openxmlformats.org/officeDocument/2006/relationships/externalLink" Target="externalLinks/externalLink67.xml"/><Relationship Id="rId16" Type="http://schemas.openxmlformats.org/officeDocument/2006/relationships/worksheet" Target="worksheets/sheet16.xml"/><Relationship Id="rId107" Type="http://schemas.openxmlformats.org/officeDocument/2006/relationships/externalLink" Target="externalLinks/externalLink62.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8.xml"/><Relationship Id="rId58" Type="http://schemas.openxmlformats.org/officeDocument/2006/relationships/externalLink" Target="externalLinks/externalLink13.xml"/><Relationship Id="rId74" Type="http://schemas.openxmlformats.org/officeDocument/2006/relationships/externalLink" Target="externalLinks/externalLink29.xml"/><Relationship Id="rId79" Type="http://schemas.openxmlformats.org/officeDocument/2006/relationships/externalLink" Target="externalLinks/externalLink34.xml"/><Relationship Id="rId102" Type="http://schemas.openxmlformats.org/officeDocument/2006/relationships/externalLink" Target="externalLinks/externalLink57.xml"/><Relationship Id="rId5" Type="http://schemas.openxmlformats.org/officeDocument/2006/relationships/worksheet" Target="worksheets/sheet5.xml"/><Relationship Id="rId90" Type="http://schemas.openxmlformats.org/officeDocument/2006/relationships/externalLink" Target="externalLinks/externalLink45.xml"/><Relationship Id="rId95" Type="http://schemas.openxmlformats.org/officeDocument/2006/relationships/externalLink" Target="externalLinks/externalLink5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externalLink" Target="externalLinks/externalLink3.xml"/><Relationship Id="rId64" Type="http://schemas.openxmlformats.org/officeDocument/2006/relationships/externalLink" Target="externalLinks/externalLink19.xml"/><Relationship Id="rId69" Type="http://schemas.openxmlformats.org/officeDocument/2006/relationships/externalLink" Target="externalLinks/externalLink24.xml"/><Relationship Id="rId113" Type="http://schemas.openxmlformats.org/officeDocument/2006/relationships/externalLink" Target="externalLinks/externalLink68.xml"/><Relationship Id="rId118" Type="http://schemas.openxmlformats.org/officeDocument/2006/relationships/customXml" Target="../customXml/item1.xml"/><Relationship Id="rId80" Type="http://schemas.openxmlformats.org/officeDocument/2006/relationships/externalLink" Target="externalLinks/externalLink35.xml"/><Relationship Id="rId85" Type="http://schemas.openxmlformats.org/officeDocument/2006/relationships/externalLink" Target="externalLinks/externalLink4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14.xml"/><Relationship Id="rId103" Type="http://schemas.openxmlformats.org/officeDocument/2006/relationships/externalLink" Target="externalLinks/externalLink58.xml"/><Relationship Id="rId108" Type="http://schemas.openxmlformats.org/officeDocument/2006/relationships/externalLink" Target="externalLinks/externalLink63.xml"/><Relationship Id="rId54" Type="http://schemas.openxmlformats.org/officeDocument/2006/relationships/externalLink" Target="externalLinks/externalLink9.xml"/><Relationship Id="rId70" Type="http://schemas.openxmlformats.org/officeDocument/2006/relationships/externalLink" Target="externalLinks/externalLink25.xml"/><Relationship Id="rId75" Type="http://schemas.openxmlformats.org/officeDocument/2006/relationships/externalLink" Target="externalLinks/externalLink30.xml"/><Relationship Id="rId91" Type="http://schemas.openxmlformats.org/officeDocument/2006/relationships/externalLink" Target="externalLinks/externalLink46.xml"/><Relationship Id="rId96" Type="http://schemas.openxmlformats.org/officeDocument/2006/relationships/externalLink" Target="externalLinks/externalLink5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externalLink" Target="externalLinks/externalLink4.xml"/><Relationship Id="rId114" Type="http://schemas.openxmlformats.org/officeDocument/2006/relationships/theme" Target="theme/theme1.xml"/><Relationship Id="rId119"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7.xml"/><Relationship Id="rId60" Type="http://schemas.openxmlformats.org/officeDocument/2006/relationships/externalLink" Target="externalLinks/externalLink15.xml"/><Relationship Id="rId65" Type="http://schemas.openxmlformats.org/officeDocument/2006/relationships/externalLink" Target="externalLinks/externalLink20.xml"/><Relationship Id="rId73" Type="http://schemas.openxmlformats.org/officeDocument/2006/relationships/externalLink" Target="externalLinks/externalLink28.xml"/><Relationship Id="rId78" Type="http://schemas.openxmlformats.org/officeDocument/2006/relationships/externalLink" Target="externalLinks/externalLink33.xml"/><Relationship Id="rId81" Type="http://schemas.openxmlformats.org/officeDocument/2006/relationships/externalLink" Target="externalLinks/externalLink36.xml"/><Relationship Id="rId86" Type="http://schemas.openxmlformats.org/officeDocument/2006/relationships/externalLink" Target="externalLinks/externalLink41.xml"/><Relationship Id="rId94" Type="http://schemas.openxmlformats.org/officeDocument/2006/relationships/externalLink" Target="externalLinks/externalLink49.xml"/><Relationship Id="rId99" Type="http://schemas.openxmlformats.org/officeDocument/2006/relationships/externalLink" Target="externalLinks/externalLink54.xml"/><Relationship Id="rId101" Type="http://schemas.openxmlformats.org/officeDocument/2006/relationships/externalLink" Target="externalLinks/externalLink5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64.xml"/><Relationship Id="rId34" Type="http://schemas.openxmlformats.org/officeDocument/2006/relationships/worksheet" Target="worksheets/sheet34.xml"/><Relationship Id="rId50" Type="http://schemas.openxmlformats.org/officeDocument/2006/relationships/externalLink" Target="externalLinks/externalLink5.xml"/><Relationship Id="rId55" Type="http://schemas.openxmlformats.org/officeDocument/2006/relationships/externalLink" Target="externalLinks/externalLink10.xml"/><Relationship Id="rId76" Type="http://schemas.openxmlformats.org/officeDocument/2006/relationships/externalLink" Target="externalLinks/externalLink31.xml"/><Relationship Id="rId97" Type="http://schemas.openxmlformats.org/officeDocument/2006/relationships/externalLink" Target="externalLinks/externalLink52.xml"/><Relationship Id="rId104" Type="http://schemas.openxmlformats.org/officeDocument/2006/relationships/externalLink" Target="externalLinks/externalLink59.xml"/><Relationship Id="rId120"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externalLink" Target="externalLinks/externalLink26.xml"/><Relationship Id="rId92" Type="http://schemas.openxmlformats.org/officeDocument/2006/relationships/externalLink" Target="externalLinks/externalLink47.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21.xml"/><Relationship Id="rId87" Type="http://schemas.openxmlformats.org/officeDocument/2006/relationships/externalLink" Target="externalLinks/externalLink42.xml"/><Relationship Id="rId110" Type="http://schemas.openxmlformats.org/officeDocument/2006/relationships/externalLink" Target="externalLinks/externalLink65.xml"/><Relationship Id="rId115" Type="http://schemas.openxmlformats.org/officeDocument/2006/relationships/styles" Target="styles.xml"/><Relationship Id="rId61" Type="http://schemas.openxmlformats.org/officeDocument/2006/relationships/externalLink" Target="externalLinks/externalLink16.xml"/><Relationship Id="rId82" Type="http://schemas.openxmlformats.org/officeDocument/2006/relationships/externalLink" Target="externalLinks/externalLink37.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11.xml"/><Relationship Id="rId77" Type="http://schemas.openxmlformats.org/officeDocument/2006/relationships/externalLink" Target="externalLinks/externalLink32.xml"/><Relationship Id="rId100" Type="http://schemas.openxmlformats.org/officeDocument/2006/relationships/externalLink" Target="externalLinks/externalLink55.xml"/><Relationship Id="rId105" Type="http://schemas.openxmlformats.org/officeDocument/2006/relationships/externalLink" Target="externalLinks/externalLink60.xml"/><Relationship Id="rId8" Type="http://schemas.openxmlformats.org/officeDocument/2006/relationships/worksheet" Target="worksheets/sheet8.xml"/><Relationship Id="rId51" Type="http://schemas.openxmlformats.org/officeDocument/2006/relationships/externalLink" Target="externalLinks/externalLink6.xml"/><Relationship Id="rId72" Type="http://schemas.openxmlformats.org/officeDocument/2006/relationships/externalLink" Target="externalLinks/externalLink27.xml"/><Relationship Id="rId93" Type="http://schemas.openxmlformats.org/officeDocument/2006/relationships/externalLink" Target="externalLinks/externalLink48.xml"/><Relationship Id="rId98" Type="http://schemas.openxmlformats.org/officeDocument/2006/relationships/externalLink" Target="externalLinks/externalLink5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1.xml"/><Relationship Id="rId67" Type="http://schemas.openxmlformats.org/officeDocument/2006/relationships/externalLink" Target="externalLinks/externalLink22.xml"/><Relationship Id="rId11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17.xml"/><Relationship Id="rId83" Type="http://schemas.openxmlformats.org/officeDocument/2006/relationships/externalLink" Target="externalLinks/externalLink38.xml"/><Relationship Id="rId88" Type="http://schemas.openxmlformats.org/officeDocument/2006/relationships/externalLink" Target="externalLinks/externalLink43.xml"/><Relationship Id="rId111" Type="http://schemas.openxmlformats.org/officeDocument/2006/relationships/externalLink" Target="externalLinks/externalLink66.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2.xml"/><Relationship Id="rId106" Type="http://schemas.openxmlformats.org/officeDocument/2006/relationships/externalLink" Target="externalLinks/externalLink6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9.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30.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1.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4.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5.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6.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7.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8.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4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4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49.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51.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36.xml"/><Relationship Id="rId1" Type="http://schemas.microsoft.com/office/2011/relationships/chartStyle" Target="style36.xml"/></Relationships>
</file>

<file path=xl/charts/_rels/chart52.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53.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55.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56.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58.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62.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63.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64.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65.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66.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67.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68.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69.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70.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71.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72.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73.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74.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75.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76.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77.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78.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79.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80.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81.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82.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83.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84.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85.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86.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87.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88.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89.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90.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91.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92.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93.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105.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06.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07.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08.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109.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113.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114.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116.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117.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121.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123.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124.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126.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73.xml"/><Relationship Id="rId1" Type="http://schemas.microsoft.com/office/2011/relationships/chartStyle" Target="style73.xml"/></Relationships>
</file>

<file path=xl/charts/_rels/chart127.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131.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134.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135.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136.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137.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138.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139.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140.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141.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142.xml.rels><?xml version="1.0" encoding="UTF-8" standalone="yes"?>
<Relationships xmlns="http://schemas.openxmlformats.org/package/2006/relationships"><Relationship Id="rId3" Type="http://schemas.openxmlformats.org/officeDocument/2006/relationships/chartUserShapes" Target="../drawings/drawing36.xml"/><Relationship Id="rId2" Type="http://schemas.microsoft.com/office/2011/relationships/chartColorStyle" Target="colors83.xml"/><Relationship Id="rId1" Type="http://schemas.microsoft.com/office/2011/relationships/chartStyle" Target="style83.xml"/></Relationships>
</file>

<file path=xl/charts/_rels/chart143.xml.rels><?xml version="1.0" encoding="UTF-8" standalone="yes"?>
<Relationships xmlns="http://schemas.openxmlformats.org/package/2006/relationships"><Relationship Id="rId3" Type="http://schemas.openxmlformats.org/officeDocument/2006/relationships/chartUserShapes" Target="../drawings/drawing37.xml"/><Relationship Id="rId2" Type="http://schemas.microsoft.com/office/2011/relationships/chartColorStyle" Target="colors84.xml"/><Relationship Id="rId1" Type="http://schemas.microsoft.com/office/2011/relationships/chartStyle" Target="style84.xml"/></Relationships>
</file>

<file path=xl/charts/_rels/chart144.xml.rels><?xml version="1.0" encoding="UTF-8" standalone="yes"?>
<Relationships xmlns="http://schemas.openxmlformats.org/package/2006/relationships"><Relationship Id="rId3" Type="http://schemas.openxmlformats.org/officeDocument/2006/relationships/chartUserShapes" Target="../drawings/drawing38.xml"/><Relationship Id="rId2" Type="http://schemas.microsoft.com/office/2011/relationships/chartColorStyle" Target="colors85.xml"/><Relationship Id="rId1" Type="http://schemas.microsoft.com/office/2011/relationships/chartStyle" Target="style85.xml"/></Relationships>
</file>

<file path=xl/charts/_rels/chart145.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146.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147.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GMV</a:t>
            </a:r>
            <a:r>
              <a:rPr lang="en-US" altLang="zh-CN" baseline="0"/>
              <a:t> Breakdown</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stacked"/>
        <c:varyColors val="0"/>
        <c:ser>
          <c:idx val="0"/>
          <c:order val="0"/>
          <c:tx>
            <c:strRef>
              <c:f>同程艺龙!$C$6</c:f>
              <c:strCache>
                <c:ptCount val="1"/>
                <c:pt idx="0">
                  <c:v>交通交易额</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同程艺龙!$O$2:$Q$2</c:f>
              <c:strCache>
                <c:ptCount val="3"/>
                <c:pt idx="0">
                  <c:v>2019Q1</c:v>
                </c:pt>
                <c:pt idx="1">
                  <c:v>2019Q2</c:v>
                </c:pt>
                <c:pt idx="2">
                  <c:v>2019Q3</c:v>
                </c:pt>
              </c:strCache>
            </c:strRef>
          </c:cat>
          <c:val>
            <c:numRef>
              <c:f>同程艺龙!$O$6:$Q$6</c:f>
              <c:numCache>
                <c:formatCode>_(* #,##0_);_(* \(#,##0\);_(* "-"??_);_(@_)</c:formatCode>
                <c:ptCount val="3"/>
                <c:pt idx="0">
                  <c:v>30607</c:v>
                </c:pt>
                <c:pt idx="1">
                  <c:v>34789.882352941175</c:v>
                </c:pt>
                <c:pt idx="2">
                  <c:v>39438.400000000001</c:v>
                </c:pt>
              </c:numCache>
            </c:numRef>
          </c:val>
          <c:extLst>
            <c:ext xmlns:c16="http://schemas.microsoft.com/office/drawing/2014/chart" uri="{C3380CC4-5D6E-409C-BE32-E72D297353CC}">
              <c16:uniqueId val="{00000000-C7F9-4EF7-8C6E-3AFBDD1786D7}"/>
            </c:ext>
          </c:extLst>
        </c:ser>
        <c:ser>
          <c:idx val="1"/>
          <c:order val="1"/>
          <c:tx>
            <c:strRef>
              <c:f>同程艺龙!$C$18</c:f>
              <c:strCache>
                <c:ptCount val="1"/>
                <c:pt idx="0">
                  <c:v>住宿交易额</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同程艺龙!$O$2:$Q$2</c:f>
              <c:strCache>
                <c:ptCount val="3"/>
                <c:pt idx="0">
                  <c:v>2019Q1</c:v>
                </c:pt>
                <c:pt idx="1">
                  <c:v>2019Q2</c:v>
                </c:pt>
                <c:pt idx="2">
                  <c:v>2019Q3</c:v>
                </c:pt>
              </c:strCache>
            </c:strRef>
          </c:cat>
          <c:val>
            <c:numRef>
              <c:f>同程艺龙!$O$18:$Q$18</c:f>
              <c:numCache>
                <c:formatCode>_(* #,##0_);_(* \(#,##0\);_(* "-"??_);_(@_)</c:formatCode>
                <c:ptCount val="3"/>
                <c:pt idx="0">
                  <c:v>5293</c:v>
                </c:pt>
                <c:pt idx="1">
                  <c:v>6510.1176470588234</c:v>
                </c:pt>
                <c:pt idx="2">
                  <c:v>8161.5999999999995</c:v>
                </c:pt>
              </c:numCache>
            </c:numRef>
          </c:val>
          <c:extLst>
            <c:ext xmlns:c16="http://schemas.microsoft.com/office/drawing/2014/chart" uri="{C3380CC4-5D6E-409C-BE32-E72D297353CC}">
              <c16:uniqueId val="{00000001-C7F9-4EF7-8C6E-3AFBDD1786D7}"/>
            </c:ext>
          </c:extLst>
        </c:ser>
        <c:dLbls>
          <c:showLegendKey val="0"/>
          <c:showVal val="0"/>
          <c:showCatName val="0"/>
          <c:showSerName val="0"/>
          <c:showPercent val="0"/>
          <c:showBubbleSize val="0"/>
        </c:dLbls>
        <c:gapWidth val="150"/>
        <c:overlap val="100"/>
        <c:axId val="581643168"/>
        <c:axId val="581642512"/>
      </c:barChart>
      <c:catAx>
        <c:axId val="58164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81642512"/>
        <c:crosses val="autoZero"/>
        <c:auto val="1"/>
        <c:lblAlgn val="ctr"/>
        <c:lblOffset val="100"/>
        <c:noMultiLvlLbl val="0"/>
      </c:catAx>
      <c:valAx>
        <c:axId val="5816425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8164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Top</a:t>
            </a:r>
            <a:r>
              <a:rPr lang="en-US" altLang="zh-CN" baseline="0"/>
              <a:t> Line Growth</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同程艺龙Charts!$A$32</c:f>
              <c:strCache>
                <c:ptCount val="1"/>
                <c:pt idx="0">
                  <c:v>GMV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同程艺龙Charts!$B$30:$I$31</c:f>
              <c:multiLvlStrCache>
                <c:ptCount val="8"/>
                <c:lvl>
                  <c:pt idx="0">
                    <c:v>2018</c:v>
                  </c:pt>
                  <c:pt idx="1">
                    <c:v>2019</c:v>
                  </c:pt>
                  <c:pt idx="2">
                    <c:v>2018</c:v>
                  </c:pt>
                  <c:pt idx="3">
                    <c:v>2019</c:v>
                  </c:pt>
                  <c:pt idx="4">
                    <c:v>2018</c:v>
                  </c:pt>
                  <c:pt idx="5">
                    <c:v>2019</c:v>
                  </c:pt>
                  <c:pt idx="6">
                    <c:v>2018</c:v>
                  </c:pt>
                  <c:pt idx="7">
                    <c:v>2019</c:v>
                  </c:pt>
                </c:lvl>
                <c:lvl>
                  <c:pt idx="0">
                    <c:v> Q1 </c:v>
                  </c:pt>
                  <c:pt idx="2">
                    <c:v> Q2 </c:v>
                  </c:pt>
                  <c:pt idx="4">
                    <c:v> Q3 </c:v>
                  </c:pt>
                  <c:pt idx="6">
                    <c:v> Q4 </c:v>
                  </c:pt>
                </c:lvl>
              </c:multiLvlStrCache>
            </c:multiLvlStrRef>
          </c:cat>
          <c:val>
            <c:numRef>
              <c:f>同程艺龙Charts!$B$32:$I$32</c:f>
              <c:numCache>
                <c:formatCode>_(* #,##0_);_(* \(#,##0\);_(* "-"??_);_(@_)</c:formatCode>
                <c:ptCount val="8"/>
                <c:pt idx="0">
                  <c:v>29000</c:v>
                </c:pt>
                <c:pt idx="1">
                  <c:v>35900</c:v>
                </c:pt>
                <c:pt idx="2">
                  <c:v>28900</c:v>
                </c:pt>
                <c:pt idx="3">
                  <c:v>41300</c:v>
                </c:pt>
                <c:pt idx="4">
                  <c:v>39100</c:v>
                </c:pt>
                <c:pt idx="5">
                  <c:v>47600</c:v>
                </c:pt>
                <c:pt idx="6">
                  <c:v>34500</c:v>
                </c:pt>
                <c:pt idx="7">
                  <c:v>41300</c:v>
                </c:pt>
              </c:numCache>
            </c:numRef>
          </c:val>
          <c:extLst>
            <c:ext xmlns:c16="http://schemas.microsoft.com/office/drawing/2014/chart" uri="{C3380CC4-5D6E-409C-BE32-E72D297353CC}">
              <c16:uniqueId val="{00000000-8283-4A9A-A8CF-8632BD0D9924}"/>
            </c:ext>
          </c:extLst>
        </c:ser>
        <c:ser>
          <c:idx val="1"/>
          <c:order val="1"/>
          <c:tx>
            <c:strRef>
              <c:f>同程艺龙Charts!$A$33</c:f>
              <c:strCache>
                <c:ptCount val="1"/>
                <c:pt idx="0">
                  <c:v>Revenue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同程艺龙Charts!$B$30:$I$31</c:f>
              <c:multiLvlStrCache>
                <c:ptCount val="8"/>
                <c:lvl>
                  <c:pt idx="0">
                    <c:v>2018</c:v>
                  </c:pt>
                  <c:pt idx="1">
                    <c:v>2019</c:v>
                  </c:pt>
                  <c:pt idx="2">
                    <c:v>2018</c:v>
                  </c:pt>
                  <c:pt idx="3">
                    <c:v>2019</c:v>
                  </c:pt>
                  <c:pt idx="4">
                    <c:v>2018</c:v>
                  </c:pt>
                  <c:pt idx="5">
                    <c:v>2019</c:v>
                  </c:pt>
                  <c:pt idx="6">
                    <c:v>2018</c:v>
                  </c:pt>
                  <c:pt idx="7">
                    <c:v>2019</c:v>
                  </c:pt>
                </c:lvl>
                <c:lvl>
                  <c:pt idx="0">
                    <c:v> Q1 </c:v>
                  </c:pt>
                  <c:pt idx="2">
                    <c:v> Q2 </c:v>
                  </c:pt>
                  <c:pt idx="4">
                    <c:v> Q3 </c:v>
                  </c:pt>
                  <c:pt idx="6">
                    <c:v> Q4 </c:v>
                  </c:pt>
                </c:lvl>
              </c:multiLvlStrCache>
            </c:multiLvlStrRef>
          </c:cat>
          <c:val>
            <c:numRef>
              <c:f>同程艺龙Charts!$B$33:$I$33</c:f>
              <c:numCache>
                <c:formatCode>_(* #,##0_);_(* \(#,##0\);_(* "-"??_);_(@_)</c:formatCode>
                <c:ptCount val="8"/>
                <c:pt idx="0">
                  <c:v>1517.5119999999999</c:v>
                </c:pt>
                <c:pt idx="1">
                  <c:v>1783.4110000000001</c:v>
                </c:pt>
                <c:pt idx="2">
                  <c:v>1314.48</c:v>
                </c:pt>
                <c:pt idx="3">
                  <c:v>1590.8979999999999</c:v>
                </c:pt>
                <c:pt idx="4">
                  <c:v>1686.3969999999999</c:v>
                </c:pt>
                <c:pt idx="5">
                  <c:v>2062.13</c:v>
                </c:pt>
                <c:pt idx="6">
                  <c:v>1572.4110000000005</c:v>
                </c:pt>
                <c:pt idx="7">
                  <c:v>1956.4929999999999</c:v>
                </c:pt>
              </c:numCache>
            </c:numRef>
          </c:val>
          <c:extLst>
            <c:ext xmlns:c16="http://schemas.microsoft.com/office/drawing/2014/chart" uri="{C3380CC4-5D6E-409C-BE32-E72D297353CC}">
              <c16:uniqueId val="{00000001-8283-4A9A-A8CF-8632BD0D9924}"/>
            </c:ext>
          </c:extLst>
        </c:ser>
        <c:dLbls>
          <c:showLegendKey val="0"/>
          <c:showVal val="0"/>
          <c:showCatName val="0"/>
          <c:showSerName val="0"/>
          <c:showPercent val="0"/>
          <c:showBubbleSize val="0"/>
        </c:dLbls>
        <c:gapWidth val="219"/>
        <c:axId val="410339824"/>
        <c:axId val="661357048"/>
      </c:barChart>
      <c:lineChart>
        <c:grouping val="standard"/>
        <c:varyColors val="0"/>
        <c:ser>
          <c:idx val="4"/>
          <c:order val="4"/>
          <c:tx>
            <c:strRef>
              <c:f>同程艺龙Charts!$A$36</c:f>
              <c:strCache>
                <c:ptCount val="1"/>
                <c:pt idx="0">
                  <c:v>Take Rate</c:v>
                </c:pt>
              </c:strCache>
            </c:strRef>
          </c:tx>
          <c:spPr>
            <a:ln w="28575" cap="rnd">
              <a:solidFill>
                <a:schemeClr val="accent5"/>
              </a:solidFill>
              <a:round/>
            </a:ln>
            <a:effectLst/>
          </c:spPr>
          <c:marker>
            <c:symbol val="diamond"/>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同程艺龙Charts!$B$30:$I$31</c:f>
              <c:multiLvlStrCache>
                <c:ptCount val="8"/>
                <c:lvl>
                  <c:pt idx="0">
                    <c:v>2018</c:v>
                  </c:pt>
                  <c:pt idx="1">
                    <c:v>2019</c:v>
                  </c:pt>
                  <c:pt idx="2">
                    <c:v>2018</c:v>
                  </c:pt>
                  <c:pt idx="3">
                    <c:v>2019</c:v>
                  </c:pt>
                  <c:pt idx="4">
                    <c:v>2018</c:v>
                  </c:pt>
                  <c:pt idx="5">
                    <c:v>2019</c:v>
                  </c:pt>
                  <c:pt idx="6">
                    <c:v>2018</c:v>
                  </c:pt>
                  <c:pt idx="7">
                    <c:v>2019</c:v>
                  </c:pt>
                </c:lvl>
                <c:lvl>
                  <c:pt idx="0">
                    <c:v> Q1 </c:v>
                  </c:pt>
                  <c:pt idx="2">
                    <c:v> Q2 </c:v>
                  </c:pt>
                  <c:pt idx="4">
                    <c:v> Q3 </c:v>
                  </c:pt>
                  <c:pt idx="6">
                    <c:v> Q4 </c:v>
                  </c:pt>
                </c:lvl>
              </c:multiLvlStrCache>
            </c:multiLvlStrRef>
          </c:cat>
          <c:val>
            <c:numRef>
              <c:f>同程艺龙Charts!$B$36:$I$36</c:f>
              <c:numCache>
                <c:formatCode>0.0%</c:formatCode>
                <c:ptCount val="8"/>
                <c:pt idx="0">
                  <c:v>5.2328E-2</c:v>
                </c:pt>
                <c:pt idx="1">
                  <c:v>4.9677186629526464E-2</c:v>
                </c:pt>
                <c:pt idx="2">
                  <c:v>4.5483737024221454E-2</c:v>
                </c:pt>
                <c:pt idx="3">
                  <c:v>3.8520532687651328E-2</c:v>
                </c:pt>
                <c:pt idx="4">
                  <c:v>4.3130358056265986E-2</c:v>
                </c:pt>
                <c:pt idx="5">
                  <c:v>4.3322058823529415E-2</c:v>
                </c:pt>
                <c:pt idx="6">
                  <c:v>4.5577130434782627E-2</c:v>
                </c:pt>
                <c:pt idx="7">
                  <c:v>4.737271186440678E-2</c:v>
                </c:pt>
              </c:numCache>
            </c:numRef>
          </c:val>
          <c:smooth val="0"/>
          <c:extLst>
            <c:ext xmlns:c16="http://schemas.microsoft.com/office/drawing/2014/chart" uri="{C3380CC4-5D6E-409C-BE32-E72D297353CC}">
              <c16:uniqueId val="{00000002-8283-4A9A-A8CF-8632BD0D9924}"/>
            </c:ext>
          </c:extLst>
        </c:ser>
        <c:dLbls>
          <c:showLegendKey val="0"/>
          <c:showVal val="0"/>
          <c:showCatName val="0"/>
          <c:showSerName val="0"/>
          <c:showPercent val="0"/>
          <c:showBubbleSize val="0"/>
        </c:dLbls>
        <c:marker val="1"/>
        <c:smooth val="0"/>
        <c:axId val="413398576"/>
        <c:axId val="413400216"/>
      </c:lineChart>
      <c:scatterChart>
        <c:scatterStyle val="lineMarker"/>
        <c:varyColors val="0"/>
        <c:ser>
          <c:idx val="2"/>
          <c:order val="2"/>
          <c:tx>
            <c:strRef>
              <c:f>同程艺龙Charts!$A$34</c:f>
              <c:strCache>
                <c:ptCount val="1"/>
                <c:pt idx="0">
                  <c:v>GMV YoY Growth</c:v>
                </c:pt>
              </c:strCache>
            </c:strRef>
          </c:tx>
          <c:spPr>
            <a:ln w="25400" cap="rnd">
              <a:no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multiLvlStrRef>
              <c:f>同程艺龙Charts!$B$30:$I$31</c:f>
              <c:multiLvlStrCache>
                <c:ptCount val="8"/>
                <c:lvl>
                  <c:pt idx="0">
                    <c:v>2018</c:v>
                  </c:pt>
                  <c:pt idx="1">
                    <c:v>2019</c:v>
                  </c:pt>
                  <c:pt idx="2">
                    <c:v>2018</c:v>
                  </c:pt>
                  <c:pt idx="3">
                    <c:v>2019</c:v>
                  </c:pt>
                  <c:pt idx="4">
                    <c:v>2018</c:v>
                  </c:pt>
                  <c:pt idx="5">
                    <c:v>2019</c:v>
                  </c:pt>
                  <c:pt idx="6">
                    <c:v>2018</c:v>
                  </c:pt>
                  <c:pt idx="7">
                    <c:v>2019</c:v>
                  </c:pt>
                </c:lvl>
                <c:lvl>
                  <c:pt idx="0">
                    <c:v> Q1 </c:v>
                  </c:pt>
                  <c:pt idx="2">
                    <c:v> Q2 </c:v>
                  </c:pt>
                  <c:pt idx="4">
                    <c:v> Q3 </c:v>
                  </c:pt>
                  <c:pt idx="6">
                    <c:v> Q4 </c:v>
                  </c:pt>
                </c:lvl>
              </c:multiLvlStrCache>
            </c:multiLvlStrRef>
          </c:xVal>
          <c:yVal>
            <c:numRef>
              <c:f>同程艺龙Charts!$B$34:$I$34</c:f>
              <c:numCache>
                <c:formatCode>0.0%</c:formatCode>
                <c:ptCount val="8"/>
                <c:pt idx="1">
                  <c:v>0.23793103448275854</c:v>
                </c:pt>
                <c:pt idx="3">
                  <c:v>0.42906574394463659</c:v>
                </c:pt>
                <c:pt idx="5">
                  <c:v>0.21739130434782616</c:v>
                </c:pt>
                <c:pt idx="7">
                  <c:v>0.19710144927536222</c:v>
                </c:pt>
              </c:numCache>
            </c:numRef>
          </c:yVal>
          <c:smooth val="0"/>
          <c:extLst>
            <c:ext xmlns:c16="http://schemas.microsoft.com/office/drawing/2014/chart" uri="{C3380CC4-5D6E-409C-BE32-E72D297353CC}">
              <c16:uniqueId val="{00000003-8283-4A9A-A8CF-8632BD0D9924}"/>
            </c:ext>
          </c:extLst>
        </c:ser>
        <c:ser>
          <c:idx val="3"/>
          <c:order val="3"/>
          <c:tx>
            <c:strRef>
              <c:f>同程艺龙Charts!$A$35</c:f>
              <c:strCache>
                <c:ptCount val="1"/>
                <c:pt idx="0">
                  <c:v>Revenue YoY Growth</c:v>
                </c:pt>
              </c:strCache>
            </c:strRef>
          </c:tx>
          <c:spPr>
            <a:ln w="25400" cap="rnd">
              <a:noFill/>
              <a:round/>
            </a:ln>
            <a:effectLst/>
          </c:spPr>
          <c:marker>
            <c:symbol val="triang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multiLvlStrRef>
              <c:f>同程艺龙Charts!$B$30:$I$31</c:f>
              <c:multiLvlStrCache>
                <c:ptCount val="8"/>
                <c:lvl>
                  <c:pt idx="0">
                    <c:v>2018</c:v>
                  </c:pt>
                  <c:pt idx="1">
                    <c:v>2019</c:v>
                  </c:pt>
                  <c:pt idx="2">
                    <c:v>2018</c:v>
                  </c:pt>
                  <c:pt idx="3">
                    <c:v>2019</c:v>
                  </c:pt>
                  <c:pt idx="4">
                    <c:v>2018</c:v>
                  </c:pt>
                  <c:pt idx="5">
                    <c:v>2019</c:v>
                  </c:pt>
                  <c:pt idx="6">
                    <c:v>2018</c:v>
                  </c:pt>
                  <c:pt idx="7">
                    <c:v>2019</c:v>
                  </c:pt>
                </c:lvl>
                <c:lvl>
                  <c:pt idx="0">
                    <c:v> Q1 </c:v>
                  </c:pt>
                  <c:pt idx="2">
                    <c:v> Q2 </c:v>
                  </c:pt>
                  <c:pt idx="4">
                    <c:v> Q3 </c:v>
                  </c:pt>
                  <c:pt idx="6">
                    <c:v> Q4 </c:v>
                  </c:pt>
                </c:lvl>
              </c:multiLvlStrCache>
            </c:multiLvlStrRef>
          </c:xVal>
          <c:yVal>
            <c:numRef>
              <c:f>同程艺龙Charts!$B$35:$I$35</c:f>
              <c:numCache>
                <c:formatCode>0.0%</c:formatCode>
                <c:ptCount val="8"/>
                <c:pt idx="1">
                  <c:v>0.17522036069566505</c:v>
                </c:pt>
                <c:pt idx="3">
                  <c:v>0.21028695758018379</c:v>
                </c:pt>
                <c:pt idx="5">
                  <c:v>0.22280222272691441</c:v>
                </c:pt>
                <c:pt idx="7">
                  <c:v>0.24426310932701401</c:v>
                </c:pt>
              </c:numCache>
            </c:numRef>
          </c:yVal>
          <c:smooth val="0"/>
          <c:extLst>
            <c:ext xmlns:c16="http://schemas.microsoft.com/office/drawing/2014/chart" uri="{C3380CC4-5D6E-409C-BE32-E72D297353CC}">
              <c16:uniqueId val="{00000004-8283-4A9A-A8CF-8632BD0D9924}"/>
            </c:ext>
          </c:extLst>
        </c:ser>
        <c:dLbls>
          <c:showLegendKey val="0"/>
          <c:showVal val="0"/>
          <c:showCatName val="0"/>
          <c:showSerName val="0"/>
          <c:showPercent val="0"/>
          <c:showBubbleSize val="0"/>
        </c:dLbls>
        <c:axId val="413398576"/>
        <c:axId val="413400216"/>
      </c:scatterChart>
      <c:catAx>
        <c:axId val="41033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61357048"/>
        <c:crosses val="autoZero"/>
        <c:auto val="1"/>
        <c:lblAlgn val="ctr"/>
        <c:lblOffset val="100"/>
        <c:noMultiLvlLbl val="0"/>
      </c:catAx>
      <c:valAx>
        <c:axId val="6613570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10339824"/>
        <c:crosses val="autoZero"/>
        <c:crossBetween val="between"/>
      </c:valAx>
      <c:valAx>
        <c:axId val="413400216"/>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13398576"/>
        <c:crosses val="max"/>
        <c:crossBetween val="between"/>
      </c:valAx>
      <c:catAx>
        <c:axId val="413398576"/>
        <c:scaling>
          <c:orientation val="minMax"/>
        </c:scaling>
        <c:delete val="1"/>
        <c:axPos val="b"/>
        <c:numFmt formatCode="General" sourceLinked="1"/>
        <c:majorTickMark val="out"/>
        <c:minorTickMark val="none"/>
        <c:tickLblPos val="nextTo"/>
        <c:crossAx val="4134002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COGS</a:t>
            </a:r>
            <a:r>
              <a:rPr lang="en-US" altLang="zh-CN" baseline="0"/>
              <a:t> Breakdown</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6.9531602667313647E-2"/>
          <c:y val="0.14307116104868914"/>
          <c:w val="0.88298477396207831"/>
          <c:h val="0.55609130319384237"/>
        </c:manualLayout>
      </c:layout>
      <c:areaChart>
        <c:grouping val="stacked"/>
        <c:varyColors val="0"/>
        <c:ser>
          <c:idx val="0"/>
          <c:order val="0"/>
          <c:tx>
            <c:strRef>
              <c:f>同程艺龙Charts!$A$49</c:f>
              <c:strCache>
                <c:ptCount val="1"/>
                <c:pt idx="0">
                  <c:v>Employee benefit expenses</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同程艺龙Charts!$B$48:$G$48</c:f>
              <c:strCache>
                <c:ptCount val="6"/>
                <c:pt idx="0">
                  <c:v> 2018Q2 </c:v>
                </c:pt>
                <c:pt idx="1">
                  <c:v> 2018Q3 </c:v>
                </c:pt>
                <c:pt idx="2">
                  <c:v> 2018Q4 </c:v>
                </c:pt>
                <c:pt idx="3">
                  <c:v> 2019Q2 </c:v>
                </c:pt>
                <c:pt idx="4">
                  <c:v> 2019Q3 </c:v>
                </c:pt>
                <c:pt idx="5">
                  <c:v> 2019Q4 </c:v>
                </c:pt>
              </c:strCache>
            </c:strRef>
          </c:cat>
          <c:val>
            <c:numRef>
              <c:f>同程艺龙Charts!$B$49:$G$49</c:f>
              <c:numCache>
                <c:formatCode>0.0%</c:formatCode>
                <c:ptCount val="6"/>
                <c:pt idx="0">
                  <c:v>4.2518714624794597E-2</c:v>
                </c:pt>
                <c:pt idx="1">
                  <c:v>4.3249009574851005E-2</c:v>
                </c:pt>
                <c:pt idx="2">
                  <c:v>8.7214560181328143E-2</c:v>
                </c:pt>
                <c:pt idx="3">
                  <c:v>3.8749812998696335E-2</c:v>
                </c:pt>
                <c:pt idx="4">
                  <c:v>3.3141460528676656E-2</c:v>
                </c:pt>
                <c:pt idx="5">
                  <c:v>1.7333054603313174E-2</c:v>
                </c:pt>
              </c:numCache>
            </c:numRef>
          </c:val>
          <c:extLst>
            <c:ext xmlns:c16="http://schemas.microsoft.com/office/drawing/2014/chart" uri="{C3380CC4-5D6E-409C-BE32-E72D297353CC}">
              <c16:uniqueId val="{00000000-30BE-4DB9-9554-EA80302F9777}"/>
            </c:ext>
          </c:extLst>
        </c:ser>
        <c:ser>
          <c:idx val="1"/>
          <c:order val="1"/>
          <c:tx>
            <c:strRef>
              <c:f>同程艺龙Charts!$A$50</c:f>
              <c:strCache>
                <c:ptCount val="1"/>
                <c:pt idx="0">
                  <c:v>Order processing cost</c:v>
                </c:pt>
              </c:strCache>
            </c:strRef>
          </c:tx>
          <c:spPr>
            <a:solidFill>
              <a:schemeClr val="accent2"/>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同程艺龙Charts!$B$48:$G$48</c:f>
              <c:strCache>
                <c:ptCount val="6"/>
                <c:pt idx="0">
                  <c:v> 2018Q2 </c:v>
                </c:pt>
                <c:pt idx="1">
                  <c:v> 2018Q3 </c:v>
                </c:pt>
                <c:pt idx="2">
                  <c:v> 2018Q4 </c:v>
                </c:pt>
                <c:pt idx="3">
                  <c:v> 2019Q2 </c:v>
                </c:pt>
                <c:pt idx="4">
                  <c:v> 2019Q3 </c:v>
                </c:pt>
                <c:pt idx="5">
                  <c:v> 2019Q4 </c:v>
                </c:pt>
              </c:strCache>
            </c:strRef>
          </c:cat>
          <c:val>
            <c:numRef>
              <c:f>同程艺龙Charts!$B$50:$G$50</c:f>
              <c:numCache>
                <c:formatCode>0.0%</c:formatCode>
                <c:ptCount val="6"/>
                <c:pt idx="0">
                  <c:v>0.1483681760087639</c:v>
                </c:pt>
                <c:pt idx="1">
                  <c:v>0.14263901086161798</c:v>
                </c:pt>
                <c:pt idx="2">
                  <c:v>0.13251670378619154</c:v>
                </c:pt>
                <c:pt idx="3">
                  <c:v>0.15309969589502281</c:v>
                </c:pt>
                <c:pt idx="4">
                  <c:v>0.13438774471056625</c:v>
                </c:pt>
                <c:pt idx="5">
                  <c:v>0.1144731925951179</c:v>
                </c:pt>
              </c:numCache>
            </c:numRef>
          </c:val>
          <c:extLst>
            <c:ext xmlns:c16="http://schemas.microsoft.com/office/drawing/2014/chart" uri="{C3380CC4-5D6E-409C-BE32-E72D297353CC}">
              <c16:uniqueId val="{00000001-30BE-4DB9-9554-EA80302F9777}"/>
            </c:ext>
          </c:extLst>
        </c:ser>
        <c:ser>
          <c:idx val="2"/>
          <c:order val="2"/>
          <c:tx>
            <c:strRef>
              <c:f>同程艺龙Charts!$A$51</c:f>
              <c:strCache>
                <c:ptCount val="1"/>
                <c:pt idx="0">
                  <c:v>Cost of pre-purchased inventory risk taking products</c:v>
                </c:pt>
              </c:strCache>
            </c:strRef>
          </c:tx>
          <c:spPr>
            <a:solidFill>
              <a:schemeClr val="accent3"/>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同程艺龙Charts!$B$48:$G$48</c:f>
              <c:strCache>
                <c:ptCount val="6"/>
                <c:pt idx="0">
                  <c:v> 2018Q2 </c:v>
                </c:pt>
                <c:pt idx="1">
                  <c:v> 2018Q3 </c:v>
                </c:pt>
                <c:pt idx="2">
                  <c:v> 2018Q4 </c:v>
                </c:pt>
                <c:pt idx="3">
                  <c:v> 2019Q2 </c:v>
                </c:pt>
                <c:pt idx="4">
                  <c:v> 2019Q3 </c:v>
                </c:pt>
                <c:pt idx="5">
                  <c:v> 2019Q4 </c:v>
                </c:pt>
              </c:strCache>
            </c:strRef>
          </c:cat>
          <c:val>
            <c:numRef>
              <c:f>同程艺龙Charts!$B$51:$G$51</c:f>
              <c:numCache>
                <c:formatCode>0.0%</c:formatCode>
                <c:ptCount val="6"/>
                <c:pt idx="0">
                  <c:v>2.1927302051001157E-2</c:v>
                </c:pt>
                <c:pt idx="1">
                  <c:v>3.8251965581058311E-2</c:v>
                </c:pt>
                <c:pt idx="2">
                  <c:v>3.6607779964105781E-2</c:v>
                </c:pt>
                <c:pt idx="3">
                  <c:v>6.3989646099247094E-2</c:v>
                </c:pt>
                <c:pt idx="4">
                  <c:v>7.3525432441213692E-2</c:v>
                </c:pt>
                <c:pt idx="5">
                  <c:v>6.6329907645976752E-2</c:v>
                </c:pt>
              </c:numCache>
            </c:numRef>
          </c:val>
          <c:extLst>
            <c:ext xmlns:c16="http://schemas.microsoft.com/office/drawing/2014/chart" uri="{C3380CC4-5D6E-409C-BE32-E72D297353CC}">
              <c16:uniqueId val="{00000002-30BE-4DB9-9554-EA80302F9777}"/>
            </c:ext>
          </c:extLst>
        </c:ser>
        <c:ser>
          <c:idx val="3"/>
          <c:order val="3"/>
          <c:tx>
            <c:strRef>
              <c:f>同程艺龙Charts!$A$52</c:f>
              <c:strCache>
                <c:ptCount val="1"/>
                <c:pt idx="0">
                  <c:v>Depreciations of PP&amp;E</c:v>
                </c:pt>
              </c:strCache>
            </c:strRef>
          </c:tx>
          <c:spPr>
            <a:solidFill>
              <a:schemeClr val="accent4"/>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同程艺龙Charts!$B$48:$G$48</c:f>
              <c:strCache>
                <c:ptCount val="6"/>
                <c:pt idx="0">
                  <c:v> 2018Q2 </c:v>
                </c:pt>
                <c:pt idx="1">
                  <c:v> 2018Q3 </c:v>
                </c:pt>
                <c:pt idx="2">
                  <c:v> 2018Q4 </c:v>
                </c:pt>
                <c:pt idx="3">
                  <c:v> 2019Q2 </c:v>
                </c:pt>
                <c:pt idx="4">
                  <c:v> 2019Q3 </c:v>
                </c:pt>
                <c:pt idx="5">
                  <c:v> 2019Q4 </c:v>
                </c:pt>
              </c:strCache>
            </c:strRef>
          </c:cat>
          <c:val>
            <c:numRef>
              <c:f>同程艺龙Charts!$B$52:$G$52</c:f>
              <c:numCache>
                <c:formatCode>0.0%</c:formatCode>
                <c:ptCount val="6"/>
                <c:pt idx="0">
                  <c:v>1.8159272107601484E-2</c:v>
                </c:pt>
                <c:pt idx="1">
                  <c:v>1.55277790460965E-2</c:v>
                </c:pt>
                <c:pt idx="2">
                  <c:v>2.5216262040526637E-2</c:v>
                </c:pt>
                <c:pt idx="3">
                  <c:v>1.9589565138682683E-2</c:v>
                </c:pt>
                <c:pt idx="4">
                  <c:v>1.4314810414474353E-2</c:v>
                </c:pt>
                <c:pt idx="5">
                  <c:v>1.4865373911381232E-2</c:v>
                </c:pt>
              </c:numCache>
            </c:numRef>
          </c:val>
          <c:extLst>
            <c:ext xmlns:c16="http://schemas.microsoft.com/office/drawing/2014/chart" uri="{C3380CC4-5D6E-409C-BE32-E72D297353CC}">
              <c16:uniqueId val="{00000003-30BE-4DB9-9554-EA80302F9777}"/>
            </c:ext>
          </c:extLst>
        </c:ser>
        <c:ser>
          <c:idx val="4"/>
          <c:order val="4"/>
          <c:tx>
            <c:strRef>
              <c:f>同程艺龙Charts!$A$53</c:f>
              <c:strCache>
                <c:ptCount val="1"/>
                <c:pt idx="0">
                  <c:v>Procurement cost</c:v>
                </c:pt>
              </c:strCache>
            </c:strRef>
          </c:tx>
          <c:spPr>
            <a:solidFill>
              <a:schemeClr val="accent5"/>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同程艺龙Charts!$B$48:$G$48</c:f>
              <c:strCache>
                <c:ptCount val="6"/>
                <c:pt idx="0">
                  <c:v> 2018Q2 </c:v>
                </c:pt>
                <c:pt idx="1">
                  <c:v> 2018Q3 </c:v>
                </c:pt>
                <c:pt idx="2">
                  <c:v> 2018Q4 </c:v>
                </c:pt>
                <c:pt idx="3">
                  <c:v> 2019Q2 </c:v>
                </c:pt>
                <c:pt idx="4">
                  <c:v> 2019Q3 </c:v>
                </c:pt>
                <c:pt idx="5">
                  <c:v> 2019Q4 </c:v>
                </c:pt>
              </c:strCache>
            </c:strRef>
          </c:cat>
          <c:val>
            <c:numRef>
              <c:f>同程艺龙Charts!$B$53:$G$53</c:f>
              <c:numCache>
                <c:formatCode>0.0%</c:formatCode>
                <c:ptCount val="6"/>
                <c:pt idx="0">
                  <c:v>2.7112622481893982E-2</c:v>
                </c:pt>
                <c:pt idx="1">
                  <c:v>1.133303723856245E-2</c:v>
                </c:pt>
                <c:pt idx="2">
                  <c:v>1.3087017409078364E-2</c:v>
                </c:pt>
                <c:pt idx="3">
                  <c:v>4.0677026434127142E-2</c:v>
                </c:pt>
                <c:pt idx="4">
                  <c:v>3.7502970229810924E-2</c:v>
                </c:pt>
                <c:pt idx="5">
                  <c:v>4.7153759302997762E-2</c:v>
                </c:pt>
              </c:numCache>
            </c:numRef>
          </c:val>
          <c:extLst>
            <c:ext xmlns:c16="http://schemas.microsoft.com/office/drawing/2014/chart" uri="{C3380CC4-5D6E-409C-BE32-E72D297353CC}">
              <c16:uniqueId val="{00000004-30BE-4DB9-9554-EA80302F9777}"/>
            </c:ext>
          </c:extLst>
        </c:ser>
        <c:ser>
          <c:idx val="5"/>
          <c:order val="5"/>
          <c:tx>
            <c:strRef>
              <c:f>同程艺龙Charts!$A$54</c:f>
              <c:strCache>
                <c:ptCount val="1"/>
                <c:pt idx="0">
                  <c:v>Others</c:v>
                </c:pt>
              </c:strCache>
            </c:strRef>
          </c:tx>
          <c:spPr>
            <a:solidFill>
              <a:schemeClr val="accent6"/>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同程艺龙Charts!$B$48:$G$48</c:f>
              <c:strCache>
                <c:ptCount val="6"/>
                <c:pt idx="0">
                  <c:v> 2018Q2 </c:v>
                </c:pt>
                <c:pt idx="1">
                  <c:v> 2018Q3 </c:v>
                </c:pt>
                <c:pt idx="2">
                  <c:v> 2018Q4 </c:v>
                </c:pt>
                <c:pt idx="3">
                  <c:v> 2019Q2 </c:v>
                </c:pt>
                <c:pt idx="4">
                  <c:v> 2019Q3 </c:v>
                </c:pt>
                <c:pt idx="5">
                  <c:v> 2019Q4 </c:v>
                </c:pt>
              </c:strCache>
            </c:strRef>
          </c:cat>
          <c:val>
            <c:numRef>
              <c:f>同程艺龙Charts!$B$54:$G$54</c:f>
              <c:numCache>
                <c:formatCode>0.0%</c:formatCode>
                <c:ptCount val="6"/>
                <c:pt idx="0">
                  <c:v>2.3798003773355243E-2</c:v>
                </c:pt>
                <c:pt idx="1">
                  <c:v>3.3358693119117266E-2</c:v>
                </c:pt>
                <c:pt idx="2">
                  <c:v>5.9182853196200966E-2</c:v>
                </c:pt>
                <c:pt idx="3">
                  <c:v>3.6625855334534337E-2</c:v>
                </c:pt>
                <c:pt idx="4">
                  <c:v>3.8462172607934511E-2</c:v>
                </c:pt>
                <c:pt idx="5">
                  <c:v>3.3764495962929589E-2</c:v>
                </c:pt>
              </c:numCache>
            </c:numRef>
          </c:val>
          <c:extLst>
            <c:ext xmlns:c16="http://schemas.microsoft.com/office/drawing/2014/chart" uri="{C3380CC4-5D6E-409C-BE32-E72D297353CC}">
              <c16:uniqueId val="{00000005-30BE-4DB9-9554-EA80302F9777}"/>
            </c:ext>
          </c:extLst>
        </c:ser>
        <c:dLbls>
          <c:showLegendKey val="0"/>
          <c:showVal val="0"/>
          <c:showCatName val="0"/>
          <c:showSerName val="0"/>
          <c:showPercent val="0"/>
          <c:showBubbleSize val="0"/>
        </c:dLbls>
        <c:axId val="259838904"/>
        <c:axId val="259836608"/>
      </c:areaChart>
      <c:catAx>
        <c:axId val="259838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59836608"/>
        <c:crosses val="autoZero"/>
        <c:auto val="1"/>
        <c:lblAlgn val="ctr"/>
        <c:lblOffset val="100"/>
        <c:noMultiLvlLbl val="0"/>
      </c:catAx>
      <c:valAx>
        <c:axId val="2598366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59838904"/>
        <c:crosses val="autoZero"/>
        <c:crossBetween val="midCat"/>
      </c:valAx>
      <c:spPr>
        <a:noFill/>
        <a:ln>
          <a:noFill/>
        </a:ln>
        <a:effectLst/>
      </c:spPr>
    </c:plotArea>
    <c:legend>
      <c:legendPos val="b"/>
      <c:layout>
        <c:manualLayout>
          <c:xMode val="edge"/>
          <c:yMode val="edge"/>
          <c:x val="1.9906167979002611E-2"/>
          <c:y val="0.79880297266212508"/>
          <c:w val="0.92963188976377975"/>
          <c:h val="0.17341944616473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Cost</a:t>
            </a:r>
            <a:r>
              <a:rPr lang="en-US" altLang="zh-CN" baseline="0"/>
              <a:t> and Operating Margin</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同程艺龙Charts!$A$59</c:f>
              <c:strCache>
                <c:ptCount val="1"/>
                <c:pt idx="0">
                  <c:v>Gross Margin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同程艺龙Charts!$B$58:$H$58</c:f>
              <c:strCache>
                <c:ptCount val="7"/>
                <c:pt idx="0">
                  <c:v> 2018Q2 </c:v>
                </c:pt>
                <c:pt idx="1">
                  <c:v> 2018Q3 </c:v>
                </c:pt>
                <c:pt idx="2">
                  <c:v> 2018Q4 </c:v>
                </c:pt>
                <c:pt idx="3">
                  <c:v> 2019Q1 </c:v>
                </c:pt>
                <c:pt idx="4">
                  <c:v> 2019Q2 </c:v>
                </c:pt>
                <c:pt idx="5">
                  <c:v> 2019Q3 </c:v>
                </c:pt>
                <c:pt idx="6">
                  <c:v> 2019Q4 </c:v>
                </c:pt>
              </c:strCache>
            </c:strRef>
          </c:cat>
          <c:val>
            <c:numRef>
              <c:f>同程艺龙Charts!$B$59:$H$59</c:f>
              <c:numCache>
                <c:formatCode>0.0%</c:formatCode>
                <c:ptCount val="7"/>
                <c:pt idx="0">
                  <c:v>0.71811590895258959</c:v>
                </c:pt>
                <c:pt idx="1">
                  <c:v>0.71564050457869655</c:v>
                </c:pt>
                <c:pt idx="2">
                  <c:v>0.6461748234225686</c:v>
                </c:pt>
                <c:pt idx="3">
                  <c:v>0.72060842957680538</c:v>
                </c:pt>
                <c:pt idx="4">
                  <c:v>0.64726839809968972</c:v>
                </c:pt>
                <c:pt idx="5">
                  <c:v>0.66866540906732352</c:v>
                </c:pt>
                <c:pt idx="6">
                  <c:v>0.70607561591071377</c:v>
                </c:pt>
              </c:numCache>
            </c:numRef>
          </c:val>
          <c:smooth val="0"/>
          <c:extLst>
            <c:ext xmlns:c16="http://schemas.microsoft.com/office/drawing/2014/chart" uri="{C3380CC4-5D6E-409C-BE32-E72D297353CC}">
              <c16:uniqueId val="{00000000-8EC8-4457-ACFE-BC357AC9F48A}"/>
            </c:ext>
          </c:extLst>
        </c:ser>
        <c:ser>
          <c:idx val="1"/>
          <c:order val="1"/>
          <c:tx>
            <c:strRef>
              <c:f>同程艺龙Charts!$A$60</c:f>
              <c:strCache>
                <c:ptCount val="1"/>
                <c:pt idx="0">
                  <c:v>R&amp;D Cost as % of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同程艺龙Charts!$B$58:$H$58</c:f>
              <c:strCache>
                <c:ptCount val="7"/>
                <c:pt idx="0">
                  <c:v> 2018Q2 </c:v>
                </c:pt>
                <c:pt idx="1">
                  <c:v> 2018Q3 </c:v>
                </c:pt>
                <c:pt idx="2">
                  <c:v> 2018Q4 </c:v>
                </c:pt>
                <c:pt idx="3">
                  <c:v> 2019Q1 </c:v>
                </c:pt>
                <c:pt idx="4">
                  <c:v> 2019Q2 </c:v>
                </c:pt>
                <c:pt idx="5">
                  <c:v> 2019Q3 </c:v>
                </c:pt>
                <c:pt idx="6">
                  <c:v> 2019Q4 </c:v>
                </c:pt>
              </c:strCache>
            </c:strRef>
          </c:cat>
          <c:val>
            <c:numRef>
              <c:f>同程艺龙Charts!$B$60:$H$60</c:f>
              <c:numCache>
                <c:formatCode>0.0%</c:formatCode>
                <c:ptCount val="7"/>
                <c:pt idx="0">
                  <c:v>0.24154038098715841</c:v>
                </c:pt>
                <c:pt idx="1">
                  <c:v>0.23917618449273809</c:v>
                </c:pt>
                <c:pt idx="2">
                  <c:v>0.27973515611187499</c:v>
                </c:pt>
                <c:pt idx="3">
                  <c:v>0.24114015221393162</c:v>
                </c:pt>
                <c:pt idx="4">
                  <c:v>0.22135548602110255</c:v>
                </c:pt>
                <c:pt idx="5">
                  <c:v>0.17437649420744569</c:v>
                </c:pt>
                <c:pt idx="6">
                  <c:v>0.19285323279970845</c:v>
                </c:pt>
              </c:numCache>
            </c:numRef>
          </c:val>
          <c:smooth val="0"/>
          <c:extLst>
            <c:ext xmlns:c16="http://schemas.microsoft.com/office/drawing/2014/chart" uri="{C3380CC4-5D6E-409C-BE32-E72D297353CC}">
              <c16:uniqueId val="{00000001-8EC8-4457-ACFE-BC357AC9F48A}"/>
            </c:ext>
          </c:extLst>
        </c:ser>
        <c:ser>
          <c:idx val="2"/>
          <c:order val="2"/>
          <c:tx>
            <c:strRef>
              <c:f>同程艺龙Charts!$A$61</c:f>
              <c:strCache>
                <c:ptCount val="1"/>
                <c:pt idx="0">
                  <c:v>S&amp;M Cost as % of Revenue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同程艺龙Charts!$B$58:$H$58</c:f>
              <c:strCache>
                <c:ptCount val="7"/>
                <c:pt idx="0">
                  <c:v> 2018Q2 </c:v>
                </c:pt>
                <c:pt idx="1">
                  <c:v> 2018Q3 </c:v>
                </c:pt>
                <c:pt idx="2">
                  <c:v> 2018Q4 </c:v>
                </c:pt>
                <c:pt idx="3">
                  <c:v> 2019Q1 </c:v>
                </c:pt>
                <c:pt idx="4">
                  <c:v> 2019Q2 </c:v>
                </c:pt>
                <c:pt idx="5">
                  <c:v> 2019Q3 </c:v>
                </c:pt>
                <c:pt idx="6">
                  <c:v> 2019Q4 </c:v>
                </c:pt>
              </c:strCache>
            </c:strRef>
          </c:cat>
          <c:val>
            <c:numRef>
              <c:f>同程艺龙Charts!$B$61:$H$61</c:f>
              <c:numCache>
                <c:formatCode>0.0%</c:formatCode>
                <c:ptCount val="7"/>
                <c:pt idx="0">
                  <c:v>0.35306432962083867</c:v>
                </c:pt>
                <c:pt idx="1">
                  <c:v>0.3416793317350541</c:v>
                </c:pt>
                <c:pt idx="2">
                  <c:v>0.35552067606293064</c:v>
                </c:pt>
                <c:pt idx="3">
                  <c:v>0.26338460399762031</c:v>
                </c:pt>
                <c:pt idx="4">
                  <c:v>0.25594789860820744</c:v>
                </c:pt>
                <c:pt idx="5">
                  <c:v>0.30432853408853955</c:v>
                </c:pt>
                <c:pt idx="6">
                  <c:v>0.37923723724030706</c:v>
                </c:pt>
              </c:numCache>
            </c:numRef>
          </c:val>
          <c:smooth val="0"/>
          <c:extLst>
            <c:ext xmlns:c16="http://schemas.microsoft.com/office/drawing/2014/chart" uri="{C3380CC4-5D6E-409C-BE32-E72D297353CC}">
              <c16:uniqueId val="{00000002-8EC8-4457-ACFE-BC357AC9F48A}"/>
            </c:ext>
          </c:extLst>
        </c:ser>
        <c:ser>
          <c:idx val="3"/>
          <c:order val="3"/>
          <c:tx>
            <c:strRef>
              <c:f>同程艺龙Charts!$A$62</c:f>
              <c:strCache>
                <c:ptCount val="1"/>
                <c:pt idx="0">
                  <c:v>G&amp;A Cost as % of Revenue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同程艺龙Charts!$B$58:$H$58</c:f>
              <c:strCache>
                <c:ptCount val="7"/>
                <c:pt idx="0">
                  <c:v> 2018Q2 </c:v>
                </c:pt>
                <c:pt idx="1">
                  <c:v> 2018Q3 </c:v>
                </c:pt>
                <c:pt idx="2">
                  <c:v> 2018Q4 </c:v>
                </c:pt>
                <c:pt idx="3">
                  <c:v> 2019Q1 </c:v>
                </c:pt>
                <c:pt idx="4">
                  <c:v> 2019Q2 </c:v>
                </c:pt>
                <c:pt idx="5">
                  <c:v> 2019Q3 </c:v>
                </c:pt>
                <c:pt idx="6">
                  <c:v> 2019Q4 </c:v>
                </c:pt>
              </c:strCache>
            </c:strRef>
          </c:cat>
          <c:val>
            <c:numRef>
              <c:f>同程艺龙Charts!$B$62:$H$62</c:f>
              <c:numCache>
                <c:formatCode>0.0%</c:formatCode>
                <c:ptCount val="7"/>
                <c:pt idx="0">
                  <c:v>0.10175050209968961</c:v>
                </c:pt>
                <c:pt idx="1">
                  <c:v>9.6938028234158383E-2</c:v>
                </c:pt>
                <c:pt idx="2">
                  <c:v>0.16253582108346615</c:v>
                </c:pt>
                <c:pt idx="3">
                  <c:v>0.12802545234945842</c:v>
                </c:pt>
                <c:pt idx="4">
                  <c:v>6.2735008781204082E-2</c:v>
                </c:pt>
                <c:pt idx="5">
                  <c:v>4.7288968202780619E-2</c:v>
                </c:pt>
                <c:pt idx="6">
                  <c:v>0.10197327565189346</c:v>
                </c:pt>
              </c:numCache>
            </c:numRef>
          </c:val>
          <c:smooth val="0"/>
          <c:extLst>
            <c:ext xmlns:c16="http://schemas.microsoft.com/office/drawing/2014/chart" uri="{C3380CC4-5D6E-409C-BE32-E72D297353CC}">
              <c16:uniqueId val="{00000003-8EC8-4457-ACFE-BC357AC9F48A}"/>
            </c:ext>
          </c:extLst>
        </c:ser>
        <c:ser>
          <c:idx val="4"/>
          <c:order val="4"/>
          <c:tx>
            <c:strRef>
              <c:f>同程艺龙Charts!$A$63</c:f>
              <c:strCache>
                <c:ptCount val="1"/>
                <c:pt idx="0">
                  <c:v>Operating Margin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同程艺龙Charts!$B$58:$H$58</c:f>
              <c:strCache>
                <c:ptCount val="7"/>
                <c:pt idx="0">
                  <c:v> 2018Q2 </c:v>
                </c:pt>
                <c:pt idx="1">
                  <c:v> 2018Q3 </c:v>
                </c:pt>
                <c:pt idx="2">
                  <c:v> 2018Q4 </c:v>
                </c:pt>
                <c:pt idx="3">
                  <c:v> 2019Q1 </c:v>
                </c:pt>
                <c:pt idx="4">
                  <c:v> 2019Q2 </c:v>
                </c:pt>
                <c:pt idx="5">
                  <c:v> 2019Q3 </c:v>
                </c:pt>
                <c:pt idx="6">
                  <c:v> 2019Q4 </c:v>
                </c:pt>
              </c:strCache>
            </c:strRef>
          </c:cat>
          <c:val>
            <c:numRef>
              <c:f>同程艺龙Charts!$B$63:$H$63</c:f>
              <c:numCache>
                <c:formatCode>0.0%</c:formatCode>
                <c:ptCount val="7"/>
                <c:pt idx="0">
                  <c:v>4.8397084778771832E-2</c:v>
                </c:pt>
                <c:pt idx="1">
                  <c:v>6.1975323722705866E-2</c:v>
                </c:pt>
                <c:pt idx="2">
                  <c:v>-0.10639545458592545</c:v>
                </c:pt>
                <c:pt idx="3">
                  <c:v>0.10510869339709129</c:v>
                </c:pt>
                <c:pt idx="4">
                  <c:v>0.137138898911181</c:v>
                </c:pt>
                <c:pt idx="5">
                  <c:v>0.16837881219903691</c:v>
                </c:pt>
                <c:pt idx="6">
                  <c:v>5.4527156498898798E-2</c:v>
                </c:pt>
              </c:numCache>
            </c:numRef>
          </c:val>
          <c:smooth val="0"/>
          <c:extLst>
            <c:ext xmlns:c16="http://schemas.microsoft.com/office/drawing/2014/chart" uri="{C3380CC4-5D6E-409C-BE32-E72D297353CC}">
              <c16:uniqueId val="{00000004-8EC8-4457-ACFE-BC357AC9F48A}"/>
            </c:ext>
          </c:extLst>
        </c:ser>
        <c:dLbls>
          <c:showLegendKey val="0"/>
          <c:showVal val="0"/>
          <c:showCatName val="0"/>
          <c:showSerName val="0"/>
          <c:showPercent val="0"/>
          <c:showBubbleSize val="0"/>
        </c:dLbls>
        <c:marker val="1"/>
        <c:smooth val="0"/>
        <c:axId val="651995720"/>
        <c:axId val="651988504"/>
      </c:lineChart>
      <c:catAx>
        <c:axId val="651995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51988504"/>
        <c:crosses val="autoZero"/>
        <c:auto val="1"/>
        <c:lblAlgn val="ctr"/>
        <c:lblOffset val="100"/>
        <c:noMultiLvlLbl val="0"/>
      </c:catAx>
      <c:valAx>
        <c:axId val="651988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51995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同程艺龙Charts!$A$69</c:f>
              <c:strCache>
                <c:ptCount val="1"/>
                <c:pt idx="0">
                  <c:v> Paying Ratio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同程艺龙Charts!$B$68:$I$68</c:f>
              <c:strCache>
                <c:ptCount val="8"/>
                <c:pt idx="0">
                  <c:v> 2018Q1 </c:v>
                </c:pt>
                <c:pt idx="1">
                  <c:v> 2018Q2 </c:v>
                </c:pt>
                <c:pt idx="2">
                  <c:v> 2018Q3 </c:v>
                </c:pt>
                <c:pt idx="3">
                  <c:v> 2018Q4 </c:v>
                </c:pt>
                <c:pt idx="4">
                  <c:v> 2019Q1 </c:v>
                </c:pt>
                <c:pt idx="5">
                  <c:v> 2019Q2 </c:v>
                </c:pt>
                <c:pt idx="6">
                  <c:v> 2019Q3 </c:v>
                </c:pt>
                <c:pt idx="7">
                  <c:v> 2019Q4 </c:v>
                </c:pt>
              </c:strCache>
            </c:strRef>
          </c:cat>
          <c:val>
            <c:numRef>
              <c:f>同程艺龙Charts!$B$69:$I$69</c:f>
              <c:numCache>
                <c:formatCode>0.0%</c:formatCode>
                <c:ptCount val="8"/>
                <c:pt idx="0">
                  <c:v>0.10342717258261933</c:v>
                </c:pt>
                <c:pt idx="1">
                  <c:v>0.11435832274459974</c:v>
                </c:pt>
                <c:pt idx="2">
                  <c:v>0.10954920019389239</c:v>
                </c:pt>
                <c:pt idx="3">
                  <c:v>0.12838226827864135</c:v>
                </c:pt>
                <c:pt idx="4">
                  <c:v>0.11590566984445559</c:v>
                </c:pt>
                <c:pt idx="5">
                  <c:v>0.15253303964757708</c:v>
                </c:pt>
                <c:pt idx="6">
                  <c:v>0.12735042735042734</c:v>
                </c:pt>
                <c:pt idx="7">
                  <c:v>0.13161728994657601</c:v>
                </c:pt>
              </c:numCache>
            </c:numRef>
          </c:val>
          <c:smooth val="0"/>
          <c:extLst>
            <c:ext xmlns:c16="http://schemas.microsoft.com/office/drawing/2014/chart" uri="{C3380CC4-5D6E-409C-BE32-E72D297353CC}">
              <c16:uniqueId val="{00000000-66CB-4C34-ACF4-7ED259E1DC88}"/>
            </c:ext>
          </c:extLst>
        </c:ser>
        <c:dLbls>
          <c:showLegendKey val="0"/>
          <c:showVal val="0"/>
          <c:showCatName val="0"/>
          <c:showSerName val="0"/>
          <c:showPercent val="0"/>
          <c:showBubbleSize val="0"/>
        </c:dLbls>
        <c:marker val="1"/>
        <c:smooth val="0"/>
        <c:axId val="600017240"/>
        <c:axId val="600016912"/>
      </c:lineChart>
      <c:catAx>
        <c:axId val="600017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00016912"/>
        <c:crosses val="autoZero"/>
        <c:auto val="1"/>
        <c:lblAlgn val="ctr"/>
        <c:lblOffset val="100"/>
        <c:noMultiLvlLbl val="0"/>
      </c:catAx>
      <c:valAx>
        <c:axId val="6000169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00017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MAU</a:t>
            </a:r>
            <a:r>
              <a:rPr lang="en-US" altLang="zh-CN" baseline="0"/>
              <a:t> Breakdown by Source</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stacked"/>
        <c:varyColors val="0"/>
        <c:ser>
          <c:idx val="0"/>
          <c:order val="0"/>
          <c:tx>
            <c:strRef>
              <c:f>同程艺龙Charts!$A$72</c:f>
              <c:strCache>
                <c:ptCount val="1"/>
                <c:pt idx="0">
                  <c:v> MAU from Tencent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同程艺龙Charts!$B$71:$G$71</c:f>
              <c:strCache>
                <c:ptCount val="6"/>
                <c:pt idx="0">
                  <c:v>2017</c:v>
                </c:pt>
                <c:pt idx="1">
                  <c:v>2018</c:v>
                </c:pt>
                <c:pt idx="2">
                  <c:v>2019Q1</c:v>
                </c:pt>
                <c:pt idx="3">
                  <c:v>2019Q2</c:v>
                </c:pt>
                <c:pt idx="4">
                  <c:v>2019Q3</c:v>
                </c:pt>
                <c:pt idx="5">
                  <c:v>2019Q4</c:v>
                </c:pt>
              </c:strCache>
            </c:strRef>
          </c:cat>
          <c:val>
            <c:numRef>
              <c:f>同程艺龙Charts!$B$72:$G$72</c:f>
              <c:numCache>
                <c:formatCode>_(* #,##0.0_);_(* \(#,##0.0\);_(* "-"??_);_(@_)</c:formatCode>
                <c:ptCount val="6"/>
                <c:pt idx="0">
                  <c:v>79.599999999999994</c:v>
                </c:pt>
                <c:pt idx="1">
                  <c:v>140.53030303030303</c:v>
                </c:pt>
                <c:pt idx="2">
                  <c:v>173.10000000000002</c:v>
                </c:pt>
                <c:pt idx="3">
                  <c:v>152.59026687598117</c:v>
                </c:pt>
                <c:pt idx="4">
                  <c:v>192.15</c:v>
                </c:pt>
                <c:pt idx="5">
                  <c:v>173.78834804030492</c:v>
                </c:pt>
              </c:numCache>
            </c:numRef>
          </c:val>
          <c:extLst>
            <c:ext xmlns:c16="http://schemas.microsoft.com/office/drawing/2014/chart" uri="{C3380CC4-5D6E-409C-BE32-E72D297353CC}">
              <c16:uniqueId val="{00000000-7105-4153-A07A-6DD75C0523C2}"/>
            </c:ext>
          </c:extLst>
        </c:ser>
        <c:ser>
          <c:idx val="1"/>
          <c:order val="1"/>
          <c:tx>
            <c:strRef>
              <c:f>同程艺龙Charts!$A$73</c:f>
              <c:strCache>
                <c:ptCount val="1"/>
                <c:pt idx="0">
                  <c:v> MAU from Own Channel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同程艺龙Charts!$B$71:$G$71</c:f>
              <c:strCache>
                <c:ptCount val="6"/>
                <c:pt idx="0">
                  <c:v>2017</c:v>
                </c:pt>
                <c:pt idx="1">
                  <c:v>2018</c:v>
                </c:pt>
                <c:pt idx="2">
                  <c:v>2019Q1</c:v>
                </c:pt>
                <c:pt idx="3">
                  <c:v>2019Q2</c:v>
                </c:pt>
                <c:pt idx="4">
                  <c:v>2019Q3</c:v>
                </c:pt>
                <c:pt idx="5">
                  <c:v>2019Q4</c:v>
                </c:pt>
              </c:strCache>
            </c:strRef>
          </c:cat>
          <c:val>
            <c:numRef>
              <c:f>同程艺龙Charts!$B$73:$G$73</c:f>
              <c:numCache>
                <c:formatCode>_(* #,##0.0_);_(* \(#,##0.0\);_(* "-"??_);_(@_)</c:formatCode>
                <c:ptCount val="6"/>
                <c:pt idx="0">
                  <c:v>41.600000000000009</c:v>
                </c:pt>
                <c:pt idx="1">
                  <c:v>34.669696969696957</c:v>
                </c:pt>
                <c:pt idx="2">
                  <c:v>26.199999999999989</c:v>
                </c:pt>
                <c:pt idx="3">
                  <c:v>29.009733124018823</c:v>
                </c:pt>
                <c:pt idx="4">
                  <c:v>41.849999999999994</c:v>
                </c:pt>
                <c:pt idx="5">
                  <c:v>32.111651959695081</c:v>
                </c:pt>
              </c:numCache>
            </c:numRef>
          </c:val>
          <c:extLst>
            <c:ext xmlns:c16="http://schemas.microsoft.com/office/drawing/2014/chart" uri="{C3380CC4-5D6E-409C-BE32-E72D297353CC}">
              <c16:uniqueId val="{00000001-7105-4153-A07A-6DD75C0523C2}"/>
            </c:ext>
          </c:extLst>
        </c:ser>
        <c:dLbls>
          <c:showLegendKey val="0"/>
          <c:showVal val="0"/>
          <c:showCatName val="0"/>
          <c:showSerName val="0"/>
          <c:showPercent val="0"/>
          <c:showBubbleSize val="0"/>
        </c:dLbls>
        <c:gapWidth val="150"/>
        <c:overlap val="100"/>
        <c:axId val="596626680"/>
        <c:axId val="596626352"/>
      </c:barChart>
      <c:lineChart>
        <c:grouping val="standard"/>
        <c:varyColors val="0"/>
        <c:ser>
          <c:idx val="2"/>
          <c:order val="2"/>
          <c:tx>
            <c:strRef>
              <c:f>同程艺龙Charts!$A$74</c:f>
              <c:strCache>
                <c:ptCount val="1"/>
                <c:pt idx="0">
                  <c:v> % of Tencent Traffic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同程艺龙Charts!$B$71:$G$71</c:f>
              <c:strCache>
                <c:ptCount val="6"/>
                <c:pt idx="0">
                  <c:v>2017</c:v>
                </c:pt>
                <c:pt idx="1">
                  <c:v>2018</c:v>
                </c:pt>
                <c:pt idx="2">
                  <c:v>2019Q1</c:v>
                </c:pt>
                <c:pt idx="3">
                  <c:v>2019Q2</c:v>
                </c:pt>
                <c:pt idx="4">
                  <c:v>2019Q3</c:v>
                </c:pt>
                <c:pt idx="5">
                  <c:v>2019Q4</c:v>
                </c:pt>
              </c:strCache>
            </c:strRef>
          </c:cat>
          <c:val>
            <c:numRef>
              <c:f>同程艺龙Charts!$B$74:$G$74</c:f>
              <c:numCache>
                <c:formatCode>0.0%</c:formatCode>
                <c:ptCount val="6"/>
                <c:pt idx="0">
                  <c:v>0.65676567656765672</c:v>
                </c:pt>
                <c:pt idx="1">
                  <c:v>0.80211360177113611</c:v>
                </c:pt>
                <c:pt idx="2">
                  <c:v>0.86853988961364781</c:v>
                </c:pt>
                <c:pt idx="3">
                  <c:v>0.84025477354615186</c:v>
                </c:pt>
                <c:pt idx="4">
                  <c:v>0.82115384615384612</c:v>
                </c:pt>
                <c:pt idx="5">
                  <c:v>0.84404248683975192</c:v>
                </c:pt>
              </c:numCache>
            </c:numRef>
          </c:val>
          <c:smooth val="0"/>
          <c:extLst>
            <c:ext xmlns:c16="http://schemas.microsoft.com/office/drawing/2014/chart" uri="{C3380CC4-5D6E-409C-BE32-E72D297353CC}">
              <c16:uniqueId val="{00000002-7105-4153-A07A-6DD75C0523C2}"/>
            </c:ext>
          </c:extLst>
        </c:ser>
        <c:dLbls>
          <c:showLegendKey val="0"/>
          <c:showVal val="0"/>
          <c:showCatName val="0"/>
          <c:showSerName val="0"/>
          <c:showPercent val="0"/>
          <c:showBubbleSize val="0"/>
        </c:dLbls>
        <c:marker val="1"/>
        <c:smooth val="0"/>
        <c:axId val="596635536"/>
        <c:axId val="596635864"/>
      </c:lineChart>
      <c:catAx>
        <c:axId val="596626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96626352"/>
        <c:crosses val="autoZero"/>
        <c:auto val="1"/>
        <c:lblAlgn val="ctr"/>
        <c:lblOffset val="100"/>
        <c:noMultiLvlLbl val="0"/>
      </c:catAx>
      <c:valAx>
        <c:axId val="596626352"/>
        <c:scaling>
          <c:orientation val="minMax"/>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96626680"/>
        <c:crosses val="autoZero"/>
        <c:crossBetween val="between"/>
      </c:valAx>
      <c:valAx>
        <c:axId val="596635864"/>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96635536"/>
        <c:crosses val="max"/>
        <c:crossBetween val="between"/>
      </c:valAx>
      <c:catAx>
        <c:axId val="596635536"/>
        <c:scaling>
          <c:orientation val="minMax"/>
        </c:scaling>
        <c:delete val="1"/>
        <c:axPos val="b"/>
        <c:numFmt formatCode="General" sourceLinked="1"/>
        <c:majorTickMark val="out"/>
        <c:minorTickMark val="none"/>
        <c:tickLblPos val="nextTo"/>
        <c:crossAx val="5966358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Breakdown</a:t>
            </a:r>
            <a:r>
              <a:rPr lang="en-US" altLang="zh-CN" baseline="0"/>
              <a:t> of Tencent Traffic</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percentStacked"/>
        <c:varyColors val="0"/>
        <c:ser>
          <c:idx val="0"/>
          <c:order val="0"/>
          <c:tx>
            <c:strRef>
              <c:f>同程艺龙Charts!$A$83</c:f>
              <c:strCache>
                <c:ptCount val="1"/>
                <c:pt idx="0">
                  <c:v>Weixin Payment (Wallet)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同程艺龙Charts!$B$82:$F$82</c:f>
              <c:strCache>
                <c:ptCount val="5"/>
                <c:pt idx="0">
                  <c:v>2018</c:v>
                </c:pt>
                <c:pt idx="1">
                  <c:v> 2019Q1 </c:v>
                </c:pt>
                <c:pt idx="2">
                  <c:v> 2019Q2 </c:v>
                </c:pt>
                <c:pt idx="3">
                  <c:v> 2019Q3 </c:v>
                </c:pt>
                <c:pt idx="4">
                  <c:v> 2019Q4 </c:v>
                </c:pt>
              </c:strCache>
            </c:strRef>
          </c:cat>
          <c:val>
            <c:numRef>
              <c:f>同程艺龙Charts!$B$83:$F$83</c:f>
              <c:numCache>
                <c:formatCode>0.0%</c:formatCode>
                <c:ptCount val="5"/>
                <c:pt idx="0">
                  <c:v>0.52800000000000002</c:v>
                </c:pt>
                <c:pt idx="1">
                  <c:v>0.60799999999999998</c:v>
                </c:pt>
                <c:pt idx="2">
                  <c:v>0.63700000000000001</c:v>
                </c:pt>
                <c:pt idx="3">
                  <c:v>0.65</c:v>
                </c:pt>
                <c:pt idx="4">
                  <c:v>0.65700000000000003</c:v>
                </c:pt>
              </c:numCache>
            </c:numRef>
          </c:val>
          <c:extLst>
            <c:ext xmlns:c16="http://schemas.microsoft.com/office/drawing/2014/chart" uri="{C3380CC4-5D6E-409C-BE32-E72D297353CC}">
              <c16:uniqueId val="{00000000-6AC3-4214-9A70-0CA36E4F37F9}"/>
            </c:ext>
          </c:extLst>
        </c:ser>
        <c:ser>
          <c:idx val="1"/>
          <c:order val="1"/>
          <c:tx>
            <c:strRef>
              <c:f>同程艺龙Charts!$A$84</c:f>
              <c:strCache>
                <c:ptCount val="1"/>
                <c:pt idx="0">
                  <c:v>Interactive advertisements / Weixin based ad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同程艺龙Charts!$B$82:$F$82</c:f>
              <c:strCache>
                <c:ptCount val="5"/>
                <c:pt idx="0">
                  <c:v>2018</c:v>
                </c:pt>
                <c:pt idx="1">
                  <c:v> 2019Q1 </c:v>
                </c:pt>
                <c:pt idx="2">
                  <c:v> 2019Q2 </c:v>
                </c:pt>
                <c:pt idx="3">
                  <c:v> 2019Q3 </c:v>
                </c:pt>
                <c:pt idx="4">
                  <c:v> 2019Q4 </c:v>
                </c:pt>
              </c:strCache>
            </c:strRef>
          </c:cat>
          <c:val>
            <c:numRef>
              <c:f>同程艺龙Charts!$B$84:$F$84</c:f>
              <c:numCache>
                <c:formatCode>0.0%</c:formatCode>
                <c:ptCount val="5"/>
                <c:pt idx="0">
                  <c:v>0.34899999999999998</c:v>
                </c:pt>
                <c:pt idx="1">
                  <c:v>0.20300000000000001</c:v>
                </c:pt>
                <c:pt idx="2">
                  <c:v>0.22800000000000001</c:v>
                </c:pt>
                <c:pt idx="3">
                  <c:v>0.252</c:v>
                </c:pt>
                <c:pt idx="4">
                  <c:v>0.219</c:v>
                </c:pt>
              </c:numCache>
            </c:numRef>
          </c:val>
          <c:extLst>
            <c:ext xmlns:c16="http://schemas.microsoft.com/office/drawing/2014/chart" uri="{C3380CC4-5D6E-409C-BE32-E72D297353CC}">
              <c16:uniqueId val="{00000001-6AC3-4214-9A70-0CA36E4F37F9}"/>
            </c:ext>
          </c:extLst>
        </c:ser>
        <c:ser>
          <c:idx val="2"/>
          <c:order val="2"/>
          <c:tx>
            <c:strRef>
              <c:f>同程艺龙Charts!$A$85</c:f>
              <c:strCache>
                <c:ptCount val="1"/>
                <c:pt idx="0">
                  <c:v>Sharing and search functions in Weixin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同程艺龙Charts!$B$82:$F$82</c:f>
              <c:strCache>
                <c:ptCount val="5"/>
                <c:pt idx="0">
                  <c:v>2018</c:v>
                </c:pt>
                <c:pt idx="1">
                  <c:v> 2019Q1 </c:v>
                </c:pt>
                <c:pt idx="2">
                  <c:v> 2019Q2 </c:v>
                </c:pt>
                <c:pt idx="3">
                  <c:v> 2019Q3 </c:v>
                </c:pt>
                <c:pt idx="4">
                  <c:v> 2019Q4 </c:v>
                </c:pt>
              </c:strCache>
            </c:strRef>
          </c:cat>
          <c:val>
            <c:numRef>
              <c:f>同程艺龙Charts!$B$85:$F$85</c:f>
              <c:numCache>
                <c:formatCode>0.0%</c:formatCode>
                <c:ptCount val="5"/>
                <c:pt idx="0">
                  <c:v>0.123</c:v>
                </c:pt>
                <c:pt idx="1">
                  <c:v>0.189</c:v>
                </c:pt>
                <c:pt idx="2">
                  <c:v>0.13500000000000001</c:v>
                </c:pt>
                <c:pt idx="3">
                  <c:v>9.8000000000000004E-2</c:v>
                </c:pt>
                <c:pt idx="4">
                  <c:v>0.124</c:v>
                </c:pt>
              </c:numCache>
            </c:numRef>
          </c:val>
          <c:extLst>
            <c:ext xmlns:c16="http://schemas.microsoft.com/office/drawing/2014/chart" uri="{C3380CC4-5D6E-409C-BE32-E72D297353CC}">
              <c16:uniqueId val="{00000002-6AC3-4214-9A70-0CA36E4F37F9}"/>
            </c:ext>
          </c:extLst>
        </c:ser>
        <c:dLbls>
          <c:showLegendKey val="0"/>
          <c:showVal val="0"/>
          <c:showCatName val="0"/>
          <c:showSerName val="0"/>
          <c:showPercent val="0"/>
          <c:showBubbleSize val="0"/>
        </c:dLbls>
        <c:gapWidth val="150"/>
        <c:overlap val="100"/>
        <c:axId val="664400696"/>
        <c:axId val="664400368"/>
      </c:barChart>
      <c:catAx>
        <c:axId val="664400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64400368"/>
        <c:crosses val="autoZero"/>
        <c:auto val="1"/>
        <c:lblAlgn val="ctr"/>
        <c:lblOffset val="100"/>
        <c:noMultiLvlLbl val="0"/>
      </c:catAx>
      <c:valAx>
        <c:axId val="664400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64400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同程艺龙Charts!$A$95</c:f>
              <c:strCache>
                <c:ptCount val="1"/>
                <c:pt idx="0">
                  <c:v> Cross-selling Rate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同程艺龙Charts!$B$94:$G$94</c:f>
              <c:strCache>
                <c:ptCount val="6"/>
                <c:pt idx="0">
                  <c:v> 2018Q3 </c:v>
                </c:pt>
                <c:pt idx="1">
                  <c:v> 2018Q4 </c:v>
                </c:pt>
                <c:pt idx="2">
                  <c:v> 2019Q1 </c:v>
                </c:pt>
                <c:pt idx="3">
                  <c:v> 2019Q2 </c:v>
                </c:pt>
                <c:pt idx="4">
                  <c:v> 2019Q3 </c:v>
                </c:pt>
                <c:pt idx="5">
                  <c:v> 2019Q4 </c:v>
                </c:pt>
              </c:strCache>
            </c:strRef>
          </c:cat>
          <c:val>
            <c:numRef>
              <c:f>同程艺龙Charts!$B$95:$G$95</c:f>
              <c:numCache>
                <c:formatCode>0%</c:formatCode>
                <c:ptCount val="6"/>
                <c:pt idx="0">
                  <c:v>0.16</c:v>
                </c:pt>
                <c:pt idx="1">
                  <c:v>0.2</c:v>
                </c:pt>
                <c:pt idx="2">
                  <c:v>0.21</c:v>
                </c:pt>
                <c:pt idx="3">
                  <c:v>0.23</c:v>
                </c:pt>
                <c:pt idx="4">
                  <c:v>0.26</c:v>
                </c:pt>
                <c:pt idx="5">
                  <c:v>0.28000000000000003</c:v>
                </c:pt>
              </c:numCache>
            </c:numRef>
          </c:val>
          <c:smooth val="0"/>
          <c:extLst>
            <c:ext xmlns:c16="http://schemas.microsoft.com/office/drawing/2014/chart" uri="{C3380CC4-5D6E-409C-BE32-E72D297353CC}">
              <c16:uniqueId val="{00000000-CBC3-4FAE-92D1-73DD6E6136E5}"/>
            </c:ext>
          </c:extLst>
        </c:ser>
        <c:dLbls>
          <c:showLegendKey val="0"/>
          <c:showVal val="0"/>
          <c:showCatName val="0"/>
          <c:showSerName val="0"/>
          <c:showPercent val="0"/>
          <c:showBubbleSize val="0"/>
        </c:dLbls>
        <c:marker val="1"/>
        <c:smooth val="0"/>
        <c:axId val="412899016"/>
        <c:axId val="412899344"/>
      </c:lineChart>
      <c:catAx>
        <c:axId val="412899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12899344"/>
        <c:crosses val="autoZero"/>
        <c:auto val="1"/>
        <c:lblAlgn val="ctr"/>
        <c:lblOffset val="100"/>
        <c:noMultiLvlLbl val="0"/>
      </c:catAx>
      <c:valAx>
        <c:axId val="412899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12899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同程艺龙Charts!$A$98</c:f>
              <c:strCache>
                <c:ptCount val="1"/>
                <c:pt idx="0">
                  <c:v>% of Distribution Channel Revenue as Total Accommodation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同程艺龙Charts!$B$97:$D$97</c:f>
              <c:strCache>
                <c:ptCount val="3"/>
                <c:pt idx="0">
                  <c:v>2017</c:v>
                </c:pt>
                <c:pt idx="1">
                  <c:v>2018</c:v>
                </c:pt>
                <c:pt idx="2">
                  <c:v>2019Q3</c:v>
                </c:pt>
              </c:strCache>
            </c:strRef>
          </c:cat>
          <c:val>
            <c:numRef>
              <c:f>同程艺龙Charts!$B$98:$D$98</c:f>
              <c:numCache>
                <c:formatCode>0%</c:formatCode>
                <c:ptCount val="3"/>
                <c:pt idx="0">
                  <c:v>0.4</c:v>
                </c:pt>
                <c:pt idx="1">
                  <c:v>0.2</c:v>
                </c:pt>
                <c:pt idx="2">
                  <c:v>0.08</c:v>
                </c:pt>
              </c:numCache>
            </c:numRef>
          </c:val>
          <c:smooth val="0"/>
          <c:extLst>
            <c:ext xmlns:c16="http://schemas.microsoft.com/office/drawing/2014/chart" uri="{C3380CC4-5D6E-409C-BE32-E72D297353CC}">
              <c16:uniqueId val="{00000000-A9B7-42D1-B0F7-38B6005A2F6D}"/>
            </c:ext>
          </c:extLst>
        </c:ser>
        <c:dLbls>
          <c:showLegendKey val="0"/>
          <c:showVal val="0"/>
          <c:showCatName val="0"/>
          <c:showSerName val="0"/>
          <c:showPercent val="0"/>
          <c:showBubbleSize val="0"/>
        </c:dLbls>
        <c:marker val="1"/>
        <c:smooth val="0"/>
        <c:axId val="558152112"/>
        <c:axId val="566386168"/>
      </c:lineChart>
      <c:catAx>
        <c:axId val="55815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66386168"/>
        <c:crosses val="autoZero"/>
        <c:auto val="1"/>
        <c:lblAlgn val="ctr"/>
        <c:lblOffset val="100"/>
        <c:noMultiLvlLbl val="0"/>
      </c:catAx>
      <c:valAx>
        <c:axId val="5663861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58152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2018Q3 Revenue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doughnutChart>
        <c:varyColors val="1"/>
        <c:ser>
          <c:idx val="0"/>
          <c:order val="0"/>
          <c:tx>
            <c:strRef>
              <c:f>同程艺龙Charts!$I$1</c:f>
              <c:strCache>
                <c:ptCount val="1"/>
                <c:pt idx="0">
                  <c:v> 2018Q3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84-4788-AE2C-E0C7827747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84-4788-AE2C-E0C7827747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84-4788-AE2C-E0C7827747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同程艺龙Charts!$H$2:$H$4</c:f>
              <c:strCache>
                <c:ptCount val="3"/>
                <c:pt idx="0">
                  <c:v> Transportation </c:v>
                </c:pt>
                <c:pt idx="1">
                  <c:v> Accommodation </c:v>
                </c:pt>
                <c:pt idx="2">
                  <c:v> Others </c:v>
                </c:pt>
              </c:strCache>
            </c:strRef>
          </c:cat>
          <c:val>
            <c:numRef>
              <c:f>同程艺龙Charts!$I$2:$I$4</c:f>
              <c:numCache>
                <c:formatCode>_(* #,##0_);_(* \(#,##0\);_(* "-"??_);_(@_)</c:formatCode>
                <c:ptCount val="3"/>
                <c:pt idx="0">
                  <c:v>1122.1500000000001</c:v>
                </c:pt>
                <c:pt idx="1">
                  <c:v>515.72199999999998</c:v>
                </c:pt>
                <c:pt idx="2">
                  <c:v>48.524999999999999</c:v>
                </c:pt>
              </c:numCache>
            </c:numRef>
          </c:val>
          <c:extLst>
            <c:ext xmlns:c16="http://schemas.microsoft.com/office/drawing/2014/chart" uri="{C3380CC4-5D6E-409C-BE32-E72D297353CC}">
              <c16:uniqueId val="{00000006-2D84-4788-AE2C-E0C7827747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2019Q2 Revenue</a:t>
            </a:r>
            <a:r>
              <a:rPr lang="en-US" altLang="zh-CN" baseline="0"/>
              <a:t> Mix</a:t>
            </a:r>
            <a:endParaRPr lang="en-US" alt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doughnutChart>
        <c:varyColors val="1"/>
        <c:ser>
          <c:idx val="0"/>
          <c:order val="0"/>
          <c:tx>
            <c:strRef>
              <c:f>同程艺龙Charts!$J$1</c:f>
              <c:strCache>
                <c:ptCount val="1"/>
                <c:pt idx="0">
                  <c:v> 2019Q2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1F-4BDF-8BFD-81244F9D15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1F-4BDF-8BFD-81244F9D15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1F-4BDF-8BFD-81244F9D15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1"/>
            <c:showBubbleSize val="0"/>
            <c:showLeaderLines val="0"/>
            <c:extLst>
              <c:ext xmlns:c15="http://schemas.microsoft.com/office/drawing/2012/chart" uri="{CE6537A1-D6FC-4f65-9D91-7224C49458BB}"/>
            </c:extLst>
          </c:dLbls>
          <c:cat>
            <c:strRef>
              <c:f>同程艺龙Charts!$H$2:$H$4</c:f>
              <c:strCache>
                <c:ptCount val="3"/>
                <c:pt idx="0">
                  <c:v> Transportation </c:v>
                </c:pt>
                <c:pt idx="1">
                  <c:v> Accommodation </c:v>
                </c:pt>
                <c:pt idx="2">
                  <c:v> Others </c:v>
                </c:pt>
              </c:strCache>
            </c:strRef>
          </c:cat>
          <c:val>
            <c:numRef>
              <c:f>同程艺龙Charts!$J$2:$J$4</c:f>
              <c:numCache>
                <c:formatCode>_(* #,##0_);_(* \(#,##0\);_(* "-"??_);_(@_)</c:formatCode>
                <c:ptCount val="3"/>
                <c:pt idx="0">
                  <c:v>937.09199999999998</c:v>
                </c:pt>
                <c:pt idx="1">
                  <c:v>553.36</c:v>
                </c:pt>
                <c:pt idx="2">
                  <c:v>100.446</c:v>
                </c:pt>
              </c:numCache>
            </c:numRef>
          </c:val>
          <c:extLst>
            <c:ext xmlns:c16="http://schemas.microsoft.com/office/drawing/2014/chart" uri="{C3380CC4-5D6E-409C-BE32-E72D297353CC}">
              <c16:uniqueId val="{00000006-C41F-4BDF-8BFD-81244F9D153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2019Q3 Revenue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doughnutChart>
        <c:varyColors val="1"/>
        <c:ser>
          <c:idx val="0"/>
          <c:order val="0"/>
          <c:tx>
            <c:strRef>
              <c:f>同程艺龙Charts!$K$1</c:f>
              <c:strCache>
                <c:ptCount val="1"/>
                <c:pt idx="0">
                  <c:v> 2019Q3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5A-4FDE-8136-A06D365915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5A-4FDE-8136-A06D365915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5A-4FDE-8136-A06D365915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1"/>
            <c:showBubbleSize val="0"/>
            <c:showLeaderLines val="0"/>
            <c:extLst>
              <c:ext xmlns:c15="http://schemas.microsoft.com/office/drawing/2012/chart" uri="{CE6537A1-D6FC-4f65-9D91-7224C49458BB}"/>
            </c:extLst>
          </c:dLbls>
          <c:cat>
            <c:strRef>
              <c:f>同程艺龙Charts!$H$2:$H$4</c:f>
              <c:strCache>
                <c:ptCount val="3"/>
                <c:pt idx="0">
                  <c:v> Transportation </c:v>
                </c:pt>
                <c:pt idx="1">
                  <c:v> Accommodation </c:v>
                </c:pt>
                <c:pt idx="2">
                  <c:v> Others </c:v>
                </c:pt>
              </c:strCache>
            </c:strRef>
          </c:cat>
          <c:val>
            <c:numRef>
              <c:f>同程艺龙Charts!$K$2:$K$4</c:f>
              <c:numCache>
                <c:formatCode>_(* #,##0_);_(* \(#,##0\);_(* "-"??_);_(@_)</c:formatCode>
                <c:ptCount val="3"/>
                <c:pt idx="0">
                  <c:v>1139.6210000000001</c:v>
                </c:pt>
                <c:pt idx="1">
                  <c:v>693.73599999999999</c:v>
                </c:pt>
                <c:pt idx="2">
                  <c:v>228.773</c:v>
                </c:pt>
              </c:numCache>
            </c:numRef>
          </c:val>
          <c:extLst>
            <c:ext xmlns:c16="http://schemas.microsoft.com/office/drawing/2014/chart" uri="{C3380CC4-5D6E-409C-BE32-E72D297353CC}">
              <c16:uniqueId val="{00000006-8F5A-4FDE-8136-A06D3659151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2019Q3 Revenue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doughnutChart>
        <c:varyColors val="1"/>
        <c:ser>
          <c:idx val="0"/>
          <c:order val="0"/>
          <c:tx>
            <c:strRef>
              <c:f>同程艺龙Charts!$L$1</c:f>
              <c:strCache>
                <c:ptCount val="1"/>
                <c:pt idx="0">
                  <c:v> 2019Q4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E8-45B8-AE38-5E50E662BC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E8-45B8-AE38-5E50E662BC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E8-45B8-AE38-5E50E662BC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1"/>
            <c:showBubbleSize val="0"/>
            <c:showLeaderLines val="0"/>
            <c:extLst>
              <c:ext xmlns:c15="http://schemas.microsoft.com/office/drawing/2012/chart" uri="{CE6537A1-D6FC-4f65-9D91-7224C49458BB}"/>
            </c:extLst>
          </c:dLbls>
          <c:cat>
            <c:strRef>
              <c:f>同程艺龙Charts!$H$2:$H$4</c:f>
              <c:strCache>
                <c:ptCount val="3"/>
                <c:pt idx="0">
                  <c:v> Transportation </c:v>
                </c:pt>
                <c:pt idx="1">
                  <c:v> Accommodation </c:v>
                </c:pt>
                <c:pt idx="2">
                  <c:v> Others </c:v>
                </c:pt>
              </c:strCache>
            </c:strRef>
          </c:cat>
          <c:val>
            <c:numRef>
              <c:f>同程艺龙Charts!$L$2:$L$4</c:f>
              <c:numCache>
                <c:formatCode>_(* #,##0_);_(* \(#,##0\);_(* "-"??_);_(@_)</c:formatCode>
                <c:ptCount val="3"/>
                <c:pt idx="0">
                  <c:v>1956.4929999999995</c:v>
                </c:pt>
                <c:pt idx="1">
                  <c:v>1181.9970000000001</c:v>
                </c:pt>
                <c:pt idx="2">
                  <c:v>621.86300000000006</c:v>
                </c:pt>
              </c:numCache>
            </c:numRef>
          </c:val>
          <c:extLst>
            <c:ext xmlns:c16="http://schemas.microsoft.com/office/drawing/2014/chart" uri="{C3380CC4-5D6E-409C-BE32-E72D297353CC}">
              <c16:uniqueId val="{00000006-6CE8-45B8-AE38-5E50E662BCE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Transaction Growth Rate (%)</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'DESP Quarterly'!$A$55</c:f>
              <c:strCache>
                <c:ptCount val="1"/>
                <c:pt idx="0">
                  <c:v>Argentina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'DESP Quarterly'!$Q$52:$U$52</c:f>
              <c:strCache>
                <c:ptCount val="5"/>
                <c:pt idx="0">
                  <c:v>Q4-18</c:v>
                </c:pt>
                <c:pt idx="1">
                  <c:v>Q1-19</c:v>
                </c:pt>
                <c:pt idx="2">
                  <c:v>Q2-19</c:v>
                </c:pt>
                <c:pt idx="3">
                  <c:v>Q3-19</c:v>
                </c:pt>
                <c:pt idx="4">
                  <c:v>Q4-19</c:v>
                </c:pt>
              </c:strCache>
            </c:strRef>
          </c:cat>
          <c:val>
            <c:numRef>
              <c:f>'DESP Quarterly'!$Q$56:$U$56</c:f>
              <c:numCache>
                <c:formatCode>0.0%</c:formatCode>
                <c:ptCount val="5"/>
                <c:pt idx="0">
                  <c:v>-0.11708860759493667</c:v>
                </c:pt>
                <c:pt idx="1">
                  <c:v>-8.4444444444444433E-2</c:v>
                </c:pt>
                <c:pt idx="2">
                  <c:v>-0.14038128249566728</c:v>
                </c:pt>
                <c:pt idx="3">
                  <c:v>-3.6713286713286664E-2</c:v>
                </c:pt>
                <c:pt idx="4">
                  <c:v>0.12724014336917566</c:v>
                </c:pt>
              </c:numCache>
            </c:numRef>
          </c:val>
          <c:smooth val="0"/>
          <c:extLst>
            <c:ext xmlns:c16="http://schemas.microsoft.com/office/drawing/2014/chart" uri="{C3380CC4-5D6E-409C-BE32-E72D297353CC}">
              <c16:uniqueId val="{00000000-E93B-469C-A52D-A6D5B282BA7E}"/>
            </c:ext>
          </c:extLst>
        </c:ser>
        <c:ser>
          <c:idx val="1"/>
          <c:order val="1"/>
          <c:tx>
            <c:strRef>
              <c:f>'DESP Quarterly'!$A$58</c:f>
              <c:strCache>
                <c:ptCount val="1"/>
                <c:pt idx="0">
                  <c:v>Brazil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'DESP Quarterly'!$Q$59:$U$59</c:f>
              <c:numCache>
                <c:formatCode>0.0%</c:formatCode>
                <c:ptCount val="5"/>
                <c:pt idx="0">
                  <c:v>0.12318840579710155</c:v>
                </c:pt>
                <c:pt idx="1">
                  <c:v>3.1589338598223105E-2</c:v>
                </c:pt>
                <c:pt idx="2">
                  <c:v>-0.13661202185792354</c:v>
                </c:pt>
                <c:pt idx="3">
                  <c:v>2.7857829010566659E-2</c:v>
                </c:pt>
                <c:pt idx="4">
                  <c:v>1.8433179723502224E-2</c:v>
                </c:pt>
              </c:numCache>
            </c:numRef>
          </c:val>
          <c:smooth val="0"/>
          <c:extLst>
            <c:ext xmlns:c16="http://schemas.microsoft.com/office/drawing/2014/chart" uri="{C3380CC4-5D6E-409C-BE32-E72D297353CC}">
              <c16:uniqueId val="{00000001-E93B-469C-A52D-A6D5B282BA7E}"/>
            </c:ext>
          </c:extLst>
        </c:ser>
        <c:ser>
          <c:idx val="2"/>
          <c:order val="2"/>
          <c:tx>
            <c:strRef>
              <c:f>'DESP Quarterly'!$A$61</c:f>
              <c:strCache>
                <c:ptCount val="1"/>
                <c:pt idx="0">
                  <c:v>Rest of LATAM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'DESP Quarterly'!$Q$62:$U$62</c:f>
              <c:numCache>
                <c:formatCode>0.0%</c:formatCode>
                <c:ptCount val="5"/>
                <c:pt idx="0">
                  <c:v>0.28678304239401498</c:v>
                </c:pt>
                <c:pt idx="1">
                  <c:v>0.19733656174334135</c:v>
                </c:pt>
                <c:pt idx="2">
                  <c:v>7.7253218884120178E-2</c:v>
                </c:pt>
                <c:pt idx="3">
                  <c:v>0.11991869918699183</c:v>
                </c:pt>
                <c:pt idx="4">
                  <c:v>8.5271317829457294E-2</c:v>
                </c:pt>
              </c:numCache>
            </c:numRef>
          </c:val>
          <c:smooth val="0"/>
          <c:extLst>
            <c:ext xmlns:c16="http://schemas.microsoft.com/office/drawing/2014/chart" uri="{C3380CC4-5D6E-409C-BE32-E72D297353CC}">
              <c16:uniqueId val="{00000002-E93B-469C-A52D-A6D5B282BA7E}"/>
            </c:ext>
          </c:extLst>
        </c:ser>
        <c:dLbls>
          <c:showLegendKey val="0"/>
          <c:showVal val="0"/>
          <c:showCatName val="0"/>
          <c:showSerName val="0"/>
          <c:showPercent val="0"/>
          <c:showBubbleSize val="0"/>
        </c:dLbls>
        <c:marker val="1"/>
        <c:smooth val="0"/>
        <c:axId val="981395984"/>
        <c:axId val="718693552"/>
      </c:lineChart>
      <c:catAx>
        <c:axId val="98139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18693552"/>
        <c:crosses val="autoZero"/>
        <c:auto val="1"/>
        <c:lblAlgn val="ctr"/>
        <c:lblOffset val="100"/>
        <c:noMultiLvlLbl val="0"/>
      </c:catAx>
      <c:valAx>
        <c:axId val="71869355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81395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Reported GMV Growth Rate (%)</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'DESP Quarterly'!$A$66</c:f>
              <c:strCache>
                <c:ptCount val="1"/>
                <c:pt idx="0">
                  <c:v>Argentina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'DESP Quarterly'!$Q$52:$U$52</c:f>
              <c:strCache>
                <c:ptCount val="5"/>
                <c:pt idx="0">
                  <c:v>Q4-18</c:v>
                </c:pt>
                <c:pt idx="1">
                  <c:v>Q1-19</c:v>
                </c:pt>
                <c:pt idx="2">
                  <c:v>Q2-19</c:v>
                </c:pt>
                <c:pt idx="3">
                  <c:v>Q3-19</c:v>
                </c:pt>
                <c:pt idx="4">
                  <c:v>Q4-19</c:v>
                </c:pt>
              </c:strCache>
            </c:strRef>
          </c:cat>
          <c:val>
            <c:numRef>
              <c:f>'DESP Quarterly'!$Q$67:$U$67</c:f>
              <c:numCache>
                <c:formatCode>0.0%</c:formatCode>
                <c:ptCount val="5"/>
                <c:pt idx="0">
                  <c:v>-0.40354767184035478</c:v>
                </c:pt>
                <c:pt idx="1">
                  <c:v>-0.32432432432432434</c:v>
                </c:pt>
                <c:pt idx="2">
                  <c:v>-0.30769230769230771</c:v>
                </c:pt>
                <c:pt idx="3">
                  <c:v>-0.1145038167938931</c:v>
                </c:pt>
                <c:pt idx="4">
                  <c:v>0.1323420074349444</c:v>
                </c:pt>
              </c:numCache>
            </c:numRef>
          </c:val>
          <c:smooth val="0"/>
          <c:extLst>
            <c:ext xmlns:c16="http://schemas.microsoft.com/office/drawing/2014/chart" uri="{C3380CC4-5D6E-409C-BE32-E72D297353CC}">
              <c16:uniqueId val="{00000000-66F0-449B-A85D-2EFC8C628CE6}"/>
            </c:ext>
          </c:extLst>
        </c:ser>
        <c:ser>
          <c:idx val="1"/>
          <c:order val="1"/>
          <c:tx>
            <c:strRef>
              <c:f>'DESP Quarterly'!$A$69</c:f>
              <c:strCache>
                <c:ptCount val="1"/>
                <c:pt idx="0">
                  <c:v>Brazil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'DESP Quarterly'!$Q$70:$U$70</c:f>
              <c:numCache>
                <c:formatCode>0.0%</c:formatCode>
                <c:ptCount val="5"/>
                <c:pt idx="0">
                  <c:v>0.12471655328798192</c:v>
                </c:pt>
                <c:pt idx="1">
                  <c:v>3.0973451327433565E-2</c:v>
                </c:pt>
                <c:pt idx="2">
                  <c:v>3.9080459770114873E-2</c:v>
                </c:pt>
                <c:pt idx="3">
                  <c:v>0.14734003432213783</c:v>
                </c:pt>
                <c:pt idx="4">
                  <c:v>-7.0564516129032473E-3</c:v>
                </c:pt>
              </c:numCache>
            </c:numRef>
          </c:val>
          <c:smooth val="0"/>
          <c:extLst>
            <c:ext xmlns:c16="http://schemas.microsoft.com/office/drawing/2014/chart" uri="{C3380CC4-5D6E-409C-BE32-E72D297353CC}">
              <c16:uniqueId val="{00000001-66F0-449B-A85D-2EFC8C628CE6}"/>
            </c:ext>
          </c:extLst>
        </c:ser>
        <c:ser>
          <c:idx val="2"/>
          <c:order val="2"/>
          <c:tx>
            <c:strRef>
              <c:f>'DESP Quarterly'!$A$72</c:f>
              <c:strCache>
                <c:ptCount val="1"/>
                <c:pt idx="0">
                  <c:v>Rest of LATAM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'DESP Quarterly'!$Q$73:$U$73</c:f>
              <c:numCache>
                <c:formatCode>0.0%</c:formatCode>
                <c:ptCount val="5"/>
                <c:pt idx="0">
                  <c:v>0.20708446866485009</c:v>
                </c:pt>
                <c:pt idx="1">
                  <c:v>0.11528150134048265</c:v>
                </c:pt>
                <c:pt idx="2">
                  <c:v>2.9748283752860427E-2</c:v>
                </c:pt>
                <c:pt idx="3">
                  <c:v>0.13055818353831605</c:v>
                </c:pt>
                <c:pt idx="4">
                  <c:v>9.1196388261850947E-2</c:v>
                </c:pt>
              </c:numCache>
            </c:numRef>
          </c:val>
          <c:smooth val="0"/>
          <c:extLst>
            <c:ext xmlns:c16="http://schemas.microsoft.com/office/drawing/2014/chart" uri="{C3380CC4-5D6E-409C-BE32-E72D297353CC}">
              <c16:uniqueId val="{00000002-66F0-449B-A85D-2EFC8C628CE6}"/>
            </c:ext>
          </c:extLst>
        </c:ser>
        <c:dLbls>
          <c:showLegendKey val="0"/>
          <c:showVal val="0"/>
          <c:showCatName val="0"/>
          <c:showSerName val="0"/>
          <c:showPercent val="0"/>
          <c:showBubbleSize val="0"/>
        </c:dLbls>
        <c:marker val="1"/>
        <c:smooth val="0"/>
        <c:axId val="981395984"/>
        <c:axId val="718693552"/>
      </c:lineChart>
      <c:catAx>
        <c:axId val="98139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18693552"/>
        <c:crosses val="autoZero"/>
        <c:auto val="1"/>
        <c:lblAlgn val="ctr"/>
        <c:lblOffset val="100"/>
        <c:noMultiLvlLbl val="0"/>
      </c:catAx>
      <c:valAx>
        <c:axId val="71869355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81395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Revenue</a:t>
            </a:r>
            <a:r>
              <a:rPr lang="en-US" altLang="zh-CN" baseline="0"/>
              <a:t> Mix by Product</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stacked"/>
        <c:varyColors val="0"/>
        <c:ser>
          <c:idx val="0"/>
          <c:order val="0"/>
          <c:tx>
            <c:strRef>
              <c:f>'DESP Quarterly'!$A$8</c:f>
              <c:strCache>
                <c:ptCount val="1"/>
                <c:pt idx="0">
                  <c:v>Air</c:v>
                </c:pt>
              </c:strCache>
            </c:strRef>
          </c:tx>
          <c:spPr>
            <a:solidFill>
              <a:schemeClr val="accent1"/>
            </a:solidFill>
            <a:ln>
              <a:noFill/>
            </a:ln>
            <a:effectLst/>
          </c:spPr>
          <c:invertIfNegative val="0"/>
          <c:dLbls>
            <c:dLbl>
              <c:idx val="0"/>
              <c:tx>
                <c:rich>
                  <a:bodyPr/>
                  <a:lstStyle/>
                  <a:p>
                    <a:r>
                      <a:rPr lang="en-US" altLang="zh-CN"/>
                      <a:t>47%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E85-46C4-A3BD-0BDF5D1C244A}"/>
                </c:ext>
              </c:extLst>
            </c:dLbl>
            <c:dLbl>
              <c:idx val="1"/>
              <c:tx>
                <c:rich>
                  <a:bodyPr/>
                  <a:lstStyle/>
                  <a:p>
                    <a:r>
                      <a:rPr lang="en-US" altLang="zh-CN"/>
                      <a:t>49%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E85-46C4-A3BD-0BDF5D1C244A}"/>
                </c:ext>
              </c:extLst>
            </c:dLbl>
            <c:dLbl>
              <c:idx val="2"/>
              <c:tx>
                <c:rich>
                  <a:bodyPr/>
                  <a:lstStyle/>
                  <a:p>
                    <a:r>
                      <a:rPr lang="en-US" altLang="zh-CN"/>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E85-46C4-A3BD-0BDF5D1C244A}"/>
                </c:ext>
              </c:extLst>
            </c:dLbl>
            <c:dLbl>
              <c:idx val="3"/>
              <c:tx>
                <c:rich>
                  <a:bodyPr/>
                  <a:lstStyle/>
                  <a:p>
                    <a:r>
                      <a:rPr lang="en-US" altLang="zh-CN"/>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E85-46C4-A3BD-0BDF5D1C244A}"/>
                </c:ext>
              </c:extLst>
            </c:dLbl>
            <c:dLbl>
              <c:idx val="4"/>
              <c:tx>
                <c:rich>
                  <a:bodyPr/>
                  <a:lstStyle/>
                  <a:p>
                    <a:r>
                      <a:rPr lang="en-US" altLang="zh-CN"/>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E85-46C4-A3BD-0BDF5D1C244A}"/>
                </c:ext>
              </c:extLst>
            </c:dLbl>
            <c:dLbl>
              <c:idx val="5"/>
              <c:tx>
                <c:rich>
                  <a:bodyPr/>
                  <a:lstStyle/>
                  <a:p>
                    <a:r>
                      <a:rPr lang="en-US" altLang="zh-CN"/>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E85-46C4-A3BD-0BDF5D1C244A}"/>
                </c:ext>
              </c:extLst>
            </c:dLbl>
            <c:dLbl>
              <c:idx val="6"/>
              <c:tx>
                <c:rich>
                  <a:bodyPr/>
                  <a:lstStyle/>
                  <a:p>
                    <a:r>
                      <a:rPr lang="en-US" altLang="zh-CN"/>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E85-46C4-A3BD-0BDF5D1C244A}"/>
                </c:ext>
              </c:extLst>
            </c:dLbl>
            <c:dLbl>
              <c:idx val="7"/>
              <c:tx>
                <c:rich>
                  <a:bodyPr/>
                  <a:lstStyle/>
                  <a:p>
                    <a:r>
                      <a:rPr lang="en-US" altLang="zh-CN"/>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E85-46C4-A3BD-0BDF5D1C244A}"/>
                </c:ext>
              </c:extLst>
            </c:dLbl>
            <c:dLbl>
              <c:idx val="8"/>
              <c:tx>
                <c:rich>
                  <a:bodyPr/>
                  <a:lstStyle/>
                  <a:p>
                    <a:r>
                      <a:rPr lang="en-US" altLang="zh-CN"/>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E85-46C4-A3BD-0BDF5D1C244A}"/>
                </c:ext>
              </c:extLst>
            </c:dLbl>
            <c:dLbl>
              <c:idx val="9"/>
              <c:tx>
                <c:rich>
                  <a:bodyPr/>
                  <a:lstStyle/>
                  <a:p>
                    <a:r>
                      <a:rPr lang="en-US" altLang="zh-CN"/>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E85-46C4-A3BD-0BDF5D1C244A}"/>
                </c:ext>
              </c:extLst>
            </c:dLbl>
            <c:dLbl>
              <c:idx val="10"/>
              <c:tx>
                <c:rich>
                  <a:bodyPr/>
                  <a:lstStyle/>
                  <a:p>
                    <a:r>
                      <a:rPr lang="en-US" altLang="zh-CN"/>
                      <a:t>39%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E85-46C4-A3BD-0BDF5D1C244A}"/>
                </c:ext>
              </c:extLst>
            </c:dLbl>
            <c:dLbl>
              <c:idx val="11"/>
              <c:tx>
                <c:rich>
                  <a:bodyPr/>
                  <a:lstStyle/>
                  <a:p>
                    <a:r>
                      <a:rPr lang="en-US" altLang="zh-CN"/>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2E85-46C4-A3BD-0BDF5D1C24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'DESP Quarterly'!$J$1:$U$1</c:f>
              <c:strCache>
                <c:ptCount val="12"/>
                <c:pt idx="0">
                  <c:v>Q1-17</c:v>
                </c:pt>
                <c:pt idx="1">
                  <c:v>Q2-17</c:v>
                </c:pt>
                <c:pt idx="2">
                  <c:v>Q3-17</c:v>
                </c:pt>
                <c:pt idx="3">
                  <c:v>Q4-17</c:v>
                </c:pt>
                <c:pt idx="4">
                  <c:v>Q1-18</c:v>
                </c:pt>
                <c:pt idx="5">
                  <c:v>Q2-18</c:v>
                </c:pt>
                <c:pt idx="6">
                  <c:v>Q3-18</c:v>
                </c:pt>
                <c:pt idx="7">
                  <c:v>Q4-18</c:v>
                </c:pt>
                <c:pt idx="8">
                  <c:v>Q1-19</c:v>
                </c:pt>
                <c:pt idx="9">
                  <c:v>Q2-19</c:v>
                </c:pt>
                <c:pt idx="10">
                  <c:v>Q3-19</c:v>
                </c:pt>
                <c:pt idx="11">
                  <c:v>Q4-19</c:v>
                </c:pt>
              </c:strCache>
            </c:strRef>
          </c:cat>
          <c:val>
            <c:numRef>
              <c:f>'DESP Quarterly'!$B$8:$U$8</c:f>
              <c:numCache>
                <c:formatCode>_(* #,##0.00_);_(* \(#,##0.00\);_(* "-"??_);_(@_)</c:formatCode>
                <c:ptCount val="12"/>
                <c:pt idx="0">
                  <c:v>56.817599999999999</c:v>
                </c:pt>
                <c:pt idx="1">
                  <c:v>59.890000000000008</c:v>
                </c:pt>
                <c:pt idx="2">
                  <c:v>58.830399999999997</c:v>
                </c:pt>
                <c:pt idx="3">
                  <c:v>66.112200000000001</c:v>
                </c:pt>
                <c:pt idx="4">
                  <c:v>60.881399999999999</c:v>
                </c:pt>
                <c:pt idx="5">
                  <c:v>53.106300000000005</c:v>
                </c:pt>
                <c:pt idx="6">
                  <c:v>50.500799999999998</c:v>
                </c:pt>
                <c:pt idx="7">
                  <c:v>50.2911</c:v>
                </c:pt>
                <c:pt idx="8">
                  <c:v>49.757599999999996</c:v>
                </c:pt>
                <c:pt idx="9">
                  <c:v>47.417499999999997</c:v>
                </c:pt>
                <c:pt idx="10">
                  <c:v>51.227799999999995</c:v>
                </c:pt>
                <c:pt idx="11">
                  <c:v>53.387600000000006</c:v>
                </c:pt>
              </c:numCache>
            </c:numRef>
          </c:val>
          <c:extLst>
            <c:ext xmlns:c16="http://schemas.microsoft.com/office/drawing/2014/chart" uri="{C3380CC4-5D6E-409C-BE32-E72D297353CC}">
              <c16:uniqueId val="{0000000C-2E85-46C4-A3BD-0BDF5D1C244A}"/>
            </c:ext>
          </c:extLst>
        </c:ser>
        <c:ser>
          <c:idx val="1"/>
          <c:order val="1"/>
          <c:tx>
            <c:strRef>
              <c:f>'DESP Quarterly'!$A$10</c:f>
              <c:strCache>
                <c:ptCount val="1"/>
                <c:pt idx="0">
                  <c:v>Packages, Hotels &amp; Other Travel Products</c:v>
                </c:pt>
              </c:strCache>
            </c:strRef>
          </c:tx>
          <c:spPr>
            <a:solidFill>
              <a:srgbClr val="FFC000"/>
            </a:solidFill>
            <a:ln>
              <a:noFill/>
            </a:ln>
            <a:effectLst/>
          </c:spPr>
          <c:invertIfNegative val="0"/>
          <c:dLbls>
            <c:dLbl>
              <c:idx val="0"/>
              <c:tx>
                <c:rich>
                  <a:bodyPr/>
                  <a:lstStyle/>
                  <a:p>
                    <a:r>
                      <a:rPr lang="en-US" altLang="zh-CN"/>
                      <a:t>53%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E85-46C4-A3BD-0BDF5D1C244A}"/>
                </c:ext>
              </c:extLst>
            </c:dLbl>
            <c:dLbl>
              <c:idx val="1"/>
              <c:tx>
                <c:rich>
                  <a:bodyPr/>
                  <a:lstStyle/>
                  <a:p>
                    <a:r>
                      <a:rPr lang="en-US" altLang="zh-CN"/>
                      <a:t>51%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E85-46C4-A3BD-0BDF5D1C244A}"/>
                </c:ext>
              </c:extLst>
            </c:dLbl>
            <c:dLbl>
              <c:idx val="2"/>
              <c:tx>
                <c:rich>
                  <a:bodyPr/>
                  <a:lstStyle/>
                  <a:p>
                    <a:r>
                      <a:rPr lang="en-US" altLang="zh-CN"/>
                      <a:t>56%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E85-46C4-A3BD-0BDF5D1C244A}"/>
                </c:ext>
              </c:extLst>
            </c:dLbl>
            <c:dLbl>
              <c:idx val="3"/>
              <c:tx>
                <c:rich>
                  <a:bodyPr/>
                  <a:lstStyle/>
                  <a:p>
                    <a:r>
                      <a:rPr lang="en-US" altLang="zh-CN"/>
                      <a:t>56%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E85-46C4-A3BD-0BDF5D1C244A}"/>
                </c:ext>
              </c:extLst>
            </c:dLbl>
            <c:dLbl>
              <c:idx val="4"/>
              <c:tx>
                <c:rich>
                  <a:bodyPr/>
                  <a:lstStyle/>
                  <a:p>
                    <a:r>
                      <a:rPr lang="en-US" altLang="zh-CN"/>
                      <a:t>59%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E85-46C4-A3BD-0BDF5D1C244A}"/>
                </c:ext>
              </c:extLst>
            </c:dLbl>
            <c:dLbl>
              <c:idx val="5"/>
              <c:tx>
                <c:rich>
                  <a:bodyPr/>
                  <a:lstStyle/>
                  <a:p>
                    <a:r>
                      <a:rPr lang="en-US" altLang="zh-CN"/>
                      <a:t>59%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E85-46C4-A3BD-0BDF5D1C244A}"/>
                </c:ext>
              </c:extLst>
            </c:dLbl>
            <c:dLbl>
              <c:idx val="6"/>
              <c:tx>
                <c:rich>
                  <a:bodyPr/>
                  <a:lstStyle/>
                  <a:p>
                    <a:r>
                      <a:rPr lang="en-US" altLang="zh-CN"/>
                      <a:t>58%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2E85-46C4-A3BD-0BDF5D1C244A}"/>
                </c:ext>
              </c:extLst>
            </c:dLbl>
            <c:dLbl>
              <c:idx val="7"/>
              <c:tx>
                <c:rich>
                  <a:bodyPr/>
                  <a:lstStyle/>
                  <a:p>
                    <a:r>
                      <a:rPr lang="en-US" altLang="zh-CN"/>
                      <a:t>62%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E85-46C4-A3BD-0BDF5D1C244A}"/>
                </c:ext>
              </c:extLst>
            </c:dLbl>
            <c:dLbl>
              <c:idx val="8"/>
              <c:tx>
                <c:rich>
                  <a:bodyPr/>
                  <a:lstStyle/>
                  <a:p>
                    <a:r>
                      <a:rPr lang="en-US" altLang="zh-CN"/>
                      <a:t>63%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2E85-46C4-A3BD-0BDF5D1C244A}"/>
                </c:ext>
              </c:extLst>
            </c:dLbl>
            <c:dLbl>
              <c:idx val="9"/>
              <c:tx>
                <c:rich>
                  <a:bodyPr/>
                  <a:lstStyle/>
                  <a:p>
                    <a:r>
                      <a:rPr lang="en-US" altLang="zh-CN"/>
                      <a:t>58%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2E85-46C4-A3BD-0BDF5D1C244A}"/>
                </c:ext>
              </c:extLst>
            </c:dLbl>
            <c:dLbl>
              <c:idx val="10"/>
              <c:tx>
                <c:rich>
                  <a:bodyPr/>
                  <a:lstStyle/>
                  <a:p>
                    <a:r>
                      <a:rPr lang="en-US" altLang="zh-CN"/>
                      <a:t>61%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2E85-46C4-A3BD-0BDF5D1C244A}"/>
                </c:ext>
              </c:extLst>
            </c:dLbl>
            <c:dLbl>
              <c:idx val="11"/>
              <c:tx>
                <c:rich>
                  <a:bodyPr/>
                  <a:lstStyle/>
                  <a:p>
                    <a:r>
                      <a:rPr lang="en-US" altLang="zh-CN"/>
                      <a:t>63%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E85-46C4-A3BD-0BDF5D1C24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'DESP Quarterly'!$J$1:$U$1</c:f>
              <c:strCache>
                <c:ptCount val="12"/>
                <c:pt idx="0">
                  <c:v>Q1-17</c:v>
                </c:pt>
                <c:pt idx="1">
                  <c:v>Q2-17</c:v>
                </c:pt>
                <c:pt idx="2">
                  <c:v>Q3-17</c:v>
                </c:pt>
                <c:pt idx="3">
                  <c:v>Q4-17</c:v>
                </c:pt>
                <c:pt idx="4">
                  <c:v>Q1-18</c:v>
                </c:pt>
                <c:pt idx="5">
                  <c:v>Q2-18</c:v>
                </c:pt>
                <c:pt idx="6">
                  <c:v>Q3-18</c:v>
                </c:pt>
                <c:pt idx="7">
                  <c:v>Q4-18</c:v>
                </c:pt>
                <c:pt idx="8">
                  <c:v>Q1-19</c:v>
                </c:pt>
                <c:pt idx="9">
                  <c:v>Q2-19</c:v>
                </c:pt>
                <c:pt idx="10">
                  <c:v>Q3-19</c:v>
                </c:pt>
                <c:pt idx="11">
                  <c:v>Q4-19</c:v>
                </c:pt>
              </c:strCache>
            </c:strRef>
          </c:cat>
          <c:val>
            <c:numRef>
              <c:f>'DESP Quarterly'!$B$10:$U$10</c:f>
              <c:numCache>
                <c:formatCode>_(* #,##0.00_);_(* \(#,##0.00\);_(* "-"??_);_(@_)</c:formatCode>
                <c:ptCount val="12"/>
                <c:pt idx="0">
                  <c:v>64.900499999999994</c:v>
                </c:pt>
                <c:pt idx="1">
                  <c:v>63.542999999999999</c:v>
                </c:pt>
                <c:pt idx="2">
                  <c:v>73.914000000000001</c:v>
                </c:pt>
                <c:pt idx="3">
                  <c:v>85.429100000000005</c:v>
                </c:pt>
                <c:pt idx="4">
                  <c:v>87.78240000000001</c:v>
                </c:pt>
                <c:pt idx="5">
                  <c:v>75.048400000000001</c:v>
                </c:pt>
                <c:pt idx="6">
                  <c:v>70.742000000000004</c:v>
                </c:pt>
                <c:pt idx="7">
                  <c:v>82.246499999999997</c:v>
                </c:pt>
                <c:pt idx="8">
                  <c:v>83.422499999999999</c:v>
                </c:pt>
                <c:pt idx="9">
                  <c:v>66.757499999999993</c:v>
                </c:pt>
                <c:pt idx="10">
                  <c:v>80.840699999999998</c:v>
                </c:pt>
                <c:pt idx="11">
                  <c:v>92.288699999999992</c:v>
                </c:pt>
              </c:numCache>
            </c:numRef>
          </c:val>
          <c:extLst>
            <c:ext xmlns:c16="http://schemas.microsoft.com/office/drawing/2014/chart" uri="{C3380CC4-5D6E-409C-BE32-E72D297353CC}">
              <c16:uniqueId val="{00000019-2E85-46C4-A3BD-0BDF5D1C244A}"/>
            </c:ext>
          </c:extLst>
        </c:ser>
        <c:dLbls>
          <c:showLegendKey val="0"/>
          <c:showVal val="0"/>
          <c:showCatName val="0"/>
          <c:showSerName val="0"/>
          <c:showPercent val="0"/>
          <c:showBubbleSize val="0"/>
        </c:dLbls>
        <c:gapWidth val="150"/>
        <c:overlap val="100"/>
        <c:axId val="795389960"/>
        <c:axId val="795390288"/>
      </c:barChart>
      <c:catAx>
        <c:axId val="795389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95390288"/>
        <c:crosses val="autoZero"/>
        <c:auto val="1"/>
        <c:lblAlgn val="ctr"/>
        <c:lblOffset val="100"/>
        <c:noMultiLvlLbl val="0"/>
      </c:catAx>
      <c:valAx>
        <c:axId val="79539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95389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en-US"/>
              <a:t>Despegar's Operating</a:t>
            </a:r>
            <a:r>
              <a:rPr lang="en-US" altLang="en-US" baseline="0"/>
              <a:t> Income and OP Margin (USD millions)</a:t>
            </a:r>
          </a:p>
        </c:rich>
      </c:tx>
      <c:overlay val="0"/>
    </c:title>
    <c:autoTitleDeleted val="0"/>
    <c:plotArea>
      <c:layout/>
      <c:barChart>
        <c:barDir val="col"/>
        <c:grouping val="clustered"/>
        <c:varyColors val="0"/>
        <c:ser>
          <c:idx val="0"/>
          <c:order val="0"/>
          <c:tx>
            <c:strRef>
              <c:f>'[28]Despegar Quarterly'!$A$24</c:f>
              <c:strCache>
                <c:ptCount val="1"/>
                <c:pt idx="0">
                  <c:v>Income (loss) from Operations (GAAP)</c:v>
                </c:pt>
              </c:strCache>
            </c:strRef>
          </c:tx>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'[28]Despegar Quarterly'!$B$1:$K$1</c:f>
              <c:strCache>
                <c:ptCount val="10"/>
                <c:pt idx="0">
                  <c:v>Q1-15</c:v>
                </c:pt>
                <c:pt idx="1">
                  <c:v>Q2-15</c:v>
                </c:pt>
                <c:pt idx="2">
                  <c:v>Q3-15</c:v>
                </c:pt>
                <c:pt idx="3">
                  <c:v>Q4-15</c:v>
                </c:pt>
                <c:pt idx="4">
                  <c:v>Q1-16</c:v>
                </c:pt>
                <c:pt idx="5">
                  <c:v>Q2-16</c:v>
                </c:pt>
                <c:pt idx="6">
                  <c:v>Q3-16</c:v>
                </c:pt>
                <c:pt idx="7">
                  <c:v>Q4-16</c:v>
                </c:pt>
                <c:pt idx="8">
                  <c:v>Q1-17</c:v>
                </c:pt>
                <c:pt idx="9">
                  <c:v>Q2-17</c:v>
                </c:pt>
              </c:strCache>
            </c:strRef>
          </c:cat>
          <c:val>
            <c:numRef>
              <c:f>'[28]Despegar Quarterly'!$B$24:$K$24</c:f>
              <c:numCache>
                <c:formatCode>General</c:formatCode>
                <c:ptCount val="10"/>
                <c:pt idx="0">
                  <c:v>-16.324999999999999</c:v>
                </c:pt>
                <c:pt idx="1">
                  <c:v>-15.04</c:v>
                </c:pt>
                <c:pt idx="2">
                  <c:v>8.8789999999999996</c:v>
                </c:pt>
                <c:pt idx="3">
                  <c:v>-31.881</c:v>
                </c:pt>
                <c:pt idx="4">
                  <c:v>2.2970000000000002</c:v>
                </c:pt>
                <c:pt idx="5">
                  <c:v>6.0090000000000003</c:v>
                </c:pt>
                <c:pt idx="6">
                  <c:v>19.27</c:v>
                </c:pt>
                <c:pt idx="7">
                  <c:v>7.51</c:v>
                </c:pt>
                <c:pt idx="8">
                  <c:v>20.715</c:v>
                </c:pt>
                <c:pt idx="9">
                  <c:v>8.7650000000000006</c:v>
                </c:pt>
              </c:numCache>
            </c:numRef>
          </c:val>
          <c:extLst>
            <c:ext xmlns:c16="http://schemas.microsoft.com/office/drawing/2014/chart" uri="{C3380CC4-5D6E-409C-BE32-E72D297353CC}">
              <c16:uniqueId val="{00000000-904B-497F-9048-1FF726C63184}"/>
            </c:ext>
          </c:extLst>
        </c:ser>
        <c:dLbls>
          <c:showLegendKey val="0"/>
          <c:showVal val="0"/>
          <c:showCatName val="0"/>
          <c:showSerName val="0"/>
          <c:showPercent val="0"/>
          <c:showBubbleSize val="0"/>
        </c:dLbls>
        <c:gapWidth val="75"/>
        <c:overlap val="-25"/>
        <c:axId val="334790016"/>
        <c:axId val="334804096"/>
      </c:barChart>
      <c:lineChart>
        <c:grouping val="standard"/>
        <c:varyColors val="0"/>
        <c:ser>
          <c:idx val="1"/>
          <c:order val="1"/>
          <c:tx>
            <c:strRef>
              <c:f>'[28]Despegar Quarterly'!$A$25</c:f>
              <c:strCache>
                <c:ptCount val="1"/>
                <c:pt idx="0">
                  <c:v>OP Margin GAAP (OP/Revenue)</c:v>
                </c:pt>
              </c:strCache>
            </c:strRef>
          </c:tx>
          <c:cat>
            <c:strRef>
              <c:f>'[28]Despegar Quarterly'!$B$1:$K$1</c:f>
              <c:strCache>
                <c:ptCount val="10"/>
                <c:pt idx="0">
                  <c:v>Q1-15</c:v>
                </c:pt>
                <c:pt idx="1">
                  <c:v>Q2-15</c:v>
                </c:pt>
                <c:pt idx="2">
                  <c:v>Q3-15</c:v>
                </c:pt>
                <c:pt idx="3">
                  <c:v>Q4-15</c:v>
                </c:pt>
                <c:pt idx="4">
                  <c:v>Q1-16</c:v>
                </c:pt>
                <c:pt idx="5">
                  <c:v>Q2-16</c:v>
                </c:pt>
                <c:pt idx="6">
                  <c:v>Q3-16</c:v>
                </c:pt>
                <c:pt idx="7">
                  <c:v>Q4-16</c:v>
                </c:pt>
                <c:pt idx="8">
                  <c:v>Q1-17</c:v>
                </c:pt>
                <c:pt idx="9">
                  <c:v>Q2-17</c:v>
                </c:pt>
              </c:strCache>
            </c:strRef>
          </c:cat>
          <c:val>
            <c:numRef>
              <c:f>'[28]Despegar Quarterly'!$B$25:$K$25</c:f>
              <c:numCache>
                <c:formatCode>General</c:formatCode>
                <c:ptCount val="10"/>
                <c:pt idx="0">
                  <c:v>-0.168686774750199</c:v>
                </c:pt>
                <c:pt idx="1">
                  <c:v>-0.14671882468856401</c:v>
                </c:pt>
                <c:pt idx="2">
                  <c:v>8.1934537266880103E-2</c:v>
                </c:pt>
                <c:pt idx="3">
                  <c:v>-0.27951568500236701</c:v>
                </c:pt>
                <c:pt idx="4">
                  <c:v>2.4149713504704799E-2</c:v>
                </c:pt>
                <c:pt idx="5">
                  <c:v>6.0821684868973797E-2</c:v>
                </c:pt>
                <c:pt idx="6">
                  <c:v>0.18164165598371201</c:v>
                </c:pt>
                <c:pt idx="7">
                  <c:v>6.7559057951458196E-2</c:v>
                </c:pt>
                <c:pt idx="8">
                  <c:v>0.165721325770606</c:v>
                </c:pt>
                <c:pt idx="9">
                  <c:v>7.0993504074128105E-2</c:v>
                </c:pt>
              </c:numCache>
            </c:numRef>
          </c:val>
          <c:smooth val="0"/>
          <c:extLst>
            <c:ext xmlns:c16="http://schemas.microsoft.com/office/drawing/2014/chart" uri="{C3380CC4-5D6E-409C-BE32-E72D297353CC}">
              <c16:uniqueId val="{00000001-904B-497F-9048-1FF726C63184}"/>
            </c:ext>
          </c:extLst>
        </c:ser>
        <c:dLbls>
          <c:showLegendKey val="0"/>
          <c:showVal val="0"/>
          <c:showCatName val="0"/>
          <c:showSerName val="0"/>
          <c:showPercent val="0"/>
          <c:showBubbleSize val="0"/>
        </c:dLbls>
        <c:marker val="1"/>
        <c:smooth val="0"/>
        <c:axId val="334805632"/>
        <c:axId val="334807424"/>
      </c:lineChart>
      <c:catAx>
        <c:axId val="334790016"/>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334804096"/>
        <c:crosses val="autoZero"/>
        <c:auto val="1"/>
        <c:lblAlgn val="ctr"/>
        <c:lblOffset val="100"/>
        <c:noMultiLvlLbl val="0"/>
      </c:catAx>
      <c:valAx>
        <c:axId val="334804096"/>
        <c:scaling>
          <c:orientation val="minMax"/>
          <c:min val="-40"/>
        </c:scaling>
        <c:delete val="0"/>
        <c:axPos val="l"/>
        <c:majorGridlines/>
        <c:numFmt formatCode="General" sourceLinked="0"/>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334790016"/>
        <c:crosses val="autoZero"/>
        <c:crossBetween val="between"/>
      </c:valAx>
      <c:catAx>
        <c:axId val="334805632"/>
        <c:scaling>
          <c:orientation val="minMax"/>
        </c:scaling>
        <c:delete val="1"/>
        <c:axPos val="b"/>
        <c:numFmt formatCode="General" sourceLinked="1"/>
        <c:majorTickMark val="out"/>
        <c:minorTickMark val="none"/>
        <c:tickLblPos val="nextTo"/>
        <c:crossAx val="334807424"/>
        <c:crosses val="autoZero"/>
        <c:auto val="1"/>
        <c:lblAlgn val="ctr"/>
        <c:lblOffset val="100"/>
        <c:noMultiLvlLbl val="0"/>
      </c:catAx>
      <c:valAx>
        <c:axId val="334807424"/>
        <c:scaling>
          <c:orientation val="minMax"/>
        </c:scaling>
        <c:delete val="0"/>
        <c:axPos val="r"/>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334805632"/>
        <c:crosses val="max"/>
        <c:crossBetween val="between"/>
      </c:valAx>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en-US"/>
              <a:t>Despegar's</a:t>
            </a:r>
            <a:r>
              <a:rPr lang="en-US" altLang="en-US" baseline="0"/>
              <a:t> Gross Booking Value and YoY Growth</a:t>
            </a:r>
            <a:endParaRPr lang="en-US" altLang="en-US"/>
          </a:p>
        </c:rich>
      </c:tx>
      <c:overlay val="0"/>
    </c:title>
    <c:autoTitleDeleted val="0"/>
    <c:plotArea>
      <c:layout/>
      <c:barChart>
        <c:barDir val="col"/>
        <c:grouping val="clustered"/>
        <c:varyColors val="0"/>
        <c:ser>
          <c:idx val="0"/>
          <c:order val="0"/>
          <c:tx>
            <c:strRef>
              <c:f>'[28]Despegar Quarterly'!$A$3</c:f>
              <c:strCache>
                <c:ptCount val="1"/>
                <c:pt idx="0">
                  <c:v>Gross booking value</c:v>
                </c:pt>
              </c:strCache>
            </c:strRef>
          </c:tx>
          <c:invertIfNegative val="0"/>
          <c:cat>
            <c:strRef>
              <c:f>'[28]Despegar Quarterly'!$B$1:$K$1</c:f>
              <c:strCache>
                <c:ptCount val="10"/>
                <c:pt idx="0">
                  <c:v>Q1-15</c:v>
                </c:pt>
                <c:pt idx="1">
                  <c:v>Q2-15</c:v>
                </c:pt>
                <c:pt idx="2">
                  <c:v>Q3-15</c:v>
                </c:pt>
                <c:pt idx="3">
                  <c:v>Q4-15</c:v>
                </c:pt>
                <c:pt idx="4">
                  <c:v>Q1-16</c:v>
                </c:pt>
                <c:pt idx="5">
                  <c:v>Q2-16</c:v>
                </c:pt>
                <c:pt idx="6">
                  <c:v>Q3-16</c:v>
                </c:pt>
                <c:pt idx="7">
                  <c:v>Q4-16</c:v>
                </c:pt>
                <c:pt idx="8">
                  <c:v>Q1-17</c:v>
                </c:pt>
                <c:pt idx="9">
                  <c:v>Q2-17</c:v>
                </c:pt>
              </c:strCache>
            </c:strRef>
          </c:cat>
          <c:val>
            <c:numRef>
              <c:f>'[28]Despegar Quarterly'!$B$3:$K$3</c:f>
              <c:numCache>
                <c:formatCode>General</c:formatCode>
                <c:ptCount val="10"/>
                <c:pt idx="0">
                  <c:v>810.96100000000001</c:v>
                </c:pt>
                <c:pt idx="1">
                  <c:v>868.56200000000001</c:v>
                </c:pt>
                <c:pt idx="2">
                  <c:v>941.07600000000002</c:v>
                </c:pt>
                <c:pt idx="3">
                  <c:v>970.19500000000005</c:v>
                </c:pt>
                <c:pt idx="4">
                  <c:v>661.40899999999999</c:v>
                </c:pt>
                <c:pt idx="5">
                  <c:v>755.43299999999999</c:v>
                </c:pt>
                <c:pt idx="6">
                  <c:v>844.86599999999999</c:v>
                </c:pt>
                <c:pt idx="7">
                  <c:v>998.52599999999995</c:v>
                </c:pt>
                <c:pt idx="8">
                  <c:v>1019.102</c:v>
                </c:pt>
                <c:pt idx="9">
                  <c:v>1061.0260000000001</c:v>
                </c:pt>
              </c:numCache>
            </c:numRef>
          </c:val>
          <c:extLst>
            <c:ext xmlns:c16="http://schemas.microsoft.com/office/drawing/2014/chart" uri="{C3380CC4-5D6E-409C-BE32-E72D297353CC}">
              <c16:uniqueId val="{00000000-AF7F-4C40-9D03-33F97C1AC7D0}"/>
            </c:ext>
          </c:extLst>
        </c:ser>
        <c:dLbls>
          <c:showLegendKey val="0"/>
          <c:showVal val="0"/>
          <c:showCatName val="0"/>
          <c:showSerName val="0"/>
          <c:showPercent val="0"/>
          <c:showBubbleSize val="0"/>
        </c:dLbls>
        <c:gapWidth val="75"/>
        <c:overlap val="-25"/>
        <c:axId val="334646272"/>
        <c:axId val="334660352"/>
      </c:barChart>
      <c:lineChart>
        <c:grouping val="standard"/>
        <c:varyColors val="0"/>
        <c:ser>
          <c:idx val="1"/>
          <c:order val="1"/>
          <c:tx>
            <c:strRef>
              <c:f>'[28]Despegar Quarterly'!$A$4</c:f>
              <c:strCache>
                <c:ptCount val="1"/>
                <c:pt idx="0">
                  <c:v>YoY change</c:v>
                </c:pt>
              </c:strCache>
            </c:strRef>
          </c:tx>
          <c:cat>
            <c:strRef>
              <c:f>'[28]Despegar Quarterly'!$B$1:$K$1</c:f>
              <c:strCache>
                <c:ptCount val="10"/>
                <c:pt idx="0">
                  <c:v>Q1-15</c:v>
                </c:pt>
                <c:pt idx="1">
                  <c:v>Q2-15</c:v>
                </c:pt>
                <c:pt idx="2">
                  <c:v>Q3-15</c:v>
                </c:pt>
                <c:pt idx="3">
                  <c:v>Q4-15</c:v>
                </c:pt>
                <c:pt idx="4">
                  <c:v>Q1-16</c:v>
                </c:pt>
                <c:pt idx="5">
                  <c:v>Q2-16</c:v>
                </c:pt>
                <c:pt idx="6">
                  <c:v>Q3-16</c:v>
                </c:pt>
                <c:pt idx="7">
                  <c:v>Q4-16</c:v>
                </c:pt>
                <c:pt idx="8">
                  <c:v>Q1-17</c:v>
                </c:pt>
                <c:pt idx="9">
                  <c:v>Q2-17</c:v>
                </c:pt>
              </c:strCache>
            </c:strRef>
          </c:cat>
          <c:val>
            <c:numRef>
              <c:f>'[28]Despegar Quarterly'!$B$4:$K$4</c:f>
              <c:numCache>
                <c:formatCode>General</c:formatCode>
                <c:ptCount val="10"/>
                <c:pt idx="0">
                  <c:v>0</c:v>
                </c:pt>
                <c:pt idx="1">
                  <c:v>0</c:v>
                </c:pt>
                <c:pt idx="2">
                  <c:v>0</c:v>
                </c:pt>
                <c:pt idx="3">
                  <c:v>0</c:v>
                </c:pt>
                <c:pt idx="4">
                  <c:v>-0.18441330717506799</c:v>
                </c:pt>
                <c:pt idx="5">
                  <c:v>-0.13024861783039099</c:v>
                </c:pt>
                <c:pt idx="6">
                  <c:v>-0.102234038483608</c:v>
                </c:pt>
                <c:pt idx="7">
                  <c:v>2.92013461211405E-2</c:v>
                </c:pt>
                <c:pt idx="8">
                  <c:v>0.54080455512398495</c:v>
                </c:pt>
                <c:pt idx="9">
                  <c:v>0.40452694017867902</c:v>
                </c:pt>
              </c:numCache>
            </c:numRef>
          </c:val>
          <c:smooth val="0"/>
          <c:extLst>
            <c:ext xmlns:c16="http://schemas.microsoft.com/office/drawing/2014/chart" uri="{C3380CC4-5D6E-409C-BE32-E72D297353CC}">
              <c16:uniqueId val="{00000001-AF7F-4C40-9D03-33F97C1AC7D0}"/>
            </c:ext>
          </c:extLst>
        </c:ser>
        <c:dLbls>
          <c:showLegendKey val="0"/>
          <c:showVal val="0"/>
          <c:showCatName val="0"/>
          <c:showSerName val="0"/>
          <c:showPercent val="0"/>
          <c:showBubbleSize val="0"/>
        </c:dLbls>
        <c:marker val="1"/>
        <c:smooth val="0"/>
        <c:axId val="334661888"/>
        <c:axId val="334663680"/>
      </c:lineChart>
      <c:catAx>
        <c:axId val="334646272"/>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334660352"/>
        <c:crosses val="autoZero"/>
        <c:auto val="1"/>
        <c:lblAlgn val="ctr"/>
        <c:lblOffset val="100"/>
        <c:noMultiLvlLbl val="0"/>
      </c:catAx>
      <c:valAx>
        <c:axId val="334660352"/>
        <c:scaling>
          <c:orientation val="minMax"/>
        </c:scaling>
        <c:delete val="0"/>
        <c:axPos val="l"/>
        <c:majorGridlines/>
        <c:numFmt formatCode="General" sourceLinked="1"/>
        <c:majorTickMark val="none"/>
        <c:minorTickMark val="none"/>
        <c:tickLblPos val="nextTo"/>
        <c:spPr>
          <a:ln w="9525"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334646272"/>
        <c:crosses val="autoZero"/>
        <c:crossBetween val="between"/>
      </c:valAx>
      <c:catAx>
        <c:axId val="334661888"/>
        <c:scaling>
          <c:orientation val="minMax"/>
        </c:scaling>
        <c:delete val="1"/>
        <c:axPos val="b"/>
        <c:numFmt formatCode="General" sourceLinked="1"/>
        <c:majorTickMark val="out"/>
        <c:minorTickMark val="none"/>
        <c:tickLblPos val="nextTo"/>
        <c:crossAx val="334663680"/>
        <c:crosses val="autoZero"/>
        <c:auto val="1"/>
        <c:lblAlgn val="ctr"/>
        <c:lblOffset val="100"/>
        <c:noMultiLvlLbl val="0"/>
      </c:catAx>
      <c:valAx>
        <c:axId val="334663680"/>
        <c:scaling>
          <c:orientation val="minMax"/>
        </c:scaling>
        <c:delete val="0"/>
        <c:axPos val="r"/>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334661888"/>
        <c:crosses val="max"/>
        <c:crossBetween val="between"/>
      </c:valAx>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en-US"/>
              <a:t>Despegar's</a:t>
            </a:r>
            <a:r>
              <a:rPr lang="en-US" altLang="en-US" baseline="0"/>
              <a:t> Transaction Volume, by Country</a:t>
            </a:r>
            <a:endParaRPr lang="en-US" altLang="en-US"/>
          </a:p>
        </c:rich>
      </c:tx>
      <c:overlay val="0"/>
    </c:title>
    <c:autoTitleDeleted val="0"/>
    <c:plotArea>
      <c:layout/>
      <c:barChart>
        <c:barDir val="col"/>
        <c:grouping val="clustered"/>
        <c:varyColors val="0"/>
        <c:ser>
          <c:idx val="0"/>
          <c:order val="0"/>
          <c:tx>
            <c:strRef>
              <c:f>'[28]Despegar Annual'!$A$100</c:f>
              <c:strCache>
                <c:ptCount val="1"/>
                <c:pt idx="0">
                  <c:v>Total transaction volume</c:v>
                </c:pt>
              </c:strCache>
            </c:strRef>
          </c:tx>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'[28]Despegar Annual'!$B$1:$F$2</c:f>
              <c:multiLvlStrCache>
                <c:ptCount val="5"/>
                <c:lvl>
                  <c:pt idx="0">
                    <c:v>2015</c:v>
                  </c:pt>
                  <c:pt idx="1">
                    <c:v>2016</c:v>
                  </c:pt>
                  <c:pt idx="2">
                    <c:v>2017</c:v>
                  </c:pt>
                  <c:pt idx="3">
                    <c:v>42522</c:v>
                  </c:pt>
                  <c:pt idx="4">
                    <c:v>42887</c:v>
                  </c:pt>
                </c:lvl>
                <c:lvl>
                  <c:pt idx="0">
                    <c:v>Full year</c:v>
                  </c:pt>
                  <c:pt idx="1">
                    <c:v>0</c:v>
                  </c:pt>
                  <c:pt idx="2">
                    <c:v>0</c:v>
                  </c:pt>
                  <c:pt idx="3">
                    <c:v>Half year</c:v>
                  </c:pt>
                  <c:pt idx="4">
                    <c:v>0</c:v>
                  </c:pt>
                </c:lvl>
              </c:multiLvlStrCache>
            </c:multiLvlStrRef>
          </c:cat>
          <c:val>
            <c:numRef>
              <c:f>'[28]Despegar Annual'!$B$100:$F$100</c:f>
              <c:numCache>
                <c:formatCode>General</c:formatCode>
                <c:ptCount val="5"/>
                <c:pt idx="0">
                  <c:v>7.7050000000000001</c:v>
                </c:pt>
                <c:pt idx="1">
                  <c:v>7.2119999999999997</c:v>
                </c:pt>
                <c:pt idx="2">
                  <c:v>0</c:v>
                </c:pt>
                <c:pt idx="3">
                  <c:v>3.3380000000000001</c:v>
                </c:pt>
                <c:pt idx="4">
                  <c:v>4.3390000000000004</c:v>
                </c:pt>
              </c:numCache>
            </c:numRef>
          </c:val>
          <c:extLst>
            <c:ext xmlns:c16="http://schemas.microsoft.com/office/drawing/2014/chart" uri="{C3380CC4-5D6E-409C-BE32-E72D297353CC}">
              <c16:uniqueId val="{00000000-6E91-4130-8918-EBA84B2C846A}"/>
            </c:ext>
          </c:extLst>
        </c:ser>
        <c:ser>
          <c:idx val="1"/>
          <c:order val="1"/>
          <c:tx>
            <c:strRef>
              <c:f>'[28]Despegar Annual'!$A$101</c:f>
              <c:strCache>
                <c:ptCount val="1"/>
                <c:pt idx="0">
                  <c:v>Brazil</c:v>
                </c:pt>
              </c:strCache>
            </c:strRef>
          </c:tx>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'[28]Despegar Annual'!$B$1:$F$2</c:f>
              <c:multiLvlStrCache>
                <c:ptCount val="5"/>
                <c:lvl>
                  <c:pt idx="0">
                    <c:v>2015</c:v>
                  </c:pt>
                  <c:pt idx="1">
                    <c:v>2016</c:v>
                  </c:pt>
                  <c:pt idx="2">
                    <c:v>2017</c:v>
                  </c:pt>
                  <c:pt idx="3">
                    <c:v>42522</c:v>
                  </c:pt>
                  <c:pt idx="4">
                    <c:v>42887</c:v>
                  </c:pt>
                </c:lvl>
                <c:lvl>
                  <c:pt idx="0">
                    <c:v>Full year</c:v>
                  </c:pt>
                  <c:pt idx="1">
                    <c:v>0</c:v>
                  </c:pt>
                  <c:pt idx="2">
                    <c:v>0</c:v>
                  </c:pt>
                  <c:pt idx="3">
                    <c:v>Half year</c:v>
                  </c:pt>
                  <c:pt idx="4">
                    <c:v>0</c:v>
                  </c:pt>
                </c:lvl>
              </c:multiLvlStrCache>
            </c:multiLvlStrRef>
          </c:cat>
          <c:val>
            <c:numRef>
              <c:f>'[28]Despegar Annual'!$B$101:$F$101</c:f>
              <c:numCache>
                <c:formatCode>General</c:formatCode>
                <c:ptCount val="5"/>
                <c:pt idx="0">
                  <c:v>3.62</c:v>
                </c:pt>
                <c:pt idx="1">
                  <c:v>2.9239999999999999</c:v>
                </c:pt>
                <c:pt idx="2">
                  <c:v>0</c:v>
                </c:pt>
                <c:pt idx="3">
                  <c:v>1.375</c:v>
                </c:pt>
                <c:pt idx="4">
                  <c:v>1.784</c:v>
                </c:pt>
              </c:numCache>
            </c:numRef>
          </c:val>
          <c:extLst>
            <c:ext xmlns:c16="http://schemas.microsoft.com/office/drawing/2014/chart" uri="{C3380CC4-5D6E-409C-BE32-E72D297353CC}">
              <c16:uniqueId val="{00000001-6E91-4130-8918-EBA84B2C846A}"/>
            </c:ext>
          </c:extLst>
        </c:ser>
        <c:ser>
          <c:idx val="2"/>
          <c:order val="2"/>
          <c:tx>
            <c:strRef>
              <c:f>'[28]Despegar Annual'!$A$102</c:f>
              <c:strCache>
                <c:ptCount val="1"/>
                <c:pt idx="0">
                  <c:v>Argentina</c:v>
                </c:pt>
              </c:strCache>
            </c:strRef>
          </c:tx>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'[28]Despegar Annual'!$B$1:$F$2</c:f>
              <c:multiLvlStrCache>
                <c:ptCount val="5"/>
                <c:lvl>
                  <c:pt idx="0">
                    <c:v>2015</c:v>
                  </c:pt>
                  <c:pt idx="1">
                    <c:v>2016</c:v>
                  </c:pt>
                  <c:pt idx="2">
                    <c:v>2017</c:v>
                  </c:pt>
                  <c:pt idx="3">
                    <c:v>42522</c:v>
                  </c:pt>
                  <c:pt idx="4">
                    <c:v>42887</c:v>
                  </c:pt>
                </c:lvl>
                <c:lvl>
                  <c:pt idx="0">
                    <c:v>Full year</c:v>
                  </c:pt>
                  <c:pt idx="1">
                    <c:v>0</c:v>
                  </c:pt>
                  <c:pt idx="2">
                    <c:v>0</c:v>
                  </c:pt>
                  <c:pt idx="3">
                    <c:v>Half year</c:v>
                  </c:pt>
                  <c:pt idx="4">
                    <c:v>0</c:v>
                  </c:pt>
                </c:lvl>
              </c:multiLvlStrCache>
            </c:multiLvlStrRef>
          </c:cat>
          <c:val>
            <c:numRef>
              <c:f>'[28]Despegar Annual'!$B$102:$F$102</c:f>
              <c:numCache>
                <c:formatCode>General</c:formatCode>
                <c:ptCount val="5"/>
                <c:pt idx="0">
                  <c:v>1.7869999999999999</c:v>
                </c:pt>
                <c:pt idx="1">
                  <c:v>1.798</c:v>
                </c:pt>
                <c:pt idx="2">
                  <c:v>0</c:v>
                </c:pt>
                <c:pt idx="3">
                  <c:v>0.83299999999999996</c:v>
                </c:pt>
                <c:pt idx="4">
                  <c:v>1.069</c:v>
                </c:pt>
              </c:numCache>
            </c:numRef>
          </c:val>
          <c:extLst>
            <c:ext xmlns:c16="http://schemas.microsoft.com/office/drawing/2014/chart" uri="{C3380CC4-5D6E-409C-BE32-E72D297353CC}">
              <c16:uniqueId val="{00000002-6E91-4130-8918-EBA84B2C846A}"/>
            </c:ext>
          </c:extLst>
        </c:ser>
        <c:ser>
          <c:idx val="3"/>
          <c:order val="3"/>
          <c:tx>
            <c:strRef>
              <c:f>'[28]Despegar Annual'!$A$103</c:f>
              <c:strCache>
                <c:ptCount val="1"/>
                <c:pt idx="0">
                  <c:v>Other</c:v>
                </c:pt>
              </c:strCache>
            </c:strRef>
          </c:tx>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'[28]Despegar Annual'!$B$1:$F$2</c:f>
              <c:multiLvlStrCache>
                <c:ptCount val="5"/>
                <c:lvl>
                  <c:pt idx="0">
                    <c:v>2015</c:v>
                  </c:pt>
                  <c:pt idx="1">
                    <c:v>2016</c:v>
                  </c:pt>
                  <c:pt idx="2">
                    <c:v>2017</c:v>
                  </c:pt>
                  <c:pt idx="3">
                    <c:v>42522</c:v>
                  </c:pt>
                  <c:pt idx="4">
                    <c:v>42887</c:v>
                  </c:pt>
                </c:lvl>
                <c:lvl>
                  <c:pt idx="0">
                    <c:v>Full year</c:v>
                  </c:pt>
                  <c:pt idx="1">
                    <c:v>0</c:v>
                  </c:pt>
                  <c:pt idx="2">
                    <c:v>0</c:v>
                  </c:pt>
                  <c:pt idx="3">
                    <c:v>Half year</c:v>
                  </c:pt>
                  <c:pt idx="4">
                    <c:v>0</c:v>
                  </c:pt>
                </c:lvl>
              </c:multiLvlStrCache>
            </c:multiLvlStrRef>
          </c:cat>
          <c:val>
            <c:numRef>
              <c:f>'[28]Despegar Annual'!$B$103:$F$103</c:f>
              <c:numCache>
                <c:formatCode>General</c:formatCode>
                <c:ptCount val="5"/>
                <c:pt idx="0">
                  <c:v>2.298</c:v>
                </c:pt>
                <c:pt idx="1">
                  <c:v>2.4900000000000002</c:v>
                </c:pt>
                <c:pt idx="2">
                  <c:v>0</c:v>
                </c:pt>
                <c:pt idx="3">
                  <c:v>1.1299999999999999</c:v>
                </c:pt>
                <c:pt idx="4">
                  <c:v>1.486</c:v>
                </c:pt>
              </c:numCache>
            </c:numRef>
          </c:val>
          <c:extLst>
            <c:ext xmlns:c16="http://schemas.microsoft.com/office/drawing/2014/chart" uri="{C3380CC4-5D6E-409C-BE32-E72D297353CC}">
              <c16:uniqueId val="{00000003-6E91-4130-8918-EBA84B2C846A}"/>
            </c:ext>
          </c:extLst>
        </c:ser>
        <c:dLbls>
          <c:showLegendKey val="0"/>
          <c:showVal val="0"/>
          <c:showCatName val="0"/>
          <c:showSerName val="0"/>
          <c:showPercent val="0"/>
          <c:showBubbleSize val="0"/>
        </c:dLbls>
        <c:gapWidth val="75"/>
        <c:overlap val="-25"/>
        <c:axId val="334718464"/>
        <c:axId val="334720000"/>
      </c:barChart>
      <c:catAx>
        <c:axId val="334718464"/>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334720000"/>
        <c:crosses val="autoZero"/>
        <c:auto val="1"/>
        <c:lblAlgn val="ctr"/>
        <c:lblOffset val="100"/>
        <c:noMultiLvlLbl val="0"/>
      </c:catAx>
      <c:valAx>
        <c:axId val="334720000"/>
        <c:scaling>
          <c:orientation val="minMax"/>
        </c:scaling>
        <c:delete val="0"/>
        <c:axPos val="l"/>
        <c:numFmt formatCode="General" sourceLinked="1"/>
        <c:majorTickMark val="none"/>
        <c:minorTickMark val="none"/>
        <c:tickLblPos val="nextTo"/>
        <c:spPr>
          <a:ln w="9525"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334718464"/>
        <c:crosses val="autoZero"/>
        <c:crossBetween val="between"/>
      </c:valAx>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en-US"/>
              <a:t>Despegar's Sales</a:t>
            </a:r>
            <a:r>
              <a:rPr lang="en-US" altLang="en-US" baseline="0"/>
              <a:t> and Marketing Expenses as % of GMV</a:t>
            </a:r>
            <a:endParaRPr lang="en-US" altLang="en-US"/>
          </a:p>
        </c:rich>
      </c:tx>
      <c:overlay val="0"/>
    </c:title>
    <c:autoTitleDeleted val="0"/>
    <c:plotArea>
      <c:layout/>
      <c:barChart>
        <c:barDir val="col"/>
        <c:grouping val="clustered"/>
        <c:varyColors val="0"/>
        <c:ser>
          <c:idx val="0"/>
          <c:order val="0"/>
          <c:tx>
            <c:strRef>
              <c:f>'[28]Despegar Annual'!$A$46</c:f>
              <c:strCache>
                <c:ptCount val="1"/>
                <c:pt idx="0">
                  <c:v>Selling and marketing expenses</c:v>
                </c:pt>
              </c:strCache>
            </c:strRef>
          </c:tx>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'[28]Despegar Annual'!$B$1:$F$2</c:f>
              <c:multiLvlStrCache>
                <c:ptCount val="5"/>
                <c:lvl>
                  <c:pt idx="0">
                    <c:v>2015</c:v>
                  </c:pt>
                  <c:pt idx="1">
                    <c:v>2016</c:v>
                  </c:pt>
                  <c:pt idx="2">
                    <c:v>2017</c:v>
                  </c:pt>
                  <c:pt idx="3">
                    <c:v>42522</c:v>
                  </c:pt>
                  <c:pt idx="4">
                    <c:v>42887</c:v>
                  </c:pt>
                </c:lvl>
                <c:lvl>
                  <c:pt idx="0">
                    <c:v>Full year</c:v>
                  </c:pt>
                  <c:pt idx="1">
                    <c:v>0</c:v>
                  </c:pt>
                  <c:pt idx="2">
                    <c:v>0</c:v>
                  </c:pt>
                  <c:pt idx="3">
                    <c:v>Half year</c:v>
                  </c:pt>
                  <c:pt idx="4">
                    <c:v>0</c:v>
                  </c:pt>
                </c:lvl>
              </c:multiLvlStrCache>
            </c:multiLvlStrRef>
          </c:cat>
          <c:val>
            <c:numRef>
              <c:f>'[28]Despegar Annual'!$B$46:$F$46</c:f>
              <c:numCache>
                <c:formatCode>General</c:formatCode>
                <c:ptCount val="5"/>
                <c:pt idx="0">
                  <c:v>-170.149</c:v>
                </c:pt>
                <c:pt idx="1">
                  <c:v>-121.46599999999999</c:v>
                </c:pt>
                <c:pt idx="2">
                  <c:v>0</c:v>
                </c:pt>
                <c:pt idx="3">
                  <c:v>-57.71</c:v>
                </c:pt>
                <c:pt idx="4">
                  <c:v>-78.834999999999994</c:v>
                </c:pt>
              </c:numCache>
            </c:numRef>
          </c:val>
          <c:extLst>
            <c:ext xmlns:c16="http://schemas.microsoft.com/office/drawing/2014/chart" uri="{C3380CC4-5D6E-409C-BE32-E72D297353CC}">
              <c16:uniqueId val="{00000000-8FE0-4765-B858-4ED5EF06A271}"/>
            </c:ext>
          </c:extLst>
        </c:ser>
        <c:dLbls>
          <c:showLegendKey val="0"/>
          <c:showVal val="0"/>
          <c:showCatName val="0"/>
          <c:showSerName val="0"/>
          <c:showPercent val="0"/>
          <c:showBubbleSize val="0"/>
        </c:dLbls>
        <c:gapWidth val="75"/>
        <c:overlap val="-25"/>
        <c:axId val="335358208"/>
        <c:axId val="335380480"/>
      </c:barChart>
      <c:lineChart>
        <c:grouping val="standard"/>
        <c:varyColors val="0"/>
        <c:ser>
          <c:idx val="1"/>
          <c:order val="1"/>
          <c:tx>
            <c:strRef>
              <c:f>'[28]Despegar Annual'!$A$47</c:f>
              <c:strCache>
                <c:ptCount val="1"/>
                <c:pt idx="0">
                  <c:v>Marketing and sales promotion expenses as % of GMV</c:v>
                </c:pt>
              </c:strCache>
            </c:strRef>
          </c:tx>
          <c:cat>
            <c:multiLvlStrRef>
              <c:f>'[28]Despegar Annual'!$B$1:$F$2</c:f>
              <c:multiLvlStrCache>
                <c:ptCount val="5"/>
                <c:lvl>
                  <c:pt idx="0">
                    <c:v>2015</c:v>
                  </c:pt>
                  <c:pt idx="1">
                    <c:v>2016</c:v>
                  </c:pt>
                  <c:pt idx="2">
                    <c:v>2017</c:v>
                  </c:pt>
                  <c:pt idx="3">
                    <c:v>42522</c:v>
                  </c:pt>
                  <c:pt idx="4">
                    <c:v>42887</c:v>
                  </c:pt>
                </c:lvl>
                <c:lvl>
                  <c:pt idx="0">
                    <c:v>Full year</c:v>
                  </c:pt>
                  <c:pt idx="1">
                    <c:v>0</c:v>
                  </c:pt>
                  <c:pt idx="2">
                    <c:v>0</c:v>
                  </c:pt>
                  <c:pt idx="3">
                    <c:v>Half year</c:v>
                  </c:pt>
                  <c:pt idx="4">
                    <c:v>0</c:v>
                  </c:pt>
                </c:lvl>
              </c:multiLvlStrCache>
            </c:multiLvlStrRef>
          </c:cat>
          <c:val>
            <c:numRef>
              <c:f>'[28]Despegar Annual'!$B$47:$F$47</c:f>
              <c:numCache>
                <c:formatCode>General</c:formatCode>
                <c:ptCount val="5"/>
                <c:pt idx="0">
                  <c:v>4.7312763815741898E-2</c:v>
                </c:pt>
                <c:pt idx="1">
                  <c:v>3.7256834938841799E-2</c:v>
                </c:pt>
                <c:pt idx="2">
                  <c:v>0</c:v>
                </c:pt>
                <c:pt idx="3">
                  <c:v>4.0578662556533099E-2</c:v>
                </c:pt>
                <c:pt idx="4">
                  <c:v>3.78991100547659E-2</c:v>
                </c:pt>
              </c:numCache>
            </c:numRef>
          </c:val>
          <c:smooth val="0"/>
          <c:extLst>
            <c:ext xmlns:c16="http://schemas.microsoft.com/office/drawing/2014/chart" uri="{C3380CC4-5D6E-409C-BE32-E72D297353CC}">
              <c16:uniqueId val="{00000001-8FE0-4765-B858-4ED5EF06A271}"/>
            </c:ext>
          </c:extLst>
        </c:ser>
        <c:dLbls>
          <c:showLegendKey val="0"/>
          <c:showVal val="0"/>
          <c:showCatName val="0"/>
          <c:showSerName val="0"/>
          <c:showPercent val="0"/>
          <c:showBubbleSize val="0"/>
        </c:dLbls>
        <c:marker val="1"/>
        <c:smooth val="0"/>
        <c:axId val="335382016"/>
        <c:axId val="335383552"/>
      </c:lineChart>
      <c:catAx>
        <c:axId val="335358208"/>
        <c:scaling>
          <c:orientation val="minMax"/>
        </c:scaling>
        <c:delete val="0"/>
        <c:axPos val="t"/>
        <c:numFmt formatCode="General" sourceLinked="0"/>
        <c:majorTickMark val="none"/>
        <c:minorTickMark val="none"/>
        <c:tickLblPos val="high"/>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335380480"/>
        <c:crosses val="autoZero"/>
        <c:auto val="1"/>
        <c:lblAlgn val="ctr"/>
        <c:lblOffset val="100"/>
        <c:noMultiLvlLbl val="0"/>
      </c:catAx>
      <c:valAx>
        <c:axId val="335380480"/>
        <c:scaling>
          <c:orientation val="maxMin"/>
          <c:min val="-180"/>
        </c:scaling>
        <c:delete val="0"/>
        <c:axPos val="l"/>
        <c:numFmt formatCode="0_);[Red]\(0\)" sourceLinked="0"/>
        <c:majorTickMark val="none"/>
        <c:minorTickMark val="none"/>
        <c:tickLblPos val="nextTo"/>
        <c:spPr>
          <a:ln w="9525"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335358208"/>
        <c:crosses val="autoZero"/>
        <c:crossBetween val="between"/>
      </c:valAx>
      <c:catAx>
        <c:axId val="335382016"/>
        <c:scaling>
          <c:orientation val="minMax"/>
        </c:scaling>
        <c:delete val="1"/>
        <c:axPos val="b"/>
        <c:numFmt formatCode="General" sourceLinked="1"/>
        <c:majorTickMark val="out"/>
        <c:minorTickMark val="none"/>
        <c:tickLblPos val="nextTo"/>
        <c:crossAx val="335383552"/>
        <c:crosses val="autoZero"/>
        <c:auto val="1"/>
        <c:lblAlgn val="ctr"/>
        <c:lblOffset val="100"/>
        <c:noMultiLvlLbl val="0"/>
      </c:catAx>
      <c:valAx>
        <c:axId val="335383552"/>
        <c:scaling>
          <c:orientation val="minMax"/>
        </c:scaling>
        <c:delete val="0"/>
        <c:axPos val="r"/>
        <c:numFmt formatCode="0.0%"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335382016"/>
        <c:crosses val="max"/>
        <c:crossBetween val="between"/>
      </c:valAx>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en-US"/>
              <a:t>Despegar's Gross Profit and GP Margin</a:t>
            </a:r>
          </a:p>
        </c:rich>
      </c:tx>
      <c:overlay val="0"/>
    </c:title>
    <c:autoTitleDeleted val="0"/>
    <c:plotArea>
      <c:layout/>
      <c:barChart>
        <c:barDir val="col"/>
        <c:grouping val="clustered"/>
        <c:varyColors val="0"/>
        <c:ser>
          <c:idx val="0"/>
          <c:order val="0"/>
          <c:tx>
            <c:strRef>
              <c:f>'[28]Despegar Quarterly'!$A$8</c:f>
              <c:strCache>
                <c:ptCount val="1"/>
                <c:pt idx="0">
                  <c:v>Gross profit</c:v>
                </c:pt>
              </c:strCache>
            </c:strRef>
          </c:tx>
          <c:invertIfNegative val="0"/>
          <c:cat>
            <c:strRef>
              <c:f>'[28]Despegar Quarterly'!$B$1:$K$1</c:f>
              <c:strCache>
                <c:ptCount val="10"/>
                <c:pt idx="0">
                  <c:v>Q1-15</c:v>
                </c:pt>
                <c:pt idx="1">
                  <c:v>Q2-15</c:v>
                </c:pt>
                <c:pt idx="2">
                  <c:v>Q3-15</c:v>
                </c:pt>
                <c:pt idx="3">
                  <c:v>Q4-15</c:v>
                </c:pt>
                <c:pt idx="4">
                  <c:v>Q1-16</c:v>
                </c:pt>
                <c:pt idx="5">
                  <c:v>Q2-16</c:v>
                </c:pt>
                <c:pt idx="6">
                  <c:v>Q3-16</c:v>
                </c:pt>
                <c:pt idx="7">
                  <c:v>Q4-16</c:v>
                </c:pt>
                <c:pt idx="8">
                  <c:v>Q1-17</c:v>
                </c:pt>
                <c:pt idx="9">
                  <c:v>Q2-17</c:v>
                </c:pt>
              </c:strCache>
            </c:strRef>
          </c:cat>
          <c:val>
            <c:numRef>
              <c:f>'[28]Despegar Quarterly'!$B$8:$K$8</c:f>
              <c:numCache>
                <c:formatCode>General</c:formatCode>
                <c:ptCount val="10"/>
                <c:pt idx="0">
                  <c:v>67.528999999999996</c:v>
                </c:pt>
                <c:pt idx="1">
                  <c:v>74.899000000000001</c:v>
                </c:pt>
                <c:pt idx="2">
                  <c:v>73.686000000000007</c:v>
                </c:pt>
                <c:pt idx="3">
                  <c:v>51.384</c:v>
                </c:pt>
                <c:pt idx="4">
                  <c:v>61.621000000000002</c:v>
                </c:pt>
                <c:pt idx="5">
                  <c:v>65.045000000000002</c:v>
                </c:pt>
                <c:pt idx="6">
                  <c:v>79.938000000000002</c:v>
                </c:pt>
                <c:pt idx="7">
                  <c:v>77.882999999999996</c:v>
                </c:pt>
                <c:pt idx="8">
                  <c:v>90.537999999999997</c:v>
                </c:pt>
                <c:pt idx="9">
                  <c:v>88.316000000000003</c:v>
                </c:pt>
              </c:numCache>
            </c:numRef>
          </c:val>
          <c:extLst>
            <c:ext xmlns:c16="http://schemas.microsoft.com/office/drawing/2014/chart" uri="{C3380CC4-5D6E-409C-BE32-E72D297353CC}">
              <c16:uniqueId val="{00000000-072C-4428-8B8A-839827EF0F2C}"/>
            </c:ext>
          </c:extLst>
        </c:ser>
        <c:dLbls>
          <c:showLegendKey val="0"/>
          <c:showVal val="0"/>
          <c:showCatName val="0"/>
          <c:showSerName val="0"/>
          <c:showPercent val="0"/>
          <c:showBubbleSize val="0"/>
        </c:dLbls>
        <c:gapWidth val="75"/>
        <c:overlap val="-25"/>
        <c:axId val="335411072"/>
        <c:axId val="335412608"/>
      </c:barChart>
      <c:lineChart>
        <c:grouping val="standard"/>
        <c:varyColors val="0"/>
        <c:ser>
          <c:idx val="1"/>
          <c:order val="1"/>
          <c:tx>
            <c:strRef>
              <c:f>'[28]Despegar Quarterly'!$A$9</c:f>
              <c:strCache>
                <c:ptCount val="1"/>
                <c:pt idx="0">
                  <c:v>Gross margin</c:v>
                </c:pt>
              </c:strCache>
            </c:strRef>
          </c:tx>
          <c:cat>
            <c:strRef>
              <c:f>'[28]Despegar Quarterly'!$B$1:$K$1</c:f>
              <c:strCache>
                <c:ptCount val="10"/>
                <c:pt idx="0">
                  <c:v>Q1-15</c:v>
                </c:pt>
                <c:pt idx="1">
                  <c:v>Q2-15</c:v>
                </c:pt>
                <c:pt idx="2">
                  <c:v>Q3-15</c:v>
                </c:pt>
                <c:pt idx="3">
                  <c:v>Q4-15</c:v>
                </c:pt>
                <c:pt idx="4">
                  <c:v>Q1-16</c:v>
                </c:pt>
                <c:pt idx="5">
                  <c:v>Q2-16</c:v>
                </c:pt>
                <c:pt idx="6">
                  <c:v>Q3-16</c:v>
                </c:pt>
                <c:pt idx="7">
                  <c:v>Q4-16</c:v>
                </c:pt>
                <c:pt idx="8">
                  <c:v>Q1-17</c:v>
                </c:pt>
                <c:pt idx="9">
                  <c:v>Q2-17</c:v>
                </c:pt>
              </c:strCache>
            </c:strRef>
          </c:cat>
          <c:val>
            <c:numRef>
              <c:f>'[28]Despegar Quarterly'!$B$9:$K$9</c:f>
              <c:numCache>
                <c:formatCode>General</c:formatCode>
                <c:ptCount val="10"/>
                <c:pt idx="0">
                  <c:v>0.69777943106316598</c:v>
                </c:pt>
                <c:pt idx="1">
                  <c:v>0.73065779590084801</c:v>
                </c:pt>
                <c:pt idx="2">
                  <c:v>0.67996714867072106</c:v>
                </c:pt>
                <c:pt idx="3">
                  <c:v>0.450507636465658</c:v>
                </c:pt>
                <c:pt idx="4">
                  <c:v>0.64785785627924097</c:v>
                </c:pt>
                <c:pt idx="5">
                  <c:v>0.65837019342692604</c:v>
                </c:pt>
                <c:pt idx="6">
                  <c:v>0.75350652288665998</c:v>
                </c:pt>
                <c:pt idx="7">
                  <c:v>0.70062611324013602</c:v>
                </c:pt>
                <c:pt idx="8">
                  <c:v>0.72430979447835597</c:v>
                </c:pt>
                <c:pt idx="9">
                  <c:v>0.71532941309876696</c:v>
                </c:pt>
              </c:numCache>
            </c:numRef>
          </c:val>
          <c:smooth val="0"/>
          <c:extLst>
            <c:ext xmlns:c16="http://schemas.microsoft.com/office/drawing/2014/chart" uri="{C3380CC4-5D6E-409C-BE32-E72D297353CC}">
              <c16:uniqueId val="{00000001-072C-4428-8B8A-839827EF0F2C}"/>
            </c:ext>
          </c:extLst>
        </c:ser>
        <c:dLbls>
          <c:showLegendKey val="0"/>
          <c:showVal val="0"/>
          <c:showCatName val="0"/>
          <c:showSerName val="0"/>
          <c:showPercent val="0"/>
          <c:showBubbleSize val="0"/>
        </c:dLbls>
        <c:marker val="1"/>
        <c:smooth val="0"/>
        <c:axId val="335103104"/>
        <c:axId val="335104640"/>
      </c:lineChart>
      <c:catAx>
        <c:axId val="335411072"/>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335412608"/>
        <c:crosses val="autoZero"/>
        <c:auto val="1"/>
        <c:lblAlgn val="ctr"/>
        <c:lblOffset val="100"/>
        <c:noMultiLvlLbl val="0"/>
      </c:catAx>
      <c:valAx>
        <c:axId val="335412608"/>
        <c:scaling>
          <c:orientation val="minMax"/>
        </c:scaling>
        <c:delete val="0"/>
        <c:axPos val="l"/>
        <c:majorGridlines/>
        <c:numFmt formatCode="General" sourceLinked="1"/>
        <c:majorTickMark val="none"/>
        <c:minorTickMark val="none"/>
        <c:tickLblPos val="nextTo"/>
        <c:spPr>
          <a:ln w="9525"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335411072"/>
        <c:crosses val="autoZero"/>
        <c:crossBetween val="between"/>
      </c:valAx>
      <c:catAx>
        <c:axId val="335103104"/>
        <c:scaling>
          <c:orientation val="minMax"/>
        </c:scaling>
        <c:delete val="1"/>
        <c:axPos val="b"/>
        <c:numFmt formatCode="General" sourceLinked="1"/>
        <c:majorTickMark val="out"/>
        <c:minorTickMark val="none"/>
        <c:tickLblPos val="nextTo"/>
        <c:crossAx val="335104640"/>
        <c:crosses val="autoZero"/>
        <c:auto val="1"/>
        <c:lblAlgn val="ctr"/>
        <c:lblOffset val="100"/>
        <c:noMultiLvlLbl val="0"/>
      </c:catAx>
      <c:valAx>
        <c:axId val="335104640"/>
        <c:scaling>
          <c:orientation val="minMax"/>
        </c:scaling>
        <c:delete val="0"/>
        <c:axPos val="r"/>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335103104"/>
        <c:crosses val="max"/>
        <c:crossBetween val="between"/>
      </c:valAx>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en-US"/>
              <a:t>Despegar's</a:t>
            </a:r>
            <a:r>
              <a:rPr lang="en-US" altLang="en-US" baseline="0"/>
              <a:t> Transaction Volume, by Segment</a:t>
            </a:r>
            <a:endParaRPr lang="en-US" altLang="en-US"/>
          </a:p>
        </c:rich>
      </c:tx>
      <c:overlay val="0"/>
    </c:title>
    <c:autoTitleDeleted val="0"/>
    <c:plotArea>
      <c:layout/>
      <c:barChart>
        <c:barDir val="col"/>
        <c:grouping val="clustered"/>
        <c:varyColors val="0"/>
        <c:ser>
          <c:idx val="0"/>
          <c:order val="0"/>
          <c:tx>
            <c:strRef>
              <c:f>'[28]Despegar Annual'!$A$106</c:f>
              <c:strCache>
                <c:ptCount val="1"/>
                <c:pt idx="0">
                  <c:v>Air</c:v>
                </c:pt>
              </c:strCache>
            </c:strRef>
          </c:tx>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'[28]Despegar Annual'!$B$1:$F$2</c:f>
              <c:multiLvlStrCache>
                <c:ptCount val="5"/>
                <c:lvl>
                  <c:pt idx="0">
                    <c:v>2015</c:v>
                  </c:pt>
                  <c:pt idx="1">
                    <c:v>2016</c:v>
                  </c:pt>
                  <c:pt idx="2">
                    <c:v>2017</c:v>
                  </c:pt>
                  <c:pt idx="3">
                    <c:v>42522</c:v>
                  </c:pt>
                  <c:pt idx="4">
                    <c:v>42887</c:v>
                  </c:pt>
                </c:lvl>
                <c:lvl>
                  <c:pt idx="0">
                    <c:v>Full year</c:v>
                  </c:pt>
                  <c:pt idx="1">
                    <c:v>0</c:v>
                  </c:pt>
                  <c:pt idx="2">
                    <c:v>0</c:v>
                  </c:pt>
                  <c:pt idx="3">
                    <c:v>Half year</c:v>
                  </c:pt>
                  <c:pt idx="4">
                    <c:v>0</c:v>
                  </c:pt>
                </c:lvl>
              </c:multiLvlStrCache>
            </c:multiLvlStrRef>
          </c:cat>
          <c:val>
            <c:numRef>
              <c:f>'[28]Despegar Annual'!$B$106:$F$106</c:f>
              <c:numCache>
                <c:formatCode>General</c:formatCode>
                <c:ptCount val="5"/>
                <c:pt idx="0">
                  <c:v>4.3849999999999998</c:v>
                </c:pt>
                <c:pt idx="1">
                  <c:v>4.25</c:v>
                </c:pt>
                <c:pt idx="2">
                  <c:v>0</c:v>
                </c:pt>
                <c:pt idx="3">
                  <c:v>1.9359999999999999</c:v>
                </c:pt>
                <c:pt idx="4">
                  <c:v>2.57</c:v>
                </c:pt>
              </c:numCache>
            </c:numRef>
          </c:val>
          <c:extLst>
            <c:ext xmlns:c16="http://schemas.microsoft.com/office/drawing/2014/chart" uri="{C3380CC4-5D6E-409C-BE32-E72D297353CC}">
              <c16:uniqueId val="{00000000-EC9B-48E0-B1F3-99082C7EC205}"/>
            </c:ext>
          </c:extLst>
        </c:ser>
        <c:ser>
          <c:idx val="1"/>
          <c:order val="1"/>
          <c:tx>
            <c:strRef>
              <c:f>'[28]Despegar Annual'!$A$107</c:f>
              <c:strCache>
                <c:ptCount val="1"/>
                <c:pt idx="0">
                  <c:v>Hotels and packages</c:v>
                </c:pt>
              </c:strCache>
            </c:strRef>
          </c:tx>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'[28]Despegar Annual'!$B$1:$F$2</c:f>
              <c:multiLvlStrCache>
                <c:ptCount val="5"/>
                <c:lvl>
                  <c:pt idx="0">
                    <c:v>2015</c:v>
                  </c:pt>
                  <c:pt idx="1">
                    <c:v>2016</c:v>
                  </c:pt>
                  <c:pt idx="2">
                    <c:v>2017</c:v>
                  </c:pt>
                  <c:pt idx="3">
                    <c:v>42522</c:v>
                  </c:pt>
                  <c:pt idx="4">
                    <c:v>42887</c:v>
                  </c:pt>
                </c:lvl>
                <c:lvl>
                  <c:pt idx="0">
                    <c:v>Full year</c:v>
                  </c:pt>
                  <c:pt idx="1">
                    <c:v>0</c:v>
                  </c:pt>
                  <c:pt idx="2">
                    <c:v>0</c:v>
                  </c:pt>
                  <c:pt idx="3">
                    <c:v>Half year</c:v>
                  </c:pt>
                  <c:pt idx="4">
                    <c:v>0</c:v>
                  </c:pt>
                </c:lvl>
              </c:multiLvlStrCache>
            </c:multiLvlStrRef>
          </c:cat>
          <c:val>
            <c:numRef>
              <c:f>'[28]Despegar Annual'!$B$107:$F$107</c:f>
              <c:numCache>
                <c:formatCode>General</c:formatCode>
                <c:ptCount val="5"/>
                <c:pt idx="0">
                  <c:v>3.32</c:v>
                </c:pt>
                <c:pt idx="1">
                  <c:v>2.35</c:v>
                </c:pt>
                <c:pt idx="2">
                  <c:v>0</c:v>
                </c:pt>
                <c:pt idx="3">
                  <c:v>1.4019999999999999</c:v>
                </c:pt>
                <c:pt idx="4">
                  <c:v>1.3698999999999999</c:v>
                </c:pt>
              </c:numCache>
            </c:numRef>
          </c:val>
          <c:extLst>
            <c:ext xmlns:c16="http://schemas.microsoft.com/office/drawing/2014/chart" uri="{C3380CC4-5D6E-409C-BE32-E72D297353CC}">
              <c16:uniqueId val="{00000001-EC9B-48E0-B1F3-99082C7EC205}"/>
            </c:ext>
          </c:extLst>
        </c:ser>
        <c:dLbls>
          <c:showLegendKey val="0"/>
          <c:showVal val="0"/>
          <c:showCatName val="0"/>
          <c:showSerName val="0"/>
          <c:showPercent val="0"/>
          <c:showBubbleSize val="0"/>
        </c:dLbls>
        <c:gapWidth val="75"/>
        <c:overlap val="-25"/>
        <c:axId val="335144064"/>
        <c:axId val="335145600"/>
      </c:barChart>
      <c:catAx>
        <c:axId val="335144064"/>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335145600"/>
        <c:crosses val="autoZero"/>
        <c:auto val="1"/>
        <c:lblAlgn val="ctr"/>
        <c:lblOffset val="100"/>
        <c:noMultiLvlLbl val="0"/>
      </c:catAx>
      <c:valAx>
        <c:axId val="335145600"/>
        <c:scaling>
          <c:orientation val="minMax"/>
        </c:scaling>
        <c:delete val="0"/>
        <c:axPos val="l"/>
        <c:numFmt formatCode="General" sourceLinked="1"/>
        <c:majorTickMark val="none"/>
        <c:minorTickMark val="none"/>
        <c:tickLblPos val="nextTo"/>
        <c:spPr>
          <a:ln w="9525"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335144064"/>
        <c:crosses val="autoZero"/>
        <c:crossBetween val="between"/>
      </c:valAx>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Arial" panose="020B0604020202020204" pitchFamily="34" charset="0"/>
              </a:defRPr>
            </a:pPr>
            <a:r>
              <a:rPr lang="en-US">
                <a:latin typeface="+mn-lt"/>
              </a:rPr>
              <a:t>GMV % Breakdown</a:t>
            </a:r>
            <a:endParaRPr lang="zh-CN">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Arial" panose="020B0604020202020204" pitchFamily="34" charset="0"/>
            </a:defRPr>
          </a:pPr>
          <a:endParaRPr lang="zh-CN"/>
        </a:p>
      </c:txPr>
    </c:title>
    <c:autoTitleDeleted val="0"/>
    <c:plotArea>
      <c:layout/>
      <c:barChart>
        <c:barDir val="col"/>
        <c:grouping val="stacked"/>
        <c:varyColors val="0"/>
        <c:ser>
          <c:idx val="0"/>
          <c:order val="0"/>
          <c:tx>
            <c:strRef>
              <c:f>'DESP Charts'!$A$100</c:f>
              <c:strCache>
                <c:ptCount val="1"/>
                <c:pt idx="0">
                  <c:v>Argentina</c:v>
                </c:pt>
              </c:strCache>
            </c:strRef>
          </c:tx>
          <c:spPr>
            <a:solidFill>
              <a:schemeClr val="accent1"/>
            </a:solidFill>
            <a:ln>
              <a:noFill/>
            </a:ln>
            <a:effectLst/>
          </c:spPr>
          <c:invertIfNegative val="0"/>
          <c:dLbls>
            <c:dLbl>
              <c:idx val="0"/>
              <c:tx>
                <c:rich>
                  <a:bodyPr/>
                  <a:lstStyle/>
                  <a:p>
                    <a:r>
                      <a:rPr lang="en-US" altLang="zh-CN"/>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2B7-487B-AC87-2C879AFBC5A0}"/>
                </c:ext>
              </c:extLst>
            </c:dLbl>
            <c:dLbl>
              <c:idx val="1"/>
              <c:tx>
                <c:rich>
                  <a:bodyPr/>
                  <a:lstStyle/>
                  <a:p>
                    <a:r>
                      <a:rPr lang="en-US" altLang="zh-CN"/>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2B7-487B-AC87-2C879AFBC5A0}"/>
                </c:ext>
              </c:extLst>
            </c:dLbl>
            <c:dLbl>
              <c:idx val="2"/>
              <c:tx>
                <c:rich>
                  <a:bodyPr/>
                  <a:lstStyle/>
                  <a:p>
                    <a:r>
                      <a:rPr lang="en-US" altLang="zh-CN"/>
                      <a:t>26%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2B7-487B-AC87-2C879AFBC5A0}"/>
                </c:ext>
              </c:extLst>
            </c:dLbl>
            <c:dLbl>
              <c:idx val="3"/>
              <c:tx>
                <c:rich>
                  <a:bodyPr/>
                  <a:lstStyle/>
                  <a:p>
                    <a:r>
                      <a:rPr lang="en-US" altLang="zh-CN"/>
                      <a:t>24%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2B7-487B-AC87-2C879AFBC5A0}"/>
                </c:ext>
              </c:extLst>
            </c:dLbl>
            <c:dLbl>
              <c:idx val="4"/>
              <c:tx>
                <c:rich>
                  <a:bodyPr/>
                  <a:lstStyle/>
                  <a:p>
                    <a:r>
                      <a:rPr lang="en-US" altLang="zh-CN"/>
                      <a:t>22%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2B7-487B-AC87-2C879AFBC5A0}"/>
                </c:ext>
              </c:extLst>
            </c:dLbl>
            <c:dLbl>
              <c:idx val="5"/>
              <c:tx>
                <c:rich>
                  <a:bodyPr/>
                  <a:lstStyle/>
                  <a:p>
                    <a:r>
                      <a:rPr lang="en-US" altLang="zh-CN"/>
                      <a:t>24%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2B7-487B-AC87-2C879AFBC5A0}"/>
                </c:ext>
              </c:extLst>
            </c:dLbl>
            <c:dLbl>
              <c:idx val="6"/>
              <c:tx>
                <c:rich>
                  <a:bodyPr/>
                  <a:lstStyle/>
                  <a:p>
                    <a:r>
                      <a:rPr lang="en-US" altLang="zh-CN"/>
                      <a:t>20%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2B7-487B-AC87-2C879AFBC5A0}"/>
                </c:ext>
              </c:extLst>
            </c:dLbl>
            <c:dLbl>
              <c:idx val="7"/>
              <c:tx>
                <c:rich>
                  <a:bodyPr/>
                  <a:lstStyle/>
                  <a:p>
                    <a:r>
                      <a:rPr lang="en-US" altLang="zh-CN"/>
                      <a:t>20%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32B7-487B-AC87-2C879AFBC5A0}"/>
                </c:ext>
              </c:extLst>
            </c:dLbl>
            <c:dLbl>
              <c:idx val="8"/>
              <c:tx>
                <c:rich>
                  <a:bodyPr/>
                  <a:lstStyle/>
                  <a:p>
                    <a:r>
                      <a:rPr lang="en-US" altLang="zh-CN"/>
                      <a:t>24%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2B7-487B-AC87-2C879AFBC5A0}"/>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'DESP Charts'!$B$99:$J$99</c:f>
              <c:strCache>
                <c:ptCount val="9"/>
                <c:pt idx="0">
                  <c:v>Q4-17</c:v>
                </c:pt>
                <c:pt idx="1">
                  <c:v>Q1-18</c:v>
                </c:pt>
                <c:pt idx="2">
                  <c:v>Q2-18</c:v>
                </c:pt>
                <c:pt idx="3">
                  <c:v>Q3-18</c:v>
                </c:pt>
                <c:pt idx="4">
                  <c:v>Q4-18</c:v>
                </c:pt>
                <c:pt idx="5">
                  <c:v>Q1-19</c:v>
                </c:pt>
                <c:pt idx="6">
                  <c:v>Q2-19</c:v>
                </c:pt>
                <c:pt idx="7">
                  <c:v>Q3-19</c:v>
                </c:pt>
                <c:pt idx="8">
                  <c:v>Q4-19</c:v>
                </c:pt>
              </c:strCache>
            </c:strRef>
          </c:cat>
          <c:val>
            <c:numRef>
              <c:f>'DESP Charts'!$B$100:$J$100</c:f>
              <c:numCache>
                <c:formatCode>_(* #,##0_);_(* \(#,##0\);_(* "-"??_);_(@_)</c:formatCode>
                <c:ptCount val="9"/>
                <c:pt idx="0">
                  <c:v>451</c:v>
                </c:pt>
                <c:pt idx="1">
                  <c:v>407</c:v>
                </c:pt>
                <c:pt idx="2">
                  <c:v>312</c:v>
                </c:pt>
                <c:pt idx="3">
                  <c:v>262</c:v>
                </c:pt>
                <c:pt idx="4">
                  <c:v>269</c:v>
                </c:pt>
                <c:pt idx="5">
                  <c:v>275</c:v>
                </c:pt>
                <c:pt idx="6">
                  <c:v>216</c:v>
                </c:pt>
                <c:pt idx="7">
                  <c:v>232</c:v>
                </c:pt>
                <c:pt idx="8">
                  <c:v>304.60000000000002</c:v>
                </c:pt>
              </c:numCache>
            </c:numRef>
          </c:val>
          <c:extLst>
            <c:ext xmlns:c16="http://schemas.microsoft.com/office/drawing/2014/chart" uri="{C3380CC4-5D6E-409C-BE32-E72D297353CC}">
              <c16:uniqueId val="{00000009-32B7-487B-AC87-2C879AFBC5A0}"/>
            </c:ext>
          </c:extLst>
        </c:ser>
        <c:ser>
          <c:idx val="1"/>
          <c:order val="1"/>
          <c:tx>
            <c:strRef>
              <c:f>'DESP Charts'!$A$101</c:f>
              <c:strCache>
                <c:ptCount val="1"/>
                <c:pt idx="0">
                  <c:v>Brazil</c:v>
                </c:pt>
              </c:strCache>
            </c:strRef>
          </c:tx>
          <c:spPr>
            <a:solidFill>
              <a:schemeClr val="accent3"/>
            </a:solidFill>
            <a:ln>
              <a:noFill/>
            </a:ln>
            <a:effectLst/>
          </c:spPr>
          <c:invertIfNegative val="0"/>
          <c:dLbls>
            <c:dLbl>
              <c:idx val="0"/>
              <c:tx>
                <c:rich>
                  <a:bodyPr/>
                  <a:lstStyle/>
                  <a:p>
                    <a:r>
                      <a:rPr lang="en-US" altLang="zh-CN"/>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2B7-487B-AC87-2C879AFBC5A0}"/>
                </c:ext>
              </c:extLst>
            </c:dLbl>
            <c:dLbl>
              <c:idx val="1"/>
              <c:tx>
                <c:rich>
                  <a:bodyPr/>
                  <a:lstStyle/>
                  <a:p>
                    <a:r>
                      <a:rPr lang="en-US" altLang="zh-CN"/>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2B7-487B-AC87-2C879AFBC5A0}"/>
                </c:ext>
              </c:extLst>
            </c:dLbl>
            <c:dLbl>
              <c:idx val="2"/>
              <c:tx>
                <c:rich>
                  <a:bodyPr/>
                  <a:lstStyle/>
                  <a:p>
                    <a:r>
                      <a:rPr lang="en-US" altLang="zh-CN"/>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2B7-487B-AC87-2C879AFBC5A0}"/>
                </c:ext>
              </c:extLst>
            </c:dLbl>
            <c:dLbl>
              <c:idx val="3"/>
              <c:tx>
                <c:rich>
                  <a:bodyPr/>
                  <a:lstStyle/>
                  <a:p>
                    <a:r>
                      <a:rPr lang="en-US" altLang="zh-CN"/>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2B7-487B-AC87-2C879AFBC5A0}"/>
                </c:ext>
              </c:extLst>
            </c:dLbl>
            <c:dLbl>
              <c:idx val="4"/>
              <c:tx>
                <c:rich>
                  <a:bodyPr/>
                  <a:lstStyle/>
                  <a:p>
                    <a:r>
                      <a:rPr lang="en-US" altLang="zh-CN"/>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2B7-487B-AC87-2C879AFBC5A0}"/>
                </c:ext>
              </c:extLst>
            </c:dLbl>
            <c:dLbl>
              <c:idx val="5"/>
              <c:tx>
                <c:rich>
                  <a:bodyPr/>
                  <a:lstStyle/>
                  <a:p>
                    <a:r>
                      <a:rPr lang="en-US" altLang="zh-CN"/>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32B7-487B-AC87-2C879AFBC5A0}"/>
                </c:ext>
              </c:extLst>
            </c:dLbl>
            <c:dLbl>
              <c:idx val="6"/>
              <c:tx>
                <c:rich>
                  <a:bodyPr/>
                  <a:lstStyle/>
                  <a:p>
                    <a:r>
                      <a:rPr lang="en-US" altLang="zh-CN"/>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2B7-487B-AC87-2C879AFBC5A0}"/>
                </c:ext>
              </c:extLst>
            </c:dLbl>
            <c:dLbl>
              <c:idx val="7"/>
              <c:tx>
                <c:rich>
                  <a:bodyPr/>
                  <a:lstStyle/>
                  <a:p>
                    <a:r>
                      <a:rPr lang="en-US" altLang="zh-CN"/>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2B7-487B-AC87-2C879AFBC5A0}"/>
                </c:ext>
              </c:extLst>
            </c:dLbl>
            <c:dLbl>
              <c:idx val="8"/>
              <c:tx>
                <c:rich>
                  <a:bodyPr/>
                  <a:lstStyle/>
                  <a:p>
                    <a:r>
                      <a:rPr lang="en-US" altLang="zh-CN"/>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2B7-487B-AC87-2C879AFBC5A0}"/>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'DESP Charts'!$B$99:$J$99</c:f>
              <c:strCache>
                <c:ptCount val="9"/>
                <c:pt idx="0">
                  <c:v>Q4-17</c:v>
                </c:pt>
                <c:pt idx="1">
                  <c:v>Q1-18</c:v>
                </c:pt>
                <c:pt idx="2">
                  <c:v>Q2-18</c:v>
                </c:pt>
                <c:pt idx="3">
                  <c:v>Q3-18</c:v>
                </c:pt>
                <c:pt idx="4">
                  <c:v>Q4-18</c:v>
                </c:pt>
                <c:pt idx="5">
                  <c:v>Q1-19</c:v>
                </c:pt>
                <c:pt idx="6">
                  <c:v>Q2-19</c:v>
                </c:pt>
                <c:pt idx="7">
                  <c:v>Q3-19</c:v>
                </c:pt>
                <c:pt idx="8">
                  <c:v>Q4-19</c:v>
                </c:pt>
              </c:strCache>
            </c:strRef>
          </c:cat>
          <c:val>
            <c:numRef>
              <c:f>'DESP Charts'!$B$101:$J$101</c:f>
              <c:numCache>
                <c:formatCode>_(* #,##0_);_(* \(#,##0\);_(* "-"??_);_(@_)</c:formatCode>
                <c:ptCount val="9"/>
                <c:pt idx="0">
                  <c:v>441</c:v>
                </c:pt>
                <c:pt idx="1">
                  <c:v>452</c:v>
                </c:pt>
                <c:pt idx="2">
                  <c:v>435</c:v>
                </c:pt>
                <c:pt idx="3">
                  <c:v>407.9</c:v>
                </c:pt>
                <c:pt idx="4">
                  <c:v>496</c:v>
                </c:pt>
                <c:pt idx="5">
                  <c:v>466</c:v>
                </c:pt>
                <c:pt idx="6">
                  <c:v>452</c:v>
                </c:pt>
                <c:pt idx="7">
                  <c:v>468</c:v>
                </c:pt>
                <c:pt idx="8">
                  <c:v>492.5</c:v>
                </c:pt>
              </c:numCache>
            </c:numRef>
          </c:val>
          <c:extLst>
            <c:ext xmlns:c16="http://schemas.microsoft.com/office/drawing/2014/chart" uri="{C3380CC4-5D6E-409C-BE32-E72D297353CC}">
              <c16:uniqueId val="{00000013-32B7-487B-AC87-2C879AFBC5A0}"/>
            </c:ext>
          </c:extLst>
        </c:ser>
        <c:ser>
          <c:idx val="2"/>
          <c:order val="2"/>
          <c:tx>
            <c:strRef>
              <c:f>'DESP Charts'!$A$102</c:f>
              <c:strCache>
                <c:ptCount val="1"/>
                <c:pt idx="0">
                  <c:v>Rest of LATAM</c:v>
                </c:pt>
              </c:strCache>
            </c:strRef>
          </c:tx>
          <c:spPr>
            <a:solidFill>
              <a:schemeClr val="accent5"/>
            </a:solidFill>
            <a:ln>
              <a:noFill/>
            </a:ln>
            <a:effectLst/>
          </c:spPr>
          <c:invertIfNegative val="0"/>
          <c:dLbls>
            <c:dLbl>
              <c:idx val="0"/>
              <c:tx>
                <c:rich>
                  <a:bodyPr/>
                  <a:lstStyle/>
                  <a:p>
                    <a:r>
                      <a:rPr lang="en-US" altLang="zh-CN"/>
                      <a:t>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2B7-487B-AC87-2C879AFBC5A0}"/>
                </c:ext>
              </c:extLst>
            </c:dLbl>
            <c:dLbl>
              <c:idx val="1"/>
              <c:tx>
                <c:rich>
                  <a:bodyPr/>
                  <a:lstStyle/>
                  <a:p>
                    <a:r>
                      <a:rPr lang="en-US" altLang="zh-CN"/>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2B7-487B-AC87-2C879AFBC5A0}"/>
                </c:ext>
              </c:extLst>
            </c:dLbl>
            <c:dLbl>
              <c:idx val="2"/>
              <c:tx>
                <c:rich>
                  <a:bodyPr/>
                  <a:lstStyle/>
                  <a:p>
                    <a:r>
                      <a:rPr lang="en-US" altLang="zh-CN"/>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32B7-487B-AC87-2C879AFBC5A0}"/>
                </c:ext>
              </c:extLst>
            </c:dLbl>
            <c:dLbl>
              <c:idx val="3"/>
              <c:tx>
                <c:rich>
                  <a:bodyPr/>
                  <a:lstStyle/>
                  <a:p>
                    <a:r>
                      <a:rPr lang="en-US" altLang="zh-CN"/>
                      <a:t>39%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32B7-487B-AC87-2C879AFBC5A0}"/>
                </c:ext>
              </c:extLst>
            </c:dLbl>
            <c:dLbl>
              <c:idx val="4"/>
              <c:tx>
                <c:rich>
                  <a:bodyPr/>
                  <a:lstStyle/>
                  <a:p>
                    <a:r>
                      <a:rPr lang="en-US" altLang="zh-CN"/>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2B7-487B-AC87-2C879AFBC5A0}"/>
                </c:ext>
              </c:extLst>
            </c:dLbl>
            <c:dLbl>
              <c:idx val="5"/>
              <c:tx>
                <c:rich>
                  <a:bodyPr/>
                  <a:lstStyle/>
                  <a:p>
                    <a:r>
                      <a:rPr lang="en-US" altLang="zh-CN"/>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32B7-487B-AC87-2C879AFBC5A0}"/>
                </c:ext>
              </c:extLst>
            </c:dLbl>
            <c:dLbl>
              <c:idx val="6"/>
              <c:tx>
                <c:rich>
                  <a:bodyPr/>
                  <a:lstStyle/>
                  <a:p>
                    <a:r>
                      <a:rPr lang="en-US" altLang="zh-CN"/>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32B7-487B-AC87-2C879AFBC5A0}"/>
                </c:ext>
              </c:extLst>
            </c:dLbl>
            <c:dLbl>
              <c:idx val="7"/>
              <c:tx>
                <c:rich>
                  <a:bodyPr/>
                  <a:lstStyle/>
                  <a:p>
                    <a:r>
                      <a:rPr lang="en-US" altLang="zh-CN"/>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2B7-487B-AC87-2C879AFBC5A0}"/>
                </c:ext>
              </c:extLst>
            </c:dLbl>
            <c:dLbl>
              <c:idx val="8"/>
              <c:tx>
                <c:rich>
                  <a:bodyPr/>
                  <a:lstStyle/>
                  <a:p>
                    <a:r>
                      <a:rPr lang="en-US" altLang="zh-CN"/>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2B7-487B-AC87-2C879AFBC5A0}"/>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'DESP Charts'!$B$99:$J$99</c:f>
              <c:strCache>
                <c:ptCount val="9"/>
                <c:pt idx="0">
                  <c:v>Q4-17</c:v>
                </c:pt>
                <c:pt idx="1">
                  <c:v>Q1-18</c:v>
                </c:pt>
                <c:pt idx="2">
                  <c:v>Q2-18</c:v>
                </c:pt>
                <c:pt idx="3">
                  <c:v>Q3-18</c:v>
                </c:pt>
                <c:pt idx="4">
                  <c:v>Q4-18</c:v>
                </c:pt>
                <c:pt idx="5">
                  <c:v>Q1-19</c:v>
                </c:pt>
                <c:pt idx="6">
                  <c:v>Q2-19</c:v>
                </c:pt>
                <c:pt idx="7">
                  <c:v>Q3-19</c:v>
                </c:pt>
                <c:pt idx="8">
                  <c:v>Q4-19</c:v>
                </c:pt>
              </c:strCache>
            </c:strRef>
          </c:cat>
          <c:val>
            <c:numRef>
              <c:f>'DESP Charts'!$B$102:$J$102</c:f>
              <c:numCache>
                <c:formatCode>_(* #,##0_);_(* \(#,##0\);_(* "-"??_);_(@_)</c:formatCode>
                <c:ptCount val="9"/>
                <c:pt idx="0">
                  <c:v>367</c:v>
                </c:pt>
                <c:pt idx="1">
                  <c:v>373</c:v>
                </c:pt>
                <c:pt idx="2">
                  <c:v>437</c:v>
                </c:pt>
                <c:pt idx="3">
                  <c:v>422.8</c:v>
                </c:pt>
                <c:pt idx="4">
                  <c:v>443</c:v>
                </c:pt>
                <c:pt idx="5">
                  <c:v>416</c:v>
                </c:pt>
                <c:pt idx="6">
                  <c:v>450</c:v>
                </c:pt>
                <c:pt idx="7">
                  <c:v>478</c:v>
                </c:pt>
                <c:pt idx="8">
                  <c:v>483.4</c:v>
                </c:pt>
              </c:numCache>
            </c:numRef>
          </c:val>
          <c:extLst>
            <c:ext xmlns:c16="http://schemas.microsoft.com/office/drawing/2014/chart" uri="{C3380CC4-5D6E-409C-BE32-E72D297353CC}">
              <c16:uniqueId val="{0000001D-32B7-487B-AC87-2C879AFBC5A0}"/>
            </c:ext>
          </c:extLst>
        </c:ser>
        <c:dLbls>
          <c:showLegendKey val="0"/>
          <c:showVal val="0"/>
          <c:showCatName val="0"/>
          <c:showSerName val="0"/>
          <c:showPercent val="0"/>
          <c:showBubbleSize val="0"/>
        </c:dLbls>
        <c:gapWidth val="150"/>
        <c:overlap val="100"/>
        <c:axId val="952555480"/>
        <c:axId val="952555808"/>
      </c:barChart>
      <c:catAx>
        <c:axId val="952555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zh-CN"/>
          </a:p>
        </c:txPr>
        <c:crossAx val="952555808"/>
        <c:crosses val="autoZero"/>
        <c:auto val="1"/>
        <c:lblAlgn val="ctr"/>
        <c:lblOffset val="100"/>
        <c:noMultiLvlLbl val="0"/>
      </c:catAx>
      <c:valAx>
        <c:axId val="95255580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zh-CN"/>
          </a:p>
        </c:txPr>
        <c:crossAx val="952555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zh-CN"/>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GMV</a:t>
            </a:r>
            <a:r>
              <a:rPr lang="en-US" altLang="zh-CN" baseline="0"/>
              <a:t> &amp; Revenue</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'DESP Charts'!$A$105</c:f>
              <c:strCache>
                <c:ptCount val="1"/>
                <c:pt idx="0">
                  <c:v>GMV</c:v>
                </c:pt>
              </c:strCache>
            </c:strRef>
          </c:tx>
          <c:spPr>
            <a:solidFill>
              <a:schemeClr val="accent1"/>
            </a:solidFill>
            <a:ln>
              <a:noFill/>
            </a:ln>
            <a:effectLst/>
          </c:spPr>
          <c:invertIfNegative val="0"/>
          <c:cat>
            <c:strRef>
              <c:f>'DESP Charts'!$B$104:$J$104</c:f>
              <c:strCache>
                <c:ptCount val="9"/>
                <c:pt idx="0">
                  <c:v>Q4-17</c:v>
                </c:pt>
                <c:pt idx="1">
                  <c:v>Q1-18</c:v>
                </c:pt>
                <c:pt idx="2">
                  <c:v>Q2-18</c:v>
                </c:pt>
                <c:pt idx="3">
                  <c:v>Q3-18</c:v>
                </c:pt>
                <c:pt idx="4">
                  <c:v>Q4-18</c:v>
                </c:pt>
                <c:pt idx="5">
                  <c:v>Q1-19</c:v>
                </c:pt>
                <c:pt idx="6">
                  <c:v>Q2-19</c:v>
                </c:pt>
                <c:pt idx="7">
                  <c:v>Q3-19</c:v>
                </c:pt>
                <c:pt idx="8">
                  <c:v>Q4-19</c:v>
                </c:pt>
              </c:strCache>
            </c:strRef>
          </c:cat>
          <c:val>
            <c:numRef>
              <c:f>'DESP Charts'!$B$105:$J$105</c:f>
              <c:numCache>
                <c:formatCode>_(* #,##0_);_(* \(#,##0\);_(* "-"??_);_(@_)</c:formatCode>
                <c:ptCount val="9"/>
                <c:pt idx="0">
                  <c:v>1258.3979999999999</c:v>
                </c:pt>
                <c:pt idx="1">
                  <c:v>1231.4970000000001</c:v>
                </c:pt>
                <c:pt idx="2">
                  <c:v>1184.355</c:v>
                </c:pt>
                <c:pt idx="3">
                  <c:v>1092.3</c:v>
                </c:pt>
                <c:pt idx="4">
                  <c:v>1207.2</c:v>
                </c:pt>
                <c:pt idx="5">
                  <c:v>1157.5</c:v>
                </c:pt>
                <c:pt idx="6">
                  <c:v>1118.0999999999999</c:v>
                </c:pt>
                <c:pt idx="7">
                  <c:v>1177.7</c:v>
                </c:pt>
                <c:pt idx="8">
                  <c:v>1280.9000000000001</c:v>
                </c:pt>
              </c:numCache>
            </c:numRef>
          </c:val>
          <c:extLst>
            <c:ext xmlns:c16="http://schemas.microsoft.com/office/drawing/2014/chart" uri="{C3380CC4-5D6E-409C-BE32-E72D297353CC}">
              <c16:uniqueId val="{00000000-07C7-4754-B4CE-58F8971423A7}"/>
            </c:ext>
          </c:extLst>
        </c:ser>
        <c:ser>
          <c:idx val="1"/>
          <c:order val="1"/>
          <c:tx>
            <c:strRef>
              <c:f>'DESP Charts'!$A$106</c:f>
              <c:strCache>
                <c:ptCount val="1"/>
                <c:pt idx="0">
                  <c:v>Revenue</c:v>
                </c:pt>
              </c:strCache>
            </c:strRef>
          </c:tx>
          <c:spPr>
            <a:solidFill>
              <a:schemeClr val="accent3"/>
            </a:solidFill>
            <a:ln>
              <a:noFill/>
            </a:ln>
            <a:effectLst/>
          </c:spPr>
          <c:invertIfNegative val="0"/>
          <c:cat>
            <c:strRef>
              <c:f>'DESP Charts'!$B$104:$J$104</c:f>
              <c:strCache>
                <c:ptCount val="9"/>
                <c:pt idx="0">
                  <c:v>Q4-17</c:v>
                </c:pt>
                <c:pt idx="1">
                  <c:v>Q1-18</c:v>
                </c:pt>
                <c:pt idx="2">
                  <c:v>Q2-18</c:v>
                </c:pt>
                <c:pt idx="3">
                  <c:v>Q3-18</c:v>
                </c:pt>
                <c:pt idx="4">
                  <c:v>Q4-18</c:v>
                </c:pt>
                <c:pt idx="5">
                  <c:v>Q1-19</c:v>
                </c:pt>
                <c:pt idx="6">
                  <c:v>Q2-19</c:v>
                </c:pt>
                <c:pt idx="7">
                  <c:v>Q3-19</c:v>
                </c:pt>
                <c:pt idx="8">
                  <c:v>Q4-19</c:v>
                </c:pt>
              </c:strCache>
            </c:strRef>
          </c:cat>
          <c:val>
            <c:numRef>
              <c:f>'DESP Charts'!$B$106:$J$106</c:f>
              <c:numCache>
                <c:formatCode>_(* #,##0_);_(* \(#,##0\);_(* "-"??_);_(@_)</c:formatCode>
                <c:ptCount val="9"/>
                <c:pt idx="0">
                  <c:v>144.011</c:v>
                </c:pt>
                <c:pt idx="1">
                  <c:v>148.59299999999999</c:v>
                </c:pt>
                <c:pt idx="2">
                  <c:v>128.25899999999999</c:v>
                </c:pt>
                <c:pt idx="3">
                  <c:v>121.2</c:v>
                </c:pt>
                <c:pt idx="4">
                  <c:v>132.51499999999999</c:v>
                </c:pt>
                <c:pt idx="5">
                  <c:v>133.114</c:v>
                </c:pt>
                <c:pt idx="6">
                  <c:v>114.087</c:v>
                </c:pt>
                <c:pt idx="7">
                  <c:v>132.048</c:v>
                </c:pt>
                <c:pt idx="8">
                  <c:v>145.62700000000001</c:v>
                </c:pt>
              </c:numCache>
            </c:numRef>
          </c:val>
          <c:extLst>
            <c:ext xmlns:c16="http://schemas.microsoft.com/office/drawing/2014/chart" uri="{C3380CC4-5D6E-409C-BE32-E72D297353CC}">
              <c16:uniqueId val="{00000001-07C7-4754-B4CE-58F8971423A7}"/>
            </c:ext>
          </c:extLst>
        </c:ser>
        <c:dLbls>
          <c:showLegendKey val="0"/>
          <c:showVal val="0"/>
          <c:showCatName val="0"/>
          <c:showSerName val="0"/>
          <c:showPercent val="0"/>
          <c:showBubbleSize val="0"/>
        </c:dLbls>
        <c:gapWidth val="219"/>
        <c:axId val="276408016"/>
        <c:axId val="276409656"/>
      </c:barChart>
      <c:lineChart>
        <c:grouping val="standard"/>
        <c:varyColors val="0"/>
        <c:ser>
          <c:idx val="2"/>
          <c:order val="2"/>
          <c:tx>
            <c:strRef>
              <c:f>'DESP Charts'!$A$107</c:f>
              <c:strCache>
                <c:ptCount val="1"/>
                <c:pt idx="0">
                  <c:v>GMV Growth</c:v>
                </c:pt>
              </c:strCache>
            </c:strRef>
          </c:tx>
          <c:spPr>
            <a:ln w="28575" cap="rnd">
              <a:solidFill>
                <a:schemeClr val="tx1">
                  <a:lumMod val="65000"/>
                  <a:lumOff val="35000"/>
                </a:schemeClr>
              </a:solidFill>
              <a:round/>
            </a:ln>
            <a:effectLst/>
          </c:spPr>
          <c:marker>
            <c:symbol val="circle"/>
            <c:size val="5"/>
            <c:spPr>
              <a:solidFill>
                <a:schemeClr val="tx1">
                  <a:lumMod val="65000"/>
                  <a:lumOff val="35000"/>
                </a:schemeClr>
              </a:solidFill>
              <a:ln w="9525">
                <a:solidFill>
                  <a:schemeClr val="tx1">
                    <a:lumMod val="65000"/>
                    <a:lumOff val="35000"/>
                  </a:schemeClr>
                </a:solidFill>
              </a:ln>
              <a:effectLst/>
            </c:spPr>
          </c:marker>
          <c:cat>
            <c:strRef>
              <c:f>'DESP Charts'!$B$104:$J$104</c:f>
              <c:strCache>
                <c:ptCount val="9"/>
                <c:pt idx="0">
                  <c:v>Q4-17</c:v>
                </c:pt>
                <c:pt idx="1">
                  <c:v>Q1-18</c:v>
                </c:pt>
                <c:pt idx="2">
                  <c:v>Q2-18</c:v>
                </c:pt>
                <c:pt idx="3">
                  <c:v>Q3-18</c:v>
                </c:pt>
                <c:pt idx="4">
                  <c:v>Q4-18</c:v>
                </c:pt>
                <c:pt idx="5">
                  <c:v>Q1-19</c:v>
                </c:pt>
                <c:pt idx="6">
                  <c:v>Q2-19</c:v>
                </c:pt>
                <c:pt idx="7">
                  <c:v>Q3-19</c:v>
                </c:pt>
                <c:pt idx="8">
                  <c:v>Q4-19</c:v>
                </c:pt>
              </c:strCache>
            </c:strRef>
          </c:cat>
          <c:val>
            <c:numRef>
              <c:f>'DESP Charts'!$B$107:$J$107</c:f>
              <c:numCache>
                <c:formatCode>0.0%</c:formatCode>
                <c:ptCount val="9"/>
                <c:pt idx="1">
                  <c:v>0.20841387810052389</c:v>
                </c:pt>
                <c:pt idx="2">
                  <c:v>0.11623560591352139</c:v>
                </c:pt>
                <c:pt idx="3">
                  <c:v>-2.1255853379234444E-2</c:v>
                </c:pt>
                <c:pt idx="4">
                  <c:v>-4.0685061482932938E-2</c:v>
                </c:pt>
                <c:pt idx="5">
                  <c:v>-6.0087032286720965E-2</c:v>
                </c:pt>
                <c:pt idx="6">
                  <c:v>-5.5941841761971811E-2</c:v>
                </c:pt>
                <c:pt idx="7">
                  <c:v>7.8183649180628034E-2</c:v>
                </c:pt>
                <c:pt idx="8">
                  <c:v>6.1050364479787955E-2</c:v>
                </c:pt>
              </c:numCache>
            </c:numRef>
          </c:val>
          <c:smooth val="0"/>
          <c:extLst>
            <c:ext xmlns:c16="http://schemas.microsoft.com/office/drawing/2014/chart" uri="{C3380CC4-5D6E-409C-BE32-E72D297353CC}">
              <c16:uniqueId val="{00000002-07C7-4754-B4CE-58F8971423A7}"/>
            </c:ext>
          </c:extLst>
        </c:ser>
        <c:ser>
          <c:idx val="3"/>
          <c:order val="3"/>
          <c:tx>
            <c:strRef>
              <c:f>'DESP Charts'!$A$108</c:f>
              <c:strCache>
                <c:ptCount val="1"/>
                <c:pt idx="0">
                  <c:v>Revenue Growth</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cat>
            <c:strRef>
              <c:f>'DESP Charts'!$B$104:$J$104</c:f>
              <c:strCache>
                <c:ptCount val="9"/>
                <c:pt idx="0">
                  <c:v>Q4-17</c:v>
                </c:pt>
                <c:pt idx="1">
                  <c:v>Q1-18</c:v>
                </c:pt>
                <c:pt idx="2">
                  <c:v>Q2-18</c:v>
                </c:pt>
                <c:pt idx="3">
                  <c:v>Q3-18</c:v>
                </c:pt>
                <c:pt idx="4">
                  <c:v>Q4-18</c:v>
                </c:pt>
                <c:pt idx="5">
                  <c:v>Q1-19</c:v>
                </c:pt>
                <c:pt idx="6">
                  <c:v>Q2-19</c:v>
                </c:pt>
                <c:pt idx="7">
                  <c:v>Q3-19</c:v>
                </c:pt>
                <c:pt idx="8">
                  <c:v>Q4-19</c:v>
                </c:pt>
              </c:strCache>
            </c:strRef>
          </c:cat>
          <c:val>
            <c:numRef>
              <c:f>'DESP Charts'!$B$108:$J$108</c:f>
              <c:numCache>
                <c:formatCode>0.0%</c:formatCode>
                <c:ptCount val="9"/>
                <c:pt idx="1">
                  <c:v>0.22119857328358439</c:v>
                </c:pt>
                <c:pt idx="2">
                  <c:v>3.9350745119648423E-2</c:v>
                </c:pt>
                <c:pt idx="3">
                  <c:v>-8.7198180421455329E-2</c:v>
                </c:pt>
                <c:pt idx="4">
                  <c:v>-7.982723541951664E-2</c:v>
                </c:pt>
                <c:pt idx="5">
                  <c:v>-0.1041704521747322</c:v>
                </c:pt>
                <c:pt idx="6">
                  <c:v>-0.11049516992959552</c:v>
                </c:pt>
                <c:pt idx="7">
                  <c:v>8.9504950495049584E-2</c:v>
                </c:pt>
                <c:pt idx="8">
                  <c:v>9.8947288986152682E-2</c:v>
                </c:pt>
              </c:numCache>
            </c:numRef>
          </c:val>
          <c:smooth val="0"/>
          <c:extLst>
            <c:ext xmlns:c16="http://schemas.microsoft.com/office/drawing/2014/chart" uri="{C3380CC4-5D6E-409C-BE32-E72D297353CC}">
              <c16:uniqueId val="{00000003-07C7-4754-B4CE-58F8971423A7}"/>
            </c:ext>
          </c:extLst>
        </c:ser>
        <c:dLbls>
          <c:showLegendKey val="0"/>
          <c:showVal val="0"/>
          <c:showCatName val="0"/>
          <c:showSerName val="0"/>
          <c:showPercent val="0"/>
          <c:showBubbleSize val="0"/>
        </c:dLbls>
        <c:marker val="1"/>
        <c:smooth val="0"/>
        <c:axId val="535700144"/>
        <c:axId val="535700472"/>
      </c:lineChart>
      <c:catAx>
        <c:axId val="27640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76409656"/>
        <c:crosses val="autoZero"/>
        <c:auto val="1"/>
        <c:lblAlgn val="ctr"/>
        <c:lblOffset val="100"/>
        <c:noMultiLvlLbl val="0"/>
      </c:catAx>
      <c:valAx>
        <c:axId val="276409656"/>
        <c:scaling>
          <c:orientation val="minMax"/>
          <c:min val="-140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76408016"/>
        <c:crosses val="autoZero"/>
        <c:crossBetween val="between"/>
      </c:valAx>
      <c:valAx>
        <c:axId val="535700472"/>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35700144"/>
        <c:crosses val="max"/>
        <c:crossBetween val="between"/>
      </c:valAx>
      <c:catAx>
        <c:axId val="535700144"/>
        <c:scaling>
          <c:orientation val="minMax"/>
        </c:scaling>
        <c:delete val="1"/>
        <c:axPos val="b"/>
        <c:numFmt formatCode="General" sourceLinked="1"/>
        <c:majorTickMark val="out"/>
        <c:minorTickMark val="none"/>
        <c:tickLblPos val="nextTo"/>
        <c:crossAx val="5357004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pieChart>
        <c:varyColors val="1"/>
        <c:ser>
          <c:idx val="0"/>
          <c:order val="0"/>
          <c:tx>
            <c:strRef>
              <c:f>'DESP Charts'!$B$110</c:f>
              <c:strCache>
                <c:ptCount val="1"/>
                <c:pt idx="0">
                  <c:v>Revenue Breakdown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01-418C-A770-890F98922290}"/>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601-418C-A770-890F98922290}"/>
              </c:ext>
            </c:extLst>
          </c:dPt>
          <c:cat>
            <c:strRef>
              <c:f>'DESP Charts'!$A$111:$A$112</c:f>
              <c:strCache>
                <c:ptCount val="2"/>
                <c:pt idx="0">
                  <c:v>From Customers</c:v>
                </c:pt>
                <c:pt idx="1">
                  <c:v>From Suppliers</c:v>
                </c:pt>
              </c:strCache>
            </c:strRef>
          </c:cat>
          <c:val>
            <c:numRef>
              <c:f>'DESP Charts'!$B$111:$B$112</c:f>
              <c:numCache>
                <c:formatCode>0%</c:formatCode>
                <c:ptCount val="2"/>
                <c:pt idx="0">
                  <c:v>0.25</c:v>
                </c:pt>
                <c:pt idx="1">
                  <c:v>0.75</c:v>
                </c:pt>
              </c:numCache>
            </c:numRef>
          </c:val>
          <c:extLst>
            <c:ext xmlns:c16="http://schemas.microsoft.com/office/drawing/2014/chart" uri="{C3380CC4-5D6E-409C-BE32-E72D297353CC}">
              <c16:uniqueId val="{00000004-A601-418C-A770-890F9892229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Argentina GMV Growth</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'DESP Charts'!$A$114</c:f>
              <c:strCache>
                <c:ptCount val="1"/>
                <c:pt idx="0">
                  <c:v>Argentina GMV (as reported)</c:v>
                </c:pt>
              </c:strCache>
            </c:strRef>
          </c:tx>
          <c:spPr>
            <a:solidFill>
              <a:schemeClr val="accent1"/>
            </a:solidFill>
            <a:ln>
              <a:noFill/>
            </a:ln>
            <a:effectLst/>
          </c:spPr>
          <c:invertIfNegative val="0"/>
          <c:cat>
            <c:strRef>
              <c:f>'DESP Charts'!$B$113:$J$113</c:f>
              <c:strCache>
                <c:ptCount val="9"/>
                <c:pt idx="0">
                  <c:v>Q4-17</c:v>
                </c:pt>
                <c:pt idx="1">
                  <c:v>Q1-18</c:v>
                </c:pt>
                <c:pt idx="2">
                  <c:v>Q2-18</c:v>
                </c:pt>
                <c:pt idx="3">
                  <c:v>Q3-18</c:v>
                </c:pt>
                <c:pt idx="4">
                  <c:v>Q4-18</c:v>
                </c:pt>
                <c:pt idx="5">
                  <c:v>Q1-19</c:v>
                </c:pt>
                <c:pt idx="6">
                  <c:v>Q2-19</c:v>
                </c:pt>
                <c:pt idx="7">
                  <c:v>Q3-19</c:v>
                </c:pt>
                <c:pt idx="8">
                  <c:v>Q4-19</c:v>
                </c:pt>
              </c:strCache>
            </c:strRef>
          </c:cat>
          <c:val>
            <c:numRef>
              <c:f>'DESP Charts'!$B$114:$J$114</c:f>
              <c:numCache>
                <c:formatCode>_(* #,##0_);_(* \(#,##0\);_(* "-"??_);_(@_)</c:formatCode>
                <c:ptCount val="9"/>
                <c:pt idx="0">
                  <c:v>451</c:v>
                </c:pt>
                <c:pt idx="1">
                  <c:v>407</c:v>
                </c:pt>
                <c:pt idx="2">
                  <c:v>312</c:v>
                </c:pt>
                <c:pt idx="3">
                  <c:v>262</c:v>
                </c:pt>
                <c:pt idx="4">
                  <c:v>269</c:v>
                </c:pt>
                <c:pt idx="5">
                  <c:v>275</c:v>
                </c:pt>
                <c:pt idx="6">
                  <c:v>216</c:v>
                </c:pt>
                <c:pt idx="7">
                  <c:v>232</c:v>
                </c:pt>
                <c:pt idx="8">
                  <c:v>304.60000000000002</c:v>
                </c:pt>
              </c:numCache>
            </c:numRef>
          </c:val>
          <c:extLst>
            <c:ext xmlns:c16="http://schemas.microsoft.com/office/drawing/2014/chart" uri="{C3380CC4-5D6E-409C-BE32-E72D297353CC}">
              <c16:uniqueId val="{00000000-DD27-4AF3-9757-D0352F6AD172}"/>
            </c:ext>
          </c:extLst>
        </c:ser>
        <c:dLbls>
          <c:showLegendKey val="0"/>
          <c:showVal val="0"/>
          <c:showCatName val="0"/>
          <c:showSerName val="0"/>
          <c:showPercent val="0"/>
          <c:showBubbleSize val="0"/>
        </c:dLbls>
        <c:gapWidth val="219"/>
        <c:axId val="603381864"/>
        <c:axId val="603383504"/>
      </c:barChart>
      <c:lineChart>
        <c:grouping val="standard"/>
        <c:varyColors val="0"/>
        <c:ser>
          <c:idx val="1"/>
          <c:order val="1"/>
          <c:tx>
            <c:strRef>
              <c:f>'DESP Charts'!$A$115</c:f>
              <c:strCache>
                <c:ptCount val="1"/>
                <c:pt idx="0">
                  <c:v>Growth (as reported)</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'DESP Charts'!$B$113:$J$113</c:f>
              <c:strCache>
                <c:ptCount val="9"/>
                <c:pt idx="0">
                  <c:v>Q4-17</c:v>
                </c:pt>
                <c:pt idx="1">
                  <c:v>Q1-18</c:v>
                </c:pt>
                <c:pt idx="2">
                  <c:v>Q2-18</c:v>
                </c:pt>
                <c:pt idx="3">
                  <c:v>Q3-18</c:v>
                </c:pt>
                <c:pt idx="4">
                  <c:v>Q4-18</c:v>
                </c:pt>
                <c:pt idx="5">
                  <c:v>Q1-19</c:v>
                </c:pt>
                <c:pt idx="6">
                  <c:v>Q2-19</c:v>
                </c:pt>
                <c:pt idx="7">
                  <c:v>Q3-19</c:v>
                </c:pt>
                <c:pt idx="8">
                  <c:v>Q4-19</c:v>
                </c:pt>
              </c:strCache>
            </c:strRef>
          </c:cat>
          <c:val>
            <c:numRef>
              <c:f>'DESP Charts'!$B$115:$J$115</c:f>
              <c:numCache>
                <c:formatCode>_([$€-2]* #,##0.00_);_([$€-2]* \(#,##0.00\);_([$€-2]* "-"??_)</c:formatCode>
                <c:ptCount val="9"/>
                <c:pt idx="5" formatCode="0%">
                  <c:v>-0.32432432432432434</c:v>
                </c:pt>
                <c:pt idx="6" formatCode="0%">
                  <c:v>-0.30769230769230771</c:v>
                </c:pt>
                <c:pt idx="7" formatCode="0%">
                  <c:v>-0.1145038167938931</c:v>
                </c:pt>
                <c:pt idx="8" formatCode="0%">
                  <c:v>0.1323420074349444</c:v>
                </c:pt>
              </c:numCache>
            </c:numRef>
          </c:val>
          <c:smooth val="0"/>
          <c:extLst>
            <c:ext xmlns:c16="http://schemas.microsoft.com/office/drawing/2014/chart" uri="{C3380CC4-5D6E-409C-BE32-E72D297353CC}">
              <c16:uniqueId val="{00000001-DD27-4AF3-9757-D0352F6AD172}"/>
            </c:ext>
          </c:extLst>
        </c:ser>
        <c:ser>
          <c:idx val="2"/>
          <c:order val="2"/>
          <c:tx>
            <c:strRef>
              <c:f>'DESP Charts'!$A$116</c:f>
              <c:strCache>
                <c:ptCount val="1"/>
                <c:pt idx="0">
                  <c:v>Growth (FX Neutral)</c:v>
                </c:pt>
              </c:strCache>
            </c:strRef>
          </c:tx>
          <c:spPr>
            <a:ln w="28575" cap="rnd">
              <a:solidFill>
                <a:schemeClr val="tx1">
                  <a:lumMod val="65000"/>
                  <a:lumOff val="35000"/>
                </a:schemeClr>
              </a:solidFill>
              <a:round/>
            </a:ln>
            <a:effectLst/>
          </c:spPr>
          <c:marker>
            <c:symbol val="circle"/>
            <c:size val="5"/>
            <c:spPr>
              <a:solidFill>
                <a:schemeClr val="tx1">
                  <a:lumMod val="65000"/>
                  <a:lumOff val="35000"/>
                </a:schemeClr>
              </a:solidFill>
              <a:ln w="9525">
                <a:solidFill>
                  <a:schemeClr val="tx1">
                    <a:lumMod val="65000"/>
                    <a:lumOff val="3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'DESP Charts'!$B$113:$J$113</c:f>
              <c:strCache>
                <c:ptCount val="9"/>
                <c:pt idx="0">
                  <c:v>Q4-17</c:v>
                </c:pt>
                <c:pt idx="1">
                  <c:v>Q1-18</c:v>
                </c:pt>
                <c:pt idx="2">
                  <c:v>Q2-18</c:v>
                </c:pt>
                <c:pt idx="3">
                  <c:v>Q3-18</c:v>
                </c:pt>
                <c:pt idx="4">
                  <c:v>Q4-18</c:v>
                </c:pt>
                <c:pt idx="5">
                  <c:v>Q1-19</c:v>
                </c:pt>
                <c:pt idx="6">
                  <c:v>Q2-19</c:v>
                </c:pt>
                <c:pt idx="7">
                  <c:v>Q3-19</c:v>
                </c:pt>
                <c:pt idx="8">
                  <c:v>Q4-19</c:v>
                </c:pt>
              </c:strCache>
            </c:strRef>
          </c:cat>
          <c:val>
            <c:numRef>
              <c:f>'DESP Charts'!$B$116:$J$116</c:f>
              <c:numCache>
                <c:formatCode>_([$€-2]* #,##0.00_);_([$€-2]* \(#,##0.00\);_([$€-2]* "-"??_)</c:formatCode>
                <c:ptCount val="9"/>
                <c:pt idx="5" formatCode="0%">
                  <c:v>0.3390663390663391</c:v>
                </c:pt>
                <c:pt idx="6" formatCode="0%">
                  <c:v>0.29807692307692313</c:v>
                </c:pt>
                <c:pt idx="7" formatCode="0%">
                  <c:v>0.46564885496183206</c:v>
                </c:pt>
                <c:pt idx="8" formatCode="0%">
                  <c:v>0.81040892193308545</c:v>
                </c:pt>
              </c:numCache>
            </c:numRef>
          </c:val>
          <c:smooth val="0"/>
          <c:extLst>
            <c:ext xmlns:c16="http://schemas.microsoft.com/office/drawing/2014/chart" uri="{C3380CC4-5D6E-409C-BE32-E72D297353CC}">
              <c16:uniqueId val="{00000002-DD27-4AF3-9757-D0352F6AD172}"/>
            </c:ext>
          </c:extLst>
        </c:ser>
        <c:dLbls>
          <c:showLegendKey val="0"/>
          <c:showVal val="0"/>
          <c:showCatName val="0"/>
          <c:showSerName val="0"/>
          <c:showPercent val="0"/>
          <c:showBubbleSize val="0"/>
        </c:dLbls>
        <c:marker val="1"/>
        <c:smooth val="0"/>
        <c:axId val="616092224"/>
        <c:axId val="616091896"/>
      </c:lineChart>
      <c:catAx>
        <c:axId val="603381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03383504"/>
        <c:crosses val="autoZero"/>
        <c:auto val="1"/>
        <c:lblAlgn val="ctr"/>
        <c:lblOffset val="100"/>
        <c:noMultiLvlLbl val="0"/>
      </c:catAx>
      <c:valAx>
        <c:axId val="603383504"/>
        <c:scaling>
          <c:orientation val="minMax"/>
          <c:min val="-50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03381864"/>
        <c:crosses val="autoZero"/>
        <c:crossBetween val="between"/>
      </c:valAx>
      <c:valAx>
        <c:axId val="616091896"/>
        <c:scaling>
          <c:orientation val="minMax"/>
          <c:max val="1"/>
          <c:min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16092224"/>
        <c:crosses val="max"/>
        <c:crossBetween val="between"/>
      </c:valAx>
      <c:catAx>
        <c:axId val="616092224"/>
        <c:scaling>
          <c:orientation val="minMax"/>
        </c:scaling>
        <c:delete val="1"/>
        <c:axPos val="b"/>
        <c:numFmt formatCode="General" sourceLinked="1"/>
        <c:majorTickMark val="out"/>
        <c:minorTickMark val="none"/>
        <c:tickLblPos val="nextTo"/>
        <c:crossAx val="6160918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Brazil</a:t>
            </a:r>
            <a:r>
              <a:rPr lang="en-US" altLang="zh-CN" baseline="0"/>
              <a:t> GMV Growth</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'DESP Charts'!$A$120</c:f>
              <c:strCache>
                <c:ptCount val="1"/>
                <c:pt idx="0">
                  <c:v>Brazil GMV (as reported)</c:v>
                </c:pt>
              </c:strCache>
            </c:strRef>
          </c:tx>
          <c:spPr>
            <a:solidFill>
              <a:schemeClr val="accent1"/>
            </a:solidFill>
            <a:ln>
              <a:noFill/>
            </a:ln>
            <a:effectLst/>
          </c:spPr>
          <c:invertIfNegative val="0"/>
          <c:cat>
            <c:strRef>
              <c:f>'DESP Charts'!$B$119:$J$119</c:f>
              <c:strCache>
                <c:ptCount val="9"/>
                <c:pt idx="0">
                  <c:v>Q4-17</c:v>
                </c:pt>
                <c:pt idx="1">
                  <c:v>Q1-18</c:v>
                </c:pt>
                <c:pt idx="2">
                  <c:v>Q2-18</c:v>
                </c:pt>
                <c:pt idx="3">
                  <c:v>Q3-18</c:v>
                </c:pt>
                <c:pt idx="4">
                  <c:v>Q4-18</c:v>
                </c:pt>
                <c:pt idx="5">
                  <c:v>Q1-19</c:v>
                </c:pt>
                <c:pt idx="6">
                  <c:v>Q2-19</c:v>
                </c:pt>
                <c:pt idx="7">
                  <c:v>Q3-19</c:v>
                </c:pt>
                <c:pt idx="8">
                  <c:v>Q4-19</c:v>
                </c:pt>
              </c:strCache>
            </c:strRef>
          </c:cat>
          <c:val>
            <c:numRef>
              <c:f>'DESP Charts'!$B$120:$J$120</c:f>
              <c:numCache>
                <c:formatCode>_(* #,##0_);_(* \(#,##0\);_(* "-"??_);_(@_)</c:formatCode>
                <c:ptCount val="9"/>
                <c:pt idx="0">
                  <c:v>441</c:v>
                </c:pt>
                <c:pt idx="1">
                  <c:v>452</c:v>
                </c:pt>
                <c:pt idx="2">
                  <c:v>435</c:v>
                </c:pt>
                <c:pt idx="3">
                  <c:v>407.9</c:v>
                </c:pt>
                <c:pt idx="4">
                  <c:v>496</c:v>
                </c:pt>
                <c:pt idx="5">
                  <c:v>466</c:v>
                </c:pt>
                <c:pt idx="6">
                  <c:v>452</c:v>
                </c:pt>
                <c:pt idx="7">
                  <c:v>468</c:v>
                </c:pt>
                <c:pt idx="8">
                  <c:v>492.5</c:v>
                </c:pt>
              </c:numCache>
            </c:numRef>
          </c:val>
          <c:extLst>
            <c:ext xmlns:c16="http://schemas.microsoft.com/office/drawing/2014/chart" uri="{C3380CC4-5D6E-409C-BE32-E72D297353CC}">
              <c16:uniqueId val="{00000000-5F65-4586-87C1-34FF350156A1}"/>
            </c:ext>
          </c:extLst>
        </c:ser>
        <c:dLbls>
          <c:showLegendKey val="0"/>
          <c:showVal val="0"/>
          <c:showCatName val="0"/>
          <c:showSerName val="0"/>
          <c:showPercent val="0"/>
          <c:showBubbleSize val="0"/>
        </c:dLbls>
        <c:gapWidth val="219"/>
        <c:axId val="526363728"/>
        <c:axId val="526363400"/>
      </c:barChart>
      <c:lineChart>
        <c:grouping val="standard"/>
        <c:varyColors val="0"/>
        <c:ser>
          <c:idx val="1"/>
          <c:order val="1"/>
          <c:tx>
            <c:strRef>
              <c:f>'DESP Charts'!$A$121</c:f>
              <c:strCache>
                <c:ptCount val="1"/>
                <c:pt idx="0">
                  <c:v>Growth (as reported)</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'DESP Charts'!$B$119:$J$119</c:f>
              <c:strCache>
                <c:ptCount val="9"/>
                <c:pt idx="0">
                  <c:v>Q4-17</c:v>
                </c:pt>
                <c:pt idx="1">
                  <c:v>Q1-18</c:v>
                </c:pt>
                <c:pt idx="2">
                  <c:v>Q2-18</c:v>
                </c:pt>
                <c:pt idx="3">
                  <c:v>Q3-18</c:v>
                </c:pt>
                <c:pt idx="4">
                  <c:v>Q4-18</c:v>
                </c:pt>
                <c:pt idx="5">
                  <c:v>Q1-19</c:v>
                </c:pt>
                <c:pt idx="6">
                  <c:v>Q2-19</c:v>
                </c:pt>
                <c:pt idx="7">
                  <c:v>Q3-19</c:v>
                </c:pt>
                <c:pt idx="8">
                  <c:v>Q4-19</c:v>
                </c:pt>
              </c:strCache>
            </c:strRef>
          </c:cat>
          <c:val>
            <c:numRef>
              <c:f>'DESP Charts'!$B$121:$J$121</c:f>
              <c:numCache>
                <c:formatCode>_([$€-2]* #,##0.00_);_([$€-2]* \(#,##0.00\);_([$€-2]* "-"??_)</c:formatCode>
                <c:ptCount val="9"/>
                <c:pt idx="5" formatCode="0%">
                  <c:v>3.0973451327433565E-2</c:v>
                </c:pt>
                <c:pt idx="6" formatCode="0%">
                  <c:v>3.9080459770114873E-2</c:v>
                </c:pt>
                <c:pt idx="7" formatCode="0%">
                  <c:v>0.14734003432213783</c:v>
                </c:pt>
                <c:pt idx="8" formatCode="0%">
                  <c:v>-7.0564516129032473E-3</c:v>
                </c:pt>
              </c:numCache>
            </c:numRef>
          </c:val>
          <c:smooth val="0"/>
          <c:extLst>
            <c:ext xmlns:c16="http://schemas.microsoft.com/office/drawing/2014/chart" uri="{C3380CC4-5D6E-409C-BE32-E72D297353CC}">
              <c16:uniqueId val="{00000001-5F65-4586-87C1-34FF350156A1}"/>
            </c:ext>
          </c:extLst>
        </c:ser>
        <c:ser>
          <c:idx val="2"/>
          <c:order val="2"/>
          <c:tx>
            <c:strRef>
              <c:f>'DESP Charts'!$A$122</c:f>
              <c:strCache>
                <c:ptCount val="1"/>
                <c:pt idx="0">
                  <c:v>Growth (FX Neutral)</c:v>
                </c:pt>
              </c:strCache>
            </c:strRef>
          </c:tx>
          <c:spPr>
            <a:ln w="28575" cap="rnd">
              <a:solidFill>
                <a:schemeClr val="tx1">
                  <a:lumMod val="65000"/>
                  <a:lumOff val="35000"/>
                </a:schemeClr>
              </a:solidFill>
              <a:round/>
            </a:ln>
            <a:effectLst/>
          </c:spPr>
          <c:marker>
            <c:symbol val="circle"/>
            <c:size val="5"/>
            <c:spPr>
              <a:solidFill>
                <a:schemeClr val="tx1">
                  <a:lumMod val="65000"/>
                  <a:lumOff val="35000"/>
                </a:schemeClr>
              </a:solidFill>
              <a:ln w="9525">
                <a:solidFill>
                  <a:schemeClr val="tx1">
                    <a:lumMod val="65000"/>
                    <a:lumOff val="3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'DESP Charts'!$B$119:$J$119</c:f>
              <c:strCache>
                <c:ptCount val="9"/>
                <c:pt idx="0">
                  <c:v>Q4-17</c:v>
                </c:pt>
                <c:pt idx="1">
                  <c:v>Q1-18</c:v>
                </c:pt>
                <c:pt idx="2">
                  <c:v>Q2-18</c:v>
                </c:pt>
                <c:pt idx="3">
                  <c:v>Q3-18</c:v>
                </c:pt>
                <c:pt idx="4">
                  <c:v>Q4-18</c:v>
                </c:pt>
                <c:pt idx="5">
                  <c:v>Q1-19</c:v>
                </c:pt>
                <c:pt idx="6">
                  <c:v>Q2-19</c:v>
                </c:pt>
                <c:pt idx="7">
                  <c:v>Q3-19</c:v>
                </c:pt>
                <c:pt idx="8">
                  <c:v>Q4-19</c:v>
                </c:pt>
              </c:strCache>
            </c:strRef>
          </c:cat>
          <c:val>
            <c:numRef>
              <c:f>'DESP Charts'!$B$122:$J$122</c:f>
              <c:numCache>
                <c:formatCode>_([$€-2]* #,##0.00_);_([$€-2]* \(#,##0.00\);_([$€-2]* "-"??_)</c:formatCode>
                <c:ptCount val="9"/>
                <c:pt idx="5" formatCode="0%">
                  <c:v>0.19690265486725655</c:v>
                </c:pt>
                <c:pt idx="6" formatCode="0%">
                  <c:v>0.12643678160919536</c:v>
                </c:pt>
                <c:pt idx="7" formatCode="0%">
                  <c:v>0.19362745098039214</c:v>
                </c:pt>
                <c:pt idx="8" formatCode="0%">
                  <c:v>7.2580645161290258E-2</c:v>
                </c:pt>
              </c:numCache>
            </c:numRef>
          </c:val>
          <c:smooth val="0"/>
          <c:extLst>
            <c:ext xmlns:c16="http://schemas.microsoft.com/office/drawing/2014/chart" uri="{C3380CC4-5D6E-409C-BE32-E72D297353CC}">
              <c16:uniqueId val="{00000002-5F65-4586-87C1-34FF350156A1}"/>
            </c:ext>
          </c:extLst>
        </c:ser>
        <c:dLbls>
          <c:showLegendKey val="0"/>
          <c:showVal val="0"/>
          <c:showCatName val="0"/>
          <c:showSerName val="0"/>
          <c:showPercent val="0"/>
          <c:showBubbleSize val="0"/>
        </c:dLbls>
        <c:marker val="1"/>
        <c:smooth val="0"/>
        <c:axId val="778049512"/>
        <c:axId val="778049840"/>
      </c:lineChart>
      <c:catAx>
        <c:axId val="52636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26363400"/>
        <c:crosses val="autoZero"/>
        <c:auto val="1"/>
        <c:lblAlgn val="ctr"/>
        <c:lblOffset val="100"/>
        <c:noMultiLvlLbl val="0"/>
      </c:catAx>
      <c:valAx>
        <c:axId val="526363400"/>
        <c:scaling>
          <c:orientation val="minMax"/>
          <c:min val="-60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26363728"/>
        <c:crosses val="autoZero"/>
        <c:crossBetween val="between"/>
      </c:valAx>
      <c:valAx>
        <c:axId val="778049840"/>
        <c:scaling>
          <c:orientation val="minMax"/>
          <c:min val="-0.2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78049512"/>
        <c:crosses val="max"/>
        <c:crossBetween val="between"/>
      </c:valAx>
      <c:catAx>
        <c:axId val="778049512"/>
        <c:scaling>
          <c:orientation val="minMax"/>
        </c:scaling>
        <c:delete val="1"/>
        <c:axPos val="b"/>
        <c:numFmt formatCode="General" sourceLinked="1"/>
        <c:majorTickMark val="out"/>
        <c:minorTickMark val="none"/>
        <c:tickLblPos val="nextTo"/>
        <c:crossAx val="7780498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Rest of Latam GMV Growth</a:t>
            </a:r>
            <a:endParaRPr 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'DESP Charts'!$A$126</c:f>
              <c:strCache>
                <c:ptCount val="1"/>
                <c:pt idx="0">
                  <c:v>Rest of Latam GMV (as reported)</c:v>
                </c:pt>
              </c:strCache>
            </c:strRef>
          </c:tx>
          <c:spPr>
            <a:solidFill>
              <a:schemeClr val="accent1"/>
            </a:solidFill>
            <a:ln>
              <a:noFill/>
            </a:ln>
            <a:effectLst/>
          </c:spPr>
          <c:invertIfNegative val="0"/>
          <c:cat>
            <c:strRef>
              <c:f>'DESP Charts'!$B$125:$J$125</c:f>
              <c:strCache>
                <c:ptCount val="9"/>
                <c:pt idx="0">
                  <c:v>Q4-17</c:v>
                </c:pt>
                <c:pt idx="1">
                  <c:v>Q1-18</c:v>
                </c:pt>
                <c:pt idx="2">
                  <c:v>Q2-18</c:v>
                </c:pt>
                <c:pt idx="3">
                  <c:v>Q3-18</c:v>
                </c:pt>
                <c:pt idx="4">
                  <c:v>Q4-18</c:v>
                </c:pt>
                <c:pt idx="5">
                  <c:v>Q1-19</c:v>
                </c:pt>
                <c:pt idx="6">
                  <c:v>Q2-19</c:v>
                </c:pt>
                <c:pt idx="7">
                  <c:v>Q3-19</c:v>
                </c:pt>
                <c:pt idx="8">
                  <c:v>Q4-19</c:v>
                </c:pt>
              </c:strCache>
            </c:strRef>
          </c:cat>
          <c:val>
            <c:numRef>
              <c:f>'DESP Charts'!$B$126:$J$126</c:f>
              <c:numCache>
                <c:formatCode>_(* #,##0_);_(* \(#,##0\);_(* "-"??_);_(@_)</c:formatCode>
                <c:ptCount val="9"/>
                <c:pt idx="0">
                  <c:v>367</c:v>
                </c:pt>
                <c:pt idx="1">
                  <c:v>373</c:v>
                </c:pt>
                <c:pt idx="2">
                  <c:v>437</c:v>
                </c:pt>
                <c:pt idx="3">
                  <c:v>422.8</c:v>
                </c:pt>
                <c:pt idx="4">
                  <c:v>443</c:v>
                </c:pt>
                <c:pt idx="5">
                  <c:v>416</c:v>
                </c:pt>
                <c:pt idx="6">
                  <c:v>450</c:v>
                </c:pt>
                <c:pt idx="7">
                  <c:v>478</c:v>
                </c:pt>
                <c:pt idx="8">
                  <c:v>483.4</c:v>
                </c:pt>
              </c:numCache>
            </c:numRef>
          </c:val>
          <c:extLst>
            <c:ext xmlns:c16="http://schemas.microsoft.com/office/drawing/2014/chart" uri="{C3380CC4-5D6E-409C-BE32-E72D297353CC}">
              <c16:uniqueId val="{00000000-793A-41E9-9E3C-3A41F8EEC679}"/>
            </c:ext>
          </c:extLst>
        </c:ser>
        <c:dLbls>
          <c:showLegendKey val="0"/>
          <c:showVal val="0"/>
          <c:showCatName val="0"/>
          <c:showSerName val="0"/>
          <c:showPercent val="0"/>
          <c:showBubbleSize val="0"/>
        </c:dLbls>
        <c:gapWidth val="219"/>
        <c:axId val="613808952"/>
        <c:axId val="613808624"/>
      </c:barChart>
      <c:lineChart>
        <c:grouping val="standard"/>
        <c:varyColors val="0"/>
        <c:ser>
          <c:idx val="1"/>
          <c:order val="1"/>
          <c:tx>
            <c:strRef>
              <c:f>'DESP Charts'!$A$127</c:f>
              <c:strCache>
                <c:ptCount val="1"/>
                <c:pt idx="0">
                  <c:v>Growth (as reported)</c:v>
                </c:pt>
              </c:strCache>
            </c:strRef>
          </c:tx>
          <c:spPr>
            <a:ln w="28575" cap="rnd">
              <a:solidFill>
                <a:srgbClr val="FFC000"/>
              </a:solidFill>
              <a:round/>
            </a:ln>
            <a:effectLst/>
          </c:spPr>
          <c:marker>
            <c:symbol val="circle"/>
            <c:size val="5"/>
            <c:spPr>
              <a:solidFill>
                <a:srgbClr val="FFC000"/>
              </a:solidFill>
              <a:ln w="9525">
                <a:solidFill>
                  <a:srgbClr val="FFC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'DESP Charts'!$B$125:$J$125</c:f>
              <c:strCache>
                <c:ptCount val="9"/>
                <c:pt idx="0">
                  <c:v>Q4-17</c:v>
                </c:pt>
                <c:pt idx="1">
                  <c:v>Q1-18</c:v>
                </c:pt>
                <c:pt idx="2">
                  <c:v>Q2-18</c:v>
                </c:pt>
                <c:pt idx="3">
                  <c:v>Q3-18</c:v>
                </c:pt>
                <c:pt idx="4">
                  <c:v>Q4-18</c:v>
                </c:pt>
                <c:pt idx="5">
                  <c:v>Q1-19</c:v>
                </c:pt>
                <c:pt idx="6">
                  <c:v>Q2-19</c:v>
                </c:pt>
                <c:pt idx="7">
                  <c:v>Q3-19</c:v>
                </c:pt>
                <c:pt idx="8">
                  <c:v>Q4-19</c:v>
                </c:pt>
              </c:strCache>
            </c:strRef>
          </c:cat>
          <c:val>
            <c:numRef>
              <c:f>'DESP Charts'!$B$127:$J$127</c:f>
              <c:numCache>
                <c:formatCode>_([$€-2]* #,##0.00_);_([$€-2]* \(#,##0.00\);_([$€-2]* "-"??_)</c:formatCode>
                <c:ptCount val="9"/>
                <c:pt idx="5" formatCode="0%">
                  <c:v>0.11528150134048265</c:v>
                </c:pt>
                <c:pt idx="6" formatCode="0%">
                  <c:v>2.9748283752860427E-2</c:v>
                </c:pt>
                <c:pt idx="7" formatCode="0%">
                  <c:v>0.13055818353831605</c:v>
                </c:pt>
                <c:pt idx="8" formatCode="0%">
                  <c:v>9.1196388261850947E-2</c:v>
                </c:pt>
              </c:numCache>
            </c:numRef>
          </c:val>
          <c:smooth val="0"/>
          <c:extLst>
            <c:ext xmlns:c16="http://schemas.microsoft.com/office/drawing/2014/chart" uri="{C3380CC4-5D6E-409C-BE32-E72D297353CC}">
              <c16:uniqueId val="{00000001-793A-41E9-9E3C-3A41F8EEC679}"/>
            </c:ext>
          </c:extLst>
        </c:ser>
        <c:ser>
          <c:idx val="2"/>
          <c:order val="2"/>
          <c:tx>
            <c:strRef>
              <c:f>'DESP Charts'!$A$128</c:f>
              <c:strCache>
                <c:ptCount val="1"/>
                <c:pt idx="0">
                  <c:v>Growth (FX Neutral)</c:v>
                </c:pt>
              </c:strCache>
            </c:strRef>
          </c:tx>
          <c:spPr>
            <a:ln w="28575" cap="rnd">
              <a:solidFill>
                <a:schemeClr val="tx1">
                  <a:lumMod val="65000"/>
                  <a:lumOff val="35000"/>
                </a:schemeClr>
              </a:solidFill>
              <a:round/>
            </a:ln>
            <a:effectLst/>
          </c:spPr>
          <c:marker>
            <c:symbol val="circle"/>
            <c:size val="5"/>
            <c:spPr>
              <a:solidFill>
                <a:schemeClr val="tx1">
                  <a:lumMod val="65000"/>
                  <a:lumOff val="35000"/>
                </a:schemeClr>
              </a:solidFill>
              <a:ln w="9525">
                <a:solidFill>
                  <a:schemeClr val="tx1">
                    <a:lumMod val="65000"/>
                    <a:lumOff val="3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'DESP Charts'!$B$125:$J$125</c:f>
              <c:strCache>
                <c:ptCount val="9"/>
                <c:pt idx="0">
                  <c:v>Q4-17</c:v>
                </c:pt>
                <c:pt idx="1">
                  <c:v>Q1-18</c:v>
                </c:pt>
                <c:pt idx="2">
                  <c:v>Q2-18</c:v>
                </c:pt>
                <c:pt idx="3">
                  <c:v>Q3-18</c:v>
                </c:pt>
                <c:pt idx="4">
                  <c:v>Q4-18</c:v>
                </c:pt>
                <c:pt idx="5">
                  <c:v>Q1-19</c:v>
                </c:pt>
                <c:pt idx="6">
                  <c:v>Q2-19</c:v>
                </c:pt>
                <c:pt idx="7">
                  <c:v>Q3-19</c:v>
                </c:pt>
                <c:pt idx="8">
                  <c:v>Q4-19</c:v>
                </c:pt>
              </c:strCache>
            </c:strRef>
          </c:cat>
          <c:val>
            <c:numRef>
              <c:f>'DESP Charts'!$B$128:$J$128</c:f>
              <c:numCache>
                <c:formatCode>_([$€-2]* #,##0.00_);_([$€-2]* \(#,##0.00\);_([$€-2]* "-"??_)</c:formatCode>
                <c:ptCount val="9"/>
                <c:pt idx="5" formatCode="0%">
                  <c:v>0.17962466487935647</c:v>
                </c:pt>
                <c:pt idx="6" formatCode="0%">
                  <c:v>7.7803203661327203E-2</c:v>
                </c:pt>
                <c:pt idx="7" formatCode="0%">
                  <c:v>0.16071428571428581</c:v>
                </c:pt>
                <c:pt idx="8" formatCode="0%">
                  <c:v>0.12415349887133176</c:v>
                </c:pt>
              </c:numCache>
            </c:numRef>
          </c:val>
          <c:smooth val="0"/>
          <c:extLst>
            <c:ext xmlns:c16="http://schemas.microsoft.com/office/drawing/2014/chart" uri="{C3380CC4-5D6E-409C-BE32-E72D297353CC}">
              <c16:uniqueId val="{00000002-793A-41E9-9E3C-3A41F8EEC679}"/>
            </c:ext>
          </c:extLst>
        </c:ser>
        <c:dLbls>
          <c:showLegendKey val="0"/>
          <c:showVal val="0"/>
          <c:showCatName val="0"/>
          <c:showSerName val="0"/>
          <c:showPercent val="0"/>
          <c:showBubbleSize val="0"/>
        </c:dLbls>
        <c:marker val="1"/>
        <c:smooth val="0"/>
        <c:axId val="786949184"/>
        <c:axId val="786950168"/>
      </c:lineChart>
      <c:catAx>
        <c:axId val="613808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13808624"/>
        <c:crosses val="autoZero"/>
        <c:auto val="1"/>
        <c:lblAlgn val="ctr"/>
        <c:lblOffset val="100"/>
        <c:noMultiLvlLbl val="0"/>
      </c:catAx>
      <c:valAx>
        <c:axId val="61380862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13808952"/>
        <c:crosses val="autoZero"/>
        <c:crossBetween val="between"/>
      </c:valAx>
      <c:valAx>
        <c:axId val="786950168"/>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86949184"/>
        <c:crosses val="max"/>
        <c:crossBetween val="between"/>
      </c:valAx>
      <c:catAx>
        <c:axId val="786949184"/>
        <c:scaling>
          <c:orientation val="minMax"/>
        </c:scaling>
        <c:delete val="1"/>
        <c:axPos val="b"/>
        <c:numFmt formatCode="General" sourceLinked="1"/>
        <c:majorTickMark val="none"/>
        <c:minorTickMark val="none"/>
        <c:tickLblPos val="nextTo"/>
        <c:crossAx val="7869501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'DESP Charts'!$A$109</c:f>
              <c:strCache>
                <c:ptCount val="1"/>
                <c:pt idx="0">
                  <c:v>Blended Take Rate</c:v>
                </c:pt>
              </c:strCache>
            </c:strRef>
          </c:tx>
          <c:spPr>
            <a:ln w="28575" cap="rnd">
              <a:solidFill>
                <a:schemeClr val="tx1">
                  <a:lumMod val="65000"/>
                  <a:lumOff val="35000"/>
                </a:schemeClr>
              </a:solidFill>
              <a:round/>
            </a:ln>
            <a:effectLst/>
          </c:spPr>
          <c:marker>
            <c:symbol val="circle"/>
            <c:size val="5"/>
            <c:spPr>
              <a:solidFill>
                <a:schemeClr val="tx1">
                  <a:lumMod val="65000"/>
                  <a:lumOff val="35000"/>
                </a:schemeClr>
              </a:solidFill>
              <a:ln w="9525">
                <a:solidFill>
                  <a:schemeClr val="tx1">
                    <a:lumMod val="65000"/>
                    <a:lumOff val="3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'DESP Charts'!$B$104:$J$104</c:f>
              <c:strCache>
                <c:ptCount val="9"/>
                <c:pt idx="0">
                  <c:v>Q4-17</c:v>
                </c:pt>
                <c:pt idx="1">
                  <c:v>Q1-18</c:v>
                </c:pt>
                <c:pt idx="2">
                  <c:v>Q2-18</c:v>
                </c:pt>
                <c:pt idx="3">
                  <c:v>Q3-18</c:v>
                </c:pt>
                <c:pt idx="4">
                  <c:v>Q4-18</c:v>
                </c:pt>
                <c:pt idx="5">
                  <c:v>Q1-19</c:v>
                </c:pt>
                <c:pt idx="6">
                  <c:v>Q2-19</c:v>
                </c:pt>
                <c:pt idx="7">
                  <c:v>Q3-19</c:v>
                </c:pt>
                <c:pt idx="8">
                  <c:v>Q4-19</c:v>
                </c:pt>
              </c:strCache>
            </c:strRef>
          </c:cat>
          <c:val>
            <c:numRef>
              <c:f>'DESP Charts'!$B$109:$J$109</c:f>
              <c:numCache>
                <c:formatCode>0.0%</c:formatCode>
                <c:ptCount val="9"/>
                <c:pt idx="0">
                  <c:v>0.11443994666234371</c:v>
                </c:pt>
                <c:pt idx="1">
                  <c:v>0.12066046445910951</c:v>
                </c:pt>
                <c:pt idx="2">
                  <c:v>0.10829438808465366</c:v>
                </c:pt>
                <c:pt idx="3">
                  <c:v>0.11095852787695688</c:v>
                </c:pt>
                <c:pt idx="4">
                  <c:v>0.10977054340622927</c:v>
                </c:pt>
                <c:pt idx="5">
                  <c:v>0.11500129589632829</c:v>
                </c:pt>
                <c:pt idx="6">
                  <c:v>0.10203649047491281</c:v>
                </c:pt>
                <c:pt idx="7">
                  <c:v>0.11212363080580792</c:v>
                </c:pt>
                <c:pt idx="8">
                  <c:v>0.11369115465688188</c:v>
                </c:pt>
              </c:numCache>
            </c:numRef>
          </c:val>
          <c:smooth val="0"/>
          <c:extLst>
            <c:ext xmlns:c16="http://schemas.microsoft.com/office/drawing/2014/chart" uri="{C3380CC4-5D6E-409C-BE32-E72D297353CC}">
              <c16:uniqueId val="{00000000-41E1-4290-9E51-EA0B47CDABBD}"/>
            </c:ext>
          </c:extLst>
        </c:ser>
        <c:dLbls>
          <c:showLegendKey val="0"/>
          <c:showVal val="0"/>
          <c:showCatName val="0"/>
          <c:showSerName val="0"/>
          <c:showPercent val="0"/>
          <c:showBubbleSize val="0"/>
        </c:dLbls>
        <c:marker val="1"/>
        <c:smooth val="0"/>
        <c:axId val="789320480"/>
        <c:axId val="789329008"/>
      </c:lineChart>
      <c:catAx>
        <c:axId val="78932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89329008"/>
        <c:crosses val="autoZero"/>
        <c:auto val="1"/>
        <c:lblAlgn val="ctr"/>
        <c:lblOffset val="100"/>
        <c:noMultiLvlLbl val="0"/>
      </c:catAx>
      <c:valAx>
        <c:axId val="7893290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89320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GMV</a:t>
            </a:r>
            <a:r>
              <a:rPr lang="en-US" altLang="zh-CN" baseline="0"/>
              <a:t> Supplied by Expedia</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1"/>
          <c:order val="1"/>
          <c:tx>
            <c:strRef>
              <c:f>'DESP Annual'!$A$126</c:f>
              <c:strCache>
                <c:ptCount val="1"/>
                <c:pt idx="0">
                  <c:v>GMV Supplied by Affiliates of Expedia</c:v>
                </c:pt>
              </c:strCache>
            </c:strRef>
          </c:tx>
          <c:spPr>
            <a:solidFill>
              <a:schemeClr val="accent2"/>
            </a:solidFill>
            <a:ln>
              <a:noFill/>
            </a:ln>
            <a:effectLst/>
          </c:spPr>
          <c:invertIfNegative val="0"/>
          <c:val>
            <c:numRef>
              <c:f>'DESP Annual'!$B$126:$E$126</c:f>
              <c:numCache>
                <c:formatCode>_(* #,##0_);_(* \(#,##0\);_(* "-"??_);_(@_)</c:formatCode>
                <c:ptCount val="3"/>
                <c:pt idx="0">
                  <c:v>303.20176199999997</c:v>
                </c:pt>
                <c:pt idx="1">
                  <c:v>405.36386799999997</c:v>
                </c:pt>
                <c:pt idx="2">
                  <c:v>433.80161999999996</c:v>
                </c:pt>
              </c:numCache>
            </c:numRef>
          </c:val>
          <c:extLst>
            <c:ext xmlns:c16="http://schemas.microsoft.com/office/drawing/2014/chart" uri="{C3380CC4-5D6E-409C-BE32-E72D297353CC}">
              <c16:uniqueId val="{00000000-3919-482D-B439-75D5C8858AFF}"/>
            </c:ext>
          </c:extLst>
        </c:ser>
        <c:dLbls>
          <c:showLegendKey val="0"/>
          <c:showVal val="0"/>
          <c:showCatName val="0"/>
          <c:showSerName val="0"/>
          <c:showPercent val="0"/>
          <c:showBubbleSize val="0"/>
        </c:dLbls>
        <c:gapWidth val="219"/>
        <c:axId val="437717856"/>
        <c:axId val="437718184"/>
      </c:barChart>
      <c:lineChart>
        <c:grouping val="standard"/>
        <c:varyColors val="0"/>
        <c:ser>
          <c:idx val="0"/>
          <c:order val="0"/>
          <c:tx>
            <c:strRef>
              <c:f>'DESP Annual'!$A$125</c:f>
              <c:strCache>
                <c:ptCount val="1"/>
                <c:pt idx="0">
                  <c:v>% GMV Supplied by Affiliates of Expedia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'DESP Annual'!$D$2:$F$2</c:f>
              <c:numCache>
                <c:formatCode>General</c:formatCode>
                <c:ptCount val="3"/>
                <c:pt idx="0">
                  <c:v>2017</c:v>
                </c:pt>
                <c:pt idx="1">
                  <c:v>2018</c:v>
                </c:pt>
                <c:pt idx="2">
                  <c:v>2019</c:v>
                </c:pt>
              </c:numCache>
            </c:numRef>
          </c:cat>
          <c:val>
            <c:numRef>
              <c:f>'DESP Annual'!$B$125:$E$125</c:f>
              <c:numCache>
                <c:formatCode>0.0%</c:formatCode>
                <c:ptCount val="3"/>
                <c:pt idx="0">
                  <c:v>9.2999999999999999E-2</c:v>
                </c:pt>
                <c:pt idx="1">
                  <c:v>9.0999999999999998E-2</c:v>
                </c:pt>
                <c:pt idx="2">
                  <c:v>9.1999999999999998E-2</c:v>
                </c:pt>
              </c:numCache>
            </c:numRef>
          </c:val>
          <c:smooth val="0"/>
          <c:extLst>
            <c:ext xmlns:c16="http://schemas.microsoft.com/office/drawing/2014/chart" uri="{C3380CC4-5D6E-409C-BE32-E72D297353CC}">
              <c16:uniqueId val="{00000001-3919-482D-B439-75D5C8858AFF}"/>
            </c:ext>
          </c:extLst>
        </c:ser>
        <c:dLbls>
          <c:showLegendKey val="0"/>
          <c:showVal val="0"/>
          <c:showCatName val="0"/>
          <c:showSerName val="0"/>
          <c:showPercent val="0"/>
          <c:showBubbleSize val="0"/>
        </c:dLbls>
        <c:marker val="1"/>
        <c:smooth val="0"/>
        <c:axId val="488948104"/>
        <c:axId val="434211312"/>
      </c:lineChart>
      <c:catAx>
        <c:axId val="4377178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37718184"/>
        <c:crosses val="autoZero"/>
        <c:auto val="1"/>
        <c:lblAlgn val="ctr"/>
        <c:lblOffset val="100"/>
        <c:noMultiLvlLbl val="0"/>
      </c:catAx>
      <c:valAx>
        <c:axId val="43771818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37717856"/>
        <c:crosses val="autoZero"/>
        <c:crossBetween val="between"/>
      </c:valAx>
      <c:valAx>
        <c:axId val="434211312"/>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88948104"/>
        <c:crosses val="max"/>
        <c:crossBetween val="between"/>
      </c:valAx>
      <c:catAx>
        <c:axId val="488948104"/>
        <c:scaling>
          <c:orientation val="minMax"/>
        </c:scaling>
        <c:delete val="1"/>
        <c:axPos val="b"/>
        <c:numFmt formatCode="General" sourceLinked="1"/>
        <c:majorTickMark val="out"/>
        <c:minorTickMark val="none"/>
        <c:tickLblPos val="nextTo"/>
        <c:crossAx val="4342113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'DESP Quarterly'!$A$111</c:f>
              <c:strCache>
                <c:ptCount val="1"/>
                <c:pt idx="0">
                  <c:v>Mix of Mobile Share of Transaction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'DESP Quarterly'!$M$1:$U$1</c:f>
              <c:strCache>
                <c:ptCount val="9"/>
                <c:pt idx="0">
                  <c:v>Q4-17</c:v>
                </c:pt>
                <c:pt idx="1">
                  <c:v>Q1-18</c:v>
                </c:pt>
                <c:pt idx="2">
                  <c:v>Q2-18</c:v>
                </c:pt>
                <c:pt idx="3">
                  <c:v>Q3-18</c:v>
                </c:pt>
                <c:pt idx="4">
                  <c:v>Q4-18</c:v>
                </c:pt>
                <c:pt idx="5">
                  <c:v>Q1-19</c:v>
                </c:pt>
                <c:pt idx="6">
                  <c:v>Q2-19</c:v>
                </c:pt>
                <c:pt idx="7">
                  <c:v>Q3-19</c:v>
                </c:pt>
                <c:pt idx="8">
                  <c:v>Q4-19</c:v>
                </c:pt>
              </c:strCache>
            </c:strRef>
          </c:cat>
          <c:val>
            <c:numRef>
              <c:f>'DESP Quarterly'!$M$111:$U$111</c:f>
              <c:numCache>
                <c:formatCode>0%</c:formatCode>
                <c:ptCount val="9"/>
                <c:pt idx="0">
                  <c:v>0.3</c:v>
                </c:pt>
                <c:pt idx="1">
                  <c:v>0.31</c:v>
                </c:pt>
                <c:pt idx="2">
                  <c:v>0.33</c:v>
                </c:pt>
                <c:pt idx="3">
                  <c:v>0.35</c:v>
                </c:pt>
                <c:pt idx="4">
                  <c:v>0.36</c:v>
                </c:pt>
                <c:pt idx="5">
                  <c:v>0.38</c:v>
                </c:pt>
                <c:pt idx="6">
                  <c:v>0.38</c:v>
                </c:pt>
                <c:pt idx="7">
                  <c:v>0.39</c:v>
                </c:pt>
                <c:pt idx="8">
                  <c:v>0.41</c:v>
                </c:pt>
              </c:numCache>
            </c:numRef>
          </c:val>
          <c:smooth val="0"/>
          <c:extLst>
            <c:ext xmlns:c16="http://schemas.microsoft.com/office/drawing/2014/chart" uri="{C3380CC4-5D6E-409C-BE32-E72D297353CC}">
              <c16:uniqueId val="{00000000-A36D-45BD-AC8B-D308B0416427}"/>
            </c:ext>
          </c:extLst>
        </c:ser>
        <c:dLbls>
          <c:showLegendKey val="0"/>
          <c:showVal val="0"/>
          <c:showCatName val="0"/>
          <c:showSerName val="0"/>
          <c:showPercent val="0"/>
          <c:showBubbleSize val="0"/>
        </c:dLbls>
        <c:marker val="1"/>
        <c:smooth val="0"/>
        <c:axId val="352497456"/>
        <c:axId val="352491224"/>
      </c:lineChart>
      <c:catAx>
        <c:axId val="35249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52491224"/>
        <c:crosses val="autoZero"/>
        <c:auto val="1"/>
        <c:lblAlgn val="ctr"/>
        <c:lblOffset val="100"/>
        <c:noMultiLvlLbl val="0"/>
      </c:catAx>
      <c:valAx>
        <c:axId val="352491224"/>
        <c:scaling>
          <c:orientation val="minMax"/>
          <c:min val="0.2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52497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Payable</a:t>
            </a:r>
            <a:r>
              <a:rPr lang="en-US" altLang="zh-CN" baseline="0"/>
              <a:t> to Expedia</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'DESP Annual'!$A$126</c:f>
              <c:strCache>
                <c:ptCount val="1"/>
                <c:pt idx="0">
                  <c:v>GMV Supplied by Affiliates of Expedia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'DESP Annual'!$C$131:$E$131</c:f>
              <c:numCache>
                <c:formatCode>General</c:formatCode>
                <c:ptCount val="3"/>
                <c:pt idx="0">
                  <c:v>2016</c:v>
                </c:pt>
                <c:pt idx="1">
                  <c:v>2017</c:v>
                </c:pt>
                <c:pt idx="2">
                  <c:v>2018</c:v>
                </c:pt>
              </c:numCache>
            </c:numRef>
          </c:cat>
          <c:val>
            <c:numRef>
              <c:f>'DESP Annual'!$C$126:$E$126</c:f>
              <c:numCache>
                <c:formatCode>_(* #,##0_);_(* \(#,##0\);_(* "-"??_);_(@_)</c:formatCode>
                <c:ptCount val="3"/>
                <c:pt idx="0">
                  <c:v>303.20176199999997</c:v>
                </c:pt>
                <c:pt idx="1">
                  <c:v>405.36386799999997</c:v>
                </c:pt>
                <c:pt idx="2">
                  <c:v>433.80161999999996</c:v>
                </c:pt>
              </c:numCache>
            </c:numRef>
          </c:val>
          <c:extLst>
            <c:ext xmlns:c16="http://schemas.microsoft.com/office/drawing/2014/chart" uri="{C3380CC4-5D6E-409C-BE32-E72D297353CC}">
              <c16:uniqueId val="{00000000-3855-42CD-B735-125711F545C9}"/>
            </c:ext>
          </c:extLst>
        </c:ser>
        <c:ser>
          <c:idx val="1"/>
          <c:order val="2"/>
          <c:tx>
            <c:strRef>
              <c:f>'DESP Annual'!$A$127</c:f>
              <c:strCache>
                <c:ptCount val="1"/>
                <c:pt idx="0">
                  <c:v>Related party payable (payables to Expedia)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'DESP Annual'!$C$131:$E$131</c:f>
              <c:numCache>
                <c:formatCode>General</c:formatCode>
                <c:ptCount val="3"/>
                <c:pt idx="0">
                  <c:v>2016</c:v>
                </c:pt>
                <c:pt idx="1">
                  <c:v>2017</c:v>
                </c:pt>
                <c:pt idx="2">
                  <c:v>2018</c:v>
                </c:pt>
              </c:numCache>
            </c:numRef>
          </c:cat>
          <c:val>
            <c:numRef>
              <c:f>'DESP Annual'!$C$127:$E$127</c:f>
              <c:numCache>
                <c:formatCode>_(* #,##0_);_(* \(#,##0\);_(* "-"??_);_(@_)</c:formatCode>
                <c:ptCount val="3"/>
                <c:pt idx="0">
                  <c:v>71.006</c:v>
                </c:pt>
                <c:pt idx="1">
                  <c:v>84.364000000000004</c:v>
                </c:pt>
                <c:pt idx="2">
                  <c:v>83.903999999999996</c:v>
                </c:pt>
              </c:numCache>
            </c:numRef>
          </c:val>
          <c:extLst>
            <c:ext xmlns:c16="http://schemas.microsoft.com/office/drawing/2014/chart" uri="{C3380CC4-5D6E-409C-BE32-E72D297353CC}">
              <c16:uniqueId val="{00000001-3855-42CD-B735-125711F545C9}"/>
            </c:ext>
          </c:extLst>
        </c:ser>
        <c:dLbls>
          <c:showLegendKey val="0"/>
          <c:showVal val="0"/>
          <c:showCatName val="0"/>
          <c:showSerName val="0"/>
          <c:showPercent val="0"/>
          <c:showBubbleSize val="0"/>
        </c:dLbls>
        <c:gapWidth val="219"/>
        <c:axId val="437869288"/>
        <c:axId val="437867976"/>
      </c:barChart>
      <c:lineChart>
        <c:grouping val="standard"/>
        <c:varyColors val="0"/>
        <c:ser>
          <c:idx val="3"/>
          <c:order val="1"/>
          <c:tx>
            <c:strRef>
              <c:f>'DESP Annual'!$A$125</c:f>
              <c:strCache>
                <c:ptCount val="1"/>
                <c:pt idx="0">
                  <c:v>% GMV Supplied by Affiliates of Expedia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'DESP Annual'!$C$125:$E$125</c:f>
              <c:numCache>
                <c:formatCode>0.0%</c:formatCode>
                <c:ptCount val="3"/>
                <c:pt idx="0">
                  <c:v>9.2999999999999999E-2</c:v>
                </c:pt>
                <c:pt idx="1">
                  <c:v>9.0999999999999998E-2</c:v>
                </c:pt>
                <c:pt idx="2">
                  <c:v>9.1999999999999998E-2</c:v>
                </c:pt>
              </c:numCache>
            </c:numRef>
          </c:val>
          <c:smooth val="0"/>
          <c:extLst>
            <c:ext xmlns:c16="http://schemas.microsoft.com/office/drawing/2014/chart" uri="{C3380CC4-5D6E-409C-BE32-E72D297353CC}">
              <c16:uniqueId val="{00000002-3855-42CD-B735-125711F545C9}"/>
            </c:ext>
          </c:extLst>
        </c:ser>
        <c:ser>
          <c:idx val="2"/>
          <c:order val="3"/>
          <c:tx>
            <c:strRef>
              <c:f>'DESP Annual'!$A$128</c:f>
              <c:strCache>
                <c:ptCount val="1"/>
                <c:pt idx="0">
                  <c:v>Payable to Expedia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'DESP Annual'!$C$2:$E$2</c:f>
              <c:numCache>
                <c:formatCode>General</c:formatCode>
                <c:ptCount val="3"/>
                <c:pt idx="0">
                  <c:v>2016</c:v>
                </c:pt>
                <c:pt idx="1">
                  <c:v>2017</c:v>
                </c:pt>
                <c:pt idx="2">
                  <c:v>2018</c:v>
                </c:pt>
              </c:numCache>
            </c:numRef>
          </c:cat>
          <c:val>
            <c:numRef>
              <c:f>'DESP Annual'!$C$128:$E$128</c:f>
              <c:numCache>
                <c:formatCode>0%</c:formatCode>
                <c:ptCount val="3"/>
                <c:pt idx="0">
                  <c:v>0.23418729341025402</c:v>
                </c:pt>
                <c:pt idx="1">
                  <c:v>0.20811919033691481</c:v>
                </c:pt>
                <c:pt idx="2">
                  <c:v>0.19341559858628468</c:v>
                </c:pt>
              </c:numCache>
            </c:numRef>
          </c:val>
          <c:smooth val="0"/>
          <c:extLst>
            <c:ext xmlns:c16="http://schemas.microsoft.com/office/drawing/2014/chart" uri="{C3380CC4-5D6E-409C-BE32-E72D297353CC}">
              <c16:uniqueId val="{00000003-3855-42CD-B735-125711F545C9}"/>
            </c:ext>
          </c:extLst>
        </c:ser>
        <c:dLbls>
          <c:showLegendKey val="0"/>
          <c:showVal val="0"/>
          <c:showCatName val="0"/>
          <c:showSerName val="0"/>
          <c:showPercent val="0"/>
          <c:showBubbleSize val="0"/>
        </c:dLbls>
        <c:marker val="1"/>
        <c:smooth val="0"/>
        <c:axId val="487375672"/>
        <c:axId val="487375344"/>
      </c:lineChart>
      <c:catAx>
        <c:axId val="437869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37867976"/>
        <c:crosses val="autoZero"/>
        <c:auto val="1"/>
        <c:lblAlgn val="ctr"/>
        <c:lblOffset val="100"/>
        <c:noMultiLvlLbl val="0"/>
      </c:catAx>
      <c:valAx>
        <c:axId val="437867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37869288"/>
        <c:crosses val="autoZero"/>
        <c:crossBetween val="between"/>
      </c:valAx>
      <c:valAx>
        <c:axId val="487375344"/>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87375672"/>
        <c:crosses val="max"/>
        <c:crossBetween val="between"/>
      </c:valAx>
      <c:catAx>
        <c:axId val="487375672"/>
        <c:scaling>
          <c:orientation val="minMax"/>
        </c:scaling>
        <c:delete val="1"/>
        <c:axPos val="b"/>
        <c:numFmt formatCode="General" sourceLinked="1"/>
        <c:majorTickMark val="out"/>
        <c:minorTickMark val="none"/>
        <c:tickLblPos val="nextTo"/>
        <c:crossAx val="4873753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Traffic</a:t>
            </a:r>
            <a:r>
              <a:rPr lang="en-US" altLang="zh-CN" baseline="0"/>
              <a:t> Breakdown</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percentStacked"/>
        <c:varyColors val="0"/>
        <c:ser>
          <c:idx val="0"/>
          <c:order val="0"/>
          <c:tx>
            <c:strRef>
              <c:f>'DESP Charts'!$A$133</c:f>
              <c:strCache>
                <c:ptCount val="1"/>
                <c:pt idx="0">
                  <c:v>Paid Traffic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'DESP Charts'!$B$132:$D$132</c:f>
              <c:numCache>
                <c:formatCode>General</c:formatCode>
                <c:ptCount val="3"/>
                <c:pt idx="0">
                  <c:v>2017</c:v>
                </c:pt>
                <c:pt idx="1">
                  <c:v>2018</c:v>
                </c:pt>
                <c:pt idx="2">
                  <c:v>2019</c:v>
                </c:pt>
              </c:numCache>
            </c:numRef>
          </c:cat>
          <c:val>
            <c:numRef>
              <c:f>'DESP Charts'!$B$133:$D$133</c:f>
              <c:numCache>
                <c:formatCode>0%</c:formatCode>
                <c:ptCount val="3"/>
                <c:pt idx="0">
                  <c:v>0.35</c:v>
                </c:pt>
                <c:pt idx="1">
                  <c:v>0.38</c:v>
                </c:pt>
                <c:pt idx="2">
                  <c:v>0.31</c:v>
                </c:pt>
              </c:numCache>
            </c:numRef>
          </c:val>
          <c:extLst>
            <c:ext xmlns:c16="http://schemas.microsoft.com/office/drawing/2014/chart" uri="{C3380CC4-5D6E-409C-BE32-E72D297353CC}">
              <c16:uniqueId val="{00000000-C364-4D7E-A9E0-92EE84BBA979}"/>
            </c:ext>
          </c:extLst>
        </c:ser>
        <c:ser>
          <c:idx val="1"/>
          <c:order val="1"/>
          <c:tx>
            <c:strRef>
              <c:f>'DESP Charts'!$A$134</c:f>
              <c:strCache>
                <c:ptCount val="1"/>
                <c:pt idx="0">
                  <c:v>Non-Paid Traffic</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'DESP Charts'!$B$132:$D$132</c:f>
              <c:numCache>
                <c:formatCode>General</c:formatCode>
                <c:ptCount val="3"/>
                <c:pt idx="0">
                  <c:v>2017</c:v>
                </c:pt>
                <c:pt idx="1">
                  <c:v>2018</c:v>
                </c:pt>
                <c:pt idx="2">
                  <c:v>2019</c:v>
                </c:pt>
              </c:numCache>
            </c:numRef>
          </c:cat>
          <c:val>
            <c:numRef>
              <c:f>'DESP Charts'!$B$134:$D$134</c:f>
              <c:numCache>
                <c:formatCode>0%</c:formatCode>
                <c:ptCount val="3"/>
                <c:pt idx="0">
                  <c:v>0.65</c:v>
                </c:pt>
                <c:pt idx="1">
                  <c:v>0.62</c:v>
                </c:pt>
                <c:pt idx="2">
                  <c:v>0.69</c:v>
                </c:pt>
              </c:numCache>
            </c:numRef>
          </c:val>
          <c:extLst>
            <c:ext xmlns:c16="http://schemas.microsoft.com/office/drawing/2014/chart" uri="{C3380CC4-5D6E-409C-BE32-E72D297353CC}">
              <c16:uniqueId val="{00000001-C364-4D7E-A9E0-92EE84BBA979}"/>
            </c:ext>
          </c:extLst>
        </c:ser>
        <c:dLbls>
          <c:showLegendKey val="0"/>
          <c:showVal val="0"/>
          <c:showCatName val="0"/>
          <c:showSerName val="0"/>
          <c:showPercent val="0"/>
          <c:showBubbleSize val="0"/>
        </c:dLbls>
        <c:gapWidth val="150"/>
        <c:overlap val="100"/>
        <c:axId val="535637560"/>
        <c:axId val="535637232"/>
      </c:barChart>
      <c:catAx>
        <c:axId val="535637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35637232"/>
        <c:crosses val="autoZero"/>
        <c:auto val="1"/>
        <c:lblAlgn val="ctr"/>
        <c:lblOffset val="100"/>
        <c:noMultiLvlLbl val="0"/>
      </c:catAx>
      <c:valAx>
        <c:axId val="535637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35637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Traffic</a:t>
            </a:r>
            <a:r>
              <a:rPr lang="en-US" altLang="zh-CN" baseline="0"/>
              <a:t> by Platform</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percentStacked"/>
        <c:varyColors val="0"/>
        <c:ser>
          <c:idx val="0"/>
          <c:order val="0"/>
          <c:tx>
            <c:strRef>
              <c:f>'DESP Charts'!$A$137</c:f>
              <c:strCache>
                <c:ptCount val="1"/>
                <c:pt idx="0">
                  <c:v>App</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'DESP Charts'!$B$136:$D$136</c:f>
              <c:numCache>
                <c:formatCode>General</c:formatCode>
                <c:ptCount val="3"/>
                <c:pt idx="0">
                  <c:v>2017</c:v>
                </c:pt>
                <c:pt idx="1">
                  <c:v>2018</c:v>
                </c:pt>
                <c:pt idx="2">
                  <c:v>2019</c:v>
                </c:pt>
              </c:numCache>
            </c:numRef>
          </c:cat>
          <c:val>
            <c:numRef>
              <c:f>'DESP Charts'!$B$137:$D$137</c:f>
              <c:numCache>
                <c:formatCode>0%</c:formatCode>
                <c:ptCount val="3"/>
                <c:pt idx="0">
                  <c:v>0.27</c:v>
                </c:pt>
                <c:pt idx="1">
                  <c:v>0.34</c:v>
                </c:pt>
                <c:pt idx="2">
                  <c:v>0.37</c:v>
                </c:pt>
              </c:numCache>
            </c:numRef>
          </c:val>
          <c:extLst>
            <c:ext xmlns:c16="http://schemas.microsoft.com/office/drawing/2014/chart" uri="{C3380CC4-5D6E-409C-BE32-E72D297353CC}">
              <c16:uniqueId val="{00000000-E439-4ADA-8BA3-C06390FBFF00}"/>
            </c:ext>
          </c:extLst>
        </c:ser>
        <c:ser>
          <c:idx val="1"/>
          <c:order val="1"/>
          <c:tx>
            <c:strRef>
              <c:f>'DESP Charts'!$A$138</c:f>
              <c:strCache>
                <c:ptCount val="1"/>
                <c:pt idx="0">
                  <c:v>Site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'DESP Charts'!$B$136:$D$136</c:f>
              <c:numCache>
                <c:formatCode>General</c:formatCode>
                <c:ptCount val="3"/>
                <c:pt idx="0">
                  <c:v>2017</c:v>
                </c:pt>
                <c:pt idx="1">
                  <c:v>2018</c:v>
                </c:pt>
                <c:pt idx="2">
                  <c:v>2019</c:v>
                </c:pt>
              </c:numCache>
            </c:numRef>
          </c:cat>
          <c:val>
            <c:numRef>
              <c:f>'DESP Charts'!$B$138:$D$138</c:f>
              <c:numCache>
                <c:formatCode>0%</c:formatCode>
                <c:ptCount val="3"/>
                <c:pt idx="0">
                  <c:v>0.73</c:v>
                </c:pt>
                <c:pt idx="1">
                  <c:v>0.65999999999999992</c:v>
                </c:pt>
                <c:pt idx="2">
                  <c:v>0.63</c:v>
                </c:pt>
              </c:numCache>
            </c:numRef>
          </c:val>
          <c:extLst>
            <c:ext xmlns:c16="http://schemas.microsoft.com/office/drawing/2014/chart" uri="{C3380CC4-5D6E-409C-BE32-E72D297353CC}">
              <c16:uniqueId val="{00000001-E439-4ADA-8BA3-C06390FBFF00}"/>
            </c:ext>
          </c:extLst>
        </c:ser>
        <c:dLbls>
          <c:showLegendKey val="0"/>
          <c:showVal val="0"/>
          <c:showCatName val="0"/>
          <c:showSerName val="0"/>
          <c:showPercent val="0"/>
          <c:showBubbleSize val="0"/>
        </c:dLbls>
        <c:gapWidth val="150"/>
        <c:overlap val="100"/>
        <c:axId val="397621464"/>
        <c:axId val="397622776"/>
      </c:barChart>
      <c:catAx>
        <c:axId val="397621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97622776"/>
        <c:crosses val="autoZero"/>
        <c:auto val="1"/>
        <c:lblAlgn val="ctr"/>
        <c:lblOffset val="100"/>
        <c:noMultiLvlLbl val="0"/>
      </c:catAx>
      <c:valAx>
        <c:axId val="397622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97621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Transaction</a:t>
            </a:r>
            <a:r>
              <a:rPr lang="en-US" altLang="zh-CN" baseline="0"/>
              <a:t> Breakdown by Device</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percentStacked"/>
        <c:varyColors val="0"/>
        <c:ser>
          <c:idx val="0"/>
          <c:order val="0"/>
          <c:tx>
            <c:strRef>
              <c:f>'DESP Charts'!$A$141</c:f>
              <c:strCache>
                <c:ptCount val="1"/>
                <c:pt idx="0">
                  <c:v>Mobile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'DESP Charts'!$B$140:$D$140</c:f>
              <c:numCache>
                <c:formatCode>General</c:formatCode>
                <c:ptCount val="3"/>
                <c:pt idx="0">
                  <c:v>2017</c:v>
                </c:pt>
                <c:pt idx="1">
                  <c:v>2018</c:v>
                </c:pt>
                <c:pt idx="2">
                  <c:v>2019</c:v>
                </c:pt>
              </c:numCache>
            </c:numRef>
          </c:cat>
          <c:val>
            <c:numRef>
              <c:f>'DESP Charts'!$B$141:$D$141</c:f>
              <c:numCache>
                <c:formatCode>0%</c:formatCode>
                <c:ptCount val="3"/>
                <c:pt idx="0">
                  <c:v>0.28000000000000003</c:v>
                </c:pt>
                <c:pt idx="1">
                  <c:v>0.34</c:v>
                </c:pt>
                <c:pt idx="2">
                  <c:v>0.39</c:v>
                </c:pt>
              </c:numCache>
            </c:numRef>
          </c:val>
          <c:extLst>
            <c:ext xmlns:c16="http://schemas.microsoft.com/office/drawing/2014/chart" uri="{C3380CC4-5D6E-409C-BE32-E72D297353CC}">
              <c16:uniqueId val="{00000000-E295-474B-9EEF-21D229FDD5B4}"/>
            </c:ext>
          </c:extLst>
        </c:ser>
        <c:ser>
          <c:idx val="1"/>
          <c:order val="1"/>
          <c:tx>
            <c:strRef>
              <c:f>'DESP Charts'!$A$142</c:f>
              <c:strCache>
                <c:ptCount val="1"/>
                <c:pt idx="0">
                  <c:v>Desktop</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'DESP Charts'!$B$140:$D$140</c:f>
              <c:numCache>
                <c:formatCode>General</c:formatCode>
                <c:ptCount val="3"/>
                <c:pt idx="0">
                  <c:v>2017</c:v>
                </c:pt>
                <c:pt idx="1">
                  <c:v>2018</c:v>
                </c:pt>
                <c:pt idx="2">
                  <c:v>2019</c:v>
                </c:pt>
              </c:numCache>
            </c:numRef>
          </c:cat>
          <c:val>
            <c:numRef>
              <c:f>'DESP Charts'!$B$142:$D$142</c:f>
              <c:numCache>
                <c:formatCode>0%</c:formatCode>
                <c:ptCount val="3"/>
                <c:pt idx="0">
                  <c:v>0.72</c:v>
                </c:pt>
                <c:pt idx="1">
                  <c:v>0.65999999999999992</c:v>
                </c:pt>
                <c:pt idx="2">
                  <c:v>0.61</c:v>
                </c:pt>
              </c:numCache>
            </c:numRef>
          </c:val>
          <c:extLst>
            <c:ext xmlns:c16="http://schemas.microsoft.com/office/drawing/2014/chart" uri="{C3380CC4-5D6E-409C-BE32-E72D297353CC}">
              <c16:uniqueId val="{00000001-E295-474B-9EEF-21D229FDD5B4}"/>
            </c:ext>
          </c:extLst>
        </c:ser>
        <c:dLbls>
          <c:showLegendKey val="0"/>
          <c:showVal val="0"/>
          <c:showCatName val="0"/>
          <c:showSerName val="0"/>
          <c:showPercent val="0"/>
          <c:showBubbleSize val="0"/>
        </c:dLbls>
        <c:gapWidth val="150"/>
        <c:overlap val="100"/>
        <c:axId val="485466112"/>
        <c:axId val="485449056"/>
      </c:barChart>
      <c:catAx>
        <c:axId val="48546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85449056"/>
        <c:crosses val="autoZero"/>
        <c:auto val="1"/>
        <c:lblAlgn val="ctr"/>
        <c:lblOffset val="100"/>
        <c:noMultiLvlLbl val="0"/>
      </c:catAx>
      <c:valAx>
        <c:axId val="4854490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85466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Argentina</a:t>
            </a:r>
            <a:r>
              <a:rPr lang="en-US" altLang="zh-CN" baseline="0"/>
              <a:t> Transaction &amp; ASP</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'DESP Charts'!$A$146</c:f>
              <c:strCache>
                <c:ptCount val="1"/>
                <c:pt idx="0">
                  <c:v># of Transaction ('000)</c:v>
                </c:pt>
              </c:strCache>
            </c:strRef>
          </c:tx>
          <c:spPr>
            <a:solidFill>
              <a:schemeClr val="accent1"/>
            </a:solidFill>
            <a:ln>
              <a:noFill/>
            </a:ln>
            <a:effectLst/>
          </c:spPr>
          <c:invertIfNegative val="0"/>
          <c:cat>
            <c:strRef>
              <c:f>'DESP Charts'!$B$145:$J$145</c:f>
              <c:strCache>
                <c:ptCount val="9"/>
                <c:pt idx="0">
                  <c:v>Q4-17</c:v>
                </c:pt>
                <c:pt idx="1">
                  <c:v>Q1-18</c:v>
                </c:pt>
                <c:pt idx="2">
                  <c:v>Q2-18</c:v>
                </c:pt>
                <c:pt idx="3">
                  <c:v>Q3-18</c:v>
                </c:pt>
                <c:pt idx="4">
                  <c:v>Q4-18</c:v>
                </c:pt>
                <c:pt idx="5">
                  <c:v>Q1-19</c:v>
                </c:pt>
                <c:pt idx="6">
                  <c:v>Q2-19</c:v>
                </c:pt>
                <c:pt idx="7">
                  <c:v>Q3-19</c:v>
                </c:pt>
                <c:pt idx="8">
                  <c:v>Q4-19</c:v>
                </c:pt>
              </c:strCache>
            </c:strRef>
          </c:cat>
          <c:val>
            <c:numRef>
              <c:f>'DESP Charts'!$B$146:$J$146</c:f>
              <c:numCache>
                <c:formatCode>_(* #,##0_);_(* \(#,##0\);_(* "-"??_);_(@_)</c:formatCode>
                <c:ptCount val="9"/>
                <c:pt idx="0">
                  <c:v>632</c:v>
                </c:pt>
                <c:pt idx="1">
                  <c:v>675</c:v>
                </c:pt>
                <c:pt idx="2">
                  <c:v>577</c:v>
                </c:pt>
                <c:pt idx="3">
                  <c:v>572</c:v>
                </c:pt>
                <c:pt idx="4">
                  <c:v>558</c:v>
                </c:pt>
                <c:pt idx="5">
                  <c:v>618</c:v>
                </c:pt>
                <c:pt idx="6">
                  <c:v>496</c:v>
                </c:pt>
                <c:pt idx="7">
                  <c:v>551</c:v>
                </c:pt>
                <c:pt idx="8">
                  <c:v>629</c:v>
                </c:pt>
              </c:numCache>
            </c:numRef>
          </c:val>
          <c:extLst>
            <c:ext xmlns:c16="http://schemas.microsoft.com/office/drawing/2014/chart" uri="{C3380CC4-5D6E-409C-BE32-E72D297353CC}">
              <c16:uniqueId val="{00000000-C5BB-4EB3-9E66-FB6538238C07}"/>
            </c:ext>
          </c:extLst>
        </c:ser>
        <c:ser>
          <c:idx val="2"/>
          <c:order val="2"/>
          <c:tx>
            <c:strRef>
              <c:f>'DESP Charts'!$A$148</c:f>
              <c:strCache>
                <c:ptCount val="1"/>
                <c:pt idx="0">
                  <c:v>ASP (USD)</c:v>
                </c:pt>
              </c:strCache>
            </c:strRef>
          </c:tx>
          <c:spPr>
            <a:solidFill>
              <a:schemeClr val="accent3"/>
            </a:solidFill>
            <a:ln>
              <a:noFill/>
            </a:ln>
            <a:effectLst/>
          </c:spPr>
          <c:invertIfNegative val="0"/>
          <c:cat>
            <c:strRef>
              <c:f>'DESP Charts'!$B$145:$J$145</c:f>
              <c:strCache>
                <c:ptCount val="9"/>
                <c:pt idx="0">
                  <c:v>Q4-17</c:v>
                </c:pt>
                <c:pt idx="1">
                  <c:v>Q1-18</c:v>
                </c:pt>
                <c:pt idx="2">
                  <c:v>Q2-18</c:v>
                </c:pt>
                <c:pt idx="3">
                  <c:v>Q3-18</c:v>
                </c:pt>
                <c:pt idx="4">
                  <c:v>Q4-18</c:v>
                </c:pt>
                <c:pt idx="5">
                  <c:v>Q1-19</c:v>
                </c:pt>
                <c:pt idx="6">
                  <c:v>Q2-19</c:v>
                </c:pt>
                <c:pt idx="7">
                  <c:v>Q3-19</c:v>
                </c:pt>
                <c:pt idx="8">
                  <c:v>Q4-19</c:v>
                </c:pt>
              </c:strCache>
            </c:strRef>
          </c:cat>
          <c:val>
            <c:numRef>
              <c:f>'DESP Charts'!$B$148:$J$148</c:f>
              <c:numCache>
                <c:formatCode>_(* #,##0_);_(* \(#,##0\);_(* "-"??_);_(@_)</c:formatCode>
                <c:ptCount val="9"/>
                <c:pt idx="0">
                  <c:v>713.60759493670878</c:v>
                </c:pt>
                <c:pt idx="1">
                  <c:v>602.96296296296293</c:v>
                </c:pt>
                <c:pt idx="2">
                  <c:v>540.72790294627384</c:v>
                </c:pt>
                <c:pt idx="3">
                  <c:v>458.04195804195803</c:v>
                </c:pt>
                <c:pt idx="4">
                  <c:v>482.07885304659499</c:v>
                </c:pt>
                <c:pt idx="5">
                  <c:v>444.98381877022655</c:v>
                </c:pt>
                <c:pt idx="6">
                  <c:v>435.48387096774195</c:v>
                </c:pt>
                <c:pt idx="7">
                  <c:v>421.05263157894734</c:v>
                </c:pt>
                <c:pt idx="8">
                  <c:v>484.26073131955485</c:v>
                </c:pt>
              </c:numCache>
            </c:numRef>
          </c:val>
          <c:extLst>
            <c:ext xmlns:c16="http://schemas.microsoft.com/office/drawing/2014/chart" uri="{C3380CC4-5D6E-409C-BE32-E72D297353CC}">
              <c16:uniqueId val="{00000001-C5BB-4EB3-9E66-FB6538238C07}"/>
            </c:ext>
          </c:extLst>
        </c:ser>
        <c:dLbls>
          <c:showLegendKey val="0"/>
          <c:showVal val="0"/>
          <c:showCatName val="0"/>
          <c:showSerName val="0"/>
          <c:showPercent val="0"/>
          <c:showBubbleSize val="0"/>
        </c:dLbls>
        <c:gapWidth val="219"/>
        <c:axId val="185173368"/>
        <c:axId val="185173040"/>
      </c:barChart>
      <c:lineChart>
        <c:grouping val="standard"/>
        <c:varyColors val="0"/>
        <c:ser>
          <c:idx val="1"/>
          <c:order val="1"/>
          <c:tx>
            <c:strRef>
              <c:f>'DESP Charts'!$A$147</c:f>
              <c:strCache>
                <c:ptCount val="1"/>
                <c:pt idx="0">
                  <c:v>Transaction Growth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'DESP Charts'!$B$145:$J$145</c:f>
              <c:strCache>
                <c:ptCount val="9"/>
                <c:pt idx="0">
                  <c:v>Q4-17</c:v>
                </c:pt>
                <c:pt idx="1">
                  <c:v>Q1-18</c:v>
                </c:pt>
                <c:pt idx="2">
                  <c:v>Q2-18</c:v>
                </c:pt>
                <c:pt idx="3">
                  <c:v>Q3-18</c:v>
                </c:pt>
                <c:pt idx="4">
                  <c:v>Q4-18</c:v>
                </c:pt>
                <c:pt idx="5">
                  <c:v>Q1-19</c:v>
                </c:pt>
                <c:pt idx="6">
                  <c:v>Q2-19</c:v>
                </c:pt>
                <c:pt idx="7">
                  <c:v>Q3-19</c:v>
                </c:pt>
                <c:pt idx="8">
                  <c:v>Q4-19</c:v>
                </c:pt>
              </c:strCache>
            </c:strRef>
          </c:cat>
          <c:val>
            <c:numRef>
              <c:f>'DESP Charts'!$B$147:$J$147</c:f>
              <c:numCache>
                <c:formatCode>_(* #,##0_);_(* \(#,##0\);_(* "-"??_);_(@_)</c:formatCode>
                <c:ptCount val="9"/>
                <c:pt idx="5" formatCode="0%">
                  <c:v>-8.4444444444444433E-2</c:v>
                </c:pt>
                <c:pt idx="6" formatCode="0%">
                  <c:v>-0.14038128249566728</c:v>
                </c:pt>
                <c:pt idx="7" formatCode="0%">
                  <c:v>-3.6713286713286664E-2</c:v>
                </c:pt>
                <c:pt idx="8" formatCode="0%">
                  <c:v>0.12724014336917566</c:v>
                </c:pt>
              </c:numCache>
            </c:numRef>
          </c:val>
          <c:smooth val="0"/>
          <c:extLst>
            <c:ext xmlns:c16="http://schemas.microsoft.com/office/drawing/2014/chart" uri="{C3380CC4-5D6E-409C-BE32-E72D297353CC}">
              <c16:uniqueId val="{00000002-C5BB-4EB3-9E66-FB6538238C07}"/>
            </c:ext>
          </c:extLst>
        </c:ser>
        <c:ser>
          <c:idx val="3"/>
          <c:order val="3"/>
          <c:tx>
            <c:strRef>
              <c:f>'DESP Charts'!$A$149</c:f>
              <c:strCache>
                <c:ptCount val="1"/>
                <c:pt idx="0">
                  <c:v>ASP Growth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'DESP Charts'!$B$145:$J$145</c:f>
              <c:strCache>
                <c:ptCount val="9"/>
                <c:pt idx="0">
                  <c:v>Q4-17</c:v>
                </c:pt>
                <c:pt idx="1">
                  <c:v>Q1-18</c:v>
                </c:pt>
                <c:pt idx="2">
                  <c:v>Q2-18</c:v>
                </c:pt>
                <c:pt idx="3">
                  <c:v>Q3-18</c:v>
                </c:pt>
                <c:pt idx="4">
                  <c:v>Q4-18</c:v>
                </c:pt>
                <c:pt idx="5">
                  <c:v>Q1-19</c:v>
                </c:pt>
                <c:pt idx="6">
                  <c:v>Q2-19</c:v>
                </c:pt>
                <c:pt idx="7">
                  <c:v>Q3-19</c:v>
                </c:pt>
                <c:pt idx="8">
                  <c:v>Q4-19</c:v>
                </c:pt>
              </c:strCache>
            </c:strRef>
          </c:cat>
          <c:val>
            <c:numRef>
              <c:f>'DESP Charts'!$B$149:$J$149</c:f>
              <c:numCache>
                <c:formatCode>_(* #,##0_);_(* \(#,##0\);_(* "-"??_);_(@_)</c:formatCode>
                <c:ptCount val="9"/>
                <c:pt idx="5" formatCode="0%">
                  <c:v>-0.26200472316977164</c:v>
                </c:pt>
                <c:pt idx="6" formatCode="0%">
                  <c:v>-0.19463399503722079</c:v>
                </c:pt>
                <c:pt idx="7" formatCode="0%">
                  <c:v>-8.0755323423061465E-2</c:v>
                </c:pt>
                <c:pt idx="8" formatCode="0%">
                  <c:v>4.5259779788535681E-3</c:v>
                </c:pt>
              </c:numCache>
            </c:numRef>
          </c:val>
          <c:smooth val="0"/>
          <c:extLst>
            <c:ext xmlns:c16="http://schemas.microsoft.com/office/drawing/2014/chart" uri="{C3380CC4-5D6E-409C-BE32-E72D297353CC}">
              <c16:uniqueId val="{00000003-C5BB-4EB3-9E66-FB6538238C07}"/>
            </c:ext>
          </c:extLst>
        </c:ser>
        <c:dLbls>
          <c:showLegendKey val="0"/>
          <c:showVal val="0"/>
          <c:showCatName val="0"/>
          <c:showSerName val="0"/>
          <c:showPercent val="0"/>
          <c:showBubbleSize val="0"/>
        </c:dLbls>
        <c:marker val="1"/>
        <c:smooth val="0"/>
        <c:axId val="712717712"/>
        <c:axId val="712719352"/>
      </c:lineChart>
      <c:catAx>
        <c:axId val="185173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5173040"/>
        <c:crosses val="autoZero"/>
        <c:auto val="1"/>
        <c:lblAlgn val="ctr"/>
        <c:lblOffset val="100"/>
        <c:noMultiLvlLbl val="0"/>
      </c:catAx>
      <c:valAx>
        <c:axId val="18517304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5173368"/>
        <c:crosses val="autoZero"/>
        <c:crossBetween val="between"/>
      </c:valAx>
      <c:valAx>
        <c:axId val="712719352"/>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12717712"/>
        <c:crosses val="max"/>
        <c:crossBetween val="between"/>
      </c:valAx>
      <c:catAx>
        <c:axId val="712717712"/>
        <c:scaling>
          <c:orientation val="minMax"/>
        </c:scaling>
        <c:delete val="1"/>
        <c:axPos val="b"/>
        <c:numFmt formatCode="General" sourceLinked="1"/>
        <c:majorTickMark val="out"/>
        <c:minorTickMark val="none"/>
        <c:tickLblPos val="nextTo"/>
        <c:crossAx val="7127193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Brazil</a:t>
            </a:r>
            <a:r>
              <a:rPr lang="en-US" altLang="zh-CN" baseline="0"/>
              <a:t> Transaction &amp; ASP</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'DESP Charts'!$A$152</c:f>
              <c:strCache>
                <c:ptCount val="1"/>
                <c:pt idx="0">
                  <c:v># of Transaction ('000)</c:v>
                </c:pt>
              </c:strCache>
            </c:strRef>
          </c:tx>
          <c:spPr>
            <a:solidFill>
              <a:schemeClr val="accent1"/>
            </a:solidFill>
            <a:ln>
              <a:noFill/>
            </a:ln>
            <a:effectLst/>
          </c:spPr>
          <c:invertIfNegative val="0"/>
          <c:cat>
            <c:strRef>
              <c:f>'DESP Charts'!$B$151:$J$151</c:f>
              <c:strCache>
                <c:ptCount val="9"/>
                <c:pt idx="0">
                  <c:v>Q4-17</c:v>
                </c:pt>
                <c:pt idx="1">
                  <c:v>Q1-18</c:v>
                </c:pt>
                <c:pt idx="2">
                  <c:v>Q2-18</c:v>
                </c:pt>
                <c:pt idx="3">
                  <c:v>Q3-18</c:v>
                </c:pt>
                <c:pt idx="4">
                  <c:v>Q4-18</c:v>
                </c:pt>
                <c:pt idx="5">
                  <c:v>Q1-19</c:v>
                </c:pt>
                <c:pt idx="6">
                  <c:v>Q2-19</c:v>
                </c:pt>
                <c:pt idx="7">
                  <c:v>Q3-19</c:v>
                </c:pt>
                <c:pt idx="8">
                  <c:v>Q4-19</c:v>
                </c:pt>
              </c:strCache>
            </c:strRef>
          </c:cat>
          <c:val>
            <c:numRef>
              <c:f>'DESP Charts'!$B$152:$J$152</c:f>
              <c:numCache>
                <c:formatCode>_(* #,##0_);_(* \(#,##0\);_(* "-"??_);_(@_)</c:formatCode>
                <c:ptCount val="9"/>
                <c:pt idx="0">
                  <c:v>966</c:v>
                </c:pt>
                <c:pt idx="1">
                  <c:v>1013</c:v>
                </c:pt>
                <c:pt idx="2">
                  <c:v>1098</c:v>
                </c:pt>
                <c:pt idx="3">
                  <c:v>1041</c:v>
                </c:pt>
                <c:pt idx="4">
                  <c:v>1085</c:v>
                </c:pt>
                <c:pt idx="5">
                  <c:v>1045</c:v>
                </c:pt>
                <c:pt idx="6">
                  <c:v>948</c:v>
                </c:pt>
                <c:pt idx="7">
                  <c:v>1070</c:v>
                </c:pt>
                <c:pt idx="8">
                  <c:v>1105</c:v>
                </c:pt>
              </c:numCache>
            </c:numRef>
          </c:val>
          <c:extLst>
            <c:ext xmlns:c16="http://schemas.microsoft.com/office/drawing/2014/chart" uri="{C3380CC4-5D6E-409C-BE32-E72D297353CC}">
              <c16:uniqueId val="{00000000-E952-4E38-9B1A-A6277FA42C42}"/>
            </c:ext>
          </c:extLst>
        </c:ser>
        <c:ser>
          <c:idx val="2"/>
          <c:order val="2"/>
          <c:tx>
            <c:strRef>
              <c:f>'DESP Charts'!$A$154</c:f>
              <c:strCache>
                <c:ptCount val="1"/>
                <c:pt idx="0">
                  <c:v>ASP (USD)</c:v>
                </c:pt>
              </c:strCache>
            </c:strRef>
          </c:tx>
          <c:spPr>
            <a:solidFill>
              <a:schemeClr val="accent3"/>
            </a:solidFill>
            <a:ln>
              <a:noFill/>
            </a:ln>
            <a:effectLst/>
          </c:spPr>
          <c:invertIfNegative val="0"/>
          <c:cat>
            <c:strRef>
              <c:f>'DESP Charts'!$B$151:$J$151</c:f>
              <c:strCache>
                <c:ptCount val="9"/>
                <c:pt idx="0">
                  <c:v>Q4-17</c:v>
                </c:pt>
                <c:pt idx="1">
                  <c:v>Q1-18</c:v>
                </c:pt>
                <c:pt idx="2">
                  <c:v>Q2-18</c:v>
                </c:pt>
                <c:pt idx="3">
                  <c:v>Q3-18</c:v>
                </c:pt>
                <c:pt idx="4">
                  <c:v>Q4-18</c:v>
                </c:pt>
                <c:pt idx="5">
                  <c:v>Q1-19</c:v>
                </c:pt>
                <c:pt idx="6">
                  <c:v>Q2-19</c:v>
                </c:pt>
                <c:pt idx="7">
                  <c:v>Q3-19</c:v>
                </c:pt>
                <c:pt idx="8">
                  <c:v>Q4-19</c:v>
                </c:pt>
              </c:strCache>
            </c:strRef>
          </c:cat>
          <c:val>
            <c:numRef>
              <c:f>'DESP Charts'!$B$154:$J$154</c:f>
              <c:numCache>
                <c:formatCode>_(* #,##0_);_(* \(#,##0\);_(* "-"??_);_(@_)</c:formatCode>
                <c:ptCount val="9"/>
                <c:pt idx="0">
                  <c:v>456.52173913043475</c:v>
                </c:pt>
                <c:pt idx="1">
                  <c:v>446.19940769990126</c:v>
                </c:pt>
                <c:pt idx="2">
                  <c:v>396.17486338797818</c:v>
                </c:pt>
                <c:pt idx="3">
                  <c:v>391.83477425552354</c:v>
                </c:pt>
                <c:pt idx="4">
                  <c:v>457.14285714285717</c:v>
                </c:pt>
                <c:pt idx="5">
                  <c:v>445.93301435406698</c:v>
                </c:pt>
                <c:pt idx="6">
                  <c:v>476.7932489451477</c:v>
                </c:pt>
                <c:pt idx="7">
                  <c:v>437.38317757009349</c:v>
                </c:pt>
                <c:pt idx="8">
                  <c:v>445.70135746606337</c:v>
                </c:pt>
              </c:numCache>
            </c:numRef>
          </c:val>
          <c:extLst>
            <c:ext xmlns:c16="http://schemas.microsoft.com/office/drawing/2014/chart" uri="{C3380CC4-5D6E-409C-BE32-E72D297353CC}">
              <c16:uniqueId val="{00000001-E952-4E38-9B1A-A6277FA42C42}"/>
            </c:ext>
          </c:extLst>
        </c:ser>
        <c:dLbls>
          <c:showLegendKey val="0"/>
          <c:showVal val="0"/>
          <c:showCatName val="0"/>
          <c:showSerName val="0"/>
          <c:showPercent val="0"/>
          <c:showBubbleSize val="0"/>
        </c:dLbls>
        <c:gapWidth val="219"/>
        <c:axId val="712793576"/>
        <c:axId val="712793904"/>
      </c:barChart>
      <c:lineChart>
        <c:grouping val="standard"/>
        <c:varyColors val="0"/>
        <c:ser>
          <c:idx val="1"/>
          <c:order val="1"/>
          <c:tx>
            <c:strRef>
              <c:f>'DESP Charts'!$A$153</c:f>
              <c:strCache>
                <c:ptCount val="1"/>
                <c:pt idx="0">
                  <c:v>Transaction Growth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'DESP Charts'!$B$151:$J$151</c:f>
              <c:strCache>
                <c:ptCount val="9"/>
                <c:pt idx="0">
                  <c:v>Q4-17</c:v>
                </c:pt>
                <c:pt idx="1">
                  <c:v>Q1-18</c:v>
                </c:pt>
                <c:pt idx="2">
                  <c:v>Q2-18</c:v>
                </c:pt>
                <c:pt idx="3">
                  <c:v>Q3-18</c:v>
                </c:pt>
                <c:pt idx="4">
                  <c:v>Q4-18</c:v>
                </c:pt>
                <c:pt idx="5">
                  <c:v>Q1-19</c:v>
                </c:pt>
                <c:pt idx="6">
                  <c:v>Q2-19</c:v>
                </c:pt>
                <c:pt idx="7">
                  <c:v>Q3-19</c:v>
                </c:pt>
                <c:pt idx="8">
                  <c:v>Q4-19</c:v>
                </c:pt>
              </c:strCache>
            </c:strRef>
          </c:cat>
          <c:val>
            <c:numRef>
              <c:f>'DESP Charts'!$B$153:$J$153</c:f>
              <c:numCache>
                <c:formatCode>_(* #,##0_);_(* \(#,##0\);_(* "-"??_);_(@_)</c:formatCode>
                <c:ptCount val="9"/>
                <c:pt idx="5" formatCode="0%">
                  <c:v>3.1589338598223105E-2</c:v>
                </c:pt>
                <c:pt idx="6" formatCode="0%">
                  <c:v>-0.13661202185792354</c:v>
                </c:pt>
                <c:pt idx="7" formatCode="0%">
                  <c:v>2.7857829010566659E-2</c:v>
                </c:pt>
                <c:pt idx="8" formatCode="0%">
                  <c:v>1.8433179723502224E-2</c:v>
                </c:pt>
              </c:numCache>
            </c:numRef>
          </c:val>
          <c:smooth val="0"/>
          <c:extLst>
            <c:ext xmlns:c16="http://schemas.microsoft.com/office/drawing/2014/chart" uri="{C3380CC4-5D6E-409C-BE32-E72D297353CC}">
              <c16:uniqueId val="{00000002-E952-4E38-9B1A-A6277FA42C42}"/>
            </c:ext>
          </c:extLst>
        </c:ser>
        <c:ser>
          <c:idx val="3"/>
          <c:order val="3"/>
          <c:tx>
            <c:strRef>
              <c:f>'DESP Charts'!$A$155</c:f>
              <c:strCache>
                <c:ptCount val="1"/>
                <c:pt idx="0">
                  <c:v>ASP Growth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'DESP Charts'!$B$151:$J$151</c:f>
              <c:strCache>
                <c:ptCount val="9"/>
                <c:pt idx="0">
                  <c:v>Q4-17</c:v>
                </c:pt>
                <c:pt idx="1">
                  <c:v>Q1-18</c:v>
                </c:pt>
                <c:pt idx="2">
                  <c:v>Q2-18</c:v>
                </c:pt>
                <c:pt idx="3">
                  <c:v>Q3-18</c:v>
                </c:pt>
                <c:pt idx="4">
                  <c:v>Q4-18</c:v>
                </c:pt>
                <c:pt idx="5">
                  <c:v>Q1-19</c:v>
                </c:pt>
                <c:pt idx="6">
                  <c:v>Q2-19</c:v>
                </c:pt>
                <c:pt idx="7">
                  <c:v>Q3-19</c:v>
                </c:pt>
                <c:pt idx="8">
                  <c:v>Q4-19</c:v>
                </c:pt>
              </c:strCache>
            </c:strRef>
          </c:cat>
          <c:val>
            <c:numRef>
              <c:f>'DESP Charts'!$B$155:$J$155</c:f>
              <c:numCache>
                <c:formatCode>_(* #,##0_);_(* \(#,##0\);_(* "-"??_);_(@_)</c:formatCode>
                <c:ptCount val="9"/>
                <c:pt idx="5" formatCode="0%">
                  <c:v>-5.970275648896628E-4</c:v>
                </c:pt>
                <c:pt idx="6" formatCode="0%">
                  <c:v>0.20349192492361401</c:v>
                </c:pt>
                <c:pt idx="7" formatCode="0%">
                  <c:v>0.1162439025507902</c:v>
                </c:pt>
                <c:pt idx="8" formatCode="0%">
                  <c:v>-2.5028280542986447E-2</c:v>
                </c:pt>
              </c:numCache>
            </c:numRef>
          </c:val>
          <c:smooth val="0"/>
          <c:extLst>
            <c:ext xmlns:c16="http://schemas.microsoft.com/office/drawing/2014/chart" uri="{C3380CC4-5D6E-409C-BE32-E72D297353CC}">
              <c16:uniqueId val="{00000003-E952-4E38-9B1A-A6277FA42C42}"/>
            </c:ext>
          </c:extLst>
        </c:ser>
        <c:dLbls>
          <c:showLegendKey val="0"/>
          <c:showVal val="0"/>
          <c:showCatName val="0"/>
          <c:showSerName val="0"/>
          <c:showPercent val="0"/>
          <c:showBubbleSize val="0"/>
        </c:dLbls>
        <c:marker val="1"/>
        <c:smooth val="0"/>
        <c:axId val="712818504"/>
        <c:axId val="712816864"/>
      </c:lineChart>
      <c:catAx>
        <c:axId val="712793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12793904"/>
        <c:crosses val="autoZero"/>
        <c:auto val="1"/>
        <c:lblAlgn val="ctr"/>
        <c:lblOffset val="100"/>
        <c:noMultiLvlLbl val="0"/>
      </c:catAx>
      <c:valAx>
        <c:axId val="7127939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12793576"/>
        <c:crosses val="autoZero"/>
        <c:crossBetween val="between"/>
      </c:valAx>
      <c:valAx>
        <c:axId val="712816864"/>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12818504"/>
        <c:crosses val="max"/>
        <c:crossBetween val="between"/>
      </c:valAx>
      <c:catAx>
        <c:axId val="712818504"/>
        <c:scaling>
          <c:orientation val="minMax"/>
        </c:scaling>
        <c:delete val="1"/>
        <c:axPos val="b"/>
        <c:numFmt formatCode="General" sourceLinked="1"/>
        <c:majorTickMark val="out"/>
        <c:minorTickMark val="none"/>
        <c:tickLblPos val="nextTo"/>
        <c:crossAx val="7128168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Rest</a:t>
            </a:r>
            <a:r>
              <a:rPr lang="en-US" altLang="zh-CN" baseline="0"/>
              <a:t> of Latam Transaction &amp; ASP</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'DESP Charts'!$A$158</c:f>
              <c:strCache>
                <c:ptCount val="1"/>
                <c:pt idx="0">
                  <c:v># of Transaction ('000)</c:v>
                </c:pt>
              </c:strCache>
            </c:strRef>
          </c:tx>
          <c:spPr>
            <a:solidFill>
              <a:schemeClr val="accent1"/>
            </a:solidFill>
            <a:ln>
              <a:noFill/>
            </a:ln>
            <a:effectLst/>
          </c:spPr>
          <c:invertIfNegative val="0"/>
          <c:cat>
            <c:strRef>
              <c:f>'DESP Charts'!$B$157:$J$157</c:f>
              <c:strCache>
                <c:ptCount val="9"/>
                <c:pt idx="0">
                  <c:v>Q4-17</c:v>
                </c:pt>
                <c:pt idx="1">
                  <c:v>Q1-18</c:v>
                </c:pt>
                <c:pt idx="2">
                  <c:v>Q2-18</c:v>
                </c:pt>
                <c:pt idx="3">
                  <c:v>Q3-18</c:v>
                </c:pt>
                <c:pt idx="4">
                  <c:v>Q4-18</c:v>
                </c:pt>
                <c:pt idx="5">
                  <c:v>Q1-19</c:v>
                </c:pt>
                <c:pt idx="6">
                  <c:v>Q2-19</c:v>
                </c:pt>
                <c:pt idx="7">
                  <c:v>Q3-19</c:v>
                </c:pt>
                <c:pt idx="8">
                  <c:v>Q4-19</c:v>
                </c:pt>
              </c:strCache>
            </c:strRef>
          </c:cat>
          <c:val>
            <c:numRef>
              <c:f>'DESP Charts'!$B$158:$J$158</c:f>
              <c:numCache>
                <c:formatCode>_(* #,##0_);_(* \(#,##0\);_(* "-"??_);_(@_)</c:formatCode>
                <c:ptCount val="9"/>
                <c:pt idx="0">
                  <c:v>802</c:v>
                </c:pt>
                <c:pt idx="1">
                  <c:v>826</c:v>
                </c:pt>
                <c:pt idx="2">
                  <c:v>932</c:v>
                </c:pt>
                <c:pt idx="3">
                  <c:v>984</c:v>
                </c:pt>
                <c:pt idx="4">
                  <c:v>1032</c:v>
                </c:pt>
                <c:pt idx="5">
                  <c:v>989</c:v>
                </c:pt>
                <c:pt idx="6">
                  <c:v>1004</c:v>
                </c:pt>
                <c:pt idx="7">
                  <c:v>1102</c:v>
                </c:pt>
                <c:pt idx="8">
                  <c:v>1120</c:v>
                </c:pt>
              </c:numCache>
            </c:numRef>
          </c:val>
          <c:extLst>
            <c:ext xmlns:c16="http://schemas.microsoft.com/office/drawing/2014/chart" uri="{C3380CC4-5D6E-409C-BE32-E72D297353CC}">
              <c16:uniqueId val="{00000000-1ADB-4BD1-96E8-781ECB0A785C}"/>
            </c:ext>
          </c:extLst>
        </c:ser>
        <c:ser>
          <c:idx val="2"/>
          <c:order val="2"/>
          <c:tx>
            <c:strRef>
              <c:f>'DESP Charts'!$A$160</c:f>
              <c:strCache>
                <c:ptCount val="1"/>
                <c:pt idx="0">
                  <c:v>ASP (USD)</c:v>
                </c:pt>
              </c:strCache>
            </c:strRef>
          </c:tx>
          <c:spPr>
            <a:solidFill>
              <a:schemeClr val="accent3"/>
            </a:solidFill>
            <a:ln>
              <a:noFill/>
            </a:ln>
            <a:effectLst/>
          </c:spPr>
          <c:invertIfNegative val="0"/>
          <c:cat>
            <c:strRef>
              <c:f>'DESP Charts'!$B$157:$J$157</c:f>
              <c:strCache>
                <c:ptCount val="9"/>
                <c:pt idx="0">
                  <c:v>Q4-17</c:v>
                </c:pt>
                <c:pt idx="1">
                  <c:v>Q1-18</c:v>
                </c:pt>
                <c:pt idx="2">
                  <c:v>Q2-18</c:v>
                </c:pt>
                <c:pt idx="3">
                  <c:v>Q3-18</c:v>
                </c:pt>
                <c:pt idx="4">
                  <c:v>Q4-18</c:v>
                </c:pt>
                <c:pt idx="5">
                  <c:v>Q1-19</c:v>
                </c:pt>
                <c:pt idx="6">
                  <c:v>Q2-19</c:v>
                </c:pt>
                <c:pt idx="7">
                  <c:v>Q3-19</c:v>
                </c:pt>
                <c:pt idx="8">
                  <c:v>Q4-19</c:v>
                </c:pt>
              </c:strCache>
            </c:strRef>
          </c:cat>
          <c:val>
            <c:numRef>
              <c:f>'DESP Charts'!$B$160:$J$160</c:f>
              <c:numCache>
                <c:formatCode>_(* #,##0_);_(* \(#,##0\);_(* "-"??_);_(@_)</c:formatCode>
                <c:ptCount val="9"/>
                <c:pt idx="0">
                  <c:v>457.60598503740653</c:v>
                </c:pt>
                <c:pt idx="1">
                  <c:v>451.5738498789346</c:v>
                </c:pt>
                <c:pt idx="2">
                  <c:v>468.88412017167383</c:v>
                </c:pt>
                <c:pt idx="3">
                  <c:v>429.67479674796749</c:v>
                </c:pt>
                <c:pt idx="4">
                  <c:v>429.26356589147287</c:v>
                </c:pt>
                <c:pt idx="5">
                  <c:v>420.62689585439836</c:v>
                </c:pt>
                <c:pt idx="6">
                  <c:v>448.207171314741</c:v>
                </c:pt>
                <c:pt idx="7">
                  <c:v>433.75680580762253</c:v>
                </c:pt>
                <c:pt idx="8">
                  <c:v>431.60714285714283</c:v>
                </c:pt>
              </c:numCache>
            </c:numRef>
          </c:val>
          <c:extLst>
            <c:ext xmlns:c16="http://schemas.microsoft.com/office/drawing/2014/chart" uri="{C3380CC4-5D6E-409C-BE32-E72D297353CC}">
              <c16:uniqueId val="{00000001-1ADB-4BD1-96E8-781ECB0A785C}"/>
            </c:ext>
          </c:extLst>
        </c:ser>
        <c:dLbls>
          <c:showLegendKey val="0"/>
          <c:showVal val="0"/>
          <c:showCatName val="0"/>
          <c:showSerName val="0"/>
          <c:showPercent val="0"/>
          <c:showBubbleSize val="0"/>
        </c:dLbls>
        <c:gapWidth val="219"/>
        <c:axId val="720522680"/>
        <c:axId val="720522352"/>
      </c:barChart>
      <c:lineChart>
        <c:grouping val="standard"/>
        <c:varyColors val="0"/>
        <c:ser>
          <c:idx val="1"/>
          <c:order val="1"/>
          <c:tx>
            <c:strRef>
              <c:f>'DESP Charts'!$A$159</c:f>
              <c:strCache>
                <c:ptCount val="1"/>
                <c:pt idx="0">
                  <c:v>Transaction Growth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'DESP Charts'!$B$157:$J$157</c:f>
              <c:strCache>
                <c:ptCount val="9"/>
                <c:pt idx="0">
                  <c:v>Q4-17</c:v>
                </c:pt>
                <c:pt idx="1">
                  <c:v>Q1-18</c:v>
                </c:pt>
                <c:pt idx="2">
                  <c:v>Q2-18</c:v>
                </c:pt>
                <c:pt idx="3">
                  <c:v>Q3-18</c:v>
                </c:pt>
                <c:pt idx="4">
                  <c:v>Q4-18</c:v>
                </c:pt>
                <c:pt idx="5">
                  <c:v>Q1-19</c:v>
                </c:pt>
                <c:pt idx="6">
                  <c:v>Q2-19</c:v>
                </c:pt>
                <c:pt idx="7">
                  <c:v>Q3-19</c:v>
                </c:pt>
                <c:pt idx="8">
                  <c:v>Q4-19</c:v>
                </c:pt>
              </c:strCache>
            </c:strRef>
          </c:cat>
          <c:val>
            <c:numRef>
              <c:f>'DESP Charts'!$B$159:$J$159</c:f>
              <c:numCache>
                <c:formatCode>_(* #,##0_);_(* \(#,##0\);_(* "-"??_);_(@_)</c:formatCode>
                <c:ptCount val="9"/>
                <c:pt idx="5" formatCode="0%">
                  <c:v>0.19733656174334135</c:v>
                </c:pt>
                <c:pt idx="6" formatCode="0%">
                  <c:v>7.7253218884120178E-2</c:v>
                </c:pt>
                <c:pt idx="7" formatCode="0%">
                  <c:v>0.11991869918699183</c:v>
                </c:pt>
                <c:pt idx="8" formatCode="0%">
                  <c:v>8.5271317829457294E-2</c:v>
                </c:pt>
              </c:numCache>
            </c:numRef>
          </c:val>
          <c:smooth val="0"/>
          <c:extLst>
            <c:ext xmlns:c16="http://schemas.microsoft.com/office/drawing/2014/chart" uri="{C3380CC4-5D6E-409C-BE32-E72D297353CC}">
              <c16:uniqueId val="{00000002-1ADB-4BD1-96E8-781ECB0A785C}"/>
            </c:ext>
          </c:extLst>
        </c:ser>
        <c:ser>
          <c:idx val="3"/>
          <c:order val="3"/>
          <c:tx>
            <c:strRef>
              <c:f>'DESP Charts'!$A$161</c:f>
              <c:strCache>
                <c:ptCount val="1"/>
                <c:pt idx="0">
                  <c:v>ASP Growth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'DESP Charts'!$B$157:$J$157</c:f>
              <c:strCache>
                <c:ptCount val="9"/>
                <c:pt idx="0">
                  <c:v>Q4-17</c:v>
                </c:pt>
                <c:pt idx="1">
                  <c:v>Q1-18</c:v>
                </c:pt>
                <c:pt idx="2">
                  <c:v>Q2-18</c:v>
                </c:pt>
                <c:pt idx="3">
                  <c:v>Q3-18</c:v>
                </c:pt>
                <c:pt idx="4">
                  <c:v>Q4-18</c:v>
                </c:pt>
                <c:pt idx="5">
                  <c:v>Q1-19</c:v>
                </c:pt>
                <c:pt idx="6">
                  <c:v>Q2-19</c:v>
                </c:pt>
                <c:pt idx="7">
                  <c:v>Q3-19</c:v>
                </c:pt>
                <c:pt idx="8">
                  <c:v>Q4-19</c:v>
                </c:pt>
              </c:strCache>
            </c:strRef>
          </c:cat>
          <c:val>
            <c:numRef>
              <c:f>'DESP Charts'!$B$161:$J$161</c:f>
              <c:numCache>
                <c:formatCode>_([$€-2]* #,##0.00_);_([$€-2]* \(#,##0.00\);_([$€-2]* "-"??_)</c:formatCode>
                <c:ptCount val="9"/>
                <c:pt idx="5" formatCode="0%">
                  <c:v>-6.8531324461841625E-2</c:v>
                </c:pt>
                <c:pt idx="6" formatCode="0%">
                  <c:v>-4.4098206715472266E-2</c:v>
                </c:pt>
                <c:pt idx="7" formatCode="0%">
                  <c:v>9.5002292211461281E-3</c:v>
                </c:pt>
                <c:pt idx="8" formatCode="0%">
                  <c:v>5.4595291841341709E-3</c:v>
                </c:pt>
              </c:numCache>
            </c:numRef>
          </c:val>
          <c:smooth val="0"/>
          <c:extLst>
            <c:ext xmlns:c16="http://schemas.microsoft.com/office/drawing/2014/chart" uri="{C3380CC4-5D6E-409C-BE32-E72D297353CC}">
              <c16:uniqueId val="{00000003-1ADB-4BD1-96E8-781ECB0A785C}"/>
            </c:ext>
          </c:extLst>
        </c:ser>
        <c:dLbls>
          <c:showLegendKey val="0"/>
          <c:showVal val="0"/>
          <c:showCatName val="0"/>
          <c:showSerName val="0"/>
          <c:showPercent val="0"/>
          <c:showBubbleSize val="0"/>
        </c:dLbls>
        <c:marker val="1"/>
        <c:smooth val="0"/>
        <c:axId val="825864472"/>
        <c:axId val="825864144"/>
      </c:lineChart>
      <c:catAx>
        <c:axId val="720522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20522352"/>
        <c:crosses val="autoZero"/>
        <c:auto val="1"/>
        <c:lblAlgn val="ctr"/>
        <c:lblOffset val="100"/>
        <c:noMultiLvlLbl val="0"/>
      </c:catAx>
      <c:valAx>
        <c:axId val="72052235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20522680"/>
        <c:crosses val="autoZero"/>
        <c:crossBetween val="between"/>
      </c:valAx>
      <c:valAx>
        <c:axId val="825864144"/>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25864472"/>
        <c:crosses val="max"/>
        <c:crossBetween val="between"/>
      </c:valAx>
      <c:catAx>
        <c:axId val="825864472"/>
        <c:scaling>
          <c:orientation val="minMax"/>
        </c:scaling>
        <c:delete val="1"/>
        <c:axPos val="b"/>
        <c:numFmt formatCode="General" sourceLinked="1"/>
        <c:majorTickMark val="out"/>
        <c:minorTickMark val="none"/>
        <c:tickLblPos val="nextTo"/>
        <c:crossAx val="825864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sz="1600"/>
              <a:t>MMYT's</a:t>
            </a:r>
            <a:r>
              <a:rPr lang="en-US" altLang="zh-CN" sz="1600" baseline="0"/>
              <a:t> Transaction Volumes &amp; YoY Growth by Segments </a:t>
            </a:r>
            <a:endParaRPr lang="zh-CN" altLang="en-US" sz="1600"/>
          </a:p>
        </c:rich>
      </c:tx>
      <c:overlay val="0"/>
    </c:title>
    <c:autoTitleDeleted val="0"/>
    <c:plotArea>
      <c:layout/>
      <c:barChart>
        <c:barDir val="col"/>
        <c:grouping val="clustered"/>
        <c:varyColors val="0"/>
        <c:ser>
          <c:idx val="0"/>
          <c:order val="0"/>
          <c:tx>
            <c:strRef>
              <c:f>[30]MMYT!$A$191</c:f>
              <c:strCache>
                <c:ptCount val="1"/>
                <c:pt idx="0">
                  <c:v>Air ticketing</c:v>
                </c:pt>
              </c:strCache>
            </c:strRef>
          </c:tx>
          <c:spPr>
            <a:solidFill>
              <a:schemeClr val="accent1">
                <a:lumMod val="75000"/>
              </a:schemeClr>
            </a:solidFill>
            <a:ln>
              <a:solidFill>
                <a:schemeClr val="accent1">
                  <a:lumMod val="60000"/>
                  <a:lumOff val="40000"/>
                </a:schemeClr>
              </a:solidFill>
            </a:ln>
          </c:spPr>
          <c:invertIfNegative val="0"/>
          <c:cat>
            <c:strRef>
              <c:f>[30]MMYT!$B$3:$S$3</c:f>
              <c:strCache>
                <c:ptCount val="18"/>
                <c:pt idx="0">
                  <c:v>14Q1</c:v>
                </c:pt>
                <c:pt idx="1">
                  <c:v>14Q2</c:v>
                </c:pt>
                <c:pt idx="2">
                  <c:v>14Q3</c:v>
                </c:pt>
                <c:pt idx="3">
                  <c:v>14Q4</c:v>
                </c:pt>
                <c:pt idx="4">
                  <c:v>15Q1</c:v>
                </c:pt>
                <c:pt idx="5">
                  <c:v>15Q2</c:v>
                </c:pt>
                <c:pt idx="6">
                  <c:v>15Q3</c:v>
                </c:pt>
                <c:pt idx="7">
                  <c:v>15Q4</c:v>
                </c:pt>
                <c:pt idx="8">
                  <c:v>16Q1</c:v>
                </c:pt>
                <c:pt idx="9">
                  <c:v>16Q2</c:v>
                </c:pt>
                <c:pt idx="10">
                  <c:v>16Q3</c:v>
                </c:pt>
                <c:pt idx="11">
                  <c:v>16Q4</c:v>
                </c:pt>
                <c:pt idx="12">
                  <c:v>1Q17</c:v>
                </c:pt>
                <c:pt idx="13">
                  <c:v>2Q17</c:v>
                </c:pt>
                <c:pt idx="14">
                  <c:v>3Q17</c:v>
                </c:pt>
                <c:pt idx="15">
                  <c:v>4Q17</c:v>
                </c:pt>
                <c:pt idx="16">
                  <c:v>1Q18</c:v>
                </c:pt>
                <c:pt idx="17">
                  <c:v>2Q18</c:v>
                </c:pt>
              </c:strCache>
            </c:strRef>
          </c:cat>
          <c:val>
            <c:numRef>
              <c:f>[30]MMYT!$B$191:$T$191</c:f>
              <c:numCache>
                <c:formatCode>General</c:formatCode>
                <c:ptCount val="19"/>
                <c:pt idx="0">
                  <c:v>1.0354000000000001</c:v>
                </c:pt>
                <c:pt idx="1">
                  <c:v>1.1020000000000001</c:v>
                </c:pt>
                <c:pt idx="2">
                  <c:v>1.5649999999999999</c:v>
                </c:pt>
                <c:pt idx="3">
                  <c:v>1.3180000000000001</c:v>
                </c:pt>
                <c:pt idx="4">
                  <c:v>1.4478</c:v>
                </c:pt>
                <c:pt idx="5">
                  <c:v>1.605</c:v>
                </c:pt>
                <c:pt idx="6">
                  <c:v>1.6785000000000001</c:v>
                </c:pt>
                <c:pt idx="7">
                  <c:v>1.7738</c:v>
                </c:pt>
                <c:pt idx="8">
                  <c:v>1.9032</c:v>
                </c:pt>
                <c:pt idx="9">
                  <c:v>2.1503000000000001</c:v>
                </c:pt>
                <c:pt idx="10">
                  <c:v>2.1995</c:v>
                </c:pt>
                <c:pt idx="11">
                  <c:v>2.3191000000000002</c:v>
                </c:pt>
                <c:pt idx="12">
                  <c:v>2.7107999999999999</c:v>
                </c:pt>
                <c:pt idx="13">
                  <c:v>3.4201999999999999</c:v>
                </c:pt>
                <c:pt idx="14">
                  <c:v>3.5369999999999999</c:v>
                </c:pt>
                <c:pt idx="15">
                  <c:v>3.98</c:v>
                </c:pt>
                <c:pt idx="16">
                  <c:v>4.2480000000000002</c:v>
                </c:pt>
                <c:pt idx="17">
                  <c:v>0</c:v>
                </c:pt>
              </c:numCache>
            </c:numRef>
          </c:val>
          <c:extLst>
            <c:ext xmlns:c16="http://schemas.microsoft.com/office/drawing/2014/chart" uri="{C3380CC4-5D6E-409C-BE32-E72D297353CC}">
              <c16:uniqueId val="{00000000-436A-478D-B793-3E1281E05092}"/>
            </c:ext>
          </c:extLst>
        </c:ser>
        <c:ser>
          <c:idx val="2"/>
          <c:order val="2"/>
          <c:tx>
            <c:strRef>
              <c:f>[30]MMYT!$A$194</c:f>
              <c:strCache>
                <c:ptCount val="1"/>
                <c:pt idx="0">
                  <c:v>Hotels and packages</c:v>
                </c:pt>
              </c:strCache>
            </c:strRef>
          </c:tx>
          <c:spPr>
            <a:solidFill>
              <a:srgbClr val="92D050"/>
            </a:solidFill>
            <a:ln>
              <a:solidFill>
                <a:schemeClr val="accent3">
                  <a:lumMod val="60000"/>
                  <a:lumOff val="40000"/>
                </a:schemeClr>
              </a:solidFill>
            </a:ln>
          </c:spPr>
          <c:invertIfNegative val="0"/>
          <c:cat>
            <c:strRef>
              <c:f>[30]MMYT!$B$3:$S$3</c:f>
              <c:strCache>
                <c:ptCount val="18"/>
                <c:pt idx="0">
                  <c:v>14Q1</c:v>
                </c:pt>
                <c:pt idx="1">
                  <c:v>14Q2</c:v>
                </c:pt>
                <c:pt idx="2">
                  <c:v>14Q3</c:v>
                </c:pt>
                <c:pt idx="3">
                  <c:v>14Q4</c:v>
                </c:pt>
                <c:pt idx="4">
                  <c:v>15Q1</c:v>
                </c:pt>
                <c:pt idx="5">
                  <c:v>15Q2</c:v>
                </c:pt>
                <c:pt idx="6">
                  <c:v>15Q3</c:v>
                </c:pt>
                <c:pt idx="7">
                  <c:v>15Q4</c:v>
                </c:pt>
                <c:pt idx="8">
                  <c:v>16Q1</c:v>
                </c:pt>
                <c:pt idx="9">
                  <c:v>16Q2</c:v>
                </c:pt>
                <c:pt idx="10">
                  <c:v>16Q3</c:v>
                </c:pt>
                <c:pt idx="11">
                  <c:v>16Q4</c:v>
                </c:pt>
                <c:pt idx="12">
                  <c:v>1Q17</c:v>
                </c:pt>
                <c:pt idx="13">
                  <c:v>2Q17</c:v>
                </c:pt>
                <c:pt idx="14">
                  <c:v>3Q17</c:v>
                </c:pt>
                <c:pt idx="15">
                  <c:v>4Q17</c:v>
                </c:pt>
                <c:pt idx="16">
                  <c:v>1Q18</c:v>
                </c:pt>
                <c:pt idx="17">
                  <c:v>2Q18</c:v>
                </c:pt>
              </c:strCache>
            </c:strRef>
          </c:cat>
          <c:val>
            <c:numRef>
              <c:f>[30]MMYT!$B$194:$T$194</c:f>
              <c:numCache>
                <c:formatCode>General</c:formatCode>
                <c:ptCount val="19"/>
                <c:pt idx="0">
                  <c:v>0.28199999999999997</c:v>
                </c:pt>
                <c:pt idx="1">
                  <c:v>0.376</c:v>
                </c:pt>
                <c:pt idx="2">
                  <c:v>0.2949</c:v>
                </c:pt>
                <c:pt idx="3">
                  <c:v>0.34160000000000001</c:v>
                </c:pt>
                <c:pt idx="4">
                  <c:v>0.373</c:v>
                </c:pt>
                <c:pt idx="5">
                  <c:v>0.43009999999999998</c:v>
                </c:pt>
                <c:pt idx="6">
                  <c:v>0.53680000000000005</c:v>
                </c:pt>
                <c:pt idx="7">
                  <c:v>0.84789999999999999</c:v>
                </c:pt>
                <c:pt idx="8">
                  <c:v>1.3225</c:v>
                </c:pt>
                <c:pt idx="9">
                  <c:v>1.5494000000000001</c:v>
                </c:pt>
                <c:pt idx="10">
                  <c:v>1.4641999999999999</c:v>
                </c:pt>
                <c:pt idx="11">
                  <c:v>1.5074000000000001</c:v>
                </c:pt>
                <c:pt idx="12">
                  <c:v>2.3531</c:v>
                </c:pt>
                <c:pt idx="13">
                  <c:v>3.5748000000000002</c:v>
                </c:pt>
                <c:pt idx="14">
                  <c:v>3.524</c:v>
                </c:pt>
                <c:pt idx="15">
                  <c:v>3.2389999999999999</c:v>
                </c:pt>
                <c:pt idx="16">
                  <c:v>3.0512100000000002</c:v>
                </c:pt>
                <c:pt idx="17">
                  <c:v>0</c:v>
                </c:pt>
              </c:numCache>
            </c:numRef>
          </c:val>
          <c:extLst>
            <c:ext xmlns:c16="http://schemas.microsoft.com/office/drawing/2014/chart" uri="{C3380CC4-5D6E-409C-BE32-E72D297353CC}">
              <c16:uniqueId val="{00000001-436A-478D-B793-3E1281E05092}"/>
            </c:ext>
          </c:extLst>
        </c:ser>
        <c:ser>
          <c:idx val="4"/>
          <c:order val="4"/>
          <c:tx>
            <c:strRef>
              <c:f>[30]MMYT!$A$198</c:f>
              <c:strCache>
                <c:ptCount val="1"/>
                <c:pt idx="0">
                  <c:v>MMYT India Standalone hotels booked online (PC+mobile)</c:v>
                </c:pt>
              </c:strCache>
            </c:strRef>
          </c:tx>
          <c:spPr>
            <a:solidFill>
              <a:schemeClr val="accent6">
                <a:lumMod val="60000"/>
                <a:lumOff val="40000"/>
              </a:schemeClr>
            </a:solidFill>
          </c:spPr>
          <c:invertIfNegative val="0"/>
          <c:cat>
            <c:strRef>
              <c:f>[30]MMYT!$B$3:$S$3</c:f>
              <c:strCache>
                <c:ptCount val="18"/>
                <c:pt idx="0">
                  <c:v>14Q1</c:v>
                </c:pt>
                <c:pt idx="1">
                  <c:v>14Q2</c:v>
                </c:pt>
                <c:pt idx="2">
                  <c:v>14Q3</c:v>
                </c:pt>
                <c:pt idx="3">
                  <c:v>14Q4</c:v>
                </c:pt>
                <c:pt idx="4">
                  <c:v>15Q1</c:v>
                </c:pt>
                <c:pt idx="5">
                  <c:v>15Q2</c:v>
                </c:pt>
                <c:pt idx="6">
                  <c:v>15Q3</c:v>
                </c:pt>
                <c:pt idx="7">
                  <c:v>15Q4</c:v>
                </c:pt>
                <c:pt idx="8">
                  <c:v>16Q1</c:v>
                </c:pt>
                <c:pt idx="9">
                  <c:v>16Q2</c:v>
                </c:pt>
                <c:pt idx="10">
                  <c:v>16Q3</c:v>
                </c:pt>
                <c:pt idx="11">
                  <c:v>16Q4</c:v>
                </c:pt>
                <c:pt idx="12">
                  <c:v>1Q17</c:v>
                </c:pt>
                <c:pt idx="13">
                  <c:v>2Q17</c:v>
                </c:pt>
                <c:pt idx="14">
                  <c:v>3Q17</c:v>
                </c:pt>
                <c:pt idx="15">
                  <c:v>4Q17</c:v>
                </c:pt>
                <c:pt idx="16">
                  <c:v>1Q18</c:v>
                </c:pt>
                <c:pt idx="17">
                  <c:v>2Q18</c:v>
                </c:pt>
              </c:strCache>
            </c:strRef>
          </c:cat>
          <c:val>
            <c:numRef>
              <c:f>[30]MMYT!$B$198:$T$198</c:f>
              <c:numCache>
                <c:formatCode>General</c:formatCode>
                <c:ptCount val="19"/>
                <c:pt idx="0">
                  <c:v>0</c:v>
                </c:pt>
                <c:pt idx="1">
                  <c:v>0.13789999999999999</c:v>
                </c:pt>
                <c:pt idx="2">
                  <c:v>0.12959999999999999</c:v>
                </c:pt>
                <c:pt idx="3">
                  <c:v>0.159</c:v>
                </c:pt>
                <c:pt idx="4">
                  <c:v>0</c:v>
                </c:pt>
                <c:pt idx="5">
                  <c:v>0.2457</c:v>
                </c:pt>
                <c:pt idx="6">
                  <c:v>0.34710000000000002</c:v>
                </c:pt>
                <c:pt idx="7">
                  <c:v>0.67789999999999995</c:v>
                </c:pt>
                <c:pt idx="8">
                  <c:v>1.1729000000000001</c:v>
                </c:pt>
                <c:pt idx="9">
                  <c:v>1.4206000000000001</c:v>
                </c:pt>
                <c:pt idx="10">
                  <c:v>1.3631</c:v>
                </c:pt>
                <c:pt idx="11">
                  <c:v>1.3919999999999999</c:v>
                </c:pt>
                <c:pt idx="12">
                  <c:v>2.2915999999999999</c:v>
                </c:pt>
                <c:pt idx="13">
                  <c:v>0</c:v>
                </c:pt>
                <c:pt idx="16">
                  <c:v>0</c:v>
                </c:pt>
                <c:pt idx="17">
                  <c:v>0</c:v>
                </c:pt>
              </c:numCache>
            </c:numRef>
          </c:val>
          <c:extLst>
            <c:ext xmlns:c16="http://schemas.microsoft.com/office/drawing/2014/chart" uri="{C3380CC4-5D6E-409C-BE32-E72D297353CC}">
              <c16:uniqueId val="{00000002-436A-478D-B793-3E1281E05092}"/>
            </c:ext>
          </c:extLst>
        </c:ser>
        <c:dLbls>
          <c:showLegendKey val="0"/>
          <c:showVal val="0"/>
          <c:showCatName val="0"/>
          <c:showSerName val="0"/>
          <c:showPercent val="0"/>
          <c:showBubbleSize val="0"/>
        </c:dLbls>
        <c:gapWidth val="150"/>
        <c:axId val="127666432"/>
        <c:axId val="127680512"/>
      </c:barChart>
      <c:lineChart>
        <c:grouping val="standard"/>
        <c:varyColors val="0"/>
        <c:ser>
          <c:idx val="1"/>
          <c:order val="1"/>
          <c:tx>
            <c:strRef>
              <c:f>[30]MMYT!$A$192</c:f>
              <c:strCache>
                <c:ptCount val="1"/>
                <c:pt idx="0">
                  <c:v>Air ticketing YoY growth rate</c:v>
                </c:pt>
              </c:strCache>
            </c:strRef>
          </c:tx>
          <c:spPr>
            <a:ln w="28575" cap="rnd" cmpd="sng" algn="ctr">
              <a:solidFill>
                <a:schemeClr val="tx2">
                  <a:lumMod val="60000"/>
                  <a:lumOff val="40000"/>
                </a:schemeClr>
              </a:solidFill>
              <a:prstDash val="solid"/>
              <a:round/>
            </a:ln>
          </c:spPr>
          <c:marker>
            <c:symbol val="square"/>
            <c:size val="5"/>
            <c:spPr>
              <a:solidFill>
                <a:schemeClr val="tx2">
                  <a:lumMod val="60000"/>
                  <a:lumOff val="40000"/>
                </a:schemeClr>
              </a:solidFill>
              <a:ln w="9525" cap="flat" cmpd="sng" algn="ctr">
                <a:solidFill>
                  <a:schemeClr val="tx2">
                    <a:lumMod val="60000"/>
                    <a:lumOff val="40000"/>
                  </a:schemeClr>
                </a:solidFill>
                <a:prstDash val="solid"/>
                <a:round/>
              </a:ln>
            </c:spPr>
          </c:marker>
          <c:dLbls>
            <c:dLbl>
              <c:idx val="4"/>
              <c:layout>
                <c:manualLayout>
                  <c:x val="-1.0916033233857E-2"/>
                  <c:y val="-5.137780766950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6A-478D-B793-3E1281E05092}"/>
                </c:ext>
              </c:extLst>
            </c:dLbl>
            <c:dLbl>
              <c:idx val="11"/>
              <c:layout>
                <c:manualLayout>
                  <c:x val="-1.55943331912245E-2"/>
                  <c:y val="1.926667787606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A-478D-B793-3E1281E05092}"/>
                </c:ext>
              </c:extLst>
            </c:dLbl>
            <c:dLbl>
              <c:idx val="12"/>
              <c:layout>
                <c:manualLayout>
                  <c:x val="-1.4034899872102E-2"/>
                  <c:y val="1.60555648967195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6A-478D-B793-3E1281E05092}"/>
                </c:ext>
              </c:extLst>
            </c:dLbl>
            <c:dLbl>
              <c:idx val="16"/>
              <c:layout>
                <c:manualLayout>
                  <c:x val="-7.7971665956121702E-3"/>
                  <c:y val="-2.568890383475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36A-478D-B793-3E1281E05092}"/>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[30]MMYT!$B$3:$T$3</c:f>
              <c:strCache>
                <c:ptCount val="19"/>
                <c:pt idx="0">
                  <c:v>14Q1</c:v>
                </c:pt>
                <c:pt idx="1">
                  <c:v>14Q2</c:v>
                </c:pt>
                <c:pt idx="2">
                  <c:v>14Q3</c:v>
                </c:pt>
                <c:pt idx="3">
                  <c:v>14Q4</c:v>
                </c:pt>
                <c:pt idx="4">
                  <c:v>15Q1</c:v>
                </c:pt>
                <c:pt idx="5">
                  <c:v>15Q2</c:v>
                </c:pt>
                <c:pt idx="6">
                  <c:v>15Q3</c:v>
                </c:pt>
                <c:pt idx="7">
                  <c:v>15Q4</c:v>
                </c:pt>
                <c:pt idx="8">
                  <c:v>16Q1</c:v>
                </c:pt>
                <c:pt idx="9">
                  <c:v>16Q2</c:v>
                </c:pt>
                <c:pt idx="10">
                  <c:v>16Q3</c:v>
                </c:pt>
                <c:pt idx="11">
                  <c:v>16Q4</c:v>
                </c:pt>
                <c:pt idx="12">
                  <c:v>1Q17</c:v>
                </c:pt>
                <c:pt idx="13">
                  <c:v>2Q17</c:v>
                </c:pt>
                <c:pt idx="14">
                  <c:v>3Q17</c:v>
                </c:pt>
                <c:pt idx="15">
                  <c:v>4Q17</c:v>
                </c:pt>
                <c:pt idx="16">
                  <c:v>1Q18</c:v>
                </c:pt>
                <c:pt idx="17">
                  <c:v>2Q18</c:v>
                </c:pt>
                <c:pt idx="18">
                  <c:v>3Q18</c:v>
                </c:pt>
              </c:strCache>
            </c:strRef>
          </c:cat>
          <c:val>
            <c:numRef>
              <c:f>[30]MMYT!$B$192:$T$192</c:f>
              <c:numCache>
                <c:formatCode>General</c:formatCode>
                <c:ptCount val="19"/>
                <c:pt idx="0">
                  <c:v>-1.7999999999999999E-2</c:v>
                </c:pt>
                <c:pt idx="1">
                  <c:v>0.161</c:v>
                </c:pt>
                <c:pt idx="2">
                  <c:v>0.39700000000000002</c:v>
                </c:pt>
                <c:pt idx="3">
                  <c:v>0.47299999999999998</c:v>
                </c:pt>
                <c:pt idx="4">
                  <c:v>0.39800000000000002</c:v>
                </c:pt>
                <c:pt idx="5">
                  <c:v>0.45600000000000002</c:v>
                </c:pt>
                <c:pt idx="6">
                  <c:v>7.1999999999999995E-2</c:v>
                </c:pt>
                <c:pt idx="7">
                  <c:v>0.34599999999999997</c:v>
                </c:pt>
                <c:pt idx="8">
                  <c:v>0.315</c:v>
                </c:pt>
                <c:pt idx="9">
                  <c:v>0.34</c:v>
                </c:pt>
                <c:pt idx="10">
                  <c:v>0.31</c:v>
                </c:pt>
                <c:pt idx="11">
                  <c:v>0.307</c:v>
                </c:pt>
                <c:pt idx="12">
                  <c:v>0.42399999999999999</c:v>
                </c:pt>
                <c:pt idx="13">
                  <c:v>0.59099999999999997</c:v>
                </c:pt>
                <c:pt idx="14">
                  <c:v>0.60799999999999998</c:v>
                </c:pt>
                <c:pt idx="15">
                  <c:v>0.71599999999999997</c:v>
                </c:pt>
                <c:pt idx="16">
                  <c:v>0.56699999999999995</c:v>
                </c:pt>
                <c:pt idx="17">
                  <c:v>0</c:v>
                </c:pt>
              </c:numCache>
            </c:numRef>
          </c:val>
          <c:smooth val="0"/>
          <c:extLst>
            <c:ext xmlns:c16="http://schemas.microsoft.com/office/drawing/2014/chart" uri="{C3380CC4-5D6E-409C-BE32-E72D297353CC}">
              <c16:uniqueId val="{00000007-436A-478D-B793-3E1281E05092}"/>
            </c:ext>
          </c:extLst>
        </c:ser>
        <c:ser>
          <c:idx val="3"/>
          <c:order val="3"/>
          <c:tx>
            <c:strRef>
              <c:f>[30]MMYT!$A$195</c:f>
              <c:strCache>
                <c:ptCount val="1"/>
                <c:pt idx="0">
                  <c:v>H&amp;P YoY growth rate</c:v>
                </c:pt>
              </c:strCache>
            </c:strRef>
          </c:tx>
          <c:spPr>
            <a:ln w="28575" cap="rnd" cmpd="sng" algn="ctr">
              <a:solidFill>
                <a:srgbClr val="00B050"/>
              </a:solidFill>
              <a:prstDash val="solid"/>
              <a:round/>
            </a:ln>
          </c:spPr>
          <c:marker>
            <c:symbol val="diamond"/>
            <c:size val="5"/>
            <c:spPr>
              <a:solidFill>
                <a:srgbClr val="00B050"/>
              </a:solidFill>
              <a:ln w="9525" cap="flat" cmpd="sng" algn="ctr">
                <a:solidFill>
                  <a:schemeClr val="accent3"/>
                </a:solidFill>
                <a:prstDash val="solid"/>
                <a:round/>
              </a:ln>
            </c:spPr>
          </c:marker>
          <c:dLbls>
            <c:dLbl>
              <c:idx val="4"/>
              <c:layout>
                <c:manualLayout>
                  <c:x val="-1.71537665103468E-2"/>
                  <c:y val="4.49555817108152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36A-478D-B793-3E1281E05092}"/>
                </c:ext>
              </c:extLst>
            </c:dLbl>
            <c:dLbl>
              <c:idx val="11"/>
              <c:layout>
                <c:manualLayout>
                  <c:x val="-1.0916033233857E-2"/>
                  <c:y val="3.2111129793439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36A-478D-B793-3E1281E05092}"/>
                </c:ext>
              </c:extLst>
            </c:dLbl>
            <c:dLbl>
              <c:idx val="12"/>
              <c:layout>
                <c:manualLayout>
                  <c:x val="-1.2475466552979601E-2"/>
                  <c:y val="-5.458892064884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36A-478D-B793-3E1281E05092}"/>
                </c:ext>
              </c:extLst>
            </c:dLbl>
            <c:dLbl>
              <c:idx val="16"/>
              <c:layout>
                <c:manualLayout>
                  <c:x val="-6.2377332764897396E-3"/>
                  <c:y val="2.247779085540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36A-478D-B793-3E1281E05092}"/>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[30]MMYT!$B$3:$T$3</c:f>
              <c:strCache>
                <c:ptCount val="19"/>
                <c:pt idx="0">
                  <c:v>14Q1</c:v>
                </c:pt>
                <c:pt idx="1">
                  <c:v>14Q2</c:v>
                </c:pt>
                <c:pt idx="2">
                  <c:v>14Q3</c:v>
                </c:pt>
                <c:pt idx="3">
                  <c:v>14Q4</c:v>
                </c:pt>
                <c:pt idx="4">
                  <c:v>15Q1</c:v>
                </c:pt>
                <c:pt idx="5">
                  <c:v>15Q2</c:v>
                </c:pt>
                <c:pt idx="6">
                  <c:v>15Q3</c:v>
                </c:pt>
                <c:pt idx="7">
                  <c:v>15Q4</c:v>
                </c:pt>
                <c:pt idx="8">
                  <c:v>16Q1</c:v>
                </c:pt>
                <c:pt idx="9">
                  <c:v>16Q2</c:v>
                </c:pt>
                <c:pt idx="10">
                  <c:v>16Q3</c:v>
                </c:pt>
                <c:pt idx="11">
                  <c:v>16Q4</c:v>
                </c:pt>
                <c:pt idx="12">
                  <c:v>1Q17</c:v>
                </c:pt>
                <c:pt idx="13">
                  <c:v>2Q17</c:v>
                </c:pt>
                <c:pt idx="14">
                  <c:v>3Q17</c:v>
                </c:pt>
                <c:pt idx="15">
                  <c:v>4Q17</c:v>
                </c:pt>
                <c:pt idx="16">
                  <c:v>1Q18</c:v>
                </c:pt>
                <c:pt idx="17">
                  <c:v>2Q18</c:v>
                </c:pt>
                <c:pt idx="18">
                  <c:v>3Q18</c:v>
                </c:pt>
              </c:strCache>
            </c:strRef>
          </c:cat>
          <c:val>
            <c:numRef>
              <c:f>[30]MMYT!$B$195:$T$195</c:f>
              <c:numCache>
                <c:formatCode>General</c:formatCode>
                <c:ptCount val="19"/>
                <c:pt idx="0">
                  <c:v>0.68899999999999995</c:v>
                </c:pt>
                <c:pt idx="1">
                  <c:v>1.0649999999999999</c:v>
                </c:pt>
                <c:pt idx="2">
                  <c:v>0.70899999999999996</c:v>
                </c:pt>
                <c:pt idx="3">
                  <c:v>0.46500000000000002</c:v>
                </c:pt>
                <c:pt idx="4">
                  <c:v>0.32200000000000001</c:v>
                </c:pt>
                <c:pt idx="5">
                  <c:v>0.14399999999999999</c:v>
                </c:pt>
                <c:pt idx="6">
                  <c:v>0.82</c:v>
                </c:pt>
                <c:pt idx="7">
                  <c:v>1.482</c:v>
                </c:pt>
                <c:pt idx="8">
                  <c:v>2.5449999999999999</c:v>
                </c:pt>
                <c:pt idx="9">
                  <c:v>2.6030000000000002</c:v>
                </c:pt>
                <c:pt idx="10">
                  <c:v>1.7270000000000001</c:v>
                </c:pt>
                <c:pt idx="11">
                  <c:v>0.77800000000000002</c:v>
                </c:pt>
                <c:pt idx="12">
                  <c:v>0.77900000000000003</c:v>
                </c:pt>
                <c:pt idx="13">
                  <c:v>1.3069999999999999</c:v>
                </c:pt>
                <c:pt idx="14">
                  <c:v>1.407</c:v>
                </c:pt>
                <c:pt idx="15">
                  <c:v>1.149</c:v>
                </c:pt>
                <c:pt idx="16">
                  <c:v>0.42399999999999999</c:v>
                </c:pt>
              </c:numCache>
            </c:numRef>
          </c:val>
          <c:smooth val="0"/>
          <c:extLst>
            <c:ext xmlns:c16="http://schemas.microsoft.com/office/drawing/2014/chart" uri="{C3380CC4-5D6E-409C-BE32-E72D297353CC}">
              <c16:uniqueId val="{0000000C-436A-478D-B793-3E1281E05092}"/>
            </c:ext>
          </c:extLst>
        </c:ser>
        <c:ser>
          <c:idx val="5"/>
          <c:order val="5"/>
          <c:tx>
            <c:strRef>
              <c:f>[30]MMYT!$A$199</c:f>
              <c:strCache>
                <c:ptCount val="1"/>
                <c:pt idx="0">
                  <c:v>Online Standardalone hotel YoY % growth rate</c:v>
                </c:pt>
              </c:strCache>
            </c:strRef>
          </c:tx>
          <c:spPr>
            <a:ln w="28575" cap="rnd" cmpd="sng" algn="ctr">
              <a:solidFill>
                <a:schemeClr val="accent6"/>
              </a:solidFill>
              <a:prstDash val="solid"/>
              <a:round/>
            </a:ln>
          </c:spPr>
          <c:marker>
            <c:symbol val="triangle"/>
            <c:size val="7"/>
            <c:spPr>
              <a:solidFill>
                <a:schemeClr val="accent6"/>
              </a:solidFill>
            </c:spPr>
          </c:marker>
          <c:dLbls>
            <c:dLbl>
              <c:idx val="11"/>
              <c:layout>
                <c:manualLayout>
                  <c:x val="-1.24754665529795E-2"/>
                  <c:y val="-1.926667787606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36A-478D-B793-3E1281E05092}"/>
                </c:ext>
              </c:extLst>
            </c:dLbl>
            <c:dLbl>
              <c:idx val="12"/>
              <c:layout>
                <c:manualLayout>
                  <c:x val="-9.3565999147346094E-3"/>
                  <c:y val="9.6333389380317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36A-478D-B793-3E1281E05092}"/>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[30]MMYT!$B$3:$T$3</c:f>
              <c:strCache>
                <c:ptCount val="19"/>
                <c:pt idx="0">
                  <c:v>14Q1</c:v>
                </c:pt>
                <c:pt idx="1">
                  <c:v>14Q2</c:v>
                </c:pt>
                <c:pt idx="2">
                  <c:v>14Q3</c:v>
                </c:pt>
                <c:pt idx="3">
                  <c:v>14Q4</c:v>
                </c:pt>
                <c:pt idx="4">
                  <c:v>15Q1</c:v>
                </c:pt>
                <c:pt idx="5">
                  <c:v>15Q2</c:v>
                </c:pt>
                <c:pt idx="6">
                  <c:v>15Q3</c:v>
                </c:pt>
                <c:pt idx="7">
                  <c:v>15Q4</c:v>
                </c:pt>
                <c:pt idx="8">
                  <c:v>16Q1</c:v>
                </c:pt>
                <c:pt idx="9">
                  <c:v>16Q2</c:v>
                </c:pt>
                <c:pt idx="10">
                  <c:v>16Q3</c:v>
                </c:pt>
                <c:pt idx="11">
                  <c:v>16Q4</c:v>
                </c:pt>
                <c:pt idx="12">
                  <c:v>1Q17</c:v>
                </c:pt>
                <c:pt idx="13">
                  <c:v>2Q17</c:v>
                </c:pt>
                <c:pt idx="14">
                  <c:v>3Q17</c:v>
                </c:pt>
                <c:pt idx="15">
                  <c:v>4Q17</c:v>
                </c:pt>
                <c:pt idx="16">
                  <c:v>1Q18</c:v>
                </c:pt>
                <c:pt idx="17">
                  <c:v>2Q18</c:v>
                </c:pt>
                <c:pt idx="18">
                  <c:v>3Q18</c:v>
                </c:pt>
              </c:strCache>
            </c:strRef>
          </c:cat>
          <c:val>
            <c:numRef>
              <c:f>[30]MMYT!$B$199:$T$199</c:f>
              <c:numCache>
                <c:formatCode>General</c:formatCode>
                <c:ptCount val="19"/>
                <c:pt idx="0">
                  <c:v>0</c:v>
                </c:pt>
                <c:pt idx="1">
                  <c:v>0</c:v>
                </c:pt>
                <c:pt idx="2">
                  <c:v>0</c:v>
                </c:pt>
                <c:pt idx="3">
                  <c:v>0</c:v>
                </c:pt>
                <c:pt idx="4">
                  <c:v>0</c:v>
                </c:pt>
                <c:pt idx="5">
                  <c:v>0.78100000000000003</c:v>
                </c:pt>
                <c:pt idx="6">
                  <c:v>1.679</c:v>
                </c:pt>
                <c:pt idx="7">
                  <c:v>3.2629999999999999</c:v>
                </c:pt>
                <c:pt idx="8">
                  <c:v>5.069</c:v>
                </c:pt>
                <c:pt idx="9">
                  <c:v>4.782</c:v>
                </c:pt>
                <c:pt idx="10">
                  <c:v>2.927</c:v>
                </c:pt>
                <c:pt idx="11">
                  <c:v>1.05340020652014</c:v>
                </c:pt>
                <c:pt idx="12">
                  <c:v>0.95399999999999996</c:v>
                </c:pt>
                <c:pt idx="13">
                  <c:v>0</c:v>
                </c:pt>
                <c:pt idx="14">
                  <c:v>0</c:v>
                </c:pt>
                <c:pt idx="15">
                  <c:v>0</c:v>
                </c:pt>
                <c:pt idx="16">
                  <c:v>0</c:v>
                </c:pt>
                <c:pt idx="17">
                  <c:v>0</c:v>
                </c:pt>
              </c:numCache>
            </c:numRef>
          </c:val>
          <c:smooth val="0"/>
          <c:extLst>
            <c:ext xmlns:c16="http://schemas.microsoft.com/office/drawing/2014/chart" uri="{C3380CC4-5D6E-409C-BE32-E72D297353CC}">
              <c16:uniqueId val="{0000000F-436A-478D-B793-3E1281E05092}"/>
            </c:ext>
          </c:extLst>
        </c:ser>
        <c:dLbls>
          <c:showLegendKey val="0"/>
          <c:showVal val="0"/>
          <c:showCatName val="0"/>
          <c:showSerName val="0"/>
          <c:showPercent val="0"/>
          <c:showBubbleSize val="0"/>
        </c:dLbls>
        <c:marker val="1"/>
        <c:smooth val="0"/>
        <c:axId val="127682048"/>
        <c:axId val="127683584"/>
      </c:lineChart>
      <c:catAx>
        <c:axId val="127666432"/>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680512"/>
        <c:crosses val="autoZero"/>
        <c:auto val="1"/>
        <c:lblAlgn val="ctr"/>
        <c:lblOffset val="100"/>
        <c:noMultiLvlLbl val="0"/>
      </c:catAx>
      <c:valAx>
        <c:axId val="127680512"/>
        <c:scaling>
          <c:orientation val="minMax"/>
        </c:scaling>
        <c:delete val="0"/>
        <c:axPos val="l"/>
        <c:majorGridlines/>
        <c:numFmt formatCode="0.0" sourceLinked="0"/>
        <c:majorTickMark val="out"/>
        <c:minorTickMark val="none"/>
        <c:tickLblPos val="nextTo"/>
        <c:spPr>
          <a:ln w="9525"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666432"/>
        <c:crosses val="autoZero"/>
        <c:crossBetween val="between"/>
      </c:valAx>
      <c:catAx>
        <c:axId val="127682048"/>
        <c:scaling>
          <c:orientation val="minMax"/>
        </c:scaling>
        <c:delete val="1"/>
        <c:axPos val="b"/>
        <c:numFmt formatCode="General" sourceLinked="1"/>
        <c:majorTickMark val="out"/>
        <c:minorTickMark val="none"/>
        <c:tickLblPos val="none"/>
        <c:crossAx val="127683584"/>
        <c:crosses val="autoZero"/>
        <c:auto val="1"/>
        <c:lblAlgn val="ctr"/>
        <c:lblOffset val="100"/>
        <c:noMultiLvlLbl val="0"/>
      </c:catAx>
      <c:valAx>
        <c:axId val="127683584"/>
        <c:scaling>
          <c:orientation val="minMax"/>
        </c:scaling>
        <c:delete val="0"/>
        <c:axPos val="r"/>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682048"/>
        <c:crosses val="max"/>
        <c:crossBetween val="between"/>
      </c:valAx>
      <c:spPr>
        <a:noFill/>
        <a:ln w="25400">
          <a:no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a:t>MMYT's Operating Income (non-GAAP)</a:t>
            </a:r>
            <a:r>
              <a:rPr lang="en-US" altLang="zh-CN" baseline="0"/>
              <a:t> </a:t>
            </a:r>
            <a:r>
              <a:rPr lang="en-US" altLang="zh-CN"/>
              <a:t>and Margin </a:t>
            </a:r>
            <a:endParaRPr lang="zh-CN" altLang="en-US"/>
          </a:p>
        </c:rich>
      </c:tx>
      <c:layout>
        <c:manualLayout>
          <c:xMode val="edge"/>
          <c:yMode val="edge"/>
          <c:x val="0.1345841208237156"/>
          <c:y val="1.8607190726879407E-2"/>
        </c:manualLayout>
      </c:layout>
      <c:overlay val="0"/>
    </c:title>
    <c:autoTitleDeleted val="0"/>
    <c:plotArea>
      <c:layout/>
      <c:barChart>
        <c:barDir val="col"/>
        <c:grouping val="clustered"/>
        <c:varyColors val="0"/>
        <c:ser>
          <c:idx val="0"/>
          <c:order val="0"/>
          <c:tx>
            <c:strRef>
              <c:f>'MMYT (2)'!$A$90</c:f>
              <c:strCache>
                <c:ptCount val="1"/>
              </c:strCache>
            </c:strRef>
          </c:tx>
          <c:spPr>
            <a:solidFill>
              <a:schemeClr val="accent1">
                <a:lumMod val="60000"/>
                <a:lumOff val="40000"/>
              </a:schemeClr>
            </a:solidFill>
            <a:ln>
              <a:solidFill>
                <a:schemeClr val="accent1">
                  <a:lumMod val="60000"/>
                  <a:lumOff val="40000"/>
                </a:schemeClr>
              </a:solidFill>
            </a:ln>
          </c:spPr>
          <c:invertIfNegative val="0"/>
          <c:cat>
            <c:strRef>
              <c:f>'MMYT (2)'!$B$4:$Z$4</c:f>
              <c:strCache>
                <c:ptCount val="13"/>
                <c:pt idx="0">
                  <c:v> 1Q17 </c:v>
                </c:pt>
                <c:pt idx="1">
                  <c:v> 2Q17 </c:v>
                </c:pt>
                <c:pt idx="2">
                  <c:v> 3Q17 </c:v>
                </c:pt>
                <c:pt idx="3">
                  <c:v> 4Q17 </c:v>
                </c:pt>
                <c:pt idx="4">
                  <c:v> 1Q18 </c:v>
                </c:pt>
                <c:pt idx="5">
                  <c:v> 2Q18 </c:v>
                </c:pt>
                <c:pt idx="6">
                  <c:v> 3Q18 </c:v>
                </c:pt>
                <c:pt idx="7">
                  <c:v> 4Q18 </c:v>
                </c:pt>
                <c:pt idx="8">
                  <c:v> 1Q19 </c:v>
                </c:pt>
                <c:pt idx="9">
                  <c:v> 2Q19 </c:v>
                </c:pt>
                <c:pt idx="10">
                  <c:v> 3Q19 </c:v>
                </c:pt>
                <c:pt idx="11">
                  <c:v> 4Q19 </c:v>
                </c:pt>
                <c:pt idx="12">
                  <c:v> 1Q20 </c:v>
                </c:pt>
              </c:strCache>
            </c:strRef>
          </c:cat>
          <c:val>
            <c:numRef>
              <c:f>'MMYT (2)'!$B$90:$Z$90</c:f>
              <c:numCache>
                <c:formatCode>0%</c:formatCode>
                <c:ptCount val="13"/>
              </c:numCache>
            </c:numRef>
          </c:val>
          <c:extLst>
            <c:ext xmlns:c16="http://schemas.microsoft.com/office/drawing/2014/chart" uri="{C3380CC4-5D6E-409C-BE32-E72D297353CC}">
              <c16:uniqueId val="{00000000-7F3F-4F30-B292-F94A1367887E}"/>
            </c:ext>
          </c:extLst>
        </c:ser>
        <c:dLbls>
          <c:showLegendKey val="0"/>
          <c:showVal val="0"/>
          <c:showCatName val="0"/>
          <c:showSerName val="0"/>
          <c:showPercent val="0"/>
          <c:showBubbleSize val="0"/>
        </c:dLbls>
        <c:gapWidth val="75"/>
        <c:overlap val="-25"/>
        <c:axId val="127727872"/>
        <c:axId val="127729664"/>
      </c:barChart>
      <c:lineChart>
        <c:grouping val="standard"/>
        <c:varyColors val="0"/>
        <c:ser>
          <c:idx val="1"/>
          <c:order val="1"/>
          <c:tx>
            <c:strRef>
              <c:f>'MMYT (2)'!$A$91</c:f>
              <c:strCache>
                <c:ptCount val="1"/>
                <c:pt idx="0">
                  <c:v> Gross bookings </c:v>
                </c:pt>
              </c:strCache>
            </c:strRef>
          </c:tx>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'MMYT (2)'!$B$4:$Z$4</c:f>
              <c:strCache>
                <c:ptCount val="13"/>
                <c:pt idx="0">
                  <c:v> 1Q17 </c:v>
                </c:pt>
                <c:pt idx="1">
                  <c:v> 2Q17 </c:v>
                </c:pt>
                <c:pt idx="2">
                  <c:v> 3Q17 </c:v>
                </c:pt>
                <c:pt idx="3">
                  <c:v> 4Q17 </c:v>
                </c:pt>
                <c:pt idx="4">
                  <c:v> 1Q18 </c:v>
                </c:pt>
                <c:pt idx="5">
                  <c:v> 2Q18 </c:v>
                </c:pt>
                <c:pt idx="6">
                  <c:v> 3Q18 </c:v>
                </c:pt>
                <c:pt idx="7">
                  <c:v> 4Q18 </c:v>
                </c:pt>
                <c:pt idx="8">
                  <c:v> 1Q19 </c:v>
                </c:pt>
                <c:pt idx="9">
                  <c:v> 2Q19 </c:v>
                </c:pt>
                <c:pt idx="10">
                  <c:v> 3Q19 </c:v>
                </c:pt>
                <c:pt idx="11">
                  <c:v> 4Q19 </c:v>
                </c:pt>
                <c:pt idx="12">
                  <c:v> 1Q20 </c:v>
                </c:pt>
              </c:strCache>
            </c:strRef>
          </c:cat>
          <c:val>
            <c:numRef>
              <c:f>'MMYT (2)'!$B$91:$Z$91</c:f>
              <c:numCache>
                <c:formatCode>_(* #,##0_);_(* \(#,##0\);_(* "-"??_);_(@_)</c:formatCode>
                <c:ptCount val="13"/>
                <c:pt idx="7">
                  <c:v>1413.537</c:v>
                </c:pt>
                <c:pt idx="8">
                  <c:v>1372.809</c:v>
                </c:pt>
                <c:pt idx="9">
                  <c:v>1693.5929999999998</c:v>
                </c:pt>
                <c:pt idx="10">
                  <c:v>1492.9179999999999</c:v>
                </c:pt>
                <c:pt idx="11">
                  <c:v>1700.5469999999998</c:v>
                </c:pt>
                <c:pt idx="12">
                  <c:v>1206.6770000000001</c:v>
                </c:pt>
              </c:numCache>
            </c:numRef>
          </c:val>
          <c:smooth val="0"/>
          <c:extLst>
            <c:ext xmlns:c16="http://schemas.microsoft.com/office/drawing/2014/chart" uri="{C3380CC4-5D6E-409C-BE32-E72D297353CC}">
              <c16:uniqueId val="{00000001-7F3F-4F30-B292-F94A1367887E}"/>
            </c:ext>
          </c:extLst>
        </c:ser>
        <c:dLbls>
          <c:showLegendKey val="0"/>
          <c:showVal val="0"/>
          <c:showCatName val="0"/>
          <c:showSerName val="0"/>
          <c:showPercent val="0"/>
          <c:showBubbleSize val="0"/>
        </c:dLbls>
        <c:marker val="1"/>
        <c:smooth val="0"/>
        <c:axId val="127731200"/>
        <c:axId val="127732736"/>
      </c:lineChart>
      <c:catAx>
        <c:axId val="127727872"/>
        <c:scaling>
          <c:orientation val="minMax"/>
        </c:scaling>
        <c:delete val="0"/>
        <c:axPos val="b"/>
        <c:numFmt formatCode="General" sourceLinked="0"/>
        <c:majorTickMark val="none"/>
        <c:minorTickMark val="none"/>
        <c:tickLblPos val="low"/>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729664"/>
        <c:crossesAt val="0"/>
        <c:auto val="1"/>
        <c:lblAlgn val="ctr"/>
        <c:lblOffset val="100"/>
        <c:noMultiLvlLbl val="0"/>
      </c:catAx>
      <c:valAx>
        <c:axId val="127729664"/>
        <c:scaling>
          <c:orientation val="minMax"/>
        </c:scaling>
        <c:delete val="0"/>
        <c:axPos val="l"/>
        <c:majorGridlines>
          <c:spPr>
            <a:ln>
              <a:noFill/>
            </a:ln>
          </c:spPr>
        </c:majorGridlines>
        <c:numFmt formatCode="General" sourceLinked="0"/>
        <c:majorTickMark val="out"/>
        <c:minorTickMark val="out"/>
        <c:tickLblPos val="nextTo"/>
        <c:spPr>
          <a:ln w="9525"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727872"/>
        <c:crosses val="autoZero"/>
        <c:crossBetween val="between"/>
      </c:valAx>
      <c:catAx>
        <c:axId val="127731200"/>
        <c:scaling>
          <c:orientation val="minMax"/>
        </c:scaling>
        <c:delete val="1"/>
        <c:axPos val="b"/>
        <c:numFmt formatCode="General" sourceLinked="1"/>
        <c:majorTickMark val="out"/>
        <c:minorTickMark val="none"/>
        <c:tickLblPos val="none"/>
        <c:crossAx val="127732736"/>
        <c:crosses val="autoZero"/>
        <c:auto val="1"/>
        <c:lblAlgn val="ctr"/>
        <c:lblOffset val="100"/>
        <c:noMultiLvlLbl val="0"/>
      </c:catAx>
      <c:valAx>
        <c:axId val="127732736"/>
        <c:scaling>
          <c:orientation val="minMax"/>
          <c:max val="1.2"/>
          <c:min val="-2.6"/>
        </c:scaling>
        <c:delete val="0"/>
        <c:axPos val="r"/>
        <c:numFmt formatCode="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731200"/>
        <c:crosses val="max"/>
        <c:crossBetween val="between"/>
        <c:majorUnit val="0.4"/>
      </c:valAx>
      <c:spPr>
        <a:ln>
          <a:solidFill>
            <a:schemeClr val="bg1">
              <a:lumMod val="7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sz="1400"/>
              <a:t>Total Number</a:t>
            </a:r>
            <a:r>
              <a:rPr lang="en-US" altLang="zh-CN" sz="1400" baseline="0"/>
              <a:t> of India Air Passengers and YoY Growth</a:t>
            </a:r>
            <a:endParaRPr lang="zh-CN" altLang="en-US" sz="1400"/>
          </a:p>
        </c:rich>
      </c:tx>
      <c:overlay val="0"/>
    </c:title>
    <c:autoTitleDeleted val="0"/>
    <c:plotArea>
      <c:layout>
        <c:manualLayout>
          <c:layoutTarget val="inner"/>
          <c:xMode val="edge"/>
          <c:yMode val="edge"/>
          <c:x val="8.468929162728922E-2"/>
          <c:y val="0.11870585212237847"/>
          <c:w val="0.83628556062020865"/>
          <c:h val="0.66926514969274176"/>
        </c:manualLayout>
      </c:layout>
      <c:barChart>
        <c:barDir val="col"/>
        <c:grouping val="clustered"/>
        <c:varyColors val="0"/>
        <c:ser>
          <c:idx val="0"/>
          <c:order val="0"/>
          <c:tx>
            <c:v>Number of air passengers</c:v>
          </c:tx>
          <c:invertIfNegative val="0"/>
          <c:cat>
            <c:strRef>
              <c:f>'MMYT (2)'!$F$4:$AB$4</c:f>
              <c:strCache>
                <c:ptCount val="15"/>
                <c:pt idx="0">
                  <c:v> 1Q17 </c:v>
                </c:pt>
                <c:pt idx="1">
                  <c:v> 2Q17 </c:v>
                </c:pt>
                <c:pt idx="2">
                  <c:v> 3Q17 </c:v>
                </c:pt>
                <c:pt idx="3">
                  <c:v> 4Q17 </c:v>
                </c:pt>
                <c:pt idx="4">
                  <c:v> 1Q18 </c:v>
                </c:pt>
                <c:pt idx="5">
                  <c:v> 2Q18 </c:v>
                </c:pt>
                <c:pt idx="6">
                  <c:v> 3Q18 </c:v>
                </c:pt>
                <c:pt idx="7">
                  <c:v> 4Q18 </c:v>
                </c:pt>
                <c:pt idx="8">
                  <c:v> 1Q19 </c:v>
                </c:pt>
                <c:pt idx="9">
                  <c:v> 2Q19 </c:v>
                </c:pt>
                <c:pt idx="10">
                  <c:v> 3Q19 </c:v>
                </c:pt>
                <c:pt idx="11">
                  <c:v> 4Q19 </c:v>
                </c:pt>
                <c:pt idx="12">
                  <c:v> 1Q20 </c:v>
                </c:pt>
                <c:pt idx="13">
                  <c:v> 2Q20 </c:v>
                </c:pt>
                <c:pt idx="14">
                  <c:v> 3Q20 </c:v>
                </c:pt>
              </c:strCache>
            </c:strRef>
          </c:cat>
          <c:val>
            <c:numRef>
              <c:f>'MMYT (2)'!$F$30:$AB$30</c:f>
              <c:numCache>
                <c:formatCode>_(* #,##0_);_(* \(#,##0\);_(* "-"??_);_(@_)</c:formatCode>
                <c:ptCount val="15"/>
                <c:pt idx="0">
                  <c:v>41482333</c:v>
                </c:pt>
                <c:pt idx="1">
                  <c:v>43473519</c:v>
                </c:pt>
                <c:pt idx="2">
                  <c:v>43454399</c:v>
                </c:pt>
                <c:pt idx="3">
                  <c:v>47671770</c:v>
                </c:pt>
                <c:pt idx="4">
                  <c:v>49593485</c:v>
                </c:pt>
                <c:pt idx="5">
                  <c:v>50424354</c:v>
                </c:pt>
                <c:pt idx="6">
                  <c:v>49746409</c:v>
                </c:pt>
                <c:pt idx="7">
                  <c:v>52524619</c:v>
                </c:pt>
                <c:pt idx="8">
                  <c:v>51846472</c:v>
                </c:pt>
                <c:pt idx="9">
                  <c:v>50787096</c:v>
                </c:pt>
                <c:pt idx="10">
                  <c:v>50967657</c:v>
                </c:pt>
                <c:pt idx="11">
                  <c:v>54676984</c:v>
                </c:pt>
                <c:pt idx="12">
                  <c:v>45479689</c:v>
                </c:pt>
              </c:numCache>
            </c:numRef>
          </c:val>
          <c:extLst>
            <c:ext xmlns:c16="http://schemas.microsoft.com/office/drawing/2014/chart" uri="{C3380CC4-5D6E-409C-BE32-E72D297353CC}">
              <c16:uniqueId val="{00000000-CB63-4DEB-A47C-75856139272B}"/>
            </c:ext>
          </c:extLst>
        </c:ser>
        <c:dLbls>
          <c:showLegendKey val="0"/>
          <c:showVal val="0"/>
          <c:showCatName val="0"/>
          <c:showSerName val="0"/>
          <c:showPercent val="0"/>
          <c:showBubbleSize val="0"/>
        </c:dLbls>
        <c:gapWidth val="150"/>
        <c:axId val="129348352"/>
        <c:axId val="129349888"/>
      </c:barChart>
      <c:lineChart>
        <c:grouping val="standard"/>
        <c:varyColors val="0"/>
        <c:ser>
          <c:idx val="1"/>
          <c:order val="1"/>
          <c:tx>
            <c:v>YoY% growth rate</c:v>
          </c:tx>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'MMYT (2)'!$F$3:$AB$3</c:f>
              <c:strCache>
                <c:ptCount val="15"/>
                <c:pt idx="0">
                  <c:v> MMYT </c:v>
                </c:pt>
                <c:pt idx="1">
                  <c:v> MMYT </c:v>
                </c:pt>
                <c:pt idx="2">
                  <c:v> MMYT </c:v>
                </c:pt>
                <c:pt idx="3">
                  <c:v> MMYT </c:v>
                </c:pt>
                <c:pt idx="4">
                  <c:v> MMYT </c:v>
                </c:pt>
                <c:pt idx="5">
                  <c:v> MMYT </c:v>
                </c:pt>
                <c:pt idx="6">
                  <c:v> MMYT </c:v>
                </c:pt>
                <c:pt idx="7">
                  <c:v> MMYT </c:v>
                </c:pt>
                <c:pt idx="8">
                  <c:v> MMYT </c:v>
                </c:pt>
                <c:pt idx="9">
                  <c:v> MMYT </c:v>
                </c:pt>
                <c:pt idx="10">
                  <c:v> MMYT </c:v>
                </c:pt>
                <c:pt idx="11">
                  <c:v> MMYT </c:v>
                </c:pt>
                <c:pt idx="12">
                  <c:v> MMYT </c:v>
                </c:pt>
                <c:pt idx="13">
                  <c:v> MMYT </c:v>
                </c:pt>
                <c:pt idx="14">
                  <c:v> MMYT </c:v>
                </c:pt>
              </c:strCache>
            </c:strRef>
          </c:cat>
          <c:val>
            <c:numRef>
              <c:f>'MMYT (2)'!$F$31:$AB$31</c:f>
              <c:numCache>
                <c:formatCode>0%</c:formatCode>
                <c:ptCount val="15"/>
                <c:pt idx="0">
                  <c:v>0.14526587986245776</c:v>
                </c:pt>
                <c:pt idx="1">
                  <c:v>0.14803828892921178</c:v>
                </c:pt>
                <c:pt idx="2">
                  <c:v>0.13053212623630484</c:v>
                </c:pt>
                <c:pt idx="3">
                  <c:v>0.16177732219319529</c:v>
                </c:pt>
                <c:pt idx="4">
                  <c:v>0.19553268616786812</c:v>
                </c:pt>
                <c:pt idx="5">
                  <c:v>0.15988664271691455</c:v>
                </c:pt>
                <c:pt idx="6">
                  <c:v>0.14479569720892926</c:v>
                </c:pt>
                <c:pt idx="7">
                  <c:v>0.10179712228012505</c:v>
                </c:pt>
                <c:pt idx="8">
                  <c:v>4.5429092147889927E-2</c:v>
                </c:pt>
                <c:pt idx="9">
                  <c:v>7.1937857647119685E-3</c:v>
                </c:pt>
                <c:pt idx="10">
                  <c:v>2.4549470495448311E-2</c:v>
                </c:pt>
                <c:pt idx="11">
                  <c:v>4.0978212521636692E-2</c:v>
                </c:pt>
                <c:pt idx="12">
                  <c:v>-0.12280069895594825</c:v>
                </c:pt>
              </c:numCache>
            </c:numRef>
          </c:val>
          <c:smooth val="0"/>
          <c:extLst>
            <c:ext xmlns:c16="http://schemas.microsoft.com/office/drawing/2014/chart" uri="{C3380CC4-5D6E-409C-BE32-E72D297353CC}">
              <c16:uniqueId val="{00000001-CB63-4DEB-A47C-75856139272B}"/>
            </c:ext>
          </c:extLst>
        </c:ser>
        <c:dLbls>
          <c:showLegendKey val="0"/>
          <c:showVal val="0"/>
          <c:showCatName val="0"/>
          <c:showSerName val="0"/>
          <c:showPercent val="0"/>
          <c:showBubbleSize val="0"/>
        </c:dLbls>
        <c:marker val="1"/>
        <c:smooth val="0"/>
        <c:axId val="129372160"/>
        <c:axId val="129373696"/>
      </c:lineChart>
      <c:catAx>
        <c:axId val="129348352"/>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9349888"/>
        <c:crosses val="autoZero"/>
        <c:auto val="1"/>
        <c:lblAlgn val="ctr"/>
        <c:lblOffset val="100"/>
        <c:noMultiLvlLbl val="0"/>
      </c:catAx>
      <c:valAx>
        <c:axId val="129349888"/>
        <c:scaling>
          <c:orientation val="minMax"/>
          <c:max val="50000000"/>
          <c:min val="25000000"/>
        </c:scaling>
        <c:delete val="0"/>
        <c:axPos val="l"/>
        <c:numFmt formatCode="_(* #,##0_);_(* \(#,##0\);_(* &quot;-&quot;??_);_(@_)"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9348352"/>
        <c:crosses val="autoZero"/>
        <c:crossBetween val="between"/>
        <c:dispUnits>
          <c:builtInUnit val="millions"/>
          <c:dispUnitsLbl>
            <c:layout>
              <c:manualLayout>
                <c:xMode val="edge"/>
                <c:yMode val="edge"/>
                <c:x val="3.5849011865740653E-2"/>
                <c:y val="3.1913584971679752E-2"/>
              </c:manualLayout>
            </c:layout>
            <c:tx>
              <c:rich>
                <a:bodyPr/>
                <a:lstStyle/>
                <a:p>
                  <a:pPr>
                    <a:defRPr/>
                  </a:pPr>
                  <a:r>
                    <a:rPr lang="en-US" altLang="zh-CN"/>
                    <a:t>mn</a:t>
                  </a:r>
                  <a:endParaRPr lang="zh-CN" altLang="en-US"/>
                </a:p>
              </c:rich>
            </c:tx>
          </c:dispUnitsLbl>
        </c:dispUnits>
      </c:valAx>
      <c:catAx>
        <c:axId val="129372160"/>
        <c:scaling>
          <c:orientation val="minMax"/>
        </c:scaling>
        <c:delete val="1"/>
        <c:axPos val="b"/>
        <c:numFmt formatCode="General" sourceLinked="1"/>
        <c:majorTickMark val="out"/>
        <c:minorTickMark val="none"/>
        <c:tickLblPos val="nextTo"/>
        <c:crossAx val="129373696"/>
        <c:crosses val="autoZero"/>
        <c:auto val="1"/>
        <c:lblAlgn val="ctr"/>
        <c:lblOffset val="100"/>
        <c:noMultiLvlLbl val="0"/>
      </c:catAx>
      <c:valAx>
        <c:axId val="129373696"/>
        <c:scaling>
          <c:orientation val="minMax"/>
        </c:scaling>
        <c:delete val="0"/>
        <c:axPos val="r"/>
        <c:numFmt formatCode="0%"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9372160"/>
        <c:crosses val="max"/>
        <c:crossBetween val="between"/>
      </c:valAx>
      <c:spPr>
        <a:ln>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a:t>MMYT</a:t>
            </a:r>
            <a:r>
              <a:rPr lang="en-US" altLang="zh-CN" baseline="0"/>
              <a:t> India Standalone Hotels booked online</a:t>
            </a:r>
            <a:endParaRPr lang="zh-CN" altLang="en-US"/>
          </a:p>
        </c:rich>
      </c:tx>
      <c:overlay val="0"/>
    </c:title>
    <c:autoTitleDeleted val="0"/>
    <c:plotArea>
      <c:layout/>
      <c:barChart>
        <c:barDir val="col"/>
        <c:grouping val="clustered"/>
        <c:varyColors val="0"/>
        <c:ser>
          <c:idx val="0"/>
          <c:order val="0"/>
          <c:tx>
            <c:strRef>
              <c:f>[30]MMYT!$A$198</c:f>
              <c:strCache>
                <c:ptCount val="1"/>
                <c:pt idx="0">
                  <c:v>MMYT India Standalone hotels booked online (PC+mobile)</c:v>
                </c:pt>
              </c:strCache>
            </c:strRef>
          </c:tx>
          <c:invertIfNegative val="0"/>
          <c:cat>
            <c:strRef>
              <c:f>[30]MMYT!$G$3:$O$3</c:f>
              <c:strCache>
                <c:ptCount val="9"/>
                <c:pt idx="0">
                  <c:v>15Q2</c:v>
                </c:pt>
                <c:pt idx="1">
                  <c:v>15Q3</c:v>
                </c:pt>
                <c:pt idx="2">
                  <c:v>15Q4</c:v>
                </c:pt>
                <c:pt idx="3">
                  <c:v>16Q1</c:v>
                </c:pt>
                <c:pt idx="4">
                  <c:v>16Q2</c:v>
                </c:pt>
                <c:pt idx="5">
                  <c:v>16Q3</c:v>
                </c:pt>
                <c:pt idx="6">
                  <c:v>16Q4</c:v>
                </c:pt>
                <c:pt idx="7">
                  <c:v>1Q17</c:v>
                </c:pt>
                <c:pt idx="8">
                  <c:v>2Q17</c:v>
                </c:pt>
              </c:strCache>
            </c:strRef>
          </c:cat>
          <c:val>
            <c:numRef>
              <c:f>[30]MMYT!$G$198:$N$198</c:f>
              <c:numCache>
                <c:formatCode>General</c:formatCode>
                <c:ptCount val="8"/>
                <c:pt idx="0">
                  <c:v>0.2457</c:v>
                </c:pt>
                <c:pt idx="1">
                  <c:v>0.34710000000000002</c:v>
                </c:pt>
                <c:pt idx="2">
                  <c:v>0.67789999999999995</c:v>
                </c:pt>
                <c:pt idx="3">
                  <c:v>1.1729000000000001</c:v>
                </c:pt>
                <c:pt idx="4">
                  <c:v>1.4206000000000001</c:v>
                </c:pt>
                <c:pt idx="5">
                  <c:v>1.3631</c:v>
                </c:pt>
                <c:pt idx="6">
                  <c:v>1.3919999999999999</c:v>
                </c:pt>
                <c:pt idx="7">
                  <c:v>2.2915999999999999</c:v>
                </c:pt>
              </c:numCache>
            </c:numRef>
          </c:val>
          <c:extLst>
            <c:ext xmlns:c16="http://schemas.microsoft.com/office/drawing/2014/chart" uri="{C3380CC4-5D6E-409C-BE32-E72D297353CC}">
              <c16:uniqueId val="{00000000-2B2B-457E-BD95-3C12DDB622BB}"/>
            </c:ext>
          </c:extLst>
        </c:ser>
        <c:dLbls>
          <c:showLegendKey val="0"/>
          <c:showVal val="0"/>
          <c:showCatName val="0"/>
          <c:showSerName val="0"/>
          <c:showPercent val="0"/>
          <c:showBubbleSize val="0"/>
        </c:dLbls>
        <c:gapWidth val="150"/>
        <c:axId val="130949504"/>
        <c:axId val="130951040"/>
      </c:barChart>
      <c:lineChart>
        <c:grouping val="standard"/>
        <c:varyColors val="0"/>
        <c:ser>
          <c:idx val="1"/>
          <c:order val="1"/>
          <c:tx>
            <c:strRef>
              <c:f>[30]MMYT!$A$199</c:f>
              <c:strCache>
                <c:ptCount val="1"/>
                <c:pt idx="0">
                  <c:v>Online Standardalone hotel YoY % growth rate</c:v>
                </c:pt>
              </c:strCache>
            </c:strRef>
          </c:tx>
          <c:dLbls>
            <c:dLbl>
              <c:idx val="6"/>
              <c:layout>
                <c:manualLayout>
                  <c:x val="-8.47515771054934E-2"/>
                  <c:y val="-7.515709329899450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2B-457E-BD95-3C12DDB622BB}"/>
                </c:ext>
              </c:extLst>
            </c:dLbl>
            <c:numFmt formatCode="0.00%" sourceLinked="0"/>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[30]MMYT!$G$199:$N$199</c:f>
              <c:numCache>
                <c:formatCode>General</c:formatCode>
                <c:ptCount val="8"/>
                <c:pt idx="0">
                  <c:v>0.78100000000000003</c:v>
                </c:pt>
                <c:pt idx="1">
                  <c:v>1.679</c:v>
                </c:pt>
                <c:pt idx="2">
                  <c:v>3.2629999999999999</c:v>
                </c:pt>
                <c:pt idx="3">
                  <c:v>5.069</c:v>
                </c:pt>
                <c:pt idx="4">
                  <c:v>4.782</c:v>
                </c:pt>
                <c:pt idx="5">
                  <c:v>2.927</c:v>
                </c:pt>
                <c:pt idx="6">
                  <c:v>1.05340020652014</c:v>
                </c:pt>
                <c:pt idx="7">
                  <c:v>0.95399999999999996</c:v>
                </c:pt>
              </c:numCache>
            </c:numRef>
          </c:val>
          <c:smooth val="0"/>
          <c:extLst>
            <c:ext xmlns:c16="http://schemas.microsoft.com/office/drawing/2014/chart" uri="{C3380CC4-5D6E-409C-BE32-E72D297353CC}">
              <c16:uniqueId val="{00000002-2B2B-457E-BD95-3C12DDB622BB}"/>
            </c:ext>
          </c:extLst>
        </c:ser>
        <c:dLbls>
          <c:showLegendKey val="0"/>
          <c:showVal val="0"/>
          <c:showCatName val="0"/>
          <c:showSerName val="0"/>
          <c:showPercent val="0"/>
          <c:showBubbleSize val="0"/>
        </c:dLbls>
        <c:marker val="1"/>
        <c:smooth val="0"/>
        <c:axId val="130952576"/>
        <c:axId val="130966656"/>
      </c:lineChart>
      <c:catAx>
        <c:axId val="130949504"/>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0951040"/>
        <c:crosses val="autoZero"/>
        <c:auto val="1"/>
        <c:lblAlgn val="ctr"/>
        <c:lblOffset val="100"/>
        <c:noMultiLvlLbl val="0"/>
      </c:catAx>
      <c:valAx>
        <c:axId val="130951040"/>
        <c:scaling>
          <c:orientation val="minMax"/>
        </c:scaling>
        <c:delete val="0"/>
        <c:axPos val="l"/>
        <c:numFmt formatCode="General" sourceLinked="1"/>
        <c:majorTickMark val="out"/>
        <c:minorTickMark val="none"/>
        <c:tickLblPos val="nextTo"/>
        <c:crossAx val="130949504"/>
        <c:crosses val="autoZero"/>
        <c:crossBetween val="between"/>
      </c:valAx>
      <c:catAx>
        <c:axId val="130952576"/>
        <c:scaling>
          <c:orientation val="minMax"/>
        </c:scaling>
        <c:delete val="1"/>
        <c:axPos val="b"/>
        <c:majorTickMark val="out"/>
        <c:minorTickMark val="none"/>
        <c:tickLblPos val="nextTo"/>
        <c:crossAx val="130966656"/>
        <c:crosses val="autoZero"/>
        <c:auto val="1"/>
        <c:lblAlgn val="ctr"/>
        <c:lblOffset val="100"/>
        <c:noMultiLvlLbl val="0"/>
      </c:catAx>
      <c:valAx>
        <c:axId val="130966656"/>
        <c:scaling>
          <c:orientation val="minMax"/>
        </c:scaling>
        <c:delete val="0"/>
        <c:axPos val="r"/>
        <c:numFmt formatCode="0%" sourceLinked="0"/>
        <c:majorTickMark val="out"/>
        <c:minorTickMark val="none"/>
        <c:tickLblPos val="nextTo"/>
        <c:crossAx val="130952576"/>
        <c:crosses val="max"/>
        <c:crossBetween val="between"/>
      </c:valAx>
      <c:spPr>
        <a:ln>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200" b="1" i="0" u="none" strike="noStrike" kern="1200" baseline="0">
                <a:solidFill>
                  <a:schemeClr val="tx1"/>
                </a:solidFill>
                <a:latin typeface="+mn-lt"/>
                <a:ea typeface="+mn-ea"/>
                <a:cs typeface="+mn-cs"/>
              </a:defRPr>
            </a:pPr>
            <a:r>
              <a:rPr lang="en-US" altLang="en-US" sz="1200"/>
              <a:t>Domestic</a:t>
            </a:r>
            <a:r>
              <a:rPr lang="en-US" altLang="en-US" sz="1200" baseline="0"/>
              <a:t> Air Passenger Volume </a:t>
            </a:r>
            <a:r>
              <a:rPr lang="en-US" altLang="en-US" sz="1200"/>
              <a:t>YoY % growth rates</a:t>
            </a:r>
          </a:p>
        </c:rich>
      </c:tx>
      <c:overlay val="0"/>
    </c:title>
    <c:autoTitleDeleted val="0"/>
    <c:plotArea>
      <c:layout/>
      <c:lineChart>
        <c:grouping val="standard"/>
        <c:varyColors val="0"/>
        <c:ser>
          <c:idx val="0"/>
          <c:order val="0"/>
          <c:tx>
            <c:v>Domestic YoY% growth rate</c:v>
          </c:tx>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(2)'!$R$19:$AB$19</c:f>
              <c:numCache>
                <c:formatCode>0%</c:formatCode>
                <c:ptCount val="11"/>
                <c:pt idx="0">
                  <c:v>0.23867713455719897</c:v>
                </c:pt>
                <c:pt idx="1">
                  <c:v>0.20146069621569773</c:v>
                </c:pt>
                <c:pt idx="2">
                  <c:v>0.19448230196141858</c:v>
                </c:pt>
                <c:pt idx="3">
                  <c:v>0.12444777097856607</c:v>
                </c:pt>
                <c:pt idx="4">
                  <c:v>4.9219337007107677E-2</c:v>
                </c:pt>
                <c:pt idx="5">
                  <c:v>1.5368154904821685E-2</c:v>
                </c:pt>
                <c:pt idx="6">
                  <c:v>2.2735018300718446E-2</c:v>
                </c:pt>
                <c:pt idx="7">
                  <c:v>5.5279723469156883E-2</c:v>
                </c:pt>
                <c:pt idx="8">
                  <c:v>-7.1684242669275644E-2</c:v>
                </c:pt>
                <c:pt idx="9">
                  <c:v>-0.93567434070457323</c:v>
                </c:pt>
                <c:pt idx="10">
                  <c:v>-0.74789248105361761</c:v>
                </c:pt>
              </c:numCache>
            </c:numRef>
          </c:val>
          <c:smooth val="0"/>
          <c:extLst>
            <c:ext xmlns:c16="http://schemas.microsoft.com/office/drawing/2014/chart" uri="{C3380CC4-5D6E-409C-BE32-E72D297353CC}">
              <c16:uniqueId val="{00000000-EAFF-4330-AE9D-A3DD2590583B}"/>
            </c:ext>
          </c:extLst>
        </c:ser>
        <c:ser>
          <c:idx val="1"/>
          <c:order val="1"/>
          <c:tx>
            <c:v>International YoY% growth rate</c:v>
          </c:tx>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(2)'!$R$27:$AB$27</c:f>
              <c:numCache>
                <c:formatCode>0%</c:formatCode>
                <c:ptCount val="11"/>
                <c:pt idx="0">
                  <c:v>0.11266604355777576</c:v>
                </c:pt>
                <c:pt idx="1">
                  <c:v>7.7644050017428023E-2</c:v>
                </c:pt>
                <c:pt idx="2">
                  <c:v>4.6753152917930807E-2</c:v>
                </c:pt>
                <c:pt idx="3">
                  <c:v>5.4733064704662882E-2</c:v>
                </c:pt>
                <c:pt idx="4">
                  <c:v>3.7324794623457835E-2</c:v>
                </c:pt>
                <c:pt idx="5">
                  <c:v>-1.0834851505994614E-2</c:v>
                </c:pt>
                <c:pt idx="6">
                  <c:v>2.8635074063404931E-2</c:v>
                </c:pt>
                <c:pt idx="7">
                  <c:v>9.2980520967107516E-3</c:v>
                </c:pt>
                <c:pt idx="8">
                  <c:v>-0.2333511132605357</c:v>
                </c:pt>
              </c:numCache>
            </c:numRef>
          </c:val>
          <c:smooth val="0"/>
          <c:extLst>
            <c:ext xmlns:c16="http://schemas.microsoft.com/office/drawing/2014/chart" uri="{C3380CC4-5D6E-409C-BE32-E72D297353CC}">
              <c16:uniqueId val="{00000001-EAFF-4330-AE9D-A3DD2590583B}"/>
            </c:ext>
          </c:extLst>
        </c:ser>
        <c:dLbls>
          <c:showLegendKey val="0"/>
          <c:showVal val="0"/>
          <c:showCatName val="0"/>
          <c:showSerName val="0"/>
          <c:showPercent val="0"/>
          <c:showBubbleSize val="0"/>
        </c:dLbls>
        <c:marker val="1"/>
        <c:smooth val="0"/>
        <c:axId val="131760512"/>
        <c:axId val="131762048"/>
      </c:lineChart>
      <c:catAx>
        <c:axId val="131760512"/>
        <c:scaling>
          <c:orientation val="minMax"/>
        </c:scaling>
        <c:delete val="0"/>
        <c:axPos val="b"/>
        <c:numFmt formatCode="General" sourceLinked="0"/>
        <c:majorTickMark val="out"/>
        <c:minorTickMark val="none"/>
        <c:tickLblPos val="low"/>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1762048"/>
        <c:crosses val="autoZero"/>
        <c:auto val="1"/>
        <c:lblAlgn val="ctr"/>
        <c:lblOffset val="100"/>
        <c:noMultiLvlLbl val="0"/>
      </c:catAx>
      <c:valAx>
        <c:axId val="131762048"/>
        <c:scaling>
          <c:orientation val="minMax"/>
        </c:scaling>
        <c:delete val="0"/>
        <c:axPos val="l"/>
        <c:numFmt formatCode="0%" sourceLinked="1"/>
        <c:majorTickMark val="out"/>
        <c:minorTickMark val="none"/>
        <c:tickLblPos val="nextTo"/>
        <c:crossAx val="131760512"/>
        <c:crosses val="autoZero"/>
        <c:crossBetween val="between"/>
      </c:valAx>
      <c:spPr>
        <a:ln>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188714054089386E-2"/>
          <c:y val="8.5586864430460388E-2"/>
          <c:w val="0.88565958729803984"/>
          <c:h val="0.24839581713289338"/>
        </c:manualLayout>
      </c:layout>
      <c:barChart>
        <c:barDir val="col"/>
        <c:grouping val="clustered"/>
        <c:varyColors val="0"/>
        <c:ser>
          <c:idx val="1"/>
          <c:order val="0"/>
          <c:tx>
            <c:strRef>
              <c:f>[30]MMYT!$A$203</c:f>
              <c:strCache>
                <c:ptCount val="1"/>
                <c:pt idx="0">
                  <c:v>Air ticketing - flight segments</c:v>
                </c:pt>
              </c:strCache>
            </c:strRef>
          </c:tx>
          <c:invertIfNegative val="0"/>
          <c:cat>
            <c:strRef>
              <c:extLst>
                <c:ext xmlns:c15="http://schemas.microsoft.com/office/drawing/2012/chart" uri="{02D57815-91ED-43cb-92C2-25804820EDAC}">
                  <c15:fullRef>
                    <c15:sqref>[30]MMYT!$K$3:$T$3</c15:sqref>
                  </c15:fullRef>
                </c:ext>
              </c:extLst>
              <c:f>[30]MMYT!$O$3:$T$3</c:f>
              <c:strCache>
                <c:ptCount val="6"/>
                <c:pt idx="0">
                  <c:v>2Q17</c:v>
                </c:pt>
                <c:pt idx="1">
                  <c:v>3Q17</c:v>
                </c:pt>
                <c:pt idx="2">
                  <c:v>4Q17</c:v>
                </c:pt>
                <c:pt idx="3">
                  <c:v>1Q18</c:v>
                </c:pt>
                <c:pt idx="4">
                  <c:v>2Q18</c:v>
                </c:pt>
                <c:pt idx="5">
                  <c:v>3Q18</c:v>
                </c:pt>
              </c:strCache>
            </c:strRef>
          </c:cat>
          <c:val>
            <c:numRef>
              <c:extLst>
                <c:ext xmlns:c15="http://schemas.microsoft.com/office/drawing/2012/chart" uri="{02D57815-91ED-43cb-92C2-25804820EDAC}">
                  <c15:fullRef>
                    <c15:sqref>[30]MMYT!$K$203:$T$203</c15:sqref>
                  </c15:fullRef>
                </c:ext>
              </c:extLst>
              <c:f>[30]MMYT!$O$203:$T$203</c:f>
              <c:numCache>
                <c:formatCode>General</c:formatCode>
                <c:ptCount val="6"/>
                <c:pt idx="0">
                  <c:v>7.8349000000000002</c:v>
                </c:pt>
                <c:pt idx="1">
                  <c:v>7.7229999999999999</c:v>
                </c:pt>
                <c:pt idx="2">
                  <c:v>8.4629999999999992</c:v>
                </c:pt>
                <c:pt idx="3">
                  <c:v>9.3179999999999996</c:v>
                </c:pt>
                <c:pt idx="4">
                  <c:v>9.1709999999999994</c:v>
                </c:pt>
                <c:pt idx="5">
                  <c:v>10.005000000000001</c:v>
                </c:pt>
              </c:numCache>
            </c:numRef>
          </c:val>
          <c:extLst>
            <c:ext xmlns:c16="http://schemas.microsoft.com/office/drawing/2014/chart" uri="{C3380CC4-5D6E-409C-BE32-E72D297353CC}">
              <c16:uniqueId val="{00000000-81F1-4B1B-AB74-1505476DE9B7}"/>
            </c:ext>
          </c:extLst>
        </c:ser>
        <c:ser>
          <c:idx val="3"/>
          <c:order val="2"/>
          <c:tx>
            <c:strRef>
              <c:f>[30]MMYT!$A$207</c:f>
              <c:strCache>
                <c:ptCount val="1"/>
                <c:pt idx="0">
                  <c:v>Total Roomnights - Hotels &amp; Packages</c:v>
                </c:pt>
              </c:strCache>
            </c:strRef>
          </c:tx>
          <c:invertIfNegative val="0"/>
          <c:cat>
            <c:strRef>
              <c:extLst>
                <c:ext xmlns:c15="http://schemas.microsoft.com/office/drawing/2012/chart" uri="{02D57815-91ED-43cb-92C2-25804820EDAC}">
                  <c15:fullRef>
                    <c15:sqref>[30]MMYT!$K$3:$T$3</c15:sqref>
                  </c15:fullRef>
                </c:ext>
              </c:extLst>
              <c:f>[30]MMYT!$O$3:$T$3</c:f>
              <c:strCache>
                <c:ptCount val="6"/>
                <c:pt idx="0">
                  <c:v>2Q17</c:v>
                </c:pt>
                <c:pt idx="1">
                  <c:v>3Q17</c:v>
                </c:pt>
                <c:pt idx="2">
                  <c:v>4Q17</c:v>
                </c:pt>
                <c:pt idx="3">
                  <c:v>1Q18</c:v>
                </c:pt>
                <c:pt idx="4">
                  <c:v>2Q18</c:v>
                </c:pt>
                <c:pt idx="5">
                  <c:v>3Q18</c:v>
                </c:pt>
              </c:strCache>
            </c:strRef>
          </c:cat>
          <c:val>
            <c:numRef>
              <c:extLst>
                <c:ext xmlns:c15="http://schemas.microsoft.com/office/drawing/2012/chart" uri="{02D57815-91ED-43cb-92C2-25804820EDAC}">
                  <c15:fullRef>
                    <c15:sqref>[30]MMYT!$K$207:$T$207</c15:sqref>
                  </c15:fullRef>
                </c:ext>
              </c:extLst>
              <c:f>[30]MMYT!$O$207:$T$207</c:f>
              <c:numCache>
                <c:formatCode>General</c:formatCode>
                <c:ptCount val="6"/>
                <c:pt idx="0">
                  <c:v>5.7998000000000003</c:v>
                </c:pt>
                <c:pt idx="1">
                  <c:v>5.6319999999999997</c:v>
                </c:pt>
                <c:pt idx="2">
                  <c:v>5.5919999999999996</c:v>
                </c:pt>
                <c:pt idx="3">
                  <c:v>4.8869999999999996</c:v>
                </c:pt>
                <c:pt idx="4">
                  <c:v>6.7460000000000004</c:v>
                </c:pt>
                <c:pt idx="5">
                  <c:v>6.7060000000000004</c:v>
                </c:pt>
              </c:numCache>
            </c:numRef>
          </c:val>
          <c:extLst>
            <c:ext xmlns:c16="http://schemas.microsoft.com/office/drawing/2014/chart" uri="{C3380CC4-5D6E-409C-BE32-E72D297353CC}">
              <c16:uniqueId val="{00000001-81F1-4B1B-AB74-1505476DE9B7}"/>
            </c:ext>
          </c:extLst>
        </c:ser>
        <c:ser>
          <c:idx val="5"/>
          <c:order val="4"/>
          <c:tx>
            <c:strRef>
              <c:f>[30]MMYT!$A$209</c:f>
              <c:strCache>
                <c:ptCount val="1"/>
                <c:pt idx="0">
                  <c:v>Standalone hotels booked online -room nights</c:v>
                </c:pt>
              </c:strCache>
            </c:strRef>
          </c:tx>
          <c:invertIfNegative val="0"/>
          <c:cat>
            <c:strRef>
              <c:extLst>
                <c:ext xmlns:c15="http://schemas.microsoft.com/office/drawing/2012/chart" uri="{02D57815-91ED-43cb-92C2-25804820EDAC}">
                  <c15:fullRef>
                    <c15:sqref>[30]MMYT!$K$3:$T$3</c15:sqref>
                  </c15:fullRef>
                </c:ext>
              </c:extLst>
              <c:f>[30]MMYT!$O$3:$T$3</c:f>
              <c:strCache>
                <c:ptCount val="6"/>
                <c:pt idx="0">
                  <c:v>2Q17</c:v>
                </c:pt>
                <c:pt idx="1">
                  <c:v>3Q17</c:v>
                </c:pt>
                <c:pt idx="2">
                  <c:v>4Q17</c:v>
                </c:pt>
                <c:pt idx="3">
                  <c:v>1Q18</c:v>
                </c:pt>
                <c:pt idx="4">
                  <c:v>2Q18</c:v>
                </c:pt>
                <c:pt idx="5">
                  <c:v>3Q18</c:v>
                </c:pt>
              </c:strCache>
            </c:strRef>
          </c:cat>
          <c:val>
            <c:numRef>
              <c:extLst>
                <c:ext xmlns:c15="http://schemas.microsoft.com/office/drawing/2012/chart" uri="{02D57815-91ED-43cb-92C2-25804820EDAC}">
                  <c15:fullRef>
                    <c15:sqref>[30]MMYT!$K$209:$T$209</c15:sqref>
                  </c15:fullRef>
                </c:ext>
              </c:extLst>
              <c:f>[30]MMYT!$O$209:$T$209</c:f>
              <c:numCache>
                <c:formatCode>General</c:formatCode>
                <c:ptCount val="6"/>
                <c:pt idx="0">
                  <c:v>5.4973000000000001</c:v>
                </c:pt>
                <c:pt idx="1">
                  <c:v>5.3979999999999997</c:v>
                </c:pt>
                <c:pt idx="2">
                  <c:v>5.3920000000000003</c:v>
                </c:pt>
                <c:pt idx="3">
                  <c:v>4.7119999999999997</c:v>
                </c:pt>
                <c:pt idx="4">
                  <c:v>6.4939999999999998</c:v>
                </c:pt>
                <c:pt idx="5">
                  <c:v>6.5739999999999998</c:v>
                </c:pt>
              </c:numCache>
            </c:numRef>
          </c:val>
          <c:extLst>
            <c:ext xmlns:c16="http://schemas.microsoft.com/office/drawing/2014/chart" uri="{C3380CC4-5D6E-409C-BE32-E72D297353CC}">
              <c16:uniqueId val="{00000002-81F1-4B1B-AB74-1505476DE9B7}"/>
            </c:ext>
          </c:extLst>
        </c:ser>
        <c:ser>
          <c:idx val="7"/>
          <c:order val="6"/>
          <c:tx>
            <c:strRef>
              <c:f>[30]MMYT!$A$211</c:f>
              <c:strCache>
                <c:ptCount val="1"/>
                <c:pt idx="0">
                  <c:v>Standalone hotels booked online -room nights Pro Forma growth rate</c:v>
                </c:pt>
              </c:strCache>
            </c:strRef>
          </c:tx>
          <c:invertIfNegative val="0"/>
          <c:cat>
            <c:strRef>
              <c:extLst>
                <c:ext xmlns:c15="http://schemas.microsoft.com/office/drawing/2012/chart" uri="{02D57815-91ED-43cb-92C2-25804820EDAC}">
                  <c15:fullRef>
                    <c15:sqref>[30]MMYT!$K$3:$T$3</c15:sqref>
                  </c15:fullRef>
                </c:ext>
              </c:extLst>
              <c:f>[30]MMYT!$O$3:$T$3</c:f>
              <c:strCache>
                <c:ptCount val="6"/>
                <c:pt idx="0">
                  <c:v>2Q17</c:v>
                </c:pt>
                <c:pt idx="1">
                  <c:v>3Q17</c:v>
                </c:pt>
                <c:pt idx="2">
                  <c:v>4Q17</c:v>
                </c:pt>
                <c:pt idx="3">
                  <c:v>1Q18</c:v>
                </c:pt>
                <c:pt idx="4">
                  <c:v>2Q18</c:v>
                </c:pt>
                <c:pt idx="5">
                  <c:v>3Q18</c:v>
                </c:pt>
              </c:strCache>
            </c:strRef>
          </c:cat>
          <c:val>
            <c:numRef>
              <c:extLst>
                <c:ext xmlns:c15="http://schemas.microsoft.com/office/drawing/2012/chart" uri="{02D57815-91ED-43cb-92C2-25804820EDAC}">
                  <c15:fullRef>
                    <c15:sqref>[30]MMYT!$K$211:$R$211</c15:sqref>
                  </c15:fullRef>
                </c:ext>
              </c:extLst>
              <c:f>[30]MMYT!$O$211:$R$211</c:f>
              <c:numCache>
                <c:formatCode>General</c:formatCode>
                <c:ptCount val="4"/>
                <c:pt idx="0">
                  <c:v>0.36</c:v>
                </c:pt>
                <c:pt idx="1">
                  <c:v>0.28999999999999998</c:v>
                </c:pt>
                <c:pt idx="2">
                  <c:v>0.28000000000000003</c:v>
                </c:pt>
                <c:pt idx="3">
                  <c:v>0.19</c:v>
                </c:pt>
              </c:numCache>
            </c:numRef>
          </c:val>
          <c:extLst>
            <c:ext xmlns:c16="http://schemas.microsoft.com/office/drawing/2014/chart" uri="{C3380CC4-5D6E-409C-BE32-E72D297353CC}">
              <c16:uniqueId val="{00000003-81F1-4B1B-AB74-1505476DE9B7}"/>
            </c:ext>
          </c:extLst>
        </c:ser>
        <c:dLbls>
          <c:showLegendKey val="0"/>
          <c:showVal val="0"/>
          <c:showCatName val="0"/>
          <c:showSerName val="0"/>
          <c:showPercent val="0"/>
          <c:showBubbleSize val="0"/>
        </c:dLbls>
        <c:gapWidth val="150"/>
        <c:axId val="131856640"/>
        <c:axId val="131870720"/>
      </c:barChart>
      <c:lineChart>
        <c:grouping val="standard"/>
        <c:varyColors val="0"/>
        <c:ser>
          <c:idx val="2"/>
          <c:order val="1"/>
          <c:tx>
            <c:strRef>
              <c:f>[30]MMYT!$A$205</c:f>
              <c:strCache>
                <c:ptCount val="1"/>
                <c:pt idx="0">
                  <c:v>Flight segments Pro Forma growth rate</c:v>
                </c:pt>
              </c:strCache>
            </c:strRef>
          </c:tx>
          <c:cat>
            <c:strRef>
              <c:extLst>
                <c:ext xmlns:c15="http://schemas.microsoft.com/office/drawing/2012/chart" uri="{02D57815-91ED-43cb-92C2-25804820EDAC}">
                  <c15:fullRef>
                    <c15:sqref>[30]MMYT!$K$3:$T$3</c15:sqref>
                  </c15:fullRef>
                </c:ext>
              </c:extLst>
              <c:f>[30]MMYT!$O$3:$T$3</c:f>
              <c:strCache>
                <c:ptCount val="6"/>
                <c:pt idx="0">
                  <c:v>2Q17</c:v>
                </c:pt>
                <c:pt idx="1">
                  <c:v>3Q17</c:v>
                </c:pt>
                <c:pt idx="2">
                  <c:v>4Q17</c:v>
                </c:pt>
                <c:pt idx="3">
                  <c:v>1Q18</c:v>
                </c:pt>
                <c:pt idx="4">
                  <c:v>2Q18</c:v>
                </c:pt>
                <c:pt idx="5">
                  <c:v>3Q18</c:v>
                </c:pt>
              </c:strCache>
            </c:strRef>
          </c:cat>
          <c:val>
            <c:numRef>
              <c:extLst>
                <c:ext xmlns:c15="http://schemas.microsoft.com/office/drawing/2012/chart" uri="{02D57815-91ED-43cb-92C2-25804820EDAC}">
                  <c15:fullRef>
                    <c15:sqref>[30]MMYT!$K$205:$R$205</c15:sqref>
                  </c15:fullRef>
                </c:ext>
              </c:extLst>
              <c:f>[30]MMYT!$O$205:$R$205</c:f>
              <c:numCache>
                <c:formatCode>General</c:formatCode>
                <c:ptCount val="4"/>
                <c:pt idx="0">
                  <c:v>0.222</c:v>
                </c:pt>
                <c:pt idx="1">
                  <c:v>0.15</c:v>
                </c:pt>
                <c:pt idx="2">
                  <c:v>0.16</c:v>
                </c:pt>
                <c:pt idx="3">
                  <c:v>0.4</c:v>
                </c:pt>
              </c:numCache>
            </c:numRef>
          </c:val>
          <c:smooth val="0"/>
          <c:extLst>
            <c:ext xmlns:c16="http://schemas.microsoft.com/office/drawing/2014/chart" uri="{C3380CC4-5D6E-409C-BE32-E72D297353CC}">
              <c16:uniqueId val="{00000004-81F1-4B1B-AB74-1505476DE9B7}"/>
            </c:ext>
          </c:extLst>
        </c:ser>
        <c:ser>
          <c:idx val="4"/>
          <c:order val="3"/>
          <c:tx>
            <c:strRef>
              <c:f>[30]MMYT!$A$208</c:f>
              <c:strCache>
                <c:ptCount val="1"/>
                <c:pt idx="0">
                  <c:v>Total Roomnights - Hotels &amp; Packages YoY % growth rate</c:v>
                </c:pt>
              </c:strCache>
            </c:strRef>
          </c:tx>
          <c:cat>
            <c:strRef>
              <c:extLst>
                <c:ext xmlns:c15="http://schemas.microsoft.com/office/drawing/2012/chart" uri="{02D57815-91ED-43cb-92C2-25804820EDAC}">
                  <c15:fullRef>
                    <c15:sqref>[30]MMYT!$K$3:$T$3</c15:sqref>
                  </c15:fullRef>
                </c:ext>
              </c:extLst>
              <c:f>[30]MMYT!$O$3:$T$3</c:f>
              <c:strCache>
                <c:ptCount val="6"/>
                <c:pt idx="0">
                  <c:v>2Q17</c:v>
                </c:pt>
                <c:pt idx="1">
                  <c:v>3Q17</c:v>
                </c:pt>
                <c:pt idx="2">
                  <c:v>4Q17</c:v>
                </c:pt>
                <c:pt idx="3">
                  <c:v>1Q18</c:v>
                </c:pt>
                <c:pt idx="4">
                  <c:v>2Q18</c:v>
                </c:pt>
                <c:pt idx="5">
                  <c:v>3Q18</c:v>
                </c:pt>
              </c:strCache>
            </c:strRef>
          </c:cat>
          <c:val>
            <c:numRef>
              <c:extLst>
                <c:ext xmlns:c15="http://schemas.microsoft.com/office/drawing/2012/chart" uri="{02D57815-91ED-43cb-92C2-25804820EDAC}">
                  <c15:fullRef>
                    <c15:sqref>[30]MMYT!$K$208:$T$208</c15:sqref>
                  </c15:fullRef>
                </c:ext>
              </c:extLst>
              <c:f>[30]MMYT!$O$208:$T$208</c:f>
              <c:numCache>
                <c:formatCode>General</c:formatCode>
                <c:ptCount val="6"/>
                <c:pt idx="0">
                  <c:v>1.4731567950194</c:v>
                </c:pt>
                <c:pt idx="1">
                  <c:v>1.548</c:v>
                </c:pt>
                <c:pt idx="2">
                  <c:v>1.319</c:v>
                </c:pt>
                <c:pt idx="3">
                  <c:v>0.37</c:v>
                </c:pt>
                <c:pt idx="4">
                  <c:v>0.163143556674368</c:v>
                </c:pt>
                <c:pt idx="5">
                  <c:v>0.19069602272727301</c:v>
                </c:pt>
              </c:numCache>
            </c:numRef>
          </c:val>
          <c:smooth val="0"/>
          <c:extLst>
            <c:ext xmlns:c16="http://schemas.microsoft.com/office/drawing/2014/chart" uri="{C3380CC4-5D6E-409C-BE32-E72D297353CC}">
              <c16:uniqueId val="{00000005-81F1-4B1B-AB74-1505476DE9B7}"/>
            </c:ext>
          </c:extLst>
        </c:ser>
        <c:ser>
          <c:idx val="6"/>
          <c:order val="5"/>
          <c:tx>
            <c:strRef>
              <c:f>[30]MMYT!$A$210</c:f>
              <c:strCache>
                <c:ptCount val="1"/>
                <c:pt idx="0">
                  <c:v>Standalone hotels booked online -room nights YoY % growth rate</c:v>
                </c:pt>
              </c:strCache>
            </c:strRef>
          </c:tx>
          <c:cat>
            <c:strRef>
              <c:extLst>
                <c:ext xmlns:c15="http://schemas.microsoft.com/office/drawing/2012/chart" uri="{02D57815-91ED-43cb-92C2-25804820EDAC}">
                  <c15:fullRef>
                    <c15:sqref>[30]MMYT!$K$3:$T$3</c15:sqref>
                  </c15:fullRef>
                </c:ext>
              </c:extLst>
              <c:f>[30]MMYT!$O$3:$T$3</c:f>
              <c:strCache>
                <c:ptCount val="6"/>
                <c:pt idx="0">
                  <c:v>2Q17</c:v>
                </c:pt>
                <c:pt idx="1">
                  <c:v>3Q17</c:v>
                </c:pt>
                <c:pt idx="2">
                  <c:v>4Q17</c:v>
                </c:pt>
                <c:pt idx="3">
                  <c:v>1Q18</c:v>
                </c:pt>
                <c:pt idx="4">
                  <c:v>2Q18</c:v>
                </c:pt>
                <c:pt idx="5">
                  <c:v>3Q18</c:v>
                </c:pt>
              </c:strCache>
            </c:strRef>
          </c:cat>
          <c:val>
            <c:numRef>
              <c:extLst>
                <c:ext xmlns:c15="http://schemas.microsoft.com/office/drawing/2012/chart" uri="{02D57815-91ED-43cb-92C2-25804820EDAC}">
                  <c15:fullRef>
                    <c15:sqref>[30]MMYT!$K$210:$T$210</c15:sqref>
                  </c15:fullRef>
                </c:ext>
              </c:extLst>
              <c:f>[30]MMYT!$O$210:$T$210</c:f>
              <c:numCache>
                <c:formatCode>General</c:formatCode>
                <c:ptCount val="6"/>
                <c:pt idx="0">
                  <c:v>1.9219999999999999</c:v>
                </c:pt>
                <c:pt idx="1">
                  <c:v>1.859</c:v>
                </c:pt>
                <c:pt idx="2">
                  <c:v>1.663</c:v>
                </c:pt>
                <c:pt idx="3">
                  <c:v>1.327</c:v>
                </c:pt>
                <c:pt idx="4">
                  <c:v>0.181307187164608</c:v>
                </c:pt>
                <c:pt idx="5">
                  <c:v>0.217858466098555</c:v>
                </c:pt>
              </c:numCache>
            </c:numRef>
          </c:val>
          <c:smooth val="0"/>
          <c:extLst>
            <c:ext xmlns:c16="http://schemas.microsoft.com/office/drawing/2014/chart" uri="{C3380CC4-5D6E-409C-BE32-E72D297353CC}">
              <c16:uniqueId val="{00000006-81F1-4B1B-AB74-1505476DE9B7}"/>
            </c:ext>
          </c:extLst>
        </c:ser>
        <c:ser>
          <c:idx val="0"/>
          <c:order val="7"/>
          <c:tx>
            <c:strRef>
              <c:f>[30]MMYT!$A$204</c:f>
              <c:strCache>
                <c:ptCount val="1"/>
                <c:pt idx="0">
                  <c:v>Flight segments YoY % growth rate</c:v>
                </c:pt>
              </c:strCache>
            </c:strRef>
          </c:tx>
          <c:cat>
            <c:strRef>
              <c:extLst>
                <c:ext xmlns:c15="http://schemas.microsoft.com/office/drawing/2012/chart" uri="{02D57815-91ED-43cb-92C2-25804820EDAC}">
                  <c15:fullRef>
                    <c15:sqref>[30]MMYT!$K$3:$T$3</c15:sqref>
                  </c15:fullRef>
                </c:ext>
              </c:extLst>
              <c:f>[30]MMYT!$O$3:$T$3</c:f>
              <c:strCache>
                <c:ptCount val="6"/>
                <c:pt idx="0">
                  <c:v>2Q17</c:v>
                </c:pt>
                <c:pt idx="1">
                  <c:v>3Q17</c:v>
                </c:pt>
                <c:pt idx="2">
                  <c:v>4Q17</c:v>
                </c:pt>
                <c:pt idx="3">
                  <c:v>1Q18</c:v>
                </c:pt>
                <c:pt idx="4">
                  <c:v>2Q18</c:v>
                </c:pt>
                <c:pt idx="5">
                  <c:v>3Q18</c:v>
                </c:pt>
              </c:strCache>
            </c:strRef>
          </c:cat>
          <c:val>
            <c:numRef>
              <c:extLst>
                <c:ext xmlns:c15="http://schemas.microsoft.com/office/drawing/2012/chart" uri="{02D57815-91ED-43cb-92C2-25804820EDAC}">
                  <c15:fullRef>
                    <c15:sqref>[30]MMYT!$K$204:$T$204</c15:sqref>
                  </c15:fullRef>
                </c:ext>
              </c:extLst>
              <c:f>[30]MMYT!$O$204:$T$204</c:f>
              <c:numCache>
                <c:formatCode>General</c:formatCode>
                <c:ptCount val="6"/>
                <c:pt idx="0">
                  <c:v>0.65730301427815996</c:v>
                </c:pt>
                <c:pt idx="1">
                  <c:v>0.64600000000000002</c:v>
                </c:pt>
                <c:pt idx="2">
                  <c:v>0.64900000000000002</c:v>
                </c:pt>
                <c:pt idx="3">
                  <c:v>0.55100000000000005</c:v>
                </c:pt>
                <c:pt idx="4">
                  <c:v>0.17053185107659299</c:v>
                </c:pt>
                <c:pt idx="5">
                  <c:v>0.29548103068755699</c:v>
                </c:pt>
              </c:numCache>
            </c:numRef>
          </c:val>
          <c:smooth val="0"/>
          <c:extLst>
            <c:ext xmlns:c16="http://schemas.microsoft.com/office/drawing/2014/chart" uri="{C3380CC4-5D6E-409C-BE32-E72D297353CC}">
              <c16:uniqueId val="{00000007-81F1-4B1B-AB74-1505476DE9B7}"/>
            </c:ext>
          </c:extLst>
        </c:ser>
        <c:dLbls>
          <c:showLegendKey val="0"/>
          <c:showVal val="0"/>
          <c:showCatName val="0"/>
          <c:showSerName val="0"/>
          <c:showPercent val="0"/>
          <c:showBubbleSize val="0"/>
        </c:dLbls>
        <c:marker val="1"/>
        <c:smooth val="0"/>
        <c:axId val="131872256"/>
        <c:axId val="131873792"/>
      </c:lineChart>
      <c:catAx>
        <c:axId val="131856640"/>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1870720"/>
        <c:crosses val="autoZero"/>
        <c:auto val="1"/>
        <c:lblAlgn val="ctr"/>
        <c:lblOffset val="100"/>
        <c:noMultiLvlLbl val="0"/>
      </c:catAx>
      <c:valAx>
        <c:axId val="131870720"/>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1856640"/>
        <c:crosses val="autoZero"/>
        <c:crossBetween val="between"/>
      </c:valAx>
      <c:catAx>
        <c:axId val="131872256"/>
        <c:scaling>
          <c:orientation val="minMax"/>
        </c:scaling>
        <c:delete val="1"/>
        <c:axPos val="b"/>
        <c:numFmt formatCode="General" sourceLinked="1"/>
        <c:majorTickMark val="out"/>
        <c:minorTickMark val="none"/>
        <c:tickLblPos val="nextTo"/>
        <c:crossAx val="131873792"/>
        <c:crosses val="autoZero"/>
        <c:auto val="1"/>
        <c:lblAlgn val="ctr"/>
        <c:lblOffset val="100"/>
        <c:noMultiLvlLbl val="0"/>
      </c:catAx>
      <c:valAx>
        <c:axId val="131873792"/>
        <c:scaling>
          <c:orientation val="minMax"/>
        </c:scaling>
        <c:delete val="0"/>
        <c:axPos val="r"/>
        <c:numFmt formatCode="0%"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1872256"/>
        <c:crosses val="max"/>
        <c:crossBetween val="between"/>
      </c:valAx>
    </c:plotArea>
    <c:legend>
      <c:legendPos val="b"/>
      <c:layout>
        <c:manualLayout>
          <c:xMode val="edge"/>
          <c:yMode val="edge"/>
          <c:x val="3.9391891448188804E-2"/>
          <c:y val="0.44822559658929262"/>
          <c:w val="0.89591501379937344"/>
          <c:h val="0.4839035397531814"/>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en-US" altLang="zh-CN" sz="1600" b="1" i="0" u="none" strike="noStrike" baseline="0">
                <a:solidFill>
                  <a:schemeClr val="tx1"/>
                </a:solidFill>
                <a:effectLst/>
              </a:rPr>
              <a:t>Volume growth by segments</a:t>
            </a:r>
            <a:endParaRPr lang="zh-CN" altLang="en-US" sz="1600" b="1">
              <a:solidFill>
                <a:schemeClr val="tx1"/>
              </a:solidFill>
            </a:endParaRP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6.4191932020227702E-2"/>
          <c:y val="0.10774755775615399"/>
          <c:w val="0.85409902941018001"/>
          <c:h val="0.57156643629153303"/>
        </c:manualLayout>
      </c:layout>
      <c:barChart>
        <c:barDir val="col"/>
        <c:grouping val="clustered"/>
        <c:varyColors val="0"/>
        <c:ser>
          <c:idx val="0"/>
          <c:order val="0"/>
          <c:tx>
            <c:v>Air ticketing-flight segments</c:v>
          </c:tx>
          <c:spPr>
            <a:solidFill>
              <a:schemeClr val="tx2">
                <a:lumMod val="60000"/>
                <a:lumOff val="40000"/>
              </a:schemeClr>
            </a:solidFill>
            <a:ln>
              <a:solidFill>
                <a:schemeClr val="tx2">
                  <a:lumMod val="60000"/>
                  <a:lumOff val="40000"/>
                </a:schemeClr>
              </a:solidFill>
            </a:ln>
            <a:effectLst/>
          </c:spPr>
          <c:invertIfNegative val="0"/>
          <c:cat>
            <c:strRef>
              <c:f>[30]MMYT!$O$3:$S$3</c:f>
              <c:strCache>
                <c:ptCount val="5"/>
                <c:pt idx="0">
                  <c:v>2Q17</c:v>
                </c:pt>
                <c:pt idx="1">
                  <c:v>3Q17</c:v>
                </c:pt>
                <c:pt idx="2">
                  <c:v>4Q17</c:v>
                </c:pt>
                <c:pt idx="3">
                  <c:v>1Q18</c:v>
                </c:pt>
                <c:pt idx="4">
                  <c:v>2Q18</c:v>
                </c:pt>
              </c:strCache>
            </c:strRef>
          </c:cat>
          <c:val>
            <c:numRef>
              <c:f>[30]MMYT!$O$203:$T$203</c:f>
              <c:numCache>
                <c:formatCode>General</c:formatCode>
                <c:ptCount val="6"/>
                <c:pt idx="0">
                  <c:v>7.8349000000000002</c:v>
                </c:pt>
                <c:pt idx="1">
                  <c:v>7.7229999999999999</c:v>
                </c:pt>
                <c:pt idx="2">
                  <c:v>8.4629999999999992</c:v>
                </c:pt>
                <c:pt idx="3">
                  <c:v>9.3179999999999996</c:v>
                </c:pt>
                <c:pt idx="4">
                  <c:v>9.1709999999999994</c:v>
                </c:pt>
                <c:pt idx="5">
                  <c:v>10.005000000000001</c:v>
                </c:pt>
              </c:numCache>
            </c:numRef>
          </c:val>
          <c:extLst>
            <c:ext xmlns:c16="http://schemas.microsoft.com/office/drawing/2014/chart" uri="{C3380CC4-5D6E-409C-BE32-E72D297353CC}">
              <c16:uniqueId val="{00000000-522B-4603-A501-AB21115A2544}"/>
            </c:ext>
          </c:extLst>
        </c:ser>
        <c:ser>
          <c:idx val="3"/>
          <c:order val="3"/>
          <c:tx>
            <c:v>Total Roomnights-Hotels&amp;Packages</c:v>
          </c:tx>
          <c:spPr>
            <a:solidFill>
              <a:schemeClr val="accent4">
                <a:lumMod val="60000"/>
                <a:lumOff val="40000"/>
              </a:schemeClr>
            </a:solidFill>
            <a:ln>
              <a:solidFill>
                <a:schemeClr val="accent4">
                  <a:lumMod val="60000"/>
                  <a:lumOff val="40000"/>
                </a:schemeClr>
              </a:solidFill>
            </a:ln>
            <a:effectLst/>
          </c:spPr>
          <c:invertIfNegative val="0"/>
          <c:cat>
            <c:strRef>
              <c:f>[30]MMYT!$O$3:$S$3</c:f>
              <c:strCache>
                <c:ptCount val="5"/>
                <c:pt idx="0">
                  <c:v>2Q17</c:v>
                </c:pt>
                <c:pt idx="1">
                  <c:v>3Q17</c:v>
                </c:pt>
                <c:pt idx="2">
                  <c:v>4Q17</c:v>
                </c:pt>
                <c:pt idx="3">
                  <c:v>1Q18</c:v>
                </c:pt>
                <c:pt idx="4">
                  <c:v>2Q18</c:v>
                </c:pt>
              </c:strCache>
            </c:strRef>
          </c:cat>
          <c:val>
            <c:numRef>
              <c:f>[30]MMYT!$O$207:$T$207</c:f>
              <c:numCache>
                <c:formatCode>General</c:formatCode>
                <c:ptCount val="6"/>
                <c:pt idx="0">
                  <c:v>5.7998000000000003</c:v>
                </c:pt>
                <c:pt idx="1">
                  <c:v>5.6319999999999997</c:v>
                </c:pt>
                <c:pt idx="2">
                  <c:v>5.5919999999999996</c:v>
                </c:pt>
                <c:pt idx="3">
                  <c:v>4.8869999999999996</c:v>
                </c:pt>
                <c:pt idx="4">
                  <c:v>6.7460000000000004</c:v>
                </c:pt>
                <c:pt idx="5">
                  <c:v>6.7060000000000004</c:v>
                </c:pt>
              </c:numCache>
            </c:numRef>
          </c:val>
          <c:extLst>
            <c:ext xmlns:c16="http://schemas.microsoft.com/office/drawing/2014/chart" uri="{C3380CC4-5D6E-409C-BE32-E72D297353CC}">
              <c16:uniqueId val="{00000001-522B-4603-A501-AB21115A2544}"/>
            </c:ext>
          </c:extLst>
        </c:ser>
        <c:ser>
          <c:idx val="5"/>
          <c:order val="5"/>
          <c:tx>
            <c:strRef>
              <c:f>[30]MMYT!$A$209</c:f>
              <c:strCache>
                <c:ptCount val="1"/>
                <c:pt idx="0">
                  <c:v>Standalone hotels booked online -room nights</c:v>
                </c:pt>
              </c:strCache>
            </c:strRef>
          </c:tx>
          <c:spPr>
            <a:solidFill>
              <a:srgbClr val="FFC000"/>
            </a:solidFill>
            <a:ln>
              <a:solidFill>
                <a:srgbClr val="FFC000"/>
              </a:solidFill>
            </a:ln>
            <a:effectLst/>
          </c:spPr>
          <c:invertIfNegative val="0"/>
          <c:cat>
            <c:strRef>
              <c:f>[30]MMYT!$O$3:$S$3</c:f>
              <c:strCache>
                <c:ptCount val="5"/>
                <c:pt idx="0">
                  <c:v>2Q17</c:v>
                </c:pt>
                <c:pt idx="1">
                  <c:v>3Q17</c:v>
                </c:pt>
                <c:pt idx="2">
                  <c:v>4Q17</c:v>
                </c:pt>
                <c:pt idx="3">
                  <c:v>1Q18</c:v>
                </c:pt>
                <c:pt idx="4">
                  <c:v>2Q18</c:v>
                </c:pt>
              </c:strCache>
            </c:strRef>
          </c:cat>
          <c:val>
            <c:numRef>
              <c:f>[30]MMYT!$O$209:$T$209</c:f>
              <c:numCache>
                <c:formatCode>General</c:formatCode>
                <c:ptCount val="6"/>
                <c:pt idx="0">
                  <c:v>5.4973000000000001</c:v>
                </c:pt>
                <c:pt idx="1">
                  <c:v>5.3979999999999997</c:v>
                </c:pt>
                <c:pt idx="2">
                  <c:v>5.3920000000000003</c:v>
                </c:pt>
                <c:pt idx="3">
                  <c:v>4.7119999999999997</c:v>
                </c:pt>
                <c:pt idx="4">
                  <c:v>6.4939999999999998</c:v>
                </c:pt>
                <c:pt idx="5">
                  <c:v>6.5739999999999998</c:v>
                </c:pt>
              </c:numCache>
            </c:numRef>
          </c:val>
          <c:extLst>
            <c:ext xmlns:c16="http://schemas.microsoft.com/office/drawing/2014/chart" uri="{C3380CC4-5D6E-409C-BE32-E72D297353CC}">
              <c16:uniqueId val="{00000002-522B-4603-A501-AB21115A2544}"/>
            </c:ext>
          </c:extLst>
        </c:ser>
        <c:dLbls>
          <c:showLegendKey val="0"/>
          <c:showVal val="0"/>
          <c:showCatName val="0"/>
          <c:showSerName val="0"/>
          <c:showPercent val="0"/>
          <c:showBubbleSize val="0"/>
        </c:dLbls>
        <c:gapWidth val="219"/>
        <c:axId val="132268800"/>
        <c:axId val="132271104"/>
      </c:barChart>
      <c:lineChart>
        <c:grouping val="standard"/>
        <c:varyColors val="0"/>
        <c:ser>
          <c:idx val="1"/>
          <c:order val="1"/>
          <c:tx>
            <c:v>Flight segments YOY% growth rate</c:v>
          </c:tx>
          <c:spPr>
            <a:ln w="28575" cap="rnd">
              <a:solidFill>
                <a:schemeClr val="accent1">
                  <a:lumMod val="75000"/>
                </a:schemeClr>
              </a:solidFill>
              <a:round/>
            </a:ln>
            <a:effectLst/>
          </c:spPr>
          <c:marker>
            <c:symbol val="triangle"/>
            <c:size val="8"/>
            <c:spPr>
              <a:solidFill>
                <a:schemeClr val="accent1">
                  <a:lumMod val="75000"/>
                </a:schemeClr>
              </a:solidFill>
              <a:ln w="9525">
                <a:solidFill>
                  <a:schemeClr val="accent1">
                    <a:lumMod val="75000"/>
                  </a:schemeClr>
                </a:solidFill>
              </a:ln>
              <a:effectLst/>
            </c:spPr>
          </c:marker>
          <c:cat>
            <c:strRef>
              <c:f>[30]MMYT!$O$3:$T$3</c:f>
              <c:strCache>
                <c:ptCount val="6"/>
                <c:pt idx="0">
                  <c:v>2Q17</c:v>
                </c:pt>
                <c:pt idx="1">
                  <c:v>3Q17</c:v>
                </c:pt>
                <c:pt idx="2">
                  <c:v>4Q17</c:v>
                </c:pt>
                <c:pt idx="3">
                  <c:v>1Q18</c:v>
                </c:pt>
                <c:pt idx="4">
                  <c:v>2Q18</c:v>
                </c:pt>
                <c:pt idx="5">
                  <c:v>3Q18</c:v>
                </c:pt>
              </c:strCache>
            </c:strRef>
          </c:cat>
          <c:val>
            <c:numRef>
              <c:f>[30]MMYT!$O$204:$T$204</c:f>
              <c:numCache>
                <c:formatCode>General</c:formatCode>
                <c:ptCount val="6"/>
                <c:pt idx="0">
                  <c:v>0.65730301427815996</c:v>
                </c:pt>
                <c:pt idx="1">
                  <c:v>0.64600000000000002</c:v>
                </c:pt>
                <c:pt idx="2">
                  <c:v>0.64900000000000002</c:v>
                </c:pt>
                <c:pt idx="3">
                  <c:v>0.55100000000000005</c:v>
                </c:pt>
                <c:pt idx="4">
                  <c:v>0.17053185107659299</c:v>
                </c:pt>
                <c:pt idx="5">
                  <c:v>0.29548103068755699</c:v>
                </c:pt>
              </c:numCache>
            </c:numRef>
          </c:val>
          <c:smooth val="0"/>
          <c:extLst>
            <c:ext xmlns:c16="http://schemas.microsoft.com/office/drawing/2014/chart" uri="{C3380CC4-5D6E-409C-BE32-E72D297353CC}">
              <c16:uniqueId val="{00000003-522B-4603-A501-AB21115A2544}"/>
            </c:ext>
          </c:extLst>
        </c:ser>
        <c:ser>
          <c:idx val="2"/>
          <c:order val="2"/>
          <c:tx>
            <c:v>Flight segments Pro Forma growth rate</c:v>
          </c:tx>
          <c:spPr>
            <a:ln w="28575" cap="rnd">
              <a:solidFill>
                <a:schemeClr val="tx2">
                  <a:lumMod val="75000"/>
                </a:schemeClr>
              </a:solidFill>
              <a:prstDash val="dash"/>
              <a:round/>
            </a:ln>
            <a:effectLst/>
          </c:spPr>
          <c:marker>
            <c:symbol val="circle"/>
            <c:size val="8"/>
            <c:spPr>
              <a:solidFill>
                <a:schemeClr val="tx2">
                  <a:lumMod val="75000"/>
                </a:schemeClr>
              </a:solidFill>
              <a:ln w="9525">
                <a:solidFill>
                  <a:schemeClr val="tx2">
                    <a:lumMod val="75000"/>
                  </a:schemeClr>
                </a:solidFill>
              </a:ln>
              <a:effectLst/>
            </c:spPr>
          </c:marker>
          <c:cat>
            <c:strRef>
              <c:f>[30]MMYT!$O$3:$T$3</c:f>
              <c:strCache>
                <c:ptCount val="6"/>
                <c:pt idx="0">
                  <c:v>2Q17</c:v>
                </c:pt>
                <c:pt idx="1">
                  <c:v>3Q17</c:v>
                </c:pt>
                <c:pt idx="2">
                  <c:v>4Q17</c:v>
                </c:pt>
                <c:pt idx="3">
                  <c:v>1Q18</c:v>
                </c:pt>
                <c:pt idx="4">
                  <c:v>2Q18</c:v>
                </c:pt>
                <c:pt idx="5">
                  <c:v>3Q18</c:v>
                </c:pt>
              </c:strCache>
            </c:strRef>
          </c:cat>
          <c:val>
            <c:numRef>
              <c:f>[30]MMYT!$O$205:$R$205</c:f>
              <c:numCache>
                <c:formatCode>General</c:formatCode>
                <c:ptCount val="4"/>
                <c:pt idx="0">
                  <c:v>0.222</c:v>
                </c:pt>
                <c:pt idx="1">
                  <c:v>0.15</c:v>
                </c:pt>
                <c:pt idx="2">
                  <c:v>0.16</c:v>
                </c:pt>
                <c:pt idx="3">
                  <c:v>0.4</c:v>
                </c:pt>
              </c:numCache>
            </c:numRef>
          </c:val>
          <c:smooth val="0"/>
          <c:extLst>
            <c:ext xmlns:c16="http://schemas.microsoft.com/office/drawing/2014/chart" uri="{C3380CC4-5D6E-409C-BE32-E72D297353CC}">
              <c16:uniqueId val="{00000004-522B-4603-A501-AB21115A2544}"/>
            </c:ext>
          </c:extLst>
        </c:ser>
        <c:ser>
          <c:idx val="4"/>
          <c:order val="4"/>
          <c:tx>
            <c:strRef>
              <c:f>[30]MMYT!$A$208</c:f>
              <c:strCache>
                <c:ptCount val="1"/>
                <c:pt idx="0">
                  <c:v>Total Roomnights - Hotels &amp; Packages YoY % growth rate</c:v>
                </c:pt>
              </c:strCache>
            </c:strRef>
          </c:tx>
          <c:spPr>
            <a:ln w="28575" cap="rnd">
              <a:solidFill>
                <a:schemeClr val="accent4"/>
              </a:solidFill>
              <a:round/>
            </a:ln>
            <a:effectLst/>
          </c:spPr>
          <c:marker>
            <c:symbol val="triangle"/>
            <c:size val="8"/>
            <c:spPr>
              <a:solidFill>
                <a:schemeClr val="accent4"/>
              </a:solidFill>
              <a:ln w="9525">
                <a:solidFill>
                  <a:schemeClr val="accent4"/>
                </a:solidFill>
              </a:ln>
              <a:effectLst/>
            </c:spPr>
          </c:marker>
          <c:cat>
            <c:strRef>
              <c:f>[30]MMYT!$O$3:$T$3</c:f>
              <c:strCache>
                <c:ptCount val="6"/>
                <c:pt idx="0">
                  <c:v>2Q17</c:v>
                </c:pt>
                <c:pt idx="1">
                  <c:v>3Q17</c:v>
                </c:pt>
                <c:pt idx="2">
                  <c:v>4Q17</c:v>
                </c:pt>
                <c:pt idx="3">
                  <c:v>1Q18</c:v>
                </c:pt>
                <c:pt idx="4">
                  <c:v>2Q18</c:v>
                </c:pt>
                <c:pt idx="5">
                  <c:v>3Q18</c:v>
                </c:pt>
              </c:strCache>
            </c:strRef>
          </c:cat>
          <c:val>
            <c:numRef>
              <c:f>[30]MMYT!$O$208:$T$208</c:f>
              <c:numCache>
                <c:formatCode>General</c:formatCode>
                <c:ptCount val="6"/>
                <c:pt idx="0">
                  <c:v>1.4731567950194</c:v>
                </c:pt>
                <c:pt idx="1">
                  <c:v>1.548</c:v>
                </c:pt>
                <c:pt idx="2">
                  <c:v>1.319</c:v>
                </c:pt>
                <c:pt idx="3">
                  <c:v>0.37</c:v>
                </c:pt>
                <c:pt idx="4">
                  <c:v>0.163143556674368</c:v>
                </c:pt>
                <c:pt idx="5">
                  <c:v>0.19069602272727301</c:v>
                </c:pt>
              </c:numCache>
            </c:numRef>
          </c:val>
          <c:smooth val="0"/>
          <c:extLst>
            <c:ext xmlns:c16="http://schemas.microsoft.com/office/drawing/2014/chart" uri="{C3380CC4-5D6E-409C-BE32-E72D297353CC}">
              <c16:uniqueId val="{00000005-522B-4603-A501-AB21115A2544}"/>
            </c:ext>
          </c:extLst>
        </c:ser>
        <c:ser>
          <c:idx val="6"/>
          <c:order val="6"/>
          <c:tx>
            <c:strRef>
              <c:f>[30]MMYT!$A$210</c:f>
              <c:strCache>
                <c:ptCount val="1"/>
                <c:pt idx="0">
                  <c:v>Standalone hotels booked online -room nights YoY % growth rate</c:v>
                </c:pt>
              </c:strCache>
            </c:strRef>
          </c:tx>
          <c:spPr>
            <a:ln w="28575" cap="rnd">
              <a:solidFill>
                <a:schemeClr val="accent6">
                  <a:lumMod val="75000"/>
                </a:schemeClr>
              </a:solidFill>
              <a:round/>
            </a:ln>
            <a:effectLst/>
          </c:spPr>
          <c:marker>
            <c:symbol val="triangle"/>
            <c:size val="8"/>
            <c:spPr>
              <a:solidFill>
                <a:schemeClr val="accent6">
                  <a:lumMod val="75000"/>
                </a:schemeClr>
              </a:solidFill>
              <a:ln w="9525">
                <a:solidFill>
                  <a:schemeClr val="accent6">
                    <a:lumMod val="75000"/>
                  </a:schemeClr>
                </a:solidFill>
              </a:ln>
              <a:effectLst/>
            </c:spPr>
          </c:marker>
          <c:cat>
            <c:strRef>
              <c:f>[30]MMYT!$O$3:$T$3</c:f>
              <c:strCache>
                <c:ptCount val="6"/>
                <c:pt idx="0">
                  <c:v>2Q17</c:v>
                </c:pt>
                <c:pt idx="1">
                  <c:v>3Q17</c:v>
                </c:pt>
                <c:pt idx="2">
                  <c:v>4Q17</c:v>
                </c:pt>
                <c:pt idx="3">
                  <c:v>1Q18</c:v>
                </c:pt>
                <c:pt idx="4">
                  <c:v>2Q18</c:v>
                </c:pt>
                <c:pt idx="5">
                  <c:v>3Q18</c:v>
                </c:pt>
              </c:strCache>
            </c:strRef>
          </c:cat>
          <c:val>
            <c:numRef>
              <c:f>[30]MMYT!$O$210:$T$210</c:f>
              <c:numCache>
                <c:formatCode>General</c:formatCode>
                <c:ptCount val="6"/>
                <c:pt idx="0">
                  <c:v>1.9219999999999999</c:v>
                </c:pt>
                <c:pt idx="1">
                  <c:v>1.859</c:v>
                </c:pt>
                <c:pt idx="2">
                  <c:v>1.663</c:v>
                </c:pt>
                <c:pt idx="3">
                  <c:v>1.327</c:v>
                </c:pt>
                <c:pt idx="4">
                  <c:v>0.181307187164608</c:v>
                </c:pt>
                <c:pt idx="5">
                  <c:v>0.217858466098555</c:v>
                </c:pt>
              </c:numCache>
            </c:numRef>
          </c:val>
          <c:smooth val="0"/>
          <c:extLst>
            <c:ext xmlns:c16="http://schemas.microsoft.com/office/drawing/2014/chart" uri="{C3380CC4-5D6E-409C-BE32-E72D297353CC}">
              <c16:uniqueId val="{00000006-522B-4603-A501-AB21115A2544}"/>
            </c:ext>
          </c:extLst>
        </c:ser>
        <c:ser>
          <c:idx val="7"/>
          <c:order val="7"/>
          <c:tx>
            <c:strRef>
              <c:f>[30]MMYT!$A$211</c:f>
              <c:strCache>
                <c:ptCount val="1"/>
                <c:pt idx="0">
                  <c:v>Standalone hotels booked online -room nights Pro Forma growth rate</c:v>
                </c:pt>
              </c:strCache>
            </c:strRef>
          </c:tx>
          <c:spPr>
            <a:ln w="28575" cap="rnd">
              <a:solidFill>
                <a:schemeClr val="accent6"/>
              </a:solidFill>
              <a:prstDash val="dash"/>
              <a:miter lim="800000"/>
            </a:ln>
            <a:effectLst/>
          </c:spPr>
          <c:marker>
            <c:symbol val="circle"/>
            <c:size val="8"/>
            <c:spPr>
              <a:solidFill>
                <a:schemeClr val="accent6"/>
              </a:solidFill>
              <a:ln w="9525">
                <a:solidFill>
                  <a:schemeClr val="accent6"/>
                </a:solidFill>
                <a:bevel/>
              </a:ln>
              <a:effectLst/>
            </c:spPr>
          </c:marker>
          <c:cat>
            <c:strRef>
              <c:f>[30]MMYT!$O$3:$T$3</c:f>
              <c:strCache>
                <c:ptCount val="6"/>
                <c:pt idx="0">
                  <c:v>2Q17</c:v>
                </c:pt>
                <c:pt idx="1">
                  <c:v>3Q17</c:v>
                </c:pt>
                <c:pt idx="2">
                  <c:v>4Q17</c:v>
                </c:pt>
                <c:pt idx="3">
                  <c:v>1Q18</c:v>
                </c:pt>
                <c:pt idx="4">
                  <c:v>2Q18</c:v>
                </c:pt>
                <c:pt idx="5">
                  <c:v>3Q18</c:v>
                </c:pt>
              </c:strCache>
            </c:strRef>
          </c:cat>
          <c:val>
            <c:numRef>
              <c:f>[30]MMYT!$O$211:$R$211</c:f>
              <c:numCache>
                <c:formatCode>General</c:formatCode>
                <c:ptCount val="4"/>
                <c:pt idx="0">
                  <c:v>0.36</c:v>
                </c:pt>
                <c:pt idx="1">
                  <c:v>0.28999999999999998</c:v>
                </c:pt>
                <c:pt idx="2">
                  <c:v>0.28000000000000003</c:v>
                </c:pt>
                <c:pt idx="3">
                  <c:v>0.19</c:v>
                </c:pt>
              </c:numCache>
            </c:numRef>
          </c:val>
          <c:smooth val="0"/>
          <c:extLst>
            <c:ext xmlns:c16="http://schemas.microsoft.com/office/drawing/2014/chart" uri="{C3380CC4-5D6E-409C-BE32-E72D297353CC}">
              <c16:uniqueId val="{00000007-522B-4603-A501-AB21115A2544}"/>
            </c:ext>
          </c:extLst>
        </c:ser>
        <c:dLbls>
          <c:showLegendKey val="0"/>
          <c:showVal val="0"/>
          <c:showCatName val="0"/>
          <c:showSerName val="0"/>
          <c:showPercent val="0"/>
          <c:showBubbleSize val="0"/>
        </c:dLbls>
        <c:marker val="1"/>
        <c:smooth val="0"/>
        <c:axId val="132289280"/>
        <c:axId val="132290816"/>
      </c:lineChart>
      <c:catAx>
        <c:axId val="132268800"/>
        <c:scaling>
          <c:orientation val="minMax"/>
        </c:scaling>
        <c:delete val="0"/>
        <c:axPos val="b"/>
        <c:title>
          <c:tx>
            <c:rich>
              <a:bodyPr rot="0" spcFirstLastPara="1" vertOverflow="ellipsis" vert="horz" wrap="square" anchor="ctr" anchorCtr="1"/>
              <a:lstStyle/>
              <a:p>
                <a:pPr>
                  <a:defRPr lang="zh-CN" sz="1000" b="0" i="0" u="none" strike="noStrike" kern="1200" baseline="0">
                    <a:solidFill>
                      <a:schemeClr val="tx1"/>
                    </a:solidFill>
                    <a:latin typeface="+mn-lt"/>
                    <a:ea typeface="+mn-ea"/>
                    <a:cs typeface="+mn-cs"/>
                  </a:defRPr>
                </a:pPr>
                <a:r>
                  <a:rPr lang="en-US" altLang="zh-CN" sz="1100" baseline="0">
                    <a:solidFill>
                      <a:schemeClr val="tx1"/>
                    </a:solidFill>
                    <a:effectLst/>
                  </a:rPr>
                  <a:t>Unit: mn</a:t>
                </a:r>
                <a:endParaRPr lang="zh-CN" altLang="zh-CN" sz="1100" baseline="0">
                  <a:solidFill>
                    <a:schemeClr val="tx1"/>
                  </a:solidFill>
                  <a:effectLst/>
                </a:endParaRPr>
              </a:p>
            </c:rich>
          </c:tx>
          <c:layout>
            <c:manualLayout>
              <c:xMode val="edge"/>
              <c:yMode val="edge"/>
              <c:x val="7.8201368523949204E-3"/>
              <c:y val="4.0641308725298197E-2"/>
            </c:manualLayout>
          </c:layout>
          <c:overlay val="0"/>
          <c:spPr>
            <a:noFill/>
            <a:ln>
              <a:noFill/>
            </a:ln>
            <a:effectLst/>
          </c:spPr>
          <c:txPr>
            <a:bodyPr rot="0" spcFirstLastPara="1"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solidFill>
                <a:latin typeface="+mn-lt"/>
                <a:ea typeface="+mn-ea"/>
                <a:cs typeface="+mn-cs"/>
              </a:defRPr>
            </a:pPr>
            <a:endParaRPr lang="zh-CN"/>
          </a:p>
        </c:txPr>
        <c:crossAx val="132271104"/>
        <c:crosses val="autoZero"/>
        <c:auto val="1"/>
        <c:lblAlgn val="ctr"/>
        <c:lblOffset val="100"/>
        <c:noMultiLvlLbl val="0"/>
      </c:catAx>
      <c:valAx>
        <c:axId val="13227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mn-lt"/>
                <a:ea typeface="+mn-ea"/>
                <a:cs typeface="+mn-cs"/>
              </a:defRPr>
            </a:pPr>
            <a:endParaRPr lang="zh-CN"/>
          </a:p>
        </c:txPr>
        <c:crossAx val="132268800"/>
        <c:crosses val="autoZero"/>
        <c:crossBetween val="between"/>
      </c:valAx>
      <c:catAx>
        <c:axId val="132289280"/>
        <c:scaling>
          <c:orientation val="minMax"/>
        </c:scaling>
        <c:delete val="1"/>
        <c:axPos val="b"/>
        <c:numFmt formatCode="General" sourceLinked="1"/>
        <c:majorTickMark val="out"/>
        <c:minorTickMark val="none"/>
        <c:tickLblPos val="nextTo"/>
        <c:crossAx val="132290816"/>
        <c:crosses val="autoZero"/>
        <c:auto val="1"/>
        <c:lblAlgn val="ctr"/>
        <c:lblOffset val="100"/>
        <c:noMultiLvlLbl val="0"/>
      </c:catAx>
      <c:valAx>
        <c:axId val="1322908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solidFill>
                <a:latin typeface="+mn-lt"/>
                <a:ea typeface="+mn-ea"/>
                <a:cs typeface="+mn-cs"/>
              </a:defRPr>
            </a:pPr>
            <a:endParaRPr lang="zh-CN"/>
          </a:p>
        </c:txPr>
        <c:crossAx val="132289280"/>
        <c:crosses val="max"/>
        <c:crossBetween val="between"/>
      </c:valAx>
      <c:spPr>
        <a:noFill/>
        <a:ln>
          <a:noFill/>
        </a:ln>
        <a:effectLst/>
      </c:spPr>
    </c:plotArea>
    <c:legend>
      <c:legendPos val="b"/>
      <c:layout>
        <c:manualLayout>
          <c:xMode val="edge"/>
          <c:yMode val="edge"/>
          <c:x val="6.5370032558246902E-2"/>
          <c:y val="0.72822229099091895"/>
          <c:w val="0.87903495200929804"/>
          <c:h val="0.2625958145333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ysClr val="windowText" lastClr="000000"/>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bg2">
          <a:lumMod val="90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a:t>MMYT's Mobile App MAU (mm)</a:t>
            </a:r>
          </a:p>
        </c:rich>
      </c:tx>
      <c:overlay val="0"/>
    </c:title>
    <c:autoTitleDeleted val="0"/>
    <c:plotArea>
      <c:layout>
        <c:manualLayout>
          <c:layoutTarget val="inner"/>
          <c:xMode val="edge"/>
          <c:yMode val="edge"/>
          <c:x val="5.8484629424208345E-2"/>
          <c:y val="0.1240073781037104"/>
          <c:w val="0.91868264488933482"/>
          <c:h val="0.78137995567291085"/>
        </c:manualLayout>
      </c:layout>
      <c:lineChart>
        <c:grouping val="standard"/>
        <c:varyColors val="0"/>
        <c:ser>
          <c:idx val="0"/>
          <c:order val="0"/>
          <c:dLbls>
            <c:dLbl>
              <c:idx val="3"/>
              <c:layout>
                <c:manualLayout>
                  <c:x val="-3.2533198479031501E-2"/>
                  <c:y val="-4.50567111439083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D55-4575-9E42-6F51630FA617}"/>
                </c:ext>
              </c:extLst>
            </c:dLbl>
            <c:dLbl>
              <c:idx val="4"/>
              <c:layout>
                <c:manualLayout>
                  <c:x val="-2.6792045806261301E-2"/>
                  <c:y val="-3.60453689151266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55-4575-9E42-6F51630FA617}"/>
                </c:ext>
              </c:extLst>
            </c:dLbl>
            <c:dLbl>
              <c:idx val="5"/>
              <c:layout>
                <c:manualLayout>
                  <c:x val="-2.2964610691081098E-2"/>
                  <c:y val="-3.60453689151266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D55-4575-9E42-6F51630FA617}"/>
                </c:ext>
              </c:extLst>
            </c:dLbl>
            <c:numFmt formatCode="#,##0_);[Red]\(#,##0\)" sourceLinked="0"/>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[30]MMYT!$L$3:$S$3</c:f>
              <c:strCache>
                <c:ptCount val="8"/>
                <c:pt idx="0">
                  <c:v>16Q3</c:v>
                </c:pt>
                <c:pt idx="1">
                  <c:v>16Q4</c:v>
                </c:pt>
                <c:pt idx="2">
                  <c:v>1Q17</c:v>
                </c:pt>
                <c:pt idx="3">
                  <c:v>2Q17</c:v>
                </c:pt>
                <c:pt idx="4">
                  <c:v>3Q17</c:v>
                </c:pt>
                <c:pt idx="5">
                  <c:v>4Q17</c:v>
                </c:pt>
                <c:pt idx="6">
                  <c:v>1Q18</c:v>
                </c:pt>
                <c:pt idx="7">
                  <c:v>2Q18</c:v>
                </c:pt>
              </c:strCache>
            </c:strRef>
          </c:cat>
          <c:val>
            <c:numRef>
              <c:f>[30]MMYT!$L$264:$S$264</c:f>
              <c:numCache>
                <c:formatCode>General</c:formatCode>
                <c:ptCount val="8"/>
                <c:pt idx="0">
                  <c:v>5.4</c:v>
                </c:pt>
                <c:pt idx="1">
                  <c:v>7</c:v>
                </c:pt>
                <c:pt idx="2">
                  <c:v>11</c:v>
                </c:pt>
                <c:pt idx="3">
                  <c:v>15</c:v>
                </c:pt>
                <c:pt idx="4">
                  <c:v>15</c:v>
                </c:pt>
                <c:pt idx="5">
                  <c:v>17</c:v>
                </c:pt>
                <c:pt idx="6">
                  <c:v>18</c:v>
                </c:pt>
                <c:pt idx="7">
                  <c:v>21</c:v>
                </c:pt>
              </c:numCache>
            </c:numRef>
          </c:val>
          <c:smooth val="0"/>
          <c:extLst>
            <c:ext xmlns:c16="http://schemas.microsoft.com/office/drawing/2014/chart" uri="{C3380CC4-5D6E-409C-BE32-E72D297353CC}">
              <c16:uniqueId val="{00000003-5D55-4575-9E42-6F51630FA617}"/>
            </c:ext>
          </c:extLst>
        </c:ser>
        <c:dLbls>
          <c:showLegendKey val="0"/>
          <c:showVal val="0"/>
          <c:showCatName val="0"/>
          <c:showSerName val="0"/>
          <c:showPercent val="0"/>
          <c:showBubbleSize val="0"/>
        </c:dLbls>
        <c:marker val="1"/>
        <c:smooth val="0"/>
        <c:axId val="132313856"/>
        <c:axId val="132315392"/>
      </c:lineChart>
      <c:catAx>
        <c:axId val="132313856"/>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2315392"/>
        <c:crosses val="autoZero"/>
        <c:auto val="1"/>
        <c:lblAlgn val="ctr"/>
        <c:lblOffset val="100"/>
        <c:noMultiLvlLbl val="0"/>
      </c:catAx>
      <c:valAx>
        <c:axId val="132315392"/>
        <c:scaling>
          <c:orientation val="minMax"/>
        </c:scaling>
        <c:delete val="0"/>
        <c:axPos val="l"/>
        <c:numFmt formatCode="#,##0_);[Red]\(#,##0\)" sourceLinked="0"/>
        <c:majorTickMark val="none"/>
        <c:minorTickMark val="none"/>
        <c:tickLblPos val="nextTo"/>
        <c:spPr>
          <a:ln w="9525"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2313856"/>
        <c:crosses val="autoZero"/>
        <c:crossBetween val="between"/>
      </c:valAx>
      <c:spPr>
        <a:ln>
          <a:solidFill>
            <a:schemeClr val="bg1">
              <a:lumMod val="65000"/>
            </a:schemeClr>
          </a:solidFill>
        </a:ln>
      </c:spPr>
    </c:plotArea>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ltLang="zh-CN" b="1">
                <a:solidFill>
                  <a:schemeClr val="tx1"/>
                </a:solidFill>
              </a:rPr>
              <a:t>Used</a:t>
            </a:r>
            <a:r>
              <a:rPr lang="en-US" altLang="zh-CN" b="1" baseline="0">
                <a:solidFill>
                  <a:schemeClr val="tx1"/>
                </a:solidFill>
              </a:rPr>
              <a:t> Room Nights Growth (MMYT vs OYO)</a:t>
            </a:r>
            <a:endParaRPr lang="zh-C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zh-CN"/>
        </a:p>
      </c:txPr>
    </c:title>
    <c:autoTitleDeleted val="0"/>
    <c:plotArea>
      <c:layout/>
      <c:barChart>
        <c:barDir val="col"/>
        <c:grouping val="clustered"/>
        <c:varyColors val="0"/>
        <c:ser>
          <c:idx val="0"/>
          <c:order val="0"/>
          <c:tx>
            <c:v>OYO Used Room Nights (mm)</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[30]MMYT!$O$3:$T$3</c:f>
              <c:strCache>
                <c:ptCount val="6"/>
                <c:pt idx="0">
                  <c:v>2Q17</c:v>
                </c:pt>
                <c:pt idx="1">
                  <c:v>3Q17</c:v>
                </c:pt>
                <c:pt idx="2">
                  <c:v>4Q17</c:v>
                </c:pt>
                <c:pt idx="3">
                  <c:v>1Q18</c:v>
                </c:pt>
                <c:pt idx="4">
                  <c:v>2Q18</c:v>
                </c:pt>
                <c:pt idx="5">
                  <c:v>3Q18</c:v>
                </c:pt>
              </c:strCache>
            </c:strRef>
          </c:cat>
          <c:val>
            <c:numRef>
              <c:f>[30]MMYT!$O$213:$T$213</c:f>
              <c:numCache>
                <c:formatCode>General</c:formatCode>
                <c:ptCount val="6"/>
                <c:pt idx="0">
                  <c:v>1.86</c:v>
                </c:pt>
                <c:pt idx="1">
                  <c:v>2.0190000000000001</c:v>
                </c:pt>
                <c:pt idx="2">
                  <c:v>2.7890000000000001</c:v>
                </c:pt>
                <c:pt idx="3">
                  <c:v>3.488</c:v>
                </c:pt>
                <c:pt idx="4">
                  <c:v>4.6660250000000003</c:v>
                </c:pt>
                <c:pt idx="5">
                  <c:v>5.9867100000000004</c:v>
                </c:pt>
              </c:numCache>
            </c:numRef>
          </c:val>
          <c:extLst>
            <c:ext xmlns:c16="http://schemas.microsoft.com/office/drawing/2014/chart" uri="{C3380CC4-5D6E-409C-BE32-E72D297353CC}">
              <c16:uniqueId val="{00000000-85F5-4107-B776-5CD3BD1350BB}"/>
            </c:ext>
          </c:extLst>
        </c:ser>
        <c:ser>
          <c:idx val="2"/>
          <c:order val="2"/>
          <c:tx>
            <c:v>MMYT Used Standalone Room Nights (mm)</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[30]MMYT!$O$209:$T$209</c:f>
              <c:numCache>
                <c:formatCode>General</c:formatCode>
                <c:ptCount val="6"/>
                <c:pt idx="0">
                  <c:v>5.4973000000000001</c:v>
                </c:pt>
                <c:pt idx="1">
                  <c:v>5.3979999999999997</c:v>
                </c:pt>
                <c:pt idx="2">
                  <c:v>5.3920000000000003</c:v>
                </c:pt>
                <c:pt idx="3">
                  <c:v>4.7119999999999997</c:v>
                </c:pt>
                <c:pt idx="4">
                  <c:v>6.4939999999999998</c:v>
                </c:pt>
                <c:pt idx="5">
                  <c:v>6.5739999999999998</c:v>
                </c:pt>
              </c:numCache>
            </c:numRef>
          </c:val>
          <c:extLst>
            <c:ext xmlns:c16="http://schemas.microsoft.com/office/drawing/2014/chart" uri="{C3380CC4-5D6E-409C-BE32-E72D297353CC}">
              <c16:uniqueId val="{00000001-85F5-4107-B776-5CD3BD1350BB}"/>
            </c:ext>
          </c:extLst>
        </c:ser>
        <c:dLbls>
          <c:showLegendKey val="0"/>
          <c:showVal val="0"/>
          <c:showCatName val="0"/>
          <c:showSerName val="0"/>
          <c:showPercent val="0"/>
          <c:showBubbleSize val="0"/>
        </c:dLbls>
        <c:gapWidth val="75"/>
        <c:overlap val="-25"/>
        <c:axId val="132921600"/>
        <c:axId val="132920064"/>
      </c:barChart>
      <c:lineChart>
        <c:grouping val="standard"/>
        <c:varyColors val="0"/>
        <c:ser>
          <c:idx val="1"/>
          <c:order val="1"/>
          <c:tx>
            <c:v>% of MMYT's - RHS</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[30]MMYT!$O$214:$T$214</c:f>
              <c:numCache>
                <c:formatCode>General</c:formatCode>
                <c:ptCount val="6"/>
                <c:pt idx="0">
                  <c:v>0.33834791624979499</c:v>
                </c:pt>
                <c:pt idx="1">
                  <c:v>0.37402741756205998</c:v>
                </c:pt>
                <c:pt idx="2">
                  <c:v>0.51724777448071202</c:v>
                </c:pt>
                <c:pt idx="3">
                  <c:v>0.74023769100169801</c:v>
                </c:pt>
                <c:pt idx="4">
                  <c:v>0.71851324299353303</c:v>
                </c:pt>
                <c:pt idx="5">
                  <c:v>0.910664739884393</c:v>
                </c:pt>
              </c:numCache>
            </c:numRef>
          </c:val>
          <c:smooth val="0"/>
          <c:extLst>
            <c:ext xmlns:c16="http://schemas.microsoft.com/office/drawing/2014/chart" uri="{C3380CC4-5D6E-409C-BE32-E72D297353CC}">
              <c16:uniqueId val="{00000002-85F5-4107-B776-5CD3BD1350BB}"/>
            </c:ext>
          </c:extLst>
        </c:ser>
        <c:dLbls>
          <c:showLegendKey val="0"/>
          <c:showVal val="0"/>
          <c:showCatName val="0"/>
          <c:showSerName val="0"/>
          <c:showPercent val="0"/>
          <c:showBubbleSize val="0"/>
        </c:dLbls>
        <c:marker val="1"/>
        <c:smooth val="0"/>
        <c:axId val="132965888"/>
        <c:axId val="132964352"/>
      </c:lineChart>
      <c:valAx>
        <c:axId val="13292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2921600"/>
        <c:crosses val="autoZero"/>
        <c:crossBetween val="between"/>
      </c:valAx>
      <c:catAx>
        <c:axId val="13292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2920064"/>
        <c:crosses val="autoZero"/>
        <c:auto val="1"/>
        <c:lblAlgn val="ctr"/>
        <c:lblOffset val="100"/>
        <c:noMultiLvlLbl val="0"/>
      </c:catAx>
      <c:valAx>
        <c:axId val="13296435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2965888"/>
        <c:crosses val="max"/>
        <c:crossBetween val="between"/>
      </c:valAx>
      <c:catAx>
        <c:axId val="132965888"/>
        <c:scaling>
          <c:orientation val="minMax"/>
        </c:scaling>
        <c:delete val="1"/>
        <c:axPos val="b"/>
        <c:majorTickMark val="none"/>
        <c:minorTickMark val="none"/>
        <c:tickLblPos val="nextTo"/>
        <c:crossAx val="132964352"/>
        <c:crosses val="autoZero"/>
        <c:auto val="1"/>
        <c:lblAlgn val="ctr"/>
        <c:lblOffset val="100"/>
        <c:noMultiLvlLbl val="0"/>
      </c:catAx>
      <c:spPr>
        <a:noFill/>
        <a:ln>
          <a:noFill/>
        </a:ln>
        <a:effectLst/>
      </c:spPr>
    </c:plotArea>
    <c:legend>
      <c:legendPos val="b"/>
      <c:layout>
        <c:manualLayout>
          <c:xMode val="edge"/>
          <c:yMode val="edge"/>
          <c:x val="0"/>
          <c:y val="0.74479002624671919"/>
          <c:w val="0.99408552055993005"/>
          <c:h val="0.22743219597550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altLang="zh-CN" sz="1400"/>
              <a:t>Flight Segment</a:t>
            </a:r>
            <a:r>
              <a:rPr lang="en-US" altLang="zh-CN" sz="1400" baseline="0"/>
              <a:t> Growth (MMYT vs Yatra)</a:t>
            </a:r>
            <a:endParaRPr lang="zh-CN" altLang="en-US" sz="1400"/>
          </a:p>
        </c:rich>
      </c:tx>
      <c:overlay val="0"/>
    </c:title>
    <c:autoTitleDeleted val="0"/>
    <c:plotArea>
      <c:layout>
        <c:manualLayout>
          <c:layoutTarget val="inner"/>
          <c:xMode val="edge"/>
          <c:yMode val="edge"/>
          <c:x val="0.11294685039370078"/>
          <c:y val="0.19480351414406533"/>
          <c:w val="0.78693963254593169"/>
          <c:h val="0.50094889180519098"/>
        </c:manualLayout>
      </c:layout>
      <c:barChart>
        <c:barDir val="col"/>
        <c:grouping val="clustered"/>
        <c:varyColors val="0"/>
        <c:ser>
          <c:idx val="2"/>
          <c:order val="2"/>
          <c:tx>
            <c:v>MMYT Flight Segments</c:v>
          </c:tx>
          <c:invertIfNegative val="0"/>
          <c:val>
            <c:numRef>
              <c:f>[30]MMYT!$O$203:$U$203</c:f>
              <c:numCache>
                <c:formatCode>General</c:formatCode>
                <c:ptCount val="7"/>
                <c:pt idx="0">
                  <c:v>7.8349000000000002</c:v>
                </c:pt>
                <c:pt idx="1">
                  <c:v>7.7229999999999999</c:v>
                </c:pt>
                <c:pt idx="2">
                  <c:v>8.4629999999999992</c:v>
                </c:pt>
                <c:pt idx="3">
                  <c:v>9.3179999999999996</c:v>
                </c:pt>
                <c:pt idx="4">
                  <c:v>9.1709999999999994</c:v>
                </c:pt>
                <c:pt idx="5">
                  <c:v>10.005000000000001</c:v>
                </c:pt>
                <c:pt idx="6">
                  <c:v>10.103999999999999</c:v>
                </c:pt>
              </c:numCache>
            </c:numRef>
          </c:val>
          <c:extLst>
            <c:ext xmlns:c16="http://schemas.microsoft.com/office/drawing/2014/chart" uri="{C3380CC4-5D6E-409C-BE32-E72D297353CC}">
              <c16:uniqueId val="{00000000-DBC2-41E3-A99F-0AEBFF9CC361}"/>
            </c:ext>
          </c:extLst>
        </c:ser>
        <c:ser>
          <c:idx val="3"/>
          <c:order val="3"/>
          <c:tx>
            <c:v>Yatra Flight Segments</c:v>
          </c:tx>
          <c:invertIfNegative val="0"/>
          <c:val>
            <c:numRef>
              <c:f>[30]MMYT!$O$175:$U$175</c:f>
              <c:numCache>
                <c:formatCode>General</c:formatCode>
                <c:ptCount val="7"/>
                <c:pt idx="0">
                  <c:v>1.873</c:v>
                </c:pt>
                <c:pt idx="1">
                  <c:v>2.1869999999999998</c:v>
                </c:pt>
                <c:pt idx="2">
                  <c:v>2.3079999999999998</c:v>
                </c:pt>
                <c:pt idx="3">
                  <c:v>2.5070000000000001</c:v>
                </c:pt>
                <c:pt idx="4">
                  <c:v>2.3660000000000001</c:v>
                </c:pt>
                <c:pt idx="5">
                  <c:v>2.6709999999999998</c:v>
                </c:pt>
              </c:numCache>
            </c:numRef>
          </c:val>
          <c:extLst>
            <c:ext xmlns:c16="http://schemas.microsoft.com/office/drawing/2014/chart" uri="{C3380CC4-5D6E-409C-BE32-E72D297353CC}">
              <c16:uniqueId val="{00000001-DBC2-41E3-A99F-0AEBFF9CC361}"/>
            </c:ext>
          </c:extLst>
        </c:ser>
        <c:dLbls>
          <c:showLegendKey val="0"/>
          <c:showVal val="0"/>
          <c:showCatName val="0"/>
          <c:showSerName val="0"/>
          <c:showPercent val="0"/>
          <c:showBubbleSize val="0"/>
        </c:dLbls>
        <c:gapWidth val="75"/>
        <c:axId val="133022464"/>
        <c:axId val="133020288"/>
      </c:barChart>
      <c:lineChart>
        <c:grouping val="standard"/>
        <c:varyColors val="0"/>
        <c:ser>
          <c:idx val="0"/>
          <c:order val="0"/>
          <c:tx>
            <c:v>Yatra Growth</c:v>
          </c:tx>
          <c:cat>
            <c:strRef>
              <c:f>[30]MMYT!$O$3:$U$3</c:f>
              <c:strCache>
                <c:ptCount val="7"/>
                <c:pt idx="0">
                  <c:v>2Q17</c:v>
                </c:pt>
                <c:pt idx="1">
                  <c:v>3Q17</c:v>
                </c:pt>
                <c:pt idx="2">
                  <c:v>4Q17</c:v>
                </c:pt>
                <c:pt idx="3">
                  <c:v>1Q18</c:v>
                </c:pt>
                <c:pt idx="4">
                  <c:v>2Q18</c:v>
                </c:pt>
                <c:pt idx="5">
                  <c:v>3Q18</c:v>
                </c:pt>
                <c:pt idx="6">
                  <c:v>4Q18</c:v>
                </c:pt>
              </c:strCache>
            </c:strRef>
          </c:cat>
          <c:val>
            <c:numRef>
              <c:f>[30]MMYT!$O$176:$U$176</c:f>
              <c:numCache>
                <c:formatCode>General</c:formatCode>
                <c:ptCount val="7"/>
                <c:pt idx="0">
                  <c:v>0.14696876913655799</c:v>
                </c:pt>
                <c:pt idx="1">
                  <c:v>0.31746987951807198</c:v>
                </c:pt>
                <c:pt idx="2">
                  <c:v>0.31061896649630899</c:v>
                </c:pt>
                <c:pt idx="3">
                  <c:v>0.38202866593164297</c:v>
                </c:pt>
                <c:pt idx="4">
                  <c:v>0.263214095034704</c:v>
                </c:pt>
                <c:pt idx="5">
                  <c:v>0.22130772748056701</c:v>
                </c:pt>
              </c:numCache>
            </c:numRef>
          </c:val>
          <c:smooth val="0"/>
          <c:extLst>
            <c:ext xmlns:c16="http://schemas.microsoft.com/office/drawing/2014/chart" uri="{C3380CC4-5D6E-409C-BE32-E72D297353CC}">
              <c16:uniqueId val="{00000002-DBC2-41E3-A99F-0AEBFF9CC361}"/>
            </c:ext>
          </c:extLst>
        </c:ser>
        <c:ser>
          <c:idx val="1"/>
          <c:order val="1"/>
          <c:tx>
            <c:v>MMYT Growth</c:v>
          </c:tx>
          <c:cat>
            <c:strRef>
              <c:f>[30]MMYT!$O$3:$U$3</c:f>
              <c:strCache>
                <c:ptCount val="7"/>
                <c:pt idx="0">
                  <c:v>2Q17</c:v>
                </c:pt>
                <c:pt idx="1">
                  <c:v>3Q17</c:v>
                </c:pt>
                <c:pt idx="2">
                  <c:v>4Q17</c:v>
                </c:pt>
                <c:pt idx="3">
                  <c:v>1Q18</c:v>
                </c:pt>
                <c:pt idx="4">
                  <c:v>2Q18</c:v>
                </c:pt>
                <c:pt idx="5">
                  <c:v>3Q18</c:v>
                </c:pt>
                <c:pt idx="6">
                  <c:v>4Q18</c:v>
                </c:pt>
              </c:strCache>
            </c:strRef>
          </c:cat>
          <c:val>
            <c:numRef>
              <c:f>[30]MMYT!$O$205:$U$205</c:f>
              <c:numCache>
                <c:formatCode>General</c:formatCode>
                <c:ptCount val="7"/>
                <c:pt idx="0">
                  <c:v>0.222</c:v>
                </c:pt>
                <c:pt idx="1">
                  <c:v>0.15</c:v>
                </c:pt>
                <c:pt idx="2">
                  <c:v>0.16</c:v>
                </c:pt>
                <c:pt idx="3">
                  <c:v>0.4</c:v>
                </c:pt>
                <c:pt idx="4">
                  <c:v>0.17053185107659299</c:v>
                </c:pt>
                <c:pt idx="5">
                  <c:v>0.29548103068755699</c:v>
                </c:pt>
                <c:pt idx="6">
                  <c:v>0.193902871322226</c:v>
                </c:pt>
              </c:numCache>
            </c:numRef>
          </c:val>
          <c:smooth val="0"/>
          <c:extLst>
            <c:ext xmlns:c16="http://schemas.microsoft.com/office/drawing/2014/chart" uri="{C3380CC4-5D6E-409C-BE32-E72D297353CC}">
              <c16:uniqueId val="{00000003-DBC2-41E3-A99F-0AEBFF9CC361}"/>
            </c:ext>
          </c:extLst>
        </c:ser>
        <c:ser>
          <c:idx val="4"/>
          <c:order val="4"/>
          <c:tx>
            <c:v>Domestic Growth</c:v>
          </c:tx>
          <c:cat>
            <c:strRef>
              <c:f>[30]MMYT!$O$3:$U$3</c:f>
              <c:strCache>
                <c:ptCount val="7"/>
                <c:pt idx="0">
                  <c:v>2Q17</c:v>
                </c:pt>
                <c:pt idx="1">
                  <c:v>3Q17</c:v>
                </c:pt>
                <c:pt idx="2">
                  <c:v>4Q17</c:v>
                </c:pt>
                <c:pt idx="3">
                  <c:v>1Q18</c:v>
                </c:pt>
                <c:pt idx="4">
                  <c:v>2Q18</c:v>
                </c:pt>
                <c:pt idx="5">
                  <c:v>3Q18</c:v>
                </c:pt>
                <c:pt idx="6">
                  <c:v>4Q18</c:v>
                </c:pt>
              </c:strCache>
            </c:strRef>
          </c:cat>
          <c:val>
            <c:numRef>
              <c:f>[30]MMYT!$O$13:$U$13</c:f>
              <c:numCache>
                <c:formatCode>General</c:formatCode>
                <c:ptCount val="7"/>
                <c:pt idx="0">
                  <c:v>0.17523759940869299</c:v>
                </c:pt>
                <c:pt idx="1">
                  <c:v>0.148111909899313</c:v>
                </c:pt>
                <c:pt idx="2">
                  <c:v>0.18360980151509401</c:v>
                </c:pt>
                <c:pt idx="3">
                  <c:v>0.23867713455719899</c:v>
                </c:pt>
                <c:pt idx="4">
                  <c:v>0.20146069621569801</c:v>
                </c:pt>
                <c:pt idx="5">
                  <c:v>0.18966842548082599</c:v>
                </c:pt>
              </c:numCache>
            </c:numRef>
          </c:val>
          <c:smooth val="0"/>
          <c:extLst>
            <c:ext xmlns:c16="http://schemas.microsoft.com/office/drawing/2014/chart" uri="{C3380CC4-5D6E-409C-BE32-E72D297353CC}">
              <c16:uniqueId val="{00000004-DBC2-41E3-A99F-0AEBFF9CC361}"/>
            </c:ext>
          </c:extLst>
        </c:ser>
        <c:dLbls>
          <c:showLegendKey val="0"/>
          <c:showVal val="0"/>
          <c:showCatName val="0"/>
          <c:showSerName val="0"/>
          <c:showPercent val="0"/>
          <c:showBubbleSize val="0"/>
        </c:dLbls>
        <c:marker val="1"/>
        <c:smooth val="0"/>
        <c:axId val="133008768"/>
        <c:axId val="133018752"/>
      </c:lineChart>
      <c:catAx>
        <c:axId val="133008768"/>
        <c:scaling>
          <c:orientation val="minMax"/>
        </c:scaling>
        <c:delete val="0"/>
        <c:axPos val="b"/>
        <c:numFmt formatCode="General" sourceLinked="0"/>
        <c:majorTickMark val="none"/>
        <c:minorTickMark val="none"/>
        <c:tickLblPos val="nextTo"/>
        <c:crossAx val="133018752"/>
        <c:crosses val="autoZero"/>
        <c:auto val="1"/>
        <c:lblAlgn val="ctr"/>
        <c:lblOffset val="100"/>
        <c:noMultiLvlLbl val="0"/>
      </c:catAx>
      <c:valAx>
        <c:axId val="133018752"/>
        <c:scaling>
          <c:orientation val="minMax"/>
        </c:scaling>
        <c:delete val="0"/>
        <c:axPos val="l"/>
        <c:majorGridlines/>
        <c:numFmt formatCode="General" sourceLinked="1"/>
        <c:majorTickMark val="none"/>
        <c:minorTickMark val="none"/>
        <c:tickLblPos val="nextTo"/>
        <c:spPr>
          <a:ln w="9525">
            <a:noFill/>
          </a:ln>
        </c:spPr>
        <c:crossAx val="133008768"/>
        <c:crosses val="autoZero"/>
        <c:crossBetween val="between"/>
      </c:valAx>
      <c:valAx>
        <c:axId val="133020288"/>
        <c:scaling>
          <c:orientation val="minMax"/>
        </c:scaling>
        <c:delete val="0"/>
        <c:axPos val="r"/>
        <c:title>
          <c:tx>
            <c:rich>
              <a:bodyPr rot="0" vert="horz"/>
              <a:lstStyle/>
              <a:p>
                <a:pPr>
                  <a:defRPr/>
                </a:pPr>
                <a:r>
                  <a:rPr lang="en-US" altLang="zh-CN"/>
                  <a:t>mm</a:t>
                </a:r>
                <a:endParaRPr lang="zh-CN" altLang="en-US"/>
              </a:p>
            </c:rich>
          </c:tx>
          <c:layout>
            <c:manualLayout>
              <c:xMode val="edge"/>
              <c:yMode val="edge"/>
              <c:x val="0.8548055555555556"/>
              <c:y val="8.1377223680373298E-2"/>
            </c:manualLayout>
          </c:layout>
          <c:overlay val="0"/>
        </c:title>
        <c:numFmt formatCode="General" sourceLinked="1"/>
        <c:majorTickMark val="out"/>
        <c:minorTickMark val="none"/>
        <c:tickLblPos val="nextTo"/>
        <c:crossAx val="133022464"/>
        <c:crosses val="max"/>
        <c:crossBetween val="between"/>
      </c:valAx>
      <c:catAx>
        <c:axId val="133022464"/>
        <c:scaling>
          <c:orientation val="minMax"/>
        </c:scaling>
        <c:delete val="1"/>
        <c:axPos val="b"/>
        <c:majorTickMark val="out"/>
        <c:minorTickMark val="none"/>
        <c:tickLblPos val="nextTo"/>
        <c:crossAx val="133020288"/>
        <c:crosses val="autoZero"/>
        <c:auto val="1"/>
        <c:lblAlgn val="ctr"/>
        <c:lblOffset val="100"/>
        <c:noMultiLvlLbl val="0"/>
      </c:catAx>
    </c:plotArea>
    <c:legend>
      <c:legendPos val="b"/>
      <c:overlay val="0"/>
    </c:legend>
    <c:plotVisOnly val="1"/>
    <c:dispBlanksAs val="gap"/>
    <c:showDLblsOverMax val="0"/>
  </c:chart>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ltLang="zh-CN" b="1">
                <a:solidFill>
                  <a:sysClr val="windowText" lastClr="000000"/>
                </a:solidFill>
              </a:rPr>
              <a:t>Number</a:t>
            </a:r>
            <a:r>
              <a:rPr lang="en-US" altLang="zh-CN" b="1" baseline="0">
                <a:solidFill>
                  <a:sysClr val="windowText" lastClr="000000"/>
                </a:solidFill>
              </a:rPr>
              <a:t> of domestic air passengers and YoY growth</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zh-CN"/>
        </a:p>
      </c:txPr>
    </c:title>
    <c:autoTitleDeleted val="0"/>
    <c:plotArea>
      <c:layout>
        <c:manualLayout>
          <c:layoutTarget val="inner"/>
          <c:xMode val="edge"/>
          <c:yMode val="edge"/>
          <c:x val="7.6948122441206773E-2"/>
          <c:y val="0.17685185185185184"/>
          <c:w val="0.838595737919273"/>
          <c:h val="0.62405313187790468"/>
        </c:manualLayout>
      </c:layout>
      <c:barChart>
        <c:barDir val="col"/>
        <c:grouping val="clustered"/>
        <c:varyColors val="0"/>
        <c:ser>
          <c:idx val="0"/>
          <c:order val="0"/>
          <c:tx>
            <c:v>Number of domestic air passengers</c:v>
          </c:tx>
          <c:spPr>
            <a:solidFill>
              <a:schemeClr val="accent1"/>
            </a:solidFill>
            <a:ln>
              <a:noFill/>
            </a:ln>
            <a:effectLst/>
          </c:spPr>
          <c:invertIfNegative val="0"/>
          <c:cat>
            <c:strRef>
              <c:f>'MMYT (2)'!$J$4:$AB$4</c:f>
              <c:strCache>
                <c:ptCount val="15"/>
                <c:pt idx="0">
                  <c:v> 1Q17 </c:v>
                </c:pt>
                <c:pt idx="1">
                  <c:v> 2Q17 </c:v>
                </c:pt>
                <c:pt idx="2">
                  <c:v> 3Q17 </c:v>
                </c:pt>
                <c:pt idx="3">
                  <c:v> 4Q17 </c:v>
                </c:pt>
                <c:pt idx="4">
                  <c:v> 1Q18 </c:v>
                </c:pt>
                <c:pt idx="5">
                  <c:v> 2Q18 </c:v>
                </c:pt>
                <c:pt idx="6">
                  <c:v> 3Q18 </c:v>
                </c:pt>
                <c:pt idx="7">
                  <c:v> 4Q18 </c:v>
                </c:pt>
                <c:pt idx="8">
                  <c:v> 1Q19 </c:v>
                </c:pt>
                <c:pt idx="9">
                  <c:v> 2Q19 </c:v>
                </c:pt>
                <c:pt idx="10">
                  <c:v> 3Q19 </c:v>
                </c:pt>
                <c:pt idx="11">
                  <c:v> 4Q19 </c:v>
                </c:pt>
                <c:pt idx="12">
                  <c:v> 1Q20 </c:v>
                </c:pt>
                <c:pt idx="13">
                  <c:v> 2Q20 </c:v>
                </c:pt>
                <c:pt idx="14">
                  <c:v> 3Q20 </c:v>
                </c:pt>
              </c:strCache>
            </c:strRef>
          </c:cat>
          <c:val>
            <c:numRef>
              <c:f>'MMYT (2)'!$J$18:$AB$18</c:f>
              <c:numCache>
                <c:formatCode>_(* #,##0_);_(* \(#,##0\);_(* "-"??_);_(@_)</c:formatCode>
                <c:ptCount val="15"/>
                <c:pt idx="0">
                  <c:v>27279358</c:v>
                </c:pt>
                <c:pt idx="1">
                  <c:v>28876367</c:v>
                </c:pt>
                <c:pt idx="2">
                  <c:v>28839128</c:v>
                </c:pt>
                <c:pt idx="3">
                  <c:v>32182979</c:v>
                </c:pt>
                <c:pt idx="4">
                  <c:v>33790317</c:v>
                </c:pt>
                <c:pt idx="5">
                  <c:v>34693820</c:v>
                </c:pt>
                <c:pt idx="6">
                  <c:v>34447828</c:v>
                </c:pt>
                <c:pt idx="7">
                  <c:v>36188079</c:v>
                </c:pt>
                <c:pt idx="8">
                  <c:v>35453454</c:v>
                </c:pt>
                <c:pt idx="9">
                  <c:v>35227000</c:v>
                </c:pt>
                <c:pt idx="10">
                  <c:v>35231000</c:v>
                </c:pt>
                <c:pt idx="11">
                  <c:v>38188546</c:v>
                </c:pt>
                <c:pt idx="12">
                  <c:v>32912000</c:v>
                </c:pt>
                <c:pt idx="13">
                  <c:v>2266000</c:v>
                </c:pt>
                <c:pt idx="14">
                  <c:v>8882000</c:v>
                </c:pt>
              </c:numCache>
            </c:numRef>
          </c:val>
          <c:extLst>
            <c:ext xmlns:c16="http://schemas.microsoft.com/office/drawing/2014/chart" uri="{C3380CC4-5D6E-409C-BE32-E72D297353CC}">
              <c16:uniqueId val="{00000000-4334-4DC5-838C-16CB94ED8032}"/>
            </c:ext>
          </c:extLst>
        </c:ser>
        <c:dLbls>
          <c:showLegendKey val="0"/>
          <c:showVal val="0"/>
          <c:showCatName val="0"/>
          <c:showSerName val="0"/>
          <c:showPercent val="0"/>
          <c:showBubbleSize val="0"/>
        </c:dLbls>
        <c:gapWidth val="150"/>
        <c:axId val="702250480"/>
        <c:axId val="702249648"/>
      </c:barChart>
      <c:lineChart>
        <c:grouping val="standard"/>
        <c:varyColors val="0"/>
        <c:ser>
          <c:idx val="1"/>
          <c:order val="1"/>
          <c:tx>
            <c:v>YoY growth</c:v>
          </c:tx>
          <c:spPr>
            <a:ln w="28575" cap="rnd">
              <a:solidFill>
                <a:schemeClr val="accent2"/>
              </a:solidFill>
              <a:round/>
            </a:ln>
            <a:effectLst/>
          </c:spPr>
          <c:marker>
            <c:symbol val="square"/>
            <c:size val="5"/>
            <c:spPr>
              <a:solidFill>
                <a:schemeClr val="accent2"/>
              </a:solidFill>
              <a:ln w="9525">
                <a:solidFill>
                  <a:schemeClr val="accent2"/>
                </a:solidFill>
              </a:ln>
              <a:effectLst/>
            </c:spPr>
          </c:marker>
          <c:cat>
            <c:strRef>
              <c:f>'MMYT (2)'!$J$4:$AB$4</c:f>
              <c:strCache>
                <c:ptCount val="15"/>
                <c:pt idx="0">
                  <c:v> 1Q17 </c:v>
                </c:pt>
                <c:pt idx="1">
                  <c:v> 2Q17 </c:v>
                </c:pt>
                <c:pt idx="2">
                  <c:v> 3Q17 </c:v>
                </c:pt>
                <c:pt idx="3">
                  <c:v> 4Q17 </c:v>
                </c:pt>
                <c:pt idx="4">
                  <c:v> 1Q18 </c:v>
                </c:pt>
                <c:pt idx="5">
                  <c:v> 2Q18 </c:v>
                </c:pt>
                <c:pt idx="6">
                  <c:v> 3Q18 </c:v>
                </c:pt>
                <c:pt idx="7">
                  <c:v> 4Q18 </c:v>
                </c:pt>
                <c:pt idx="8">
                  <c:v> 1Q19 </c:v>
                </c:pt>
                <c:pt idx="9">
                  <c:v> 2Q19 </c:v>
                </c:pt>
                <c:pt idx="10">
                  <c:v> 3Q19 </c:v>
                </c:pt>
                <c:pt idx="11">
                  <c:v> 4Q19 </c:v>
                </c:pt>
                <c:pt idx="12">
                  <c:v> 1Q20 </c:v>
                </c:pt>
                <c:pt idx="13">
                  <c:v> 2Q20 </c:v>
                </c:pt>
                <c:pt idx="14">
                  <c:v> 3Q20 </c:v>
                </c:pt>
              </c:strCache>
            </c:strRef>
          </c:cat>
          <c:val>
            <c:numRef>
              <c:f>'MMYT (2)'!$J$19:$AB$19</c:f>
              <c:numCache>
                <c:formatCode>0%</c:formatCode>
                <c:ptCount val="15"/>
                <c:pt idx="0">
                  <c:v>0.18575574777981796</c:v>
                </c:pt>
                <c:pt idx="1">
                  <c:v>0.17523759940869321</c:v>
                </c:pt>
                <c:pt idx="2">
                  <c:v>0.14811190989931311</c:v>
                </c:pt>
                <c:pt idx="3">
                  <c:v>0.18360980151509354</c:v>
                </c:pt>
                <c:pt idx="4">
                  <c:v>0.23867713455719897</c:v>
                </c:pt>
                <c:pt idx="5">
                  <c:v>0.20146069621569773</c:v>
                </c:pt>
                <c:pt idx="6">
                  <c:v>0.19448230196141858</c:v>
                </c:pt>
                <c:pt idx="7">
                  <c:v>0.12444777097856607</c:v>
                </c:pt>
                <c:pt idx="8">
                  <c:v>4.9219337007107677E-2</c:v>
                </c:pt>
                <c:pt idx="9">
                  <c:v>1.5368154904821685E-2</c:v>
                </c:pt>
                <c:pt idx="10">
                  <c:v>2.2735018300718446E-2</c:v>
                </c:pt>
                <c:pt idx="11">
                  <c:v>5.5279723469156883E-2</c:v>
                </c:pt>
                <c:pt idx="12">
                  <c:v>-7.1684242669275644E-2</c:v>
                </c:pt>
                <c:pt idx="13">
                  <c:v>-0.93567434070457323</c:v>
                </c:pt>
                <c:pt idx="14">
                  <c:v>-0.74789248105361761</c:v>
                </c:pt>
              </c:numCache>
            </c:numRef>
          </c:val>
          <c:smooth val="0"/>
          <c:extLst>
            <c:ext xmlns:c16="http://schemas.microsoft.com/office/drawing/2014/chart" uri="{C3380CC4-5D6E-409C-BE32-E72D297353CC}">
              <c16:uniqueId val="{00000001-4334-4DC5-838C-16CB94ED8032}"/>
            </c:ext>
          </c:extLst>
        </c:ser>
        <c:dLbls>
          <c:showLegendKey val="0"/>
          <c:showVal val="0"/>
          <c:showCatName val="0"/>
          <c:showSerName val="0"/>
          <c:showPercent val="0"/>
          <c:showBubbleSize val="0"/>
        </c:dLbls>
        <c:marker val="1"/>
        <c:smooth val="0"/>
        <c:axId val="702254640"/>
        <c:axId val="702245072"/>
      </c:lineChart>
      <c:catAx>
        <c:axId val="70225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02249648"/>
        <c:crosses val="autoZero"/>
        <c:auto val="1"/>
        <c:lblAlgn val="ctr"/>
        <c:lblOffset val="100"/>
        <c:noMultiLvlLbl val="0"/>
      </c:catAx>
      <c:valAx>
        <c:axId val="702249648"/>
        <c:scaling>
          <c:orientation val="minMax"/>
        </c:scaling>
        <c:delete val="0"/>
        <c:axPos val="l"/>
        <c:majorGridlines>
          <c:spPr>
            <a:ln w="9525" cap="flat" cmpd="sng" algn="ctr">
              <a:no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02250480"/>
        <c:crosses val="autoZero"/>
        <c:crossBetween val="between"/>
        <c:dispUnits>
          <c:builtInUnit val="millions"/>
          <c:dispUnitsLbl>
            <c:layout>
              <c:manualLayout>
                <c:xMode val="edge"/>
                <c:yMode val="edge"/>
                <c:x val="2.5000000000000001E-2"/>
                <c:y val="2.87037037037037E-2"/>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CN"/>
                    <a:t>mn</a:t>
                  </a:r>
                  <a:endParaRPr lang="zh-CN" altLang="en-US"/>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CN"/>
              </a:p>
            </c:txPr>
          </c:dispUnitsLbl>
        </c:dispUnits>
      </c:valAx>
      <c:valAx>
        <c:axId val="70224507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02254640"/>
        <c:crosses val="max"/>
        <c:crossBetween val="between"/>
      </c:valAx>
      <c:catAx>
        <c:axId val="702254640"/>
        <c:scaling>
          <c:orientation val="minMax"/>
        </c:scaling>
        <c:delete val="1"/>
        <c:axPos val="b"/>
        <c:numFmt formatCode="General" sourceLinked="1"/>
        <c:majorTickMark val="out"/>
        <c:minorTickMark val="none"/>
        <c:tickLblPos val="nextTo"/>
        <c:crossAx val="702245072"/>
        <c:crosses val="autoZero"/>
        <c:auto val="1"/>
        <c:lblAlgn val="ctr"/>
        <c:lblOffset val="100"/>
        <c:noMultiLvlLbl val="0"/>
      </c:catAx>
      <c:spPr>
        <a:noFill/>
        <a:ln>
          <a:solidFill>
            <a:schemeClr val="bg1">
              <a:lumMod val="50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zh-CN"/>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a:t>MMYT</a:t>
            </a:r>
            <a:r>
              <a:rPr lang="en-US" altLang="zh-CN" baseline="0"/>
              <a:t>'s Gross Booking Value and YoY Growth</a:t>
            </a:r>
            <a:endParaRPr lang="zh-CN" altLang="en-US"/>
          </a:p>
        </c:rich>
      </c:tx>
      <c:layout>
        <c:manualLayout>
          <c:xMode val="edge"/>
          <c:yMode val="edge"/>
          <c:x val="0.13995520937321523"/>
          <c:y val="2.5951377802143075E-2"/>
        </c:manualLayout>
      </c:layout>
      <c:overlay val="0"/>
    </c:title>
    <c:autoTitleDeleted val="0"/>
    <c:plotArea>
      <c:layout>
        <c:manualLayout>
          <c:layoutTarget val="inner"/>
          <c:xMode val="edge"/>
          <c:yMode val="edge"/>
          <c:x val="6.9153949237181447E-2"/>
          <c:y val="0.15062716802743548"/>
          <c:w val="0.86048639978498942"/>
          <c:h val="0.65300643354797971"/>
        </c:manualLayout>
      </c:layout>
      <c:barChart>
        <c:barDir val="col"/>
        <c:grouping val="clustered"/>
        <c:varyColors val="0"/>
        <c:ser>
          <c:idx val="0"/>
          <c:order val="0"/>
          <c:tx>
            <c:v>Gross booking value</c:v>
          </c:tx>
          <c:spPr>
            <a:solidFill>
              <a:schemeClr val="accent1">
                <a:lumMod val="60000"/>
                <a:lumOff val="40000"/>
              </a:schemeClr>
            </a:solidFill>
            <a:ln>
              <a:solidFill>
                <a:schemeClr val="accent1">
                  <a:lumMod val="60000"/>
                  <a:lumOff val="40000"/>
                </a:schemeClr>
              </a:solid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(2)'!$R$103:$AB$103</c:f>
              <c:numCache>
                <c:formatCode>_-* #,##0_-;\-* #,##0_-;_-* "-"_-;_-@_-</c:formatCode>
                <c:ptCount val="11"/>
                <c:pt idx="0">
                  <c:v>1183.924</c:v>
                </c:pt>
                <c:pt idx="1">
                  <c:v>1416.36</c:v>
                </c:pt>
                <c:pt idx="2">
                  <c:v>1243</c:v>
                </c:pt>
                <c:pt idx="3">
                  <c:v>1413.537</c:v>
                </c:pt>
                <c:pt idx="4">
                  <c:v>1372.809</c:v>
                </c:pt>
                <c:pt idx="5">
                  <c:v>1693.5929999999998</c:v>
                </c:pt>
                <c:pt idx="6">
                  <c:v>1492.9179999999999</c:v>
                </c:pt>
                <c:pt idx="7">
                  <c:v>1700.5469999999998</c:v>
                </c:pt>
                <c:pt idx="8">
                  <c:v>1206.6770000000001</c:v>
                </c:pt>
                <c:pt idx="9">
                  <c:v>64.478000000000009</c:v>
                </c:pt>
                <c:pt idx="10">
                  <c:v>212.958</c:v>
                </c:pt>
              </c:numCache>
            </c:numRef>
          </c:val>
          <c:extLst>
            <c:ext xmlns:c16="http://schemas.microsoft.com/office/drawing/2014/chart" uri="{C3380CC4-5D6E-409C-BE32-E72D297353CC}">
              <c16:uniqueId val="{00000000-C4B1-4F73-99AA-49463167F087}"/>
            </c:ext>
          </c:extLst>
        </c:ser>
        <c:dLbls>
          <c:showLegendKey val="0"/>
          <c:showVal val="0"/>
          <c:showCatName val="0"/>
          <c:showSerName val="0"/>
          <c:showPercent val="0"/>
          <c:showBubbleSize val="0"/>
        </c:dLbls>
        <c:gapWidth val="150"/>
        <c:axId val="127034496"/>
        <c:axId val="127036032"/>
      </c:barChart>
      <c:lineChart>
        <c:grouping val="standard"/>
        <c:varyColors val="0"/>
        <c:ser>
          <c:idx val="2"/>
          <c:order val="1"/>
          <c:tx>
            <c:v>YoY growth rate on a constant currency basis</c:v>
          </c:tx>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'[29]MMYT (2)'!$R$4:$AB$4</c:f>
              <c:strCache>
                <c:ptCount val="11"/>
                <c:pt idx="0">
                  <c:v>1Q18</c:v>
                </c:pt>
                <c:pt idx="1">
                  <c:v>2Q18</c:v>
                </c:pt>
                <c:pt idx="2">
                  <c:v>3Q18</c:v>
                </c:pt>
                <c:pt idx="3">
                  <c:v>4Q18</c:v>
                </c:pt>
                <c:pt idx="4">
                  <c:v>1Q19</c:v>
                </c:pt>
                <c:pt idx="5">
                  <c:v>2Q19</c:v>
                </c:pt>
                <c:pt idx="6">
                  <c:v>3Q19</c:v>
                </c:pt>
                <c:pt idx="7">
                  <c:v>4Q19</c:v>
                </c:pt>
                <c:pt idx="8">
                  <c:v>1Q20</c:v>
                </c:pt>
                <c:pt idx="9">
                  <c:v>2Q20</c:v>
                </c:pt>
                <c:pt idx="10">
                  <c:v>3Q20</c:v>
                </c:pt>
              </c:strCache>
            </c:strRef>
          </c:cat>
          <c:val>
            <c:numRef>
              <c:f>'MMYT (2)'!$R$105:$AB$105</c:f>
              <c:numCache>
                <c:formatCode>0%</c:formatCode>
                <c:ptCount val="11"/>
                <c:pt idx="0">
                  <c:v>0.45419506648162233</c:v>
                </c:pt>
                <c:pt idx="1">
                  <c:v>0.26700000000000002</c:v>
                </c:pt>
                <c:pt idx="2">
                  <c:v>0.26900000000000002</c:v>
                </c:pt>
                <c:pt idx="3">
                  <c:v>0.31900000000000001</c:v>
                </c:pt>
                <c:pt idx="4">
                  <c:v>0.26700000000000002</c:v>
                </c:pt>
                <c:pt idx="5" formatCode="0.0%">
                  <c:v>0.24</c:v>
                </c:pt>
                <c:pt idx="6" formatCode="0.0%">
                  <c:v>0.20599999999999999</c:v>
                </c:pt>
                <c:pt idx="7" formatCode="0.0%">
                  <c:v>0.188</c:v>
                </c:pt>
                <c:pt idx="8" formatCode="0.0%">
                  <c:v>-0.09</c:v>
                </c:pt>
                <c:pt idx="9">
                  <c:v>-0.96192827910838086</c:v>
                </c:pt>
                <c:pt idx="10">
                  <c:v>-0.85735452315532401</c:v>
                </c:pt>
              </c:numCache>
            </c:numRef>
          </c:val>
          <c:smooth val="0"/>
          <c:extLst>
            <c:ext xmlns:c16="http://schemas.microsoft.com/office/drawing/2014/chart" uri="{C3380CC4-5D6E-409C-BE32-E72D297353CC}">
              <c16:uniqueId val="{00000001-C4B1-4F73-99AA-49463167F087}"/>
            </c:ext>
          </c:extLst>
        </c:ser>
        <c:dLbls>
          <c:showLegendKey val="0"/>
          <c:showVal val="0"/>
          <c:showCatName val="0"/>
          <c:showSerName val="0"/>
          <c:showPercent val="0"/>
          <c:showBubbleSize val="0"/>
        </c:dLbls>
        <c:marker val="1"/>
        <c:smooth val="0"/>
        <c:axId val="127054208"/>
        <c:axId val="127055744"/>
      </c:lineChart>
      <c:catAx>
        <c:axId val="127034496"/>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036032"/>
        <c:crosses val="autoZero"/>
        <c:auto val="1"/>
        <c:lblAlgn val="ctr"/>
        <c:lblOffset val="100"/>
        <c:noMultiLvlLbl val="0"/>
      </c:catAx>
      <c:valAx>
        <c:axId val="127036032"/>
        <c:scaling>
          <c:orientation val="minMax"/>
          <c:max val="1800"/>
          <c:min val="-600"/>
        </c:scaling>
        <c:delete val="0"/>
        <c:axPos val="l"/>
        <c:numFmt formatCode="#,##0_);[Red]\(#,##0\)"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034496"/>
        <c:crosses val="autoZero"/>
        <c:crossBetween val="between"/>
        <c:majorUnit val="600"/>
      </c:valAx>
      <c:catAx>
        <c:axId val="127054208"/>
        <c:scaling>
          <c:orientation val="minMax"/>
        </c:scaling>
        <c:delete val="1"/>
        <c:axPos val="b"/>
        <c:numFmt formatCode="General" sourceLinked="1"/>
        <c:majorTickMark val="out"/>
        <c:minorTickMark val="none"/>
        <c:tickLblPos val="none"/>
        <c:crossAx val="127055744"/>
        <c:crossesAt val="0"/>
        <c:auto val="1"/>
        <c:lblAlgn val="ctr"/>
        <c:lblOffset val="100"/>
        <c:noMultiLvlLbl val="0"/>
      </c:catAx>
      <c:valAx>
        <c:axId val="127055744"/>
        <c:scaling>
          <c:orientation val="minMax"/>
          <c:max val="3"/>
          <c:min val="-1"/>
        </c:scaling>
        <c:delete val="0"/>
        <c:axPos val="r"/>
        <c:numFmt formatCode="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054208"/>
        <c:crosses val="max"/>
        <c:crossBetween val="between"/>
        <c:majorUnit val="0.5"/>
      </c:valAx>
      <c:spPr>
        <a:ln>
          <a:solidFill>
            <a:schemeClr val="bg1">
              <a:lumMod val="65000"/>
            </a:schemeClr>
          </a:solidFill>
        </a:ln>
      </c:spPr>
    </c:plotArea>
    <c:legend>
      <c:legendPos val="b"/>
      <c:layout>
        <c:manualLayout>
          <c:xMode val="edge"/>
          <c:yMode val="edge"/>
          <c:x val="7.842498251659441E-2"/>
          <c:y val="0.90237552898920692"/>
          <c:w val="0.86172266559922595"/>
          <c:h val="5.5172885997945897E-2"/>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userShapes r:id="rId1"/>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ltLang="zh-CN" b="1">
                <a:solidFill>
                  <a:sysClr val="windowText" lastClr="000000"/>
                </a:solidFill>
              </a:rPr>
              <a:t>MMYT's</a:t>
            </a:r>
            <a:r>
              <a:rPr lang="en-US" altLang="zh-CN" b="1" baseline="0">
                <a:solidFill>
                  <a:sysClr val="windowText" lastClr="000000"/>
                </a:solidFill>
              </a:rPr>
              <a:t> Gross Booking Breakdown and YoY Growth</a:t>
            </a:r>
            <a:endParaRPr lang="zh-CN" alt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zh-CN"/>
        </a:p>
      </c:txPr>
    </c:title>
    <c:autoTitleDeleted val="0"/>
    <c:plotArea>
      <c:layout>
        <c:manualLayout>
          <c:layoutTarget val="inner"/>
          <c:xMode val="edge"/>
          <c:yMode val="edge"/>
          <c:x val="6.6392243439203233E-2"/>
          <c:y val="0.14205923661138523"/>
          <c:w val="0.85224006022065268"/>
          <c:h val="0.5962529340395637"/>
        </c:manualLayout>
      </c:layout>
      <c:barChart>
        <c:barDir val="col"/>
        <c:grouping val="clustered"/>
        <c:varyColors val="0"/>
        <c:ser>
          <c:idx val="0"/>
          <c:order val="0"/>
          <c:tx>
            <c:v>Air ticketing</c:v>
          </c:tx>
          <c:spPr>
            <a:solidFill>
              <a:schemeClr val="accent1"/>
            </a:solidFill>
            <a:ln>
              <a:noFill/>
            </a:ln>
            <a:effectLst/>
          </c:spPr>
          <c:invertIfNegative val="0"/>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(2)'!$R$107:$AB$107</c:f>
              <c:numCache>
                <c:formatCode>#,##0_);[Red]\(#,##0\)</c:formatCode>
                <c:ptCount val="11"/>
                <c:pt idx="0">
                  <c:v>743.18899999999996</c:v>
                </c:pt>
                <c:pt idx="1">
                  <c:v>804.73900000000003</c:v>
                </c:pt>
                <c:pt idx="2">
                  <c:v>749.09199999999998</c:v>
                </c:pt>
                <c:pt idx="3">
                  <c:v>821.15300000000002</c:v>
                </c:pt>
                <c:pt idx="4">
                  <c:v>839.56100000000004</c:v>
                </c:pt>
                <c:pt idx="5">
                  <c:v>985.62099999999998</c:v>
                </c:pt>
                <c:pt idx="6">
                  <c:v>916.947</c:v>
                </c:pt>
                <c:pt idx="7">
                  <c:v>986.58699999999999</c:v>
                </c:pt>
                <c:pt idx="8">
                  <c:v>692.11199999999997</c:v>
                </c:pt>
                <c:pt idx="9">
                  <c:v>54.914000000000001</c:v>
                </c:pt>
                <c:pt idx="10" formatCode="#,##0_ ">
                  <c:v>149.339</c:v>
                </c:pt>
              </c:numCache>
            </c:numRef>
          </c:val>
          <c:extLst>
            <c:ext xmlns:c16="http://schemas.microsoft.com/office/drawing/2014/chart" uri="{C3380CC4-5D6E-409C-BE32-E72D297353CC}">
              <c16:uniqueId val="{00000000-710F-4718-902D-9CA975B6F13C}"/>
            </c:ext>
          </c:extLst>
        </c:ser>
        <c:ser>
          <c:idx val="1"/>
          <c:order val="1"/>
          <c:tx>
            <c:v>Hotel&amp;Packages</c:v>
          </c:tx>
          <c:spPr>
            <a:solidFill>
              <a:schemeClr val="accent2"/>
            </a:solidFill>
            <a:ln>
              <a:noFill/>
            </a:ln>
            <a:effectLst/>
          </c:spPr>
          <c:invertIfNegative val="0"/>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(2)'!$R$112:$AB$112</c:f>
              <c:numCache>
                <c:formatCode>#,##0_);[Red]\(#,##0\)</c:formatCode>
                <c:ptCount val="11"/>
                <c:pt idx="0">
                  <c:v>305.12099999999998</c:v>
                </c:pt>
                <c:pt idx="1">
                  <c:v>424.05399999999997</c:v>
                </c:pt>
                <c:pt idx="2">
                  <c:v>350.24</c:v>
                </c:pt>
                <c:pt idx="3">
                  <c:v>402.20400000000001</c:v>
                </c:pt>
                <c:pt idx="4">
                  <c:v>338.96600000000001</c:v>
                </c:pt>
                <c:pt idx="5">
                  <c:v>454.58499999999998</c:v>
                </c:pt>
                <c:pt idx="6">
                  <c:v>383.71699999999998</c:v>
                </c:pt>
                <c:pt idx="7">
                  <c:v>471.70699999999999</c:v>
                </c:pt>
                <c:pt idx="8">
                  <c:v>316.72300000000001</c:v>
                </c:pt>
                <c:pt idx="9">
                  <c:v>5.7060000000000004</c:v>
                </c:pt>
                <c:pt idx="10" formatCode="#,##0_ ">
                  <c:v>32.801000000000002</c:v>
                </c:pt>
              </c:numCache>
            </c:numRef>
          </c:val>
          <c:extLst>
            <c:ext xmlns:c16="http://schemas.microsoft.com/office/drawing/2014/chart" uri="{C3380CC4-5D6E-409C-BE32-E72D297353CC}">
              <c16:uniqueId val="{00000001-710F-4718-902D-9CA975B6F13C}"/>
            </c:ext>
          </c:extLst>
        </c:ser>
        <c:ser>
          <c:idx val="2"/>
          <c:order val="2"/>
          <c:tx>
            <c:v>Bus ticketing</c:v>
          </c:tx>
          <c:spPr>
            <a:solidFill>
              <a:schemeClr val="accent6"/>
            </a:solidFill>
            <a:ln>
              <a:noFill/>
            </a:ln>
            <a:effectLst/>
          </c:spPr>
          <c:invertIfNegative val="0"/>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(2)'!$R$117:$AB$117</c:f>
              <c:numCache>
                <c:formatCode>#,##0_);[Red]\(#,##0\)</c:formatCode>
                <c:ptCount val="11"/>
                <c:pt idx="0">
                  <c:v>135.614</c:v>
                </c:pt>
                <c:pt idx="1">
                  <c:v>187.56299999999999</c:v>
                </c:pt>
                <c:pt idx="2">
                  <c:v>144.11000000000001</c:v>
                </c:pt>
                <c:pt idx="3">
                  <c:v>190.18</c:v>
                </c:pt>
                <c:pt idx="4">
                  <c:v>194.28200000000001</c:v>
                </c:pt>
                <c:pt idx="5">
                  <c:v>253.387</c:v>
                </c:pt>
                <c:pt idx="6">
                  <c:v>192.25399999999999</c:v>
                </c:pt>
                <c:pt idx="7">
                  <c:v>242.25299999999999</c:v>
                </c:pt>
                <c:pt idx="8">
                  <c:v>197.84200000000001</c:v>
                </c:pt>
                <c:pt idx="9">
                  <c:v>3.8580000000000001</c:v>
                </c:pt>
                <c:pt idx="10" formatCode="0_);[Red]\(0\)">
                  <c:v>30.818000000000001</c:v>
                </c:pt>
              </c:numCache>
            </c:numRef>
          </c:val>
          <c:extLst>
            <c:ext xmlns:c16="http://schemas.microsoft.com/office/drawing/2014/chart" uri="{C3380CC4-5D6E-409C-BE32-E72D297353CC}">
              <c16:uniqueId val="{00000002-710F-4718-902D-9CA975B6F13C}"/>
            </c:ext>
          </c:extLst>
        </c:ser>
        <c:dLbls>
          <c:showLegendKey val="0"/>
          <c:showVal val="0"/>
          <c:showCatName val="0"/>
          <c:showSerName val="0"/>
          <c:showPercent val="0"/>
          <c:showBubbleSize val="0"/>
        </c:dLbls>
        <c:gapWidth val="150"/>
        <c:axId val="671392688"/>
        <c:axId val="671391856"/>
      </c:barChart>
      <c:lineChart>
        <c:grouping val="standard"/>
        <c:varyColors val="0"/>
        <c:ser>
          <c:idx val="3"/>
          <c:order val="3"/>
          <c:tx>
            <c:v>Air Ticketing constant YoY growth</c:v>
          </c:tx>
          <c:spPr>
            <a:ln w="28575" cap="rnd">
              <a:solidFill>
                <a:schemeClr val="accent1">
                  <a:lumMod val="60000"/>
                  <a:lumOff val="40000"/>
                </a:schemeClr>
              </a:solidFill>
              <a:round/>
            </a:ln>
            <a:effectLst/>
          </c:spPr>
          <c:marker>
            <c:symbol val="square"/>
            <c:size val="6"/>
            <c:spPr>
              <a:solidFill>
                <a:schemeClr val="accent1">
                  <a:lumMod val="60000"/>
                  <a:lumOff val="40000"/>
                </a:schemeClr>
              </a:solidFill>
              <a:ln w="9525">
                <a:solidFill>
                  <a:schemeClr val="accent1">
                    <a:lumMod val="60000"/>
                    <a:lumOff val="40000"/>
                  </a:schemeClr>
                </a:solidFill>
              </a:ln>
              <a:effectLst/>
            </c:spPr>
          </c:marker>
          <c:cat>
            <c:strRef>
              <c:f>'MMYT (2)'!$R$4:$AA$4</c:f>
              <c:strCache>
                <c:ptCount val="10"/>
                <c:pt idx="0">
                  <c:v> 1Q18 </c:v>
                </c:pt>
                <c:pt idx="1">
                  <c:v> 2Q18 </c:v>
                </c:pt>
                <c:pt idx="2">
                  <c:v> 3Q18 </c:v>
                </c:pt>
                <c:pt idx="3">
                  <c:v> 4Q18 </c:v>
                </c:pt>
                <c:pt idx="4">
                  <c:v> 1Q19 </c:v>
                </c:pt>
                <c:pt idx="5">
                  <c:v> 2Q19 </c:v>
                </c:pt>
                <c:pt idx="6">
                  <c:v> 3Q19 </c:v>
                </c:pt>
                <c:pt idx="7">
                  <c:v> 4Q19 </c:v>
                </c:pt>
                <c:pt idx="8">
                  <c:v> 1Q20 </c:v>
                </c:pt>
                <c:pt idx="9">
                  <c:v> 2Q20 </c:v>
                </c:pt>
              </c:strCache>
            </c:strRef>
          </c:cat>
          <c:val>
            <c:numRef>
              <c:f>'MMYT (2)'!$R$109:$AA$109</c:f>
              <c:numCache>
                <c:formatCode>0%</c:formatCode>
                <c:ptCount val="10"/>
                <c:pt idx="0">
                  <c:v>0.58199999999999996</c:v>
                </c:pt>
                <c:pt idx="1">
                  <c:v>0.27300000000000002</c:v>
                </c:pt>
                <c:pt idx="2">
                  <c:v>0.315</c:v>
                </c:pt>
                <c:pt idx="3">
                  <c:v>0.32</c:v>
                </c:pt>
                <c:pt idx="4">
                  <c:v>0.23499999999999999</c:v>
                </c:pt>
                <c:pt idx="5" formatCode="0.0%">
                  <c:v>0.27200000000000002</c:v>
                </c:pt>
                <c:pt idx="6" formatCode="0.0%">
                  <c:v>0.23</c:v>
                </c:pt>
                <c:pt idx="7" formatCode="0.0%">
                  <c:v>0.187</c:v>
                </c:pt>
                <c:pt idx="8" formatCode="0.0%">
                  <c:v>-0.14599999999999999</c:v>
                </c:pt>
              </c:numCache>
            </c:numRef>
          </c:val>
          <c:smooth val="0"/>
          <c:extLst>
            <c:ext xmlns:c16="http://schemas.microsoft.com/office/drawing/2014/chart" uri="{C3380CC4-5D6E-409C-BE32-E72D297353CC}">
              <c16:uniqueId val="{00000003-710F-4718-902D-9CA975B6F13C}"/>
            </c:ext>
          </c:extLst>
        </c:ser>
        <c:ser>
          <c:idx val="4"/>
          <c:order val="4"/>
          <c:tx>
            <c:v>Hotal&amp;Packages constant YoY growth</c:v>
          </c:tx>
          <c:spPr>
            <a:ln w="28575" cap="rnd">
              <a:solidFill>
                <a:schemeClr val="accent2">
                  <a:lumMod val="60000"/>
                  <a:lumOff val="40000"/>
                </a:schemeClr>
              </a:solidFill>
              <a:round/>
            </a:ln>
            <a:effectLst/>
          </c:spPr>
          <c:marker>
            <c:symbol val="triangle"/>
            <c:size val="6"/>
            <c:spPr>
              <a:solidFill>
                <a:schemeClr val="accent2">
                  <a:lumMod val="60000"/>
                  <a:lumOff val="40000"/>
                </a:schemeClr>
              </a:solidFill>
              <a:ln w="9525">
                <a:solidFill>
                  <a:schemeClr val="accent2">
                    <a:lumMod val="60000"/>
                    <a:lumOff val="40000"/>
                  </a:schemeClr>
                </a:solidFill>
              </a:ln>
              <a:effectLst/>
            </c:spPr>
          </c:marker>
          <c:cat>
            <c:strRef>
              <c:f>'MMYT (2)'!$R$4:$AA$4</c:f>
              <c:strCache>
                <c:ptCount val="10"/>
                <c:pt idx="0">
                  <c:v> 1Q18 </c:v>
                </c:pt>
                <c:pt idx="1">
                  <c:v> 2Q18 </c:v>
                </c:pt>
                <c:pt idx="2">
                  <c:v> 3Q18 </c:v>
                </c:pt>
                <c:pt idx="3">
                  <c:v> 4Q18 </c:v>
                </c:pt>
                <c:pt idx="4">
                  <c:v> 1Q19 </c:v>
                </c:pt>
                <c:pt idx="5">
                  <c:v> 2Q19 </c:v>
                </c:pt>
                <c:pt idx="6">
                  <c:v> 3Q19 </c:v>
                </c:pt>
                <c:pt idx="7">
                  <c:v> 4Q19 </c:v>
                </c:pt>
                <c:pt idx="8">
                  <c:v> 1Q20 </c:v>
                </c:pt>
                <c:pt idx="9">
                  <c:v> 2Q20 </c:v>
                </c:pt>
              </c:strCache>
            </c:strRef>
          </c:cat>
          <c:val>
            <c:numRef>
              <c:f>'MMYT (2)'!$R$114:$Z$114</c:f>
              <c:numCache>
                <c:formatCode>0%</c:formatCode>
                <c:ptCount val="9"/>
                <c:pt idx="0">
                  <c:v>0.38700000000000001</c:v>
                </c:pt>
                <c:pt idx="1">
                  <c:v>0.16</c:v>
                </c:pt>
                <c:pt idx="2">
                  <c:v>0.11700000000000001</c:v>
                </c:pt>
                <c:pt idx="3">
                  <c:v>0.21099999999999999</c:v>
                </c:pt>
                <c:pt idx="4">
                  <c:v>0.215</c:v>
                </c:pt>
                <c:pt idx="5" formatCode="0.0%">
                  <c:v>0.106</c:v>
                </c:pt>
                <c:pt idx="6" formatCode="0.0%">
                  <c:v>0.10100000000000001</c:v>
                </c:pt>
                <c:pt idx="7" formatCode="0.0%">
                  <c:v>0.157</c:v>
                </c:pt>
                <c:pt idx="8" formatCode="0.0%">
                  <c:v>-3.2000000000000001E-2</c:v>
                </c:pt>
              </c:numCache>
            </c:numRef>
          </c:val>
          <c:smooth val="0"/>
          <c:extLst>
            <c:ext xmlns:c16="http://schemas.microsoft.com/office/drawing/2014/chart" uri="{C3380CC4-5D6E-409C-BE32-E72D297353CC}">
              <c16:uniqueId val="{00000004-710F-4718-902D-9CA975B6F13C}"/>
            </c:ext>
          </c:extLst>
        </c:ser>
        <c:ser>
          <c:idx val="5"/>
          <c:order val="5"/>
          <c:tx>
            <c:v>Bus ticketing constant YoY growth</c:v>
          </c:tx>
          <c:spPr>
            <a:ln w="28575" cap="rnd">
              <a:solidFill>
                <a:schemeClr val="accent6">
                  <a:lumMod val="60000"/>
                  <a:lumOff val="40000"/>
                </a:schemeClr>
              </a:solidFill>
              <a:round/>
            </a:ln>
            <a:effectLst/>
          </c:spPr>
          <c:marker>
            <c:symbol val="circle"/>
            <c:size val="6"/>
            <c:spPr>
              <a:solidFill>
                <a:schemeClr val="accent6">
                  <a:lumMod val="60000"/>
                  <a:lumOff val="40000"/>
                </a:schemeClr>
              </a:solidFill>
              <a:ln w="9525">
                <a:solidFill>
                  <a:schemeClr val="accent6">
                    <a:lumMod val="60000"/>
                    <a:lumOff val="40000"/>
                  </a:schemeClr>
                </a:solidFill>
              </a:ln>
              <a:effectLst/>
            </c:spPr>
          </c:marker>
          <c:cat>
            <c:strRef>
              <c:f>'MMYT (2)'!$R$4:$AA$4</c:f>
              <c:strCache>
                <c:ptCount val="10"/>
                <c:pt idx="0">
                  <c:v> 1Q18 </c:v>
                </c:pt>
                <c:pt idx="1">
                  <c:v> 2Q18 </c:v>
                </c:pt>
                <c:pt idx="2">
                  <c:v> 3Q18 </c:v>
                </c:pt>
                <c:pt idx="3">
                  <c:v> 4Q18 </c:v>
                </c:pt>
                <c:pt idx="4">
                  <c:v> 1Q19 </c:v>
                </c:pt>
                <c:pt idx="5">
                  <c:v> 2Q19 </c:v>
                </c:pt>
                <c:pt idx="6">
                  <c:v> 3Q19 </c:v>
                </c:pt>
                <c:pt idx="7">
                  <c:v> 4Q19 </c:v>
                </c:pt>
                <c:pt idx="8">
                  <c:v> 1Q20 </c:v>
                </c:pt>
                <c:pt idx="9">
                  <c:v> 2Q20 </c:v>
                </c:pt>
              </c:strCache>
            </c:strRef>
          </c:cat>
          <c:val>
            <c:numRef>
              <c:f>'MMYT (2)'!$R$119:$Z$119</c:f>
              <c:numCache>
                <c:formatCode>0%</c:formatCode>
                <c:ptCount val="9"/>
                <c:pt idx="0">
                  <c:v>0.55400000000000005</c:v>
                </c:pt>
                <c:pt idx="1">
                  <c:v>0.55500000000000005</c:v>
                </c:pt>
                <c:pt idx="2">
                  <c:v>0.48899999999999999</c:v>
                </c:pt>
                <c:pt idx="3">
                  <c:v>0.61399999999999999</c:v>
                </c:pt>
                <c:pt idx="4">
                  <c:v>0.55400000000000005</c:v>
                </c:pt>
                <c:pt idx="5">
                  <c:v>0.40400000000000003</c:v>
                </c:pt>
                <c:pt idx="6" formatCode="0.0%">
                  <c:v>0.34200000000000003</c:v>
                </c:pt>
                <c:pt idx="7" formatCode="0.0%">
                  <c:v>0.25700000000000001</c:v>
                </c:pt>
                <c:pt idx="8" formatCode="0.0%">
                  <c:v>5.0999999999999997E-2</c:v>
                </c:pt>
              </c:numCache>
            </c:numRef>
          </c:val>
          <c:smooth val="0"/>
          <c:extLst>
            <c:ext xmlns:c16="http://schemas.microsoft.com/office/drawing/2014/chart" uri="{C3380CC4-5D6E-409C-BE32-E72D297353CC}">
              <c16:uniqueId val="{00000005-710F-4718-902D-9CA975B6F13C}"/>
            </c:ext>
          </c:extLst>
        </c:ser>
        <c:dLbls>
          <c:showLegendKey val="0"/>
          <c:showVal val="0"/>
          <c:showCatName val="0"/>
          <c:showSerName val="0"/>
          <c:showPercent val="0"/>
          <c:showBubbleSize val="0"/>
        </c:dLbls>
        <c:marker val="1"/>
        <c:smooth val="0"/>
        <c:axId val="719480256"/>
        <c:axId val="489023376"/>
      </c:lineChart>
      <c:catAx>
        <c:axId val="67139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1391856"/>
        <c:crosses val="autoZero"/>
        <c:auto val="1"/>
        <c:lblAlgn val="ctr"/>
        <c:lblOffset val="100"/>
        <c:noMultiLvlLbl val="0"/>
      </c:catAx>
      <c:valAx>
        <c:axId val="671391856"/>
        <c:scaling>
          <c:orientation val="minMax"/>
          <c:max val="1200"/>
          <c:min val="-343"/>
        </c:scaling>
        <c:delete val="0"/>
        <c:axPos val="l"/>
        <c:majorGridlines>
          <c:spPr>
            <a:ln w="9525" cap="flat" cmpd="sng" algn="ctr">
              <a:no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1392688"/>
        <c:crosses val="autoZero"/>
        <c:crossBetween val="between"/>
      </c:valAx>
      <c:valAx>
        <c:axId val="48902337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19480256"/>
        <c:crosses val="max"/>
        <c:crossBetween val="between"/>
      </c:valAx>
      <c:catAx>
        <c:axId val="719480256"/>
        <c:scaling>
          <c:orientation val="minMax"/>
        </c:scaling>
        <c:delete val="1"/>
        <c:axPos val="b"/>
        <c:numFmt formatCode="General" sourceLinked="1"/>
        <c:majorTickMark val="out"/>
        <c:minorTickMark val="none"/>
        <c:tickLblPos val="nextTo"/>
        <c:crossAx val="489023376"/>
        <c:crosses val="autoZero"/>
        <c:auto val="1"/>
        <c:lblAlgn val="ctr"/>
        <c:lblOffset val="100"/>
        <c:noMultiLvlLbl val="0"/>
      </c:catAx>
      <c:spPr>
        <a:noFill/>
        <a:ln>
          <a:solidFill>
            <a:schemeClr val="bg1">
              <a:lumMod val="65000"/>
            </a:schemeClr>
          </a:solidFill>
        </a:ln>
        <a:effectLst/>
      </c:spPr>
    </c:plotArea>
    <c:legend>
      <c:legendPos val="b"/>
      <c:layout>
        <c:manualLayout>
          <c:xMode val="edge"/>
          <c:yMode val="edge"/>
          <c:x val="5.0690785712400953E-2"/>
          <c:y val="0.81950412884169566"/>
          <c:w val="0.88698256122481867"/>
          <c:h val="0.157515137276710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zh-CN"/>
    </a:p>
  </c:txPr>
  <c:printSettings>
    <c:headerFooter/>
    <c:pageMargins b="0.75" l="0.7" r="0.7" t="0.75" header="0.3" footer="0.3"/>
    <c:pageSetup/>
  </c:printSettings>
  <c:userShapes r:id="rId3"/>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0" baseline="0">
                <a:solidFill>
                  <a:sysClr val="windowText" lastClr="000000"/>
                </a:solidFill>
                <a:latin typeface="+mn-lt"/>
                <a:ea typeface="+mn-ea"/>
                <a:cs typeface="+mn-cs"/>
              </a:defRPr>
            </a:pPr>
            <a:r>
              <a:rPr lang="en-US" altLang="zh-CN" sz="1600" b="1">
                <a:solidFill>
                  <a:sysClr val="windowText" lastClr="000000"/>
                </a:solidFill>
              </a:rPr>
              <a:t>Volume</a:t>
            </a:r>
            <a:r>
              <a:rPr lang="en-US" altLang="zh-CN" sz="1600" b="1" baseline="0">
                <a:solidFill>
                  <a:sysClr val="windowText" lastClr="000000"/>
                </a:solidFill>
              </a:rPr>
              <a:t> (Pro Forma) growth rate</a:t>
            </a:r>
            <a:endParaRPr lang="zh-CN" sz="1600" b="1">
              <a:solidFill>
                <a:sysClr val="windowText" lastClr="000000"/>
              </a:solidFill>
            </a:endParaRPr>
          </a:p>
        </c:rich>
      </c:tx>
      <c:layout>
        <c:manualLayout>
          <c:xMode val="edge"/>
          <c:yMode val="edge"/>
          <c:x val="0.23157005158749036"/>
          <c:y val="2.8135336136036197E-2"/>
        </c:manualLayout>
      </c:layout>
      <c:overlay val="0"/>
      <c:spPr>
        <a:noFill/>
        <a:ln>
          <a:noFill/>
        </a:ln>
        <a:effectLst/>
      </c:spPr>
      <c:txPr>
        <a:bodyPr rot="0" spcFirstLastPara="1" vertOverflow="ellipsis" vert="horz" wrap="square" anchor="ctr" anchorCtr="1"/>
        <a:lstStyle/>
        <a:p>
          <a:pPr>
            <a:defRPr lang="zh-CN" sz="1600" b="1" i="0" u="none" strike="noStrike" kern="1200" spc="0" baseline="0">
              <a:solidFill>
                <a:sysClr val="windowText" lastClr="000000"/>
              </a:solidFill>
              <a:latin typeface="+mn-lt"/>
              <a:ea typeface="+mn-ea"/>
              <a:cs typeface="+mn-cs"/>
            </a:defRPr>
          </a:pPr>
          <a:endParaRPr lang="zh-CN"/>
        </a:p>
      </c:txPr>
    </c:title>
    <c:autoTitleDeleted val="0"/>
    <c:plotArea>
      <c:layout/>
      <c:lineChart>
        <c:grouping val="standard"/>
        <c:varyColors val="0"/>
        <c:ser>
          <c:idx val="0"/>
          <c:order val="0"/>
          <c:tx>
            <c:v>air ticketing</c:v>
          </c:tx>
          <c:spPr>
            <a:ln w="28575" cap="rnd">
              <a:solidFill>
                <a:schemeClr val="accent1"/>
              </a:solidFill>
              <a:round/>
            </a:ln>
            <a:effectLst/>
          </c:spPr>
          <c:marker>
            <c:symbol val="square"/>
            <c:size val="5"/>
            <c:spPr>
              <a:solidFill>
                <a:schemeClr val="accent1"/>
              </a:solidFill>
              <a:ln w="9525">
                <a:solidFill>
                  <a:schemeClr val="accent1"/>
                </a:solidFill>
              </a:ln>
              <a:effectLst/>
            </c:spPr>
          </c:marker>
          <c:dLbls>
            <c:dLbl>
              <c:idx val="8"/>
              <c:layout>
                <c:manualLayout>
                  <c:x val="-7.579435959766774E-2"/>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147-463E-8075-134A755F1E5B}"/>
                </c:ext>
              </c:extLst>
            </c:dLbl>
            <c:dLbl>
              <c:idx val="9"/>
              <c:layout>
                <c:manualLayout>
                  <c:x val="-0.16442648417052388"/>
                  <c:y val="-3.9149834853273592E-2"/>
                </c:manualLayout>
              </c:layout>
              <c:tx>
                <c:rich>
                  <a:bodyPr/>
                  <a:lstStyle/>
                  <a:p>
                    <a:r>
                      <a:rPr lang="en-US" altLang="zh-CN"/>
                      <a:t>Air</a:t>
                    </a:r>
                    <a:r>
                      <a:rPr lang="en-US" altLang="zh-CN" baseline="0"/>
                      <a:t> </a:t>
                    </a:r>
                    <a:fld id="{EF98976E-C068-488F-91BE-BA4F77431C77}" type="VALUE">
                      <a:rPr lang="en-US" altLang="zh-CN"/>
                      <a:pPr/>
                      <a:t>[值]</a:t>
                    </a:fld>
                    <a:endParaRPr lang="en-US" altLang="zh-CN"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147-463E-8075-134A755F1E5B}"/>
                </c:ext>
              </c:extLst>
            </c:dLbl>
            <c:dLbl>
              <c:idx val="10"/>
              <c:layout>
                <c:manualLayout>
                  <c:x val="-2.5928601736218786E-2"/>
                  <c:y val="-0.13880395993433359"/>
                </c:manualLayout>
              </c:layout>
              <c:tx>
                <c:rich>
                  <a:bodyPr/>
                  <a:lstStyle/>
                  <a:p>
                    <a:r>
                      <a:rPr lang="en-US" altLang="zh-CN"/>
                      <a:t>Air </a:t>
                    </a:r>
                    <a:fld id="{1BC5DE3F-E1D1-4B99-AD28-493D2136DABA}" type="VALUE">
                      <a:rPr lang="en-US" altLang="zh-CN"/>
                      <a:pPr/>
                      <a:t>[值]</a:t>
                    </a:fld>
                    <a:endParaRPr lang="en-US" altLang="zh-C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147-463E-8075-134A755F1E5B}"/>
                </c:ext>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(2)'!$R$57:$AB$57</c:f>
              <c:numCache>
                <c:formatCode>0.0%</c:formatCode>
                <c:ptCount val="11"/>
                <c:pt idx="0">
                  <c:v>0.4</c:v>
                </c:pt>
                <c:pt idx="1">
                  <c:v>0.17053185107659319</c:v>
                </c:pt>
                <c:pt idx="2">
                  <c:v>0.29548103068755682</c:v>
                </c:pt>
                <c:pt idx="3">
                  <c:v>0.19390287132222617</c:v>
                </c:pt>
                <c:pt idx="4">
                  <c:v>9.5192101309293786E-2</c:v>
                </c:pt>
                <c:pt idx="5">
                  <c:v>0.15679860429615089</c:v>
                </c:pt>
                <c:pt idx="6">
                  <c:v>0.11554222888555699</c:v>
                </c:pt>
                <c:pt idx="7">
                  <c:v>0.15281076801266824</c:v>
                </c:pt>
                <c:pt idx="8">
                  <c:v>-0.15365017148456639</c:v>
                </c:pt>
                <c:pt idx="9">
                  <c:v>-0.91733433876896975</c:v>
                </c:pt>
                <c:pt idx="10">
                  <c:v>-0.78980378102320581</c:v>
                </c:pt>
              </c:numCache>
            </c:numRef>
          </c:val>
          <c:smooth val="0"/>
          <c:extLst>
            <c:ext xmlns:c16="http://schemas.microsoft.com/office/drawing/2014/chart" uri="{C3380CC4-5D6E-409C-BE32-E72D297353CC}">
              <c16:uniqueId val="{00000003-E147-463E-8075-134A755F1E5B}"/>
            </c:ext>
          </c:extLst>
        </c:ser>
        <c:ser>
          <c:idx val="1"/>
          <c:order val="1"/>
          <c:tx>
            <c:v>Hotels&amp;Packages</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8"/>
              <c:layout>
                <c:manualLayout>
                  <c:x val="-3.5324384787472199E-2"/>
                  <c:y val="-4.50897745639161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147-463E-8075-134A755F1E5B}"/>
                </c:ext>
              </c:extLst>
            </c:dLbl>
            <c:dLbl>
              <c:idx val="9"/>
              <c:layout>
                <c:manualLayout>
                  <c:x val="-0.16202072488582964"/>
                  <c:y val="4.4228383938535037E-2"/>
                </c:manualLayout>
              </c:layout>
              <c:tx>
                <c:rich>
                  <a:bodyPr/>
                  <a:lstStyle/>
                  <a:p>
                    <a:r>
                      <a:rPr lang="en-US" altLang="zh-CN"/>
                      <a:t>Hotel </a:t>
                    </a:r>
                    <a:fld id="{D2DEDEE2-AD2E-45AF-A7C2-536E21E077DD}" type="VALUE">
                      <a:rPr lang="en-US" altLang="zh-CN"/>
                      <a:pPr/>
                      <a:t>[值]</a:t>
                    </a:fld>
                    <a:endParaRPr lang="en-US" altLang="zh-C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147-463E-8075-134A755F1E5B}"/>
                </c:ext>
              </c:extLst>
            </c:dLbl>
            <c:dLbl>
              <c:idx val="10"/>
              <c:layout>
                <c:manualLayout>
                  <c:x val="-4.593737016071639E-2"/>
                  <c:y val="6.5869527080083687E-2"/>
                </c:manualLayout>
              </c:layout>
              <c:tx>
                <c:rich>
                  <a:bodyPr/>
                  <a:lstStyle/>
                  <a:p>
                    <a:r>
                      <a:rPr lang="en-US" altLang="zh-CN"/>
                      <a:t>Hotel </a:t>
                    </a:r>
                    <a:fld id="{DADB50F5-AD78-4891-871F-B814B2AFE0F3}" type="VALUE">
                      <a:rPr lang="en-US" altLang="zh-CN"/>
                      <a:pPr/>
                      <a:t>[值]</a:t>
                    </a:fld>
                    <a:endParaRPr lang="en-US" altLang="zh-C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E147-463E-8075-134A755F1E5B}"/>
                </c:ext>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(2)'!$R$63:$AB$63</c:f>
              <c:numCache>
                <c:formatCode>0.0%</c:formatCode>
                <c:ptCount val="11"/>
                <c:pt idx="0">
                  <c:v>0.19</c:v>
                </c:pt>
                <c:pt idx="1">
                  <c:v>0.18130718716460792</c:v>
                </c:pt>
                <c:pt idx="2">
                  <c:v>0.21785846609855497</c:v>
                </c:pt>
                <c:pt idx="3">
                  <c:v>0.27058605341246289</c:v>
                </c:pt>
                <c:pt idx="4">
                  <c:v>0.27185908319185081</c:v>
                </c:pt>
                <c:pt idx="5">
                  <c:v>0.1364336310440406</c:v>
                </c:pt>
                <c:pt idx="6">
                  <c:v>0.12336477030727111</c:v>
                </c:pt>
                <c:pt idx="7">
                  <c:v>0.21077215005108751</c:v>
                </c:pt>
                <c:pt idx="8">
                  <c:v>-1.6686133822794158E-3</c:v>
                </c:pt>
                <c:pt idx="9">
                  <c:v>-0.98197831978319783</c:v>
                </c:pt>
                <c:pt idx="10">
                  <c:v>-0.88436018957345974</c:v>
                </c:pt>
              </c:numCache>
            </c:numRef>
          </c:val>
          <c:smooth val="0"/>
          <c:extLst>
            <c:ext xmlns:c16="http://schemas.microsoft.com/office/drawing/2014/chart" uri="{C3380CC4-5D6E-409C-BE32-E72D297353CC}">
              <c16:uniqueId val="{00000007-E147-463E-8075-134A755F1E5B}"/>
            </c:ext>
          </c:extLst>
        </c:ser>
        <c:ser>
          <c:idx val="2"/>
          <c:order val="2"/>
          <c:tx>
            <c:v>Bus tickets</c:v>
          </c:tx>
          <c:spPr>
            <a:ln w="28575" cap="rnd">
              <a:solidFill>
                <a:schemeClr val="accent6"/>
              </a:solidFill>
              <a:round/>
            </a:ln>
            <a:effectLst/>
          </c:spPr>
          <c:marker>
            <c:symbol val="triangle"/>
            <c:size val="5"/>
            <c:spPr>
              <a:solidFill>
                <a:schemeClr val="accent6"/>
              </a:solidFill>
              <a:ln w="9525">
                <a:solidFill>
                  <a:schemeClr val="accent6"/>
                </a:solidFill>
              </a:ln>
              <a:effectLst/>
            </c:spPr>
          </c:marker>
          <c:dLbls>
            <c:dLbl>
              <c:idx val="9"/>
              <c:layout>
                <c:manualLayout>
                  <c:x val="-0.158313463236572"/>
                  <c:y val="-1.5120187470819781E-2"/>
                </c:manualLayout>
              </c:layout>
              <c:tx>
                <c:rich>
                  <a:bodyPr/>
                  <a:lstStyle/>
                  <a:p>
                    <a:r>
                      <a:rPr lang="en-US" altLang="zh-CN"/>
                      <a:t>Bus</a:t>
                    </a:r>
                    <a:r>
                      <a:rPr lang="en-US" altLang="zh-CN" baseline="0"/>
                      <a:t> </a:t>
                    </a:r>
                    <a:fld id="{8C43B749-50FE-407B-9D8F-0E90F4D48C08}" type="VALUE">
                      <a:rPr lang="en-US" altLang="zh-CN"/>
                      <a:pPr/>
                      <a:t>[值]</a:t>
                    </a:fld>
                    <a:endParaRPr lang="en-US" altLang="zh-CN" baseline="0"/>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E147-463E-8075-134A755F1E5B}"/>
                </c:ext>
              </c:extLst>
            </c:dLbl>
            <c:dLbl>
              <c:idx val="10"/>
              <c:layout>
                <c:manualLayout>
                  <c:x val="-3.7904822898114421E-2"/>
                  <c:y val="-0.10140704002026725"/>
                </c:manualLayout>
              </c:layout>
              <c:tx>
                <c:rich>
                  <a:bodyPr/>
                  <a:lstStyle/>
                  <a:p>
                    <a:r>
                      <a:rPr lang="en-US" altLang="zh-CN"/>
                      <a:t>Bus </a:t>
                    </a:r>
                    <a:fld id="{DD1945D7-284C-4BB4-8B28-B7B6B61C7633}" type="VALUE">
                      <a:rPr lang="en-US" altLang="zh-CN"/>
                      <a:pPr/>
                      <a:t>[值]</a:t>
                    </a:fld>
                    <a:endParaRPr lang="en-US" altLang="zh-CN"/>
                  </a:p>
                </c:rich>
              </c:tx>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E147-463E-8075-134A755F1E5B}"/>
                </c:ext>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(2)'!$R$66:$AB$66</c:f>
              <c:numCache>
                <c:formatCode>0%</c:formatCode>
                <c:ptCount val="11"/>
                <c:pt idx="0">
                  <c:v>0.55000000000000004</c:v>
                </c:pt>
                <c:pt idx="1">
                  <c:v>0.54006824526936215</c:v>
                </c:pt>
                <c:pt idx="2">
                  <c:v>0.53276221347534158</c:v>
                </c:pt>
                <c:pt idx="3">
                  <c:v>0.58265027322404395</c:v>
                </c:pt>
                <c:pt idx="4">
                  <c:v>0.55370925270135296</c:v>
                </c:pt>
                <c:pt idx="5">
                  <c:v>0.40862092117631255</c:v>
                </c:pt>
                <c:pt idx="6">
                  <c:v>0.33549848942598182</c:v>
                </c:pt>
                <c:pt idx="7">
                  <c:v>0.31561748566496073</c:v>
                </c:pt>
                <c:pt idx="8">
                  <c:v>8.5968090701887601E-2</c:v>
                </c:pt>
                <c:pt idx="9">
                  <c:v>-0.97955195424213537</c:v>
                </c:pt>
                <c:pt idx="10">
                  <c:v>-0.83191946612374168</c:v>
                </c:pt>
              </c:numCache>
            </c:numRef>
          </c:val>
          <c:smooth val="0"/>
          <c:extLst>
            <c:ext xmlns:c16="http://schemas.microsoft.com/office/drawing/2014/chart" uri="{C3380CC4-5D6E-409C-BE32-E72D297353CC}">
              <c16:uniqueId val="{0000000A-E147-463E-8075-134A755F1E5B}"/>
            </c:ext>
          </c:extLst>
        </c:ser>
        <c:dLbls>
          <c:showLegendKey val="0"/>
          <c:showVal val="0"/>
          <c:showCatName val="0"/>
          <c:showSerName val="0"/>
          <c:showPercent val="0"/>
          <c:showBubbleSize val="0"/>
        </c:dLbls>
        <c:marker val="1"/>
        <c:smooth val="0"/>
        <c:axId val="132663168"/>
        <c:axId val="132664704"/>
      </c:lineChart>
      <c:catAx>
        <c:axId val="13266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32664704"/>
        <c:crosses val="autoZero"/>
        <c:auto val="1"/>
        <c:lblAlgn val="ctr"/>
        <c:lblOffset val="100"/>
        <c:noMultiLvlLbl val="0"/>
      </c:catAx>
      <c:valAx>
        <c:axId val="132664704"/>
        <c:scaling>
          <c:orientation val="minMax"/>
        </c:scaling>
        <c:delete val="0"/>
        <c:axPos val="l"/>
        <c:majorGridlines>
          <c:spPr>
            <a:ln w="9525" cap="flat" cmpd="sng" algn="ctr">
              <a:noFill/>
              <a:round/>
            </a:ln>
            <a:effectLst/>
          </c:spPr>
        </c:majorGridlines>
        <c:numFmt formatCode="0%" sourceLinked="0"/>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32663168"/>
        <c:crosses val="autoZero"/>
        <c:crossBetween val="between"/>
      </c:valAx>
      <c:spPr>
        <a:no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a:t>Take Rates Trend</a:t>
            </a:r>
            <a:endParaRPr lang="zh-CN" altLang="en-US"/>
          </a:p>
        </c:rich>
      </c:tx>
      <c:overlay val="0"/>
    </c:title>
    <c:autoTitleDeleted val="0"/>
    <c:plotArea>
      <c:layout/>
      <c:lineChart>
        <c:grouping val="standard"/>
        <c:varyColors val="0"/>
        <c:ser>
          <c:idx val="0"/>
          <c:order val="0"/>
          <c:tx>
            <c:v>Air ticketing</c:v>
          </c:tx>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98-48FC-8CCE-547359E1E6EA}"/>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98-48FC-8CCE-547359E1E6EA}"/>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798-48FC-8CCE-547359E1E6EA}"/>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0"/>
            <c:showCatName val="0"/>
            <c:showSerName val="0"/>
            <c:showPercent val="0"/>
            <c:showBubbleSize val="0"/>
            <c:extLst>
              <c:ext xmlns:c15="http://schemas.microsoft.com/office/drawing/2012/chart" uri="{CE6537A1-D6FC-4f65-9D91-7224C49458BB}">
                <c15:showLeaderLines val="1"/>
              </c:ext>
            </c:extLst>
          </c:dLbls>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(2)'!$R$97:$AB$97</c:f>
              <c:numCache>
                <c:formatCode>0.0%</c:formatCode>
                <c:ptCount val="11"/>
                <c:pt idx="0">
                  <c:v>7.8714835660915333E-2</c:v>
                </c:pt>
                <c:pt idx="1">
                  <c:v>6.7597071845654305E-2</c:v>
                </c:pt>
                <c:pt idx="2">
                  <c:v>7.5447341581541386E-2</c:v>
                </c:pt>
                <c:pt idx="3">
                  <c:v>7.3998390068598666E-2</c:v>
                </c:pt>
                <c:pt idx="4">
                  <c:v>7.4412699017700909E-2</c:v>
                </c:pt>
                <c:pt idx="5">
                  <c:v>6.5981751606347672E-2</c:v>
                </c:pt>
                <c:pt idx="6">
                  <c:v>7.1925640195125776E-2</c:v>
                </c:pt>
                <c:pt idx="7">
                  <c:v>7.1904454447504373E-2</c:v>
                </c:pt>
                <c:pt idx="8">
                  <c:v>6.9056742261368112E-2</c:v>
                </c:pt>
                <c:pt idx="9">
                  <c:v>7.4024838838911755E-2</c:v>
                </c:pt>
                <c:pt idx="10">
                  <c:v>0.08</c:v>
                </c:pt>
              </c:numCache>
            </c:numRef>
          </c:val>
          <c:smooth val="0"/>
          <c:extLst>
            <c:ext xmlns:c16="http://schemas.microsoft.com/office/drawing/2014/chart" uri="{C3380CC4-5D6E-409C-BE32-E72D297353CC}">
              <c16:uniqueId val="{00000003-0798-48FC-8CCE-547359E1E6EA}"/>
            </c:ext>
          </c:extLst>
        </c:ser>
        <c:ser>
          <c:idx val="1"/>
          <c:order val="1"/>
          <c:tx>
            <c:v>Hotels and packages</c:v>
          </c:tx>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98-48FC-8CCE-547359E1E6EA}"/>
                </c:ext>
              </c:extLst>
            </c:dLbl>
            <c:dLbl>
              <c:idx val="1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798-48FC-8CCE-547359E1E6EA}"/>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798-48FC-8CCE-547359E1E6EA}"/>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0"/>
            <c:showCatName val="0"/>
            <c:showSerName val="0"/>
            <c:showPercent val="0"/>
            <c:showBubbleSize val="0"/>
            <c:extLst>
              <c:ext xmlns:c15="http://schemas.microsoft.com/office/drawing/2012/chart" uri="{CE6537A1-D6FC-4f65-9D91-7224C49458BB}">
                <c15:showLeaderLines val="1"/>
              </c:ext>
            </c:extLst>
          </c:dLbls>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(2)'!$R$98:$AB$98</c:f>
              <c:numCache>
                <c:formatCode>0.0%</c:formatCode>
                <c:ptCount val="11"/>
                <c:pt idx="0">
                  <c:v>0.22745074904709939</c:v>
                </c:pt>
                <c:pt idx="1">
                  <c:v>0.22129021303890542</c:v>
                </c:pt>
                <c:pt idx="2">
                  <c:v>0.24403266331658291</c:v>
                </c:pt>
                <c:pt idx="3">
                  <c:v>0.23731738122942586</c:v>
                </c:pt>
                <c:pt idx="4">
                  <c:v>0.22673660485122399</c:v>
                </c:pt>
                <c:pt idx="5">
                  <c:v>0.22300559851292939</c:v>
                </c:pt>
                <c:pt idx="6">
                  <c:v>0.22691202109888275</c:v>
                </c:pt>
                <c:pt idx="7">
                  <c:v>0.22533903461258789</c:v>
                </c:pt>
                <c:pt idx="8">
                  <c:v>0.20641696371908574</c:v>
                </c:pt>
                <c:pt idx="9">
                  <c:v>0.21310900806168942</c:v>
                </c:pt>
                <c:pt idx="10">
                  <c:v>0.16900000000000001</c:v>
                </c:pt>
              </c:numCache>
            </c:numRef>
          </c:val>
          <c:smooth val="0"/>
          <c:extLst>
            <c:ext xmlns:c16="http://schemas.microsoft.com/office/drawing/2014/chart" uri="{C3380CC4-5D6E-409C-BE32-E72D297353CC}">
              <c16:uniqueId val="{00000007-0798-48FC-8CCE-547359E1E6EA}"/>
            </c:ext>
          </c:extLst>
        </c:ser>
        <c:dLbls>
          <c:showLegendKey val="0"/>
          <c:showVal val="0"/>
          <c:showCatName val="0"/>
          <c:showSerName val="0"/>
          <c:showPercent val="0"/>
          <c:showBubbleSize val="0"/>
        </c:dLbls>
        <c:marker val="1"/>
        <c:smooth val="0"/>
        <c:axId val="130151936"/>
        <c:axId val="130153472"/>
      </c:lineChart>
      <c:catAx>
        <c:axId val="130151936"/>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0153472"/>
        <c:crosses val="autoZero"/>
        <c:auto val="1"/>
        <c:lblAlgn val="ctr"/>
        <c:lblOffset val="100"/>
        <c:noMultiLvlLbl val="0"/>
      </c:catAx>
      <c:valAx>
        <c:axId val="130153472"/>
        <c:scaling>
          <c:orientation val="minMax"/>
        </c:scaling>
        <c:delete val="0"/>
        <c:axPos val="l"/>
        <c:numFmt formatCode="0.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0151936"/>
        <c:crosses val="autoZero"/>
        <c:crossBetween val="between"/>
      </c:valAx>
      <c:spPr>
        <a:ln>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userShapes r:id="rId1"/>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en-US"/>
              <a:t>  </a:t>
            </a:r>
            <a:r>
              <a:rPr lang="en-US" altLang="en-US" sz="1600"/>
              <a:t>Marketing and Sales Promotion Expenses as % of GMV</a:t>
            </a:r>
          </a:p>
        </c:rich>
      </c:tx>
      <c:layout>
        <c:manualLayout>
          <c:xMode val="edge"/>
          <c:yMode val="edge"/>
          <c:x val="0.12070661097143533"/>
          <c:y val="1.1669668141093997E-2"/>
        </c:manualLayout>
      </c:layout>
      <c:overlay val="0"/>
    </c:title>
    <c:autoTitleDeleted val="0"/>
    <c:plotArea>
      <c:layout>
        <c:manualLayout>
          <c:layoutTarget val="inner"/>
          <c:xMode val="edge"/>
          <c:yMode val="edge"/>
          <c:x val="9.3195918889916851E-2"/>
          <c:y val="0.21706201293157604"/>
          <c:w val="0.89148876344084937"/>
          <c:h val="0.54124058079335569"/>
        </c:manualLayout>
      </c:layout>
      <c:lineChart>
        <c:grouping val="standard"/>
        <c:varyColors val="0"/>
        <c:ser>
          <c:idx val="0"/>
          <c:order val="0"/>
          <c:tx>
            <c:strRef>
              <c:f>'MMYT (2)'!$A$144</c:f>
              <c:strCache>
                <c:ptCount val="1"/>
                <c:pt idx="0">
                  <c:v>         Adjusted S&amp;M expenses as % of GMV</c:v>
                </c:pt>
              </c:strCache>
            </c:strRef>
          </c:tx>
          <c:dLbls>
            <c:dLbl>
              <c:idx val="8"/>
              <c:layout>
                <c:manualLayout>
                  <c:x val="-7.1324760909199258E-2"/>
                  <c:y val="-5.76998289320657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0E-47E9-B6E5-93040DC9A201}"/>
                </c:ext>
              </c:extLst>
            </c:dLbl>
            <c:spPr>
              <a:noFill/>
              <a:ln>
                <a:noFill/>
              </a:ln>
              <a:effectLst/>
            </c:spPr>
            <c:txPr>
              <a:bodyPr rot="0" spcFirstLastPara="0" vertOverflow="ellipsis" vert="horz" wrap="square" lIns="38100" tIns="19050" rIns="38100" bIns="19050" anchor="ctr" anchorCtr="1">
                <a:spAutoFit/>
              </a:bodyPr>
              <a:lstStyle/>
              <a:p>
                <a:pPr>
                  <a:defRPr lang="zh-CN" sz="1000" b="0" i="0" u="none" strike="noStrike" kern="1200" baseline="0">
                    <a:solidFill>
                      <a:schemeClr val="tx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(2)'!$R$144:$AB$144</c:f>
              <c:numCache>
                <c:formatCode>0.0%</c:formatCode>
                <c:ptCount val="11"/>
                <c:pt idx="0">
                  <c:v>9.9704879705116212E-2</c:v>
                </c:pt>
                <c:pt idx="1">
                  <c:v>0.10470643056849956</c:v>
                </c:pt>
                <c:pt idx="2">
                  <c:v>0.10698471440064361</c:v>
                </c:pt>
                <c:pt idx="3">
                  <c:v>0.10331317821889344</c:v>
                </c:pt>
                <c:pt idx="4">
                  <c:v>8.9682541416905057E-2</c:v>
                </c:pt>
                <c:pt idx="5">
                  <c:v>9.4386904055460796E-2</c:v>
                </c:pt>
                <c:pt idx="6">
                  <c:v>8.8890347627934033E-2</c:v>
                </c:pt>
                <c:pt idx="7">
                  <c:v>8.8192211094430206E-2</c:v>
                </c:pt>
                <c:pt idx="8">
                  <c:v>7.0629505658929434E-2</c:v>
                </c:pt>
                <c:pt idx="9">
                  <c:v>2.3853097180433634E-2</c:v>
                </c:pt>
                <c:pt idx="10">
                  <c:v>2.3666638492097034E-2</c:v>
                </c:pt>
              </c:numCache>
            </c:numRef>
          </c:val>
          <c:smooth val="0"/>
          <c:extLst>
            <c:ext xmlns:c16="http://schemas.microsoft.com/office/drawing/2014/chart" uri="{C3380CC4-5D6E-409C-BE32-E72D297353CC}">
              <c16:uniqueId val="{00000001-890E-47E9-B6E5-93040DC9A201}"/>
            </c:ext>
          </c:extLst>
        </c:ser>
        <c:dLbls>
          <c:showLegendKey val="0"/>
          <c:showVal val="1"/>
          <c:showCatName val="0"/>
          <c:showSerName val="0"/>
          <c:showPercent val="0"/>
          <c:showBubbleSize val="0"/>
        </c:dLbls>
        <c:marker val="1"/>
        <c:smooth val="0"/>
        <c:axId val="130551808"/>
        <c:axId val="130554496"/>
      </c:lineChart>
      <c:catAx>
        <c:axId val="130551808"/>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0554496"/>
        <c:crosses val="autoZero"/>
        <c:auto val="1"/>
        <c:lblAlgn val="ctr"/>
        <c:lblOffset val="100"/>
        <c:noMultiLvlLbl val="0"/>
      </c:catAx>
      <c:valAx>
        <c:axId val="130554496"/>
        <c:scaling>
          <c:orientation val="minMax"/>
        </c:scaling>
        <c:delete val="0"/>
        <c:axPos val="l"/>
        <c:numFmt formatCode="0.0%" sourceLinked="1"/>
        <c:majorTickMark val="out"/>
        <c:minorTickMark val="none"/>
        <c:tickLblPos val="nextTo"/>
        <c:crossAx val="130551808"/>
        <c:crosses val="autoZero"/>
        <c:crossBetween val="between"/>
      </c:valAx>
      <c:spPr>
        <a:ln>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a:t>MMYT's Adjusted revenue(Revenue less service costs)and YoY Growth</a:t>
            </a:r>
          </a:p>
        </c:rich>
      </c:tx>
      <c:overlay val="0"/>
    </c:title>
    <c:autoTitleDeleted val="0"/>
    <c:plotArea>
      <c:layout/>
      <c:barChart>
        <c:barDir val="col"/>
        <c:grouping val="clustered"/>
        <c:varyColors val="0"/>
        <c:ser>
          <c:idx val="0"/>
          <c:order val="0"/>
          <c:tx>
            <c:strRef>
              <c:f>'MMYT (2)'!$A$136</c:f>
              <c:strCache>
                <c:ptCount val="1"/>
                <c:pt idx="0">
                  <c:v>Adjusted revenue (Revenue less service costs)</c:v>
                </c:pt>
              </c:strCache>
            </c:strRef>
          </c:tx>
          <c:spPr>
            <a:solidFill>
              <a:schemeClr val="accent1">
                <a:lumMod val="60000"/>
                <a:lumOff val="40000"/>
              </a:schemeClr>
            </a:solidFill>
            <a:ln>
              <a:solidFill>
                <a:schemeClr val="accent1">
                  <a:lumMod val="60000"/>
                  <a:lumOff val="40000"/>
                </a:schemeClr>
              </a:solidFill>
            </a:ln>
          </c:spPr>
          <c:invertIfNegative val="0"/>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(2)'!$R$136:$AB$136</c:f>
              <c:numCache>
                <c:formatCode>#,##0_);\(#,##0\)</c:formatCode>
                <c:ptCount val="11"/>
                <c:pt idx="0">
                  <c:v>145.30699999999999</c:v>
                </c:pt>
                <c:pt idx="1">
                  <c:v>169.41900000000001</c:v>
                </c:pt>
                <c:pt idx="2">
                  <c:v>159.38300000000004</c:v>
                </c:pt>
                <c:pt idx="3">
                  <c:v>179.24199999999999</c:v>
                </c:pt>
                <c:pt idx="4">
                  <c:v>162.91300000000001</c:v>
                </c:pt>
                <c:pt idx="5" formatCode="#,##0.000;\-#,##0.000">
                  <c:v>197.512</c:v>
                </c:pt>
                <c:pt idx="6">
                  <c:v>179.85699999999997</c:v>
                </c:pt>
                <c:pt idx="7">
                  <c:v>205.244</c:v>
                </c:pt>
                <c:pt idx="8" formatCode="#,##0.000;\-#,##0.000">
                  <c:v>137.18099999999998</c:v>
                </c:pt>
                <c:pt idx="9" formatCode="#,##0.000;\-#,##0.000">
                  <c:v>6.7589999999999995</c:v>
                </c:pt>
                <c:pt idx="10" formatCode="#,##0.00_);\(#,##0.00\)">
                  <c:v>23.09</c:v>
                </c:pt>
              </c:numCache>
            </c:numRef>
          </c:val>
          <c:extLst>
            <c:ext xmlns:c16="http://schemas.microsoft.com/office/drawing/2014/chart" uri="{C3380CC4-5D6E-409C-BE32-E72D297353CC}">
              <c16:uniqueId val="{00000000-DE83-4B14-A368-369E1613C819}"/>
            </c:ext>
          </c:extLst>
        </c:ser>
        <c:dLbls>
          <c:showLegendKey val="0"/>
          <c:showVal val="0"/>
          <c:showCatName val="0"/>
          <c:showSerName val="0"/>
          <c:showPercent val="0"/>
          <c:showBubbleSize val="0"/>
        </c:dLbls>
        <c:gapWidth val="75"/>
        <c:overlap val="-25"/>
        <c:axId val="127236736"/>
        <c:axId val="127254912"/>
      </c:barChart>
      <c:lineChart>
        <c:grouping val="standard"/>
        <c:varyColors val="0"/>
        <c:ser>
          <c:idx val="2"/>
          <c:order val="1"/>
          <c:tx>
            <c:strRef>
              <c:f>'MMYT (2)'!$A$194</c:f>
              <c:strCache>
                <c:ptCount val="1"/>
                <c:pt idx="0">
                  <c:v>Adjusted revenue(Revenue less service costs) YoY growth rate on a constant currency basis</c:v>
                </c:pt>
              </c:strCache>
            </c:strRef>
          </c:tx>
          <c:dLbls>
            <c:dLbl>
              <c:idx val="8"/>
              <c:layout>
                <c:manualLayout>
                  <c:x val="-4.28556813853785E-2"/>
                  <c:y val="-3.23387883062242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83-4B14-A368-369E1613C819}"/>
                </c:ext>
              </c:extLst>
            </c:dLbl>
            <c:dLbl>
              <c:idx val="14"/>
              <c:layout>
                <c:manualLayout>
                  <c:x val="-5.5197093668203349E-2"/>
                  <c:y val="-0.111549115674152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83-4B14-A368-369E1613C819}"/>
                </c:ext>
              </c:extLst>
            </c:dLbl>
            <c:dLbl>
              <c:idx val="16"/>
              <c:layout>
                <c:manualLayout>
                  <c:x val="-5.1027744556126825E-2"/>
                  <c:y val="-3.98191614429470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83-4B14-A368-369E1613C819}"/>
                </c:ext>
              </c:extLst>
            </c:dLbl>
            <c:dLbl>
              <c:idx val="17"/>
              <c:layout>
                <c:manualLayout>
                  <c:x val="-6.0960729190522443E-2"/>
                  <c:y val="-4.2911113145486027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6.6576233144772373E-2"/>
                      <c:h val="4.3247246631849638E-2"/>
                    </c:manualLayout>
                  </c15:layout>
                </c:ext>
                <c:ext xmlns:c16="http://schemas.microsoft.com/office/drawing/2014/chart" uri="{C3380CC4-5D6E-409C-BE32-E72D297353CC}">
                  <c16:uniqueId val="{00000004-DE83-4B14-A368-369E1613C819}"/>
                </c:ext>
              </c:extLst>
            </c:dLbl>
            <c:dLbl>
              <c:idx val="18"/>
              <c:layout>
                <c:manualLayout>
                  <c:x val="-4.5208496002471669E-2"/>
                  <c:y val="-6.25618424903844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83-4B14-A368-369E1613C819}"/>
                </c:ext>
              </c:extLst>
            </c:dLbl>
            <c:dLbl>
              <c:idx val="19"/>
              <c:layout>
                <c:manualLayout>
                  <c:x val="-4.6714218650163224E-2"/>
                  <c:y val="-7.23870137539503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E83-4B14-A368-369E1613C819}"/>
                </c:ext>
              </c:extLst>
            </c:dLbl>
            <c:numFmt formatCode="0.0%" sourceLinked="0"/>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(2)'!$R$194:$AB$194</c:f>
              <c:numCache>
                <c:formatCode>0.0%</c:formatCode>
                <c:ptCount val="11"/>
                <c:pt idx="0">
                  <c:v>0.67200000000000004</c:v>
                </c:pt>
                <c:pt idx="1">
                  <c:v>0.25</c:v>
                </c:pt>
                <c:pt idx="2">
                  <c:v>0.253</c:v>
                </c:pt>
                <c:pt idx="3">
                  <c:v>0.314</c:v>
                </c:pt>
                <c:pt idx="4">
                  <c:v>0.26200000000000001</c:v>
                </c:pt>
                <c:pt idx="5">
                  <c:v>0.21</c:v>
                </c:pt>
                <c:pt idx="6">
                  <c:v>0.13600000000000001</c:v>
                </c:pt>
                <c:pt idx="7">
                  <c:v>0.13400000000000001</c:v>
                </c:pt>
                <c:pt idx="8">
                  <c:v>-0.13</c:v>
                </c:pt>
                <c:pt idx="9">
                  <c:v>-0.96577929442261734</c:v>
                </c:pt>
                <c:pt idx="10">
                  <c:v>-0.87162023162846036</c:v>
                </c:pt>
              </c:numCache>
            </c:numRef>
          </c:val>
          <c:smooth val="0"/>
          <c:extLst>
            <c:ext xmlns:c16="http://schemas.microsoft.com/office/drawing/2014/chart" uri="{C3380CC4-5D6E-409C-BE32-E72D297353CC}">
              <c16:uniqueId val="{00000007-DE83-4B14-A368-369E1613C819}"/>
            </c:ext>
          </c:extLst>
        </c:ser>
        <c:dLbls>
          <c:showLegendKey val="0"/>
          <c:showVal val="0"/>
          <c:showCatName val="0"/>
          <c:showSerName val="0"/>
          <c:showPercent val="0"/>
          <c:showBubbleSize val="0"/>
        </c:dLbls>
        <c:marker val="1"/>
        <c:smooth val="0"/>
        <c:axId val="127256448"/>
        <c:axId val="127257984"/>
      </c:lineChart>
      <c:catAx>
        <c:axId val="127236736"/>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254912"/>
        <c:crosses val="autoZero"/>
        <c:auto val="1"/>
        <c:lblAlgn val="ctr"/>
        <c:lblOffset val="100"/>
        <c:noMultiLvlLbl val="0"/>
      </c:catAx>
      <c:valAx>
        <c:axId val="127254912"/>
        <c:scaling>
          <c:orientation val="minMax"/>
          <c:max val="210"/>
          <c:min val="-70"/>
        </c:scaling>
        <c:delete val="0"/>
        <c:axPos val="l"/>
        <c:majorGridlines>
          <c:spPr>
            <a:ln>
              <a:noFill/>
            </a:ln>
          </c:spPr>
        </c:majorGridlines>
        <c:numFmt formatCode="#,##0_);\(#,##0\)" sourceLinked="1"/>
        <c:majorTickMark val="out"/>
        <c:minorTickMark val="none"/>
        <c:tickLblPos val="nextTo"/>
        <c:spPr>
          <a:ln w="9525" cap="flat" cmpd="sng" algn="ctr">
            <a:solidFill>
              <a:schemeClr val="bg1">
                <a:lumMod val="50000"/>
              </a:schemeClr>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236736"/>
        <c:crosses val="autoZero"/>
        <c:crossBetween val="between"/>
        <c:majorUnit val="70"/>
      </c:valAx>
      <c:catAx>
        <c:axId val="127256448"/>
        <c:scaling>
          <c:orientation val="minMax"/>
        </c:scaling>
        <c:delete val="1"/>
        <c:axPos val="b"/>
        <c:numFmt formatCode="General" sourceLinked="1"/>
        <c:majorTickMark val="out"/>
        <c:minorTickMark val="none"/>
        <c:tickLblPos val="none"/>
        <c:crossAx val="127257984"/>
        <c:crosses val="autoZero"/>
        <c:auto val="1"/>
        <c:lblAlgn val="ctr"/>
        <c:lblOffset val="100"/>
        <c:noMultiLvlLbl val="0"/>
      </c:catAx>
      <c:valAx>
        <c:axId val="127257984"/>
        <c:scaling>
          <c:orientation val="minMax"/>
          <c:max val="3"/>
          <c:min val="-1"/>
        </c:scaling>
        <c:delete val="0"/>
        <c:axPos val="r"/>
        <c:numFmt formatCode="0.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256448"/>
        <c:crosses val="max"/>
        <c:crossBetween val="between"/>
      </c:valAx>
      <c:spPr>
        <a:ln>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userShapes r:id="rId1"/>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sz="1600" baseline="0"/>
              <a:t>Adjusted revenue breakdown by Major Business Lines</a:t>
            </a:r>
            <a:endParaRPr lang="zh-CN" altLang="en-US" sz="1600"/>
          </a:p>
        </c:rich>
      </c:tx>
      <c:layout>
        <c:manualLayout>
          <c:xMode val="edge"/>
          <c:yMode val="edge"/>
          <c:x val="0.12882063728595775"/>
          <c:y val="1.7541145726866405E-2"/>
        </c:manualLayout>
      </c:layout>
      <c:overlay val="0"/>
    </c:title>
    <c:autoTitleDeleted val="0"/>
    <c:plotArea>
      <c:layout>
        <c:manualLayout>
          <c:layoutTarget val="inner"/>
          <c:xMode val="edge"/>
          <c:yMode val="edge"/>
          <c:x val="7.8575780018641114E-2"/>
          <c:y val="0.14402164605006548"/>
          <c:w val="0.9049408684098027"/>
          <c:h val="0.64171781683176521"/>
        </c:manualLayout>
      </c:layout>
      <c:barChart>
        <c:barDir val="col"/>
        <c:grouping val="percentStacked"/>
        <c:varyColors val="0"/>
        <c:ser>
          <c:idx val="0"/>
          <c:order val="0"/>
          <c:tx>
            <c:strRef>
              <c:f>'MMYT (2)'!$A$73</c:f>
              <c:strCache>
                <c:ptCount val="1"/>
                <c:pt idx="0">
                  <c:v>   Air ticketing </c:v>
                </c:pt>
              </c:strCache>
            </c:strRef>
          </c:tx>
          <c:invertIfNegative val="0"/>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(2)'!$R$73:$AB$73</c:f>
              <c:numCache>
                <c:formatCode>#,##0_);\(#,##0\)</c:formatCode>
                <c:ptCount val="11"/>
                <c:pt idx="0">
                  <c:v>58.5</c:v>
                </c:pt>
                <c:pt idx="1">
                  <c:v>54.398000000000003</c:v>
                </c:pt>
                <c:pt idx="2">
                  <c:v>56.517000000000003</c:v>
                </c:pt>
                <c:pt idx="3">
                  <c:v>60.764000000000003</c:v>
                </c:pt>
                <c:pt idx="4">
                  <c:v>62.473999999999997</c:v>
                </c:pt>
                <c:pt idx="5" formatCode="#,##0_);[Red]\(#,##0\)">
                  <c:v>65.033000000000001</c:v>
                </c:pt>
                <c:pt idx="6" formatCode="#,##0_);[Red]\(#,##0\)">
                  <c:v>65.951999999999998</c:v>
                </c:pt>
                <c:pt idx="7" formatCode="#,##0_);[Red]\(#,##0\)">
                  <c:v>70.94</c:v>
                </c:pt>
                <c:pt idx="8" formatCode="#,##0_);[Red]\(#,##0\)">
                  <c:v>47.795000000000002</c:v>
                </c:pt>
                <c:pt idx="9" formatCode="#,##0_);[Red]\(#,##0\)">
                  <c:v>4.0650000000000004</c:v>
                </c:pt>
                <c:pt idx="10" formatCode="#,##0_);[Red]\(#,##0\)">
                  <c:v>11.917999999999999</c:v>
                </c:pt>
              </c:numCache>
            </c:numRef>
          </c:val>
          <c:extLst>
            <c:ext xmlns:c16="http://schemas.microsoft.com/office/drawing/2014/chart" uri="{C3380CC4-5D6E-409C-BE32-E72D297353CC}">
              <c16:uniqueId val="{00000000-DBA0-4FF1-B9E4-5FC94F2BCF96}"/>
            </c:ext>
          </c:extLst>
        </c:ser>
        <c:ser>
          <c:idx val="1"/>
          <c:order val="1"/>
          <c:tx>
            <c:strRef>
              <c:f>'MMYT (2)'!$A$76</c:f>
              <c:strCache>
                <c:ptCount val="1"/>
                <c:pt idx="0">
                  <c:v>  Hotels and packages</c:v>
                </c:pt>
              </c:strCache>
            </c:strRef>
          </c:tx>
          <c:invertIfNegative val="0"/>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(2)'!$R$76:$AB$76</c:f>
              <c:numCache>
                <c:formatCode>#,##0_);[Red]\(#,##0\)</c:formatCode>
                <c:ptCount val="11"/>
                <c:pt idx="0">
                  <c:v>69.400000000000006</c:v>
                </c:pt>
                <c:pt idx="1">
                  <c:v>93.838999999999999</c:v>
                </c:pt>
                <c:pt idx="2">
                  <c:v>85.47</c:v>
                </c:pt>
                <c:pt idx="3">
                  <c:v>95.45</c:v>
                </c:pt>
                <c:pt idx="4">
                  <c:v>76.855999999999995</c:v>
                </c:pt>
                <c:pt idx="5">
                  <c:v>101.375</c:v>
                </c:pt>
                <c:pt idx="6">
                  <c:v>87.07</c:v>
                </c:pt>
                <c:pt idx="7">
                  <c:v>106.294</c:v>
                </c:pt>
                <c:pt idx="8">
                  <c:v>65.376999999999995</c:v>
                </c:pt>
                <c:pt idx="9">
                  <c:v>1.216</c:v>
                </c:pt>
                <c:pt idx="10">
                  <c:v>5.54</c:v>
                </c:pt>
              </c:numCache>
            </c:numRef>
          </c:val>
          <c:extLst>
            <c:ext xmlns:c16="http://schemas.microsoft.com/office/drawing/2014/chart" uri="{C3380CC4-5D6E-409C-BE32-E72D297353CC}">
              <c16:uniqueId val="{00000001-DBA0-4FF1-B9E4-5FC94F2BCF96}"/>
            </c:ext>
          </c:extLst>
        </c:ser>
        <c:ser>
          <c:idx val="2"/>
          <c:order val="2"/>
          <c:tx>
            <c:strRef>
              <c:f>'MMYT (2)'!$A$79</c:f>
              <c:strCache>
                <c:ptCount val="1"/>
                <c:pt idx="0">
                  <c:v>   Bus ticketing </c:v>
                </c:pt>
              </c:strCache>
            </c:strRef>
          </c:tx>
          <c:spPr>
            <a:solidFill>
              <a:schemeClr val="accent6"/>
            </a:solidFill>
          </c:spPr>
          <c:invertIfNegative val="0"/>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(2)'!$R$79:$AB$79</c:f>
              <c:numCache>
                <c:formatCode>#,##0_);[Red]\(#,##0\)</c:formatCode>
                <c:ptCount val="11"/>
                <c:pt idx="0">
                  <c:v>12.01</c:v>
                </c:pt>
                <c:pt idx="1">
                  <c:v>16.056000000000001</c:v>
                </c:pt>
                <c:pt idx="2">
                  <c:v>12.12</c:v>
                </c:pt>
                <c:pt idx="3">
                  <c:v>15.073</c:v>
                </c:pt>
                <c:pt idx="4">
                  <c:v>15.576000000000001</c:v>
                </c:pt>
                <c:pt idx="5">
                  <c:v>21.350999999999999</c:v>
                </c:pt>
                <c:pt idx="6">
                  <c:v>16.646999999999998</c:v>
                </c:pt>
                <c:pt idx="7">
                  <c:v>20.817</c:v>
                </c:pt>
                <c:pt idx="8">
                  <c:v>16.821999999999999</c:v>
                </c:pt>
                <c:pt idx="9">
                  <c:v>0.33200000000000002</c:v>
                </c:pt>
                <c:pt idx="10">
                  <c:v>2.5019999999999998</c:v>
                </c:pt>
              </c:numCache>
            </c:numRef>
          </c:val>
          <c:extLst>
            <c:ext xmlns:c16="http://schemas.microsoft.com/office/drawing/2014/chart" uri="{C3380CC4-5D6E-409C-BE32-E72D297353CC}">
              <c16:uniqueId val="{00000002-DBA0-4FF1-B9E4-5FC94F2BCF96}"/>
            </c:ext>
          </c:extLst>
        </c:ser>
        <c:ser>
          <c:idx val="3"/>
          <c:order val="3"/>
          <c:tx>
            <c:strRef>
              <c:f>'MMYT (2)'!$A$82</c:f>
              <c:strCache>
                <c:ptCount val="1"/>
                <c:pt idx="0">
                  <c:v>  Other revenues</c:v>
                </c:pt>
              </c:strCache>
            </c:strRef>
          </c:tx>
          <c:invertIfNegative val="0"/>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(2)'!$R$82:$AB$82</c:f>
              <c:numCache>
                <c:formatCode>#,##0_);[Red]\(#,##0\)</c:formatCode>
                <c:ptCount val="11"/>
                <c:pt idx="0">
                  <c:v>5.4569999999999999</c:v>
                </c:pt>
                <c:pt idx="1">
                  <c:v>5.7960000000000003</c:v>
                </c:pt>
                <c:pt idx="2">
                  <c:v>5.99</c:v>
                </c:pt>
                <c:pt idx="3">
                  <c:v>8.6020000000000003</c:v>
                </c:pt>
                <c:pt idx="4">
                  <c:v>8.4429999999999996</c:v>
                </c:pt>
                <c:pt idx="5">
                  <c:v>10.74</c:v>
                </c:pt>
                <c:pt idx="6">
                  <c:v>11.409000000000001</c:v>
                </c:pt>
                <c:pt idx="7">
                  <c:v>8.6110000000000007</c:v>
                </c:pt>
                <c:pt idx="8">
                  <c:v>7.1870000000000003</c:v>
                </c:pt>
                <c:pt idx="9">
                  <c:v>1.1459999999999999</c:v>
                </c:pt>
                <c:pt idx="10">
                  <c:v>3.13</c:v>
                </c:pt>
              </c:numCache>
            </c:numRef>
          </c:val>
          <c:extLst>
            <c:ext xmlns:c16="http://schemas.microsoft.com/office/drawing/2014/chart" uri="{C3380CC4-5D6E-409C-BE32-E72D297353CC}">
              <c16:uniqueId val="{00000003-DBA0-4FF1-B9E4-5FC94F2BCF96}"/>
            </c:ext>
          </c:extLst>
        </c:ser>
        <c:dLbls>
          <c:showLegendKey val="0"/>
          <c:showVal val="0"/>
          <c:showCatName val="0"/>
          <c:showSerName val="0"/>
          <c:showPercent val="0"/>
          <c:showBubbleSize val="0"/>
        </c:dLbls>
        <c:gapWidth val="75"/>
        <c:overlap val="100"/>
        <c:axId val="127944960"/>
        <c:axId val="127979520"/>
      </c:barChart>
      <c:catAx>
        <c:axId val="127944960"/>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979520"/>
        <c:crosses val="autoZero"/>
        <c:auto val="1"/>
        <c:lblAlgn val="ctr"/>
        <c:lblOffset val="100"/>
        <c:noMultiLvlLbl val="0"/>
      </c:catAx>
      <c:valAx>
        <c:axId val="127979520"/>
        <c:scaling>
          <c:orientation val="minMax"/>
        </c:scaling>
        <c:delete val="0"/>
        <c:axPos val="l"/>
        <c:majorGridlines>
          <c:spPr>
            <a:ln>
              <a:noFill/>
            </a:ln>
          </c:spPr>
        </c:majorGridlines>
        <c:numFmt formatCode="0%" sourceLinked="1"/>
        <c:majorTickMark val="out"/>
        <c:minorTickMark val="none"/>
        <c:tickLblPos val="nextTo"/>
        <c:spPr>
          <a:ln w="9525" cap="flat" cmpd="sng" algn="ctr">
            <a:solidFill>
              <a:schemeClr val="bg1">
                <a:lumMod val="50000"/>
              </a:schemeClr>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944960"/>
        <c:crosses val="autoZero"/>
        <c:crossBetween val="between"/>
      </c:valAx>
      <c:spPr>
        <a:ln>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userShapes r:id="rId1"/>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a:t>Adjusted Revenue yoy Growth Rates</a:t>
            </a:r>
            <a:r>
              <a:rPr lang="en-US" altLang="zh-CN" baseline="0"/>
              <a:t> on Constant Currency basis</a:t>
            </a:r>
            <a:endParaRPr lang="zh-CN" altLang="en-US"/>
          </a:p>
        </c:rich>
      </c:tx>
      <c:overlay val="0"/>
    </c:title>
    <c:autoTitleDeleted val="0"/>
    <c:plotArea>
      <c:layout>
        <c:manualLayout>
          <c:layoutTarget val="inner"/>
          <c:xMode val="edge"/>
          <c:yMode val="edge"/>
          <c:x val="9.2749297012639079E-2"/>
          <c:y val="0.2013646323424374"/>
          <c:w val="0.89305361612099177"/>
          <c:h val="0.60347986719444813"/>
        </c:manualLayout>
      </c:layout>
      <c:lineChart>
        <c:grouping val="standard"/>
        <c:varyColors val="0"/>
        <c:ser>
          <c:idx val="0"/>
          <c:order val="0"/>
          <c:tx>
            <c:v>Air ticketing</c:v>
          </c:tx>
          <c:dLbls>
            <c:dLbl>
              <c:idx val="3"/>
              <c:delete val="1"/>
              <c:extLst>
                <c:ext xmlns:c15="http://schemas.microsoft.com/office/drawing/2012/chart" uri="{CE6537A1-D6FC-4f65-9D91-7224C49458BB}"/>
                <c:ext xmlns:c16="http://schemas.microsoft.com/office/drawing/2014/chart" uri="{C3380CC4-5D6E-409C-BE32-E72D297353CC}">
                  <c16:uniqueId val="{00000000-FAC0-45E6-81A0-C28913E8A5C2}"/>
                </c:ext>
              </c:extLst>
            </c:dLbl>
            <c:dLbl>
              <c:idx val="4"/>
              <c:delete val="1"/>
              <c:extLst>
                <c:ext xmlns:c15="http://schemas.microsoft.com/office/drawing/2012/chart" uri="{CE6537A1-D6FC-4f65-9D91-7224C49458BB}"/>
                <c:ext xmlns:c16="http://schemas.microsoft.com/office/drawing/2014/chart" uri="{C3380CC4-5D6E-409C-BE32-E72D297353CC}">
                  <c16:uniqueId val="{00000001-FAC0-45E6-81A0-C28913E8A5C2}"/>
                </c:ext>
              </c:extLst>
            </c:dLbl>
            <c:dLbl>
              <c:idx val="5"/>
              <c:delete val="1"/>
              <c:extLst>
                <c:ext xmlns:c15="http://schemas.microsoft.com/office/drawing/2012/chart" uri="{CE6537A1-D6FC-4f65-9D91-7224C49458BB}"/>
                <c:ext xmlns:c16="http://schemas.microsoft.com/office/drawing/2014/chart" uri="{C3380CC4-5D6E-409C-BE32-E72D297353CC}">
                  <c16:uniqueId val="{00000002-FAC0-45E6-81A0-C28913E8A5C2}"/>
                </c:ext>
              </c:extLst>
            </c:dLbl>
            <c:dLbl>
              <c:idx val="6"/>
              <c:delete val="1"/>
              <c:extLst>
                <c:ext xmlns:c15="http://schemas.microsoft.com/office/drawing/2012/chart" uri="{CE6537A1-D6FC-4f65-9D91-7224C49458BB}"/>
                <c:ext xmlns:c16="http://schemas.microsoft.com/office/drawing/2014/chart" uri="{C3380CC4-5D6E-409C-BE32-E72D297353CC}">
                  <c16:uniqueId val="{00000003-FAC0-45E6-81A0-C28913E8A5C2}"/>
                </c:ext>
              </c:extLst>
            </c:dLbl>
            <c:dLbl>
              <c:idx val="7"/>
              <c:delete val="1"/>
              <c:extLst>
                <c:ext xmlns:c15="http://schemas.microsoft.com/office/drawing/2012/chart" uri="{CE6537A1-D6FC-4f65-9D91-7224C49458BB}"/>
                <c:ext xmlns:c16="http://schemas.microsoft.com/office/drawing/2014/chart" uri="{C3380CC4-5D6E-409C-BE32-E72D297353CC}">
                  <c16:uniqueId val="{00000004-FAC0-45E6-81A0-C28913E8A5C2}"/>
                </c:ext>
              </c:extLst>
            </c:dLbl>
            <c:dLbl>
              <c:idx val="12"/>
              <c:delete val="1"/>
              <c:extLst>
                <c:ext xmlns:c15="http://schemas.microsoft.com/office/drawing/2012/chart" uri="{CE6537A1-D6FC-4f65-9D91-7224C49458BB}"/>
                <c:ext xmlns:c16="http://schemas.microsoft.com/office/drawing/2014/chart" uri="{C3380CC4-5D6E-409C-BE32-E72D297353CC}">
                  <c16:uniqueId val="{00000005-FAC0-45E6-81A0-C28913E8A5C2}"/>
                </c:ext>
              </c:extLst>
            </c:dLbl>
            <c:dLbl>
              <c:idx val="13"/>
              <c:delete val="1"/>
              <c:extLst>
                <c:ext xmlns:c15="http://schemas.microsoft.com/office/drawing/2012/chart" uri="{CE6537A1-D6FC-4f65-9D91-7224C49458BB}"/>
                <c:ext xmlns:c16="http://schemas.microsoft.com/office/drawing/2014/chart" uri="{C3380CC4-5D6E-409C-BE32-E72D297353CC}">
                  <c16:uniqueId val="{00000006-FAC0-45E6-81A0-C28913E8A5C2}"/>
                </c:ext>
              </c:extLst>
            </c:dLbl>
            <c:dLbl>
              <c:idx val="14"/>
              <c:delete val="1"/>
              <c:extLst>
                <c:ext xmlns:c15="http://schemas.microsoft.com/office/drawing/2012/chart" uri="{CE6537A1-D6FC-4f65-9D91-7224C49458BB}"/>
                <c:ext xmlns:c16="http://schemas.microsoft.com/office/drawing/2014/chart" uri="{C3380CC4-5D6E-409C-BE32-E72D297353CC}">
                  <c16:uniqueId val="{00000007-FAC0-45E6-81A0-C28913E8A5C2}"/>
                </c:ext>
              </c:extLst>
            </c:dLbl>
            <c:dLbl>
              <c:idx val="16"/>
              <c:layout>
                <c:manualLayout>
                  <c:x val="-4.6464661247009216E-2"/>
                  <c:y val="2.17252345156384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AC0-45E6-81A0-C28913E8A5C2}"/>
                </c:ext>
              </c:extLst>
            </c:dLbl>
            <c:dLbl>
              <c:idx val="17"/>
              <c:delete val="1"/>
              <c:extLst>
                <c:ext xmlns:c15="http://schemas.microsoft.com/office/drawing/2012/chart" uri="{CE6537A1-D6FC-4f65-9D91-7224C49458BB}"/>
                <c:ext xmlns:c16="http://schemas.microsoft.com/office/drawing/2014/chart" uri="{C3380CC4-5D6E-409C-BE32-E72D297353CC}">
                  <c16:uniqueId val="{00000009-FAC0-45E6-81A0-C28913E8A5C2}"/>
                </c:ext>
              </c:extLst>
            </c:dLbl>
            <c:dLbl>
              <c:idx val="18"/>
              <c:delete val="1"/>
              <c:extLst>
                <c:ext xmlns:c15="http://schemas.microsoft.com/office/drawing/2012/chart" uri="{CE6537A1-D6FC-4f65-9D91-7224C49458BB}"/>
                <c:ext xmlns:c16="http://schemas.microsoft.com/office/drawing/2014/chart" uri="{C3380CC4-5D6E-409C-BE32-E72D297353CC}">
                  <c16:uniqueId val="{0000000A-FAC0-45E6-81A0-C28913E8A5C2}"/>
                </c:ext>
              </c:extLst>
            </c:dLbl>
            <c:dLbl>
              <c:idx val="19"/>
              <c:layout>
                <c:manualLayout>
                  <c:x val="-9.4444962573348953E-4"/>
                  <c:y val="-1.42557451534268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AC0-45E6-81A0-C28913E8A5C2}"/>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
            <c:showLegendKey val="0"/>
            <c:showVal val="0"/>
            <c:showCatName val="0"/>
            <c:showSerName val="0"/>
            <c:showPercent val="0"/>
            <c:showBubbleSize val="0"/>
            <c:extLst>
              <c:ext xmlns:c15="http://schemas.microsoft.com/office/drawing/2012/chart" uri="{CE6537A1-D6FC-4f65-9D91-7224C49458BB}">
                <c15:showLeaderLines val="1"/>
              </c:ext>
            </c:extLst>
          </c:dLbls>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(2)'!$R$75:$AB$75</c:f>
              <c:numCache>
                <c:formatCode>0.0%</c:formatCode>
                <c:ptCount val="11"/>
                <c:pt idx="0">
                  <c:v>0.73799999999999999</c:v>
                </c:pt>
                <c:pt idx="1">
                  <c:v>0.23899999999999999</c:v>
                </c:pt>
                <c:pt idx="2">
                  <c:v>0.307</c:v>
                </c:pt>
                <c:pt idx="3">
                  <c:v>0.32200000000000001</c:v>
                </c:pt>
                <c:pt idx="4">
                  <c:v>0.16800000000000001</c:v>
                </c:pt>
                <c:pt idx="5">
                  <c:v>0.24199999999999999</c:v>
                </c:pt>
                <c:pt idx="6">
                  <c:v>0.17199999999999999</c:v>
                </c:pt>
                <c:pt idx="7">
                  <c:v>0.153</c:v>
                </c:pt>
                <c:pt idx="8">
                  <c:v>-0.20699999999999999</c:v>
                </c:pt>
              </c:numCache>
            </c:numRef>
          </c:val>
          <c:smooth val="0"/>
          <c:extLst>
            <c:ext xmlns:c16="http://schemas.microsoft.com/office/drawing/2014/chart" uri="{C3380CC4-5D6E-409C-BE32-E72D297353CC}">
              <c16:uniqueId val="{0000000C-FAC0-45E6-81A0-C28913E8A5C2}"/>
            </c:ext>
          </c:extLst>
        </c:ser>
        <c:ser>
          <c:idx val="1"/>
          <c:order val="1"/>
          <c:tx>
            <c:v>Hotels&amp;Packages</c:v>
          </c:tx>
          <c:dLbls>
            <c:dLbl>
              <c:idx val="4"/>
              <c:delete val="1"/>
              <c:extLst>
                <c:ext xmlns:c15="http://schemas.microsoft.com/office/drawing/2012/chart" uri="{CE6537A1-D6FC-4f65-9D91-7224C49458BB}"/>
                <c:ext xmlns:c16="http://schemas.microsoft.com/office/drawing/2014/chart" uri="{C3380CC4-5D6E-409C-BE32-E72D297353CC}">
                  <c16:uniqueId val="{0000000D-FAC0-45E6-81A0-C28913E8A5C2}"/>
                </c:ext>
              </c:extLst>
            </c:dLbl>
            <c:dLbl>
              <c:idx val="5"/>
              <c:delete val="1"/>
              <c:extLst>
                <c:ext xmlns:c15="http://schemas.microsoft.com/office/drawing/2012/chart" uri="{CE6537A1-D6FC-4f65-9D91-7224C49458BB}"/>
                <c:ext xmlns:c16="http://schemas.microsoft.com/office/drawing/2014/chart" uri="{C3380CC4-5D6E-409C-BE32-E72D297353CC}">
                  <c16:uniqueId val="{0000000E-FAC0-45E6-81A0-C28913E8A5C2}"/>
                </c:ext>
              </c:extLst>
            </c:dLbl>
            <c:dLbl>
              <c:idx val="6"/>
              <c:delete val="1"/>
              <c:extLst>
                <c:ext xmlns:c15="http://schemas.microsoft.com/office/drawing/2012/chart" uri="{CE6537A1-D6FC-4f65-9D91-7224C49458BB}"/>
                <c:ext xmlns:c16="http://schemas.microsoft.com/office/drawing/2014/chart" uri="{C3380CC4-5D6E-409C-BE32-E72D297353CC}">
                  <c16:uniqueId val="{0000000F-FAC0-45E6-81A0-C28913E8A5C2}"/>
                </c:ext>
              </c:extLst>
            </c:dLbl>
            <c:dLbl>
              <c:idx val="7"/>
              <c:delete val="1"/>
              <c:extLst>
                <c:ext xmlns:c15="http://schemas.microsoft.com/office/drawing/2012/chart" uri="{CE6537A1-D6FC-4f65-9D91-7224C49458BB}"/>
                <c:ext xmlns:c16="http://schemas.microsoft.com/office/drawing/2014/chart" uri="{C3380CC4-5D6E-409C-BE32-E72D297353CC}">
                  <c16:uniqueId val="{00000010-FAC0-45E6-81A0-C28913E8A5C2}"/>
                </c:ext>
              </c:extLst>
            </c:dLbl>
            <c:dLbl>
              <c:idx val="12"/>
              <c:delete val="1"/>
              <c:extLst>
                <c:ext xmlns:c15="http://schemas.microsoft.com/office/drawing/2012/chart" uri="{CE6537A1-D6FC-4f65-9D91-7224C49458BB}"/>
                <c:ext xmlns:c16="http://schemas.microsoft.com/office/drawing/2014/chart" uri="{C3380CC4-5D6E-409C-BE32-E72D297353CC}">
                  <c16:uniqueId val="{00000011-FAC0-45E6-81A0-C28913E8A5C2}"/>
                </c:ext>
              </c:extLst>
            </c:dLbl>
            <c:dLbl>
              <c:idx val="16"/>
              <c:layout>
                <c:manualLayout>
                  <c:x val="-1.4814648387949516E-16"/>
                  <c:y val="-0.15569751402874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AC0-45E6-81A0-C28913E8A5C2}"/>
                </c:ext>
              </c:extLst>
            </c:dLbl>
            <c:dLbl>
              <c:idx val="17"/>
              <c:delete val="1"/>
              <c:extLst>
                <c:ext xmlns:c15="http://schemas.microsoft.com/office/drawing/2012/chart" uri="{CE6537A1-D6FC-4f65-9D91-7224C49458BB}"/>
                <c:ext xmlns:c16="http://schemas.microsoft.com/office/drawing/2014/chart" uri="{C3380CC4-5D6E-409C-BE32-E72D297353CC}">
                  <c16:uniqueId val="{00000013-FAC0-45E6-81A0-C28913E8A5C2}"/>
                </c:ext>
              </c:extLst>
            </c:dLbl>
            <c:dLbl>
              <c:idx val="18"/>
              <c:delete val="1"/>
              <c:extLst>
                <c:ext xmlns:c15="http://schemas.microsoft.com/office/drawing/2012/chart" uri="{CE6537A1-D6FC-4f65-9D91-7224C49458BB}"/>
                <c:ext xmlns:c16="http://schemas.microsoft.com/office/drawing/2014/chart" uri="{C3380CC4-5D6E-409C-BE32-E72D297353CC}">
                  <c16:uniqueId val="{00000014-FAC0-45E6-81A0-C28913E8A5C2}"/>
                </c:ext>
              </c:extLst>
            </c:dLbl>
            <c:dLbl>
              <c:idx val="19"/>
              <c:layout>
                <c:manualLayout>
                  <c:x val="-1.5141536492102651E-2"/>
                  <c:y val="5.44902515563870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FAC0-45E6-81A0-C28913E8A5C2}"/>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0"/>
            <c:showCatName val="0"/>
            <c:showSerName val="0"/>
            <c:showPercent val="0"/>
            <c:showBubbleSize val="0"/>
            <c:extLst>
              <c:ext xmlns:c15="http://schemas.microsoft.com/office/drawing/2012/chart" uri="{CE6537A1-D6FC-4f65-9D91-7224C49458BB}">
                <c15:showLeaderLines val="1"/>
              </c:ext>
            </c:extLst>
          </c:dLbls>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(2)'!$R$78:$AB$78</c:f>
              <c:numCache>
                <c:formatCode>0.0%</c:formatCode>
                <c:ptCount val="11"/>
                <c:pt idx="0">
                  <c:v>0.54500000000000004</c:v>
                </c:pt>
                <c:pt idx="1">
                  <c:v>0.19800000000000001</c:v>
                </c:pt>
                <c:pt idx="2">
                  <c:v>0.17699999999999999</c:v>
                </c:pt>
                <c:pt idx="3">
                  <c:v>0.26</c:v>
                </c:pt>
                <c:pt idx="4">
                  <c:v>0.21199999999999999</c:v>
                </c:pt>
                <c:pt idx="5">
                  <c:v>0.121</c:v>
                </c:pt>
                <c:pt idx="6">
                  <c:v>2.4E-2</c:v>
                </c:pt>
                <c:pt idx="7">
                  <c:v>9.8000000000000004E-2</c:v>
                </c:pt>
                <c:pt idx="8">
                  <c:v>-0.11799999999999999</c:v>
                </c:pt>
              </c:numCache>
            </c:numRef>
          </c:val>
          <c:smooth val="0"/>
          <c:extLst>
            <c:ext xmlns:c16="http://schemas.microsoft.com/office/drawing/2014/chart" uri="{C3380CC4-5D6E-409C-BE32-E72D297353CC}">
              <c16:uniqueId val="{00000016-FAC0-45E6-81A0-C28913E8A5C2}"/>
            </c:ext>
          </c:extLst>
        </c:ser>
        <c:ser>
          <c:idx val="2"/>
          <c:order val="2"/>
          <c:tx>
            <c:v>Bus ticketing</c:v>
          </c:tx>
          <c:spPr>
            <a:ln>
              <a:solidFill>
                <a:schemeClr val="accent6"/>
              </a:solidFill>
            </a:ln>
          </c:spPr>
          <c:marker>
            <c:spPr>
              <a:solidFill>
                <a:schemeClr val="accent6"/>
              </a:solidFill>
              <a:ln>
                <a:solidFill>
                  <a:schemeClr val="accent6"/>
                </a:solidFill>
              </a:ln>
            </c:spPr>
          </c:marker>
          <c:dLbls>
            <c:dLbl>
              <c:idx val="16"/>
              <c:layout>
                <c:manualLayout>
                  <c:x val="-5.3710985034911327E-2"/>
                  <c:y val="-5.4684296989087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FAC0-45E6-81A0-C28913E8A5C2}"/>
                </c:ext>
              </c:extLst>
            </c:dLbl>
            <c:dLbl>
              <c:idx val="1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FAC0-45E6-81A0-C28913E8A5C2}"/>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(2)'!$R$81:$AB$81</c:f>
              <c:numCache>
                <c:formatCode>0.0%</c:formatCode>
                <c:ptCount val="11"/>
                <c:pt idx="1">
                  <c:v>0.48899999999999999</c:v>
                </c:pt>
                <c:pt idx="2">
                  <c:v>0.374</c:v>
                </c:pt>
                <c:pt idx="3">
                  <c:v>0.434</c:v>
                </c:pt>
                <c:pt idx="4">
                  <c:v>0.40799999999999997</c:v>
                </c:pt>
                <c:pt idx="5">
                  <c:v>0.37</c:v>
                </c:pt>
                <c:pt idx="6">
                  <c:v>0.38300000000000001</c:v>
                </c:pt>
                <c:pt idx="7">
                  <c:v>0.36399999999999999</c:v>
                </c:pt>
                <c:pt idx="8">
                  <c:v>0.115</c:v>
                </c:pt>
              </c:numCache>
            </c:numRef>
          </c:val>
          <c:smooth val="0"/>
          <c:extLst>
            <c:ext xmlns:c16="http://schemas.microsoft.com/office/drawing/2014/chart" uri="{C3380CC4-5D6E-409C-BE32-E72D297353CC}">
              <c16:uniqueId val="{00000019-FAC0-45E6-81A0-C28913E8A5C2}"/>
            </c:ext>
          </c:extLst>
        </c:ser>
        <c:dLbls>
          <c:showLegendKey val="0"/>
          <c:showVal val="0"/>
          <c:showCatName val="0"/>
          <c:showSerName val="0"/>
          <c:showPercent val="0"/>
          <c:showBubbleSize val="0"/>
        </c:dLbls>
        <c:marker val="1"/>
        <c:smooth val="0"/>
        <c:axId val="129475712"/>
        <c:axId val="129477248"/>
      </c:lineChart>
      <c:catAx>
        <c:axId val="129475712"/>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9477248"/>
        <c:crosses val="autoZero"/>
        <c:auto val="1"/>
        <c:lblAlgn val="ctr"/>
        <c:lblOffset val="100"/>
        <c:noMultiLvlLbl val="0"/>
      </c:catAx>
      <c:valAx>
        <c:axId val="129477248"/>
        <c:scaling>
          <c:orientation val="minMax"/>
          <c:max val="0.9"/>
        </c:scaling>
        <c:delete val="0"/>
        <c:axPos val="l"/>
        <c:numFmt formatCode="0.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9475712"/>
        <c:crosses val="autoZero"/>
        <c:crossBetween val="between"/>
      </c:valAx>
      <c:spPr>
        <a:noFill/>
        <a:ln w="9525">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sz="1400"/>
              <a:t>MMYT Adjusted Operating</a:t>
            </a:r>
            <a:r>
              <a:rPr lang="en-US" altLang="zh-CN" sz="1400" baseline="0"/>
              <a:t> Profit(loss) and OPM</a:t>
            </a:r>
            <a:endParaRPr lang="zh-CN" altLang="en-US" sz="1400"/>
          </a:p>
        </c:rich>
      </c:tx>
      <c:layout>
        <c:manualLayout>
          <c:xMode val="edge"/>
          <c:yMode val="edge"/>
          <c:x val="0.17390119323165276"/>
          <c:y val="2.528954969809E-2"/>
        </c:manualLayout>
      </c:layout>
      <c:overlay val="0"/>
    </c:title>
    <c:autoTitleDeleted val="0"/>
    <c:plotArea>
      <c:layout/>
      <c:barChart>
        <c:barDir val="col"/>
        <c:grouping val="clustered"/>
        <c:varyColors val="0"/>
        <c:ser>
          <c:idx val="0"/>
          <c:order val="0"/>
          <c:tx>
            <c:strRef>
              <c:f>'MMYT (2)'!$A$163</c:f>
              <c:strCache>
                <c:ptCount val="1"/>
                <c:pt idx="0">
                  <c:v>Adjusted operating profit (loss)</c:v>
                </c:pt>
              </c:strCache>
            </c:strRef>
          </c:tx>
          <c:spPr>
            <a:solidFill>
              <a:schemeClr val="accent1">
                <a:lumMod val="60000"/>
                <a:lumOff val="40000"/>
              </a:schemeClr>
            </a:solidFill>
            <a:ln>
              <a:solidFill>
                <a:schemeClr val="accent1">
                  <a:lumMod val="60000"/>
                  <a:lumOff val="40000"/>
                </a:schemeClr>
              </a:solidFill>
            </a:ln>
          </c:spPr>
          <c:invertIfNegative val="0"/>
          <c:dLbls>
            <c:dLbl>
              <c:idx val="5"/>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12-4EA2-9F53-0B9D54B56E03}"/>
                </c:ext>
              </c:extLst>
            </c:dLbl>
            <c:dLbl>
              <c:idx val="8"/>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12-4EA2-9F53-0B9D54B56E03}"/>
                </c:ext>
              </c:extLst>
            </c:dLbl>
            <c:dLbl>
              <c:idx val="9"/>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12-4EA2-9F53-0B9D54B56E03}"/>
                </c:ext>
              </c:extLst>
            </c:dLbl>
            <c:dLbl>
              <c:idx val="1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12-4EA2-9F53-0B9D54B56E0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'MMYT (2)'!$R$4:$AB$4</c:f>
              <c:strCache>
                <c:ptCount val="11"/>
                <c:pt idx="0">
                  <c:v> 1Q18 </c:v>
                </c:pt>
                <c:pt idx="1">
                  <c:v> 2Q18 </c:v>
                </c:pt>
                <c:pt idx="2">
                  <c:v> 3Q18 </c:v>
                </c:pt>
                <c:pt idx="3">
                  <c:v> 4Q18 </c:v>
                </c:pt>
                <c:pt idx="4">
                  <c:v> 1Q19 </c:v>
                </c:pt>
                <c:pt idx="5">
                  <c:v> 2Q19 </c:v>
                </c:pt>
                <c:pt idx="6">
                  <c:v> 3Q19 </c:v>
                </c:pt>
                <c:pt idx="7">
                  <c:v> 4Q19 </c:v>
                </c:pt>
                <c:pt idx="8">
                  <c:v> 1Q20 </c:v>
                </c:pt>
                <c:pt idx="9">
                  <c:v> 2Q20 </c:v>
                </c:pt>
                <c:pt idx="10">
                  <c:v> 3Q20 </c:v>
                </c:pt>
              </c:strCache>
            </c:strRef>
          </c:cat>
          <c:val>
            <c:numRef>
              <c:f>'MMYT (2)'!$R$163:$AB$163</c:f>
              <c:numCache>
                <c:formatCode>#,##0_);\(#,##0\)</c:formatCode>
                <c:ptCount val="11"/>
                <c:pt idx="0">
                  <c:v>-23.545999999999999</c:v>
                </c:pt>
                <c:pt idx="1">
                  <c:v>-32.790999999999997</c:v>
                </c:pt>
                <c:pt idx="2">
                  <c:v>-25.373999999999999</c:v>
                </c:pt>
                <c:pt idx="3">
                  <c:v>-22.196999999999999</c:v>
                </c:pt>
                <c:pt idx="4">
                  <c:v>-18.427</c:v>
                </c:pt>
                <c:pt idx="5">
                  <c:v>-29.178999999999998</c:v>
                </c:pt>
                <c:pt idx="6">
                  <c:v>-19.337</c:v>
                </c:pt>
                <c:pt idx="7">
                  <c:v>-11.028</c:v>
                </c:pt>
                <c:pt idx="8">
                  <c:v>-10.315</c:v>
                </c:pt>
                <c:pt idx="9">
                  <c:v>-21.327999999999999</c:v>
                </c:pt>
                <c:pt idx="10">
                  <c:v>-21.327999999999999</c:v>
                </c:pt>
              </c:numCache>
            </c:numRef>
          </c:val>
          <c:extLst>
            <c:ext xmlns:c16="http://schemas.microsoft.com/office/drawing/2014/chart" uri="{C3380CC4-5D6E-409C-BE32-E72D297353CC}">
              <c16:uniqueId val="{00000004-BF12-4EA2-9F53-0B9D54B56E03}"/>
            </c:ext>
          </c:extLst>
        </c:ser>
        <c:dLbls>
          <c:showLegendKey val="0"/>
          <c:showVal val="0"/>
          <c:showCatName val="0"/>
          <c:showSerName val="0"/>
          <c:showPercent val="0"/>
          <c:showBubbleSize val="0"/>
        </c:dLbls>
        <c:gapWidth val="150"/>
        <c:axId val="130432000"/>
        <c:axId val="130433792"/>
      </c:barChart>
      <c:lineChart>
        <c:grouping val="standard"/>
        <c:varyColors val="0"/>
        <c:ser>
          <c:idx val="1"/>
          <c:order val="1"/>
          <c:tx>
            <c:strRef>
              <c:f>'MMYT (2)'!$A$164</c:f>
              <c:strCache>
                <c:ptCount val="1"/>
                <c:pt idx="0">
                  <c:v>Adjusted OPM</c:v>
                </c:pt>
              </c:strCache>
            </c:strRef>
          </c:tx>
          <c:dLbls>
            <c:dLbl>
              <c:idx val="6"/>
              <c:layout>
                <c:manualLayout>
                  <c:x val="-4.0831979572880206E-2"/>
                  <c:y val="4.72415009156509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12-4EA2-9F53-0B9D54B56E03}"/>
                </c:ext>
              </c:extLst>
            </c:dLbl>
            <c:dLbl>
              <c:idx val="7"/>
              <c:layout>
                <c:manualLayout>
                  <c:x val="-2.8547371249519848E-2"/>
                  <c:y val="4.55039325968090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12-4EA2-9F53-0B9D54B56E03}"/>
                </c:ext>
              </c:extLst>
            </c:dLbl>
            <c:dLbl>
              <c:idx val="8"/>
              <c:layout>
                <c:manualLayout>
                  <c:x val="-3.5629283782290765E-2"/>
                  <c:y val="7.1118751267475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F12-4EA2-9F53-0B9D54B56E03}"/>
                </c:ext>
              </c:extLst>
            </c:dLbl>
            <c:dLbl>
              <c:idx val="9"/>
              <c:layout>
                <c:manualLayout>
                  <c:x val="-0.10047443622237112"/>
                  <c:y val="-3.50138156413527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F12-4EA2-9F53-0B9D54B56E03}"/>
                </c:ext>
              </c:extLst>
            </c:dLbl>
            <c:dLbl>
              <c:idx val="12"/>
              <c:layout>
                <c:manualLayout>
                  <c:x val="-5.1069908491168298E-2"/>
                  <c:y val="3.84741703205465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F12-4EA2-9F53-0B9D54B56E03}"/>
                </c:ext>
              </c:extLst>
            </c:dLbl>
            <c:dLbl>
              <c:idx val="13"/>
              <c:layout>
                <c:manualLayout>
                  <c:x val="-4.8745834719536384E-2"/>
                  <c:y val="-5.87075987558338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F12-4EA2-9F53-0B9D54B56E03}"/>
                </c:ext>
              </c:extLst>
            </c:dLbl>
            <c:dLbl>
              <c:idx val="15"/>
              <c:layout>
                <c:manualLayout>
                  <c:x val="-3.5416759327292748E-2"/>
                  <c:y val="6.8272681084839124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5.9536157214096753E-2"/>
                      <c:h val="5.493265697300305E-2"/>
                    </c:manualLayout>
                  </c15:layout>
                </c:ext>
                <c:ext xmlns:c16="http://schemas.microsoft.com/office/drawing/2014/chart" uri="{C3380CC4-5D6E-409C-BE32-E72D297353CC}">
                  <c16:uniqueId val="{0000000B-BF12-4EA2-9F53-0B9D54B56E03}"/>
                </c:ext>
              </c:extLst>
            </c:dLbl>
            <c:dLbl>
              <c:idx val="16"/>
              <c:layout>
                <c:manualLayout>
                  <c:x val="-4.4454506152962085E-2"/>
                  <c:y val="5.02087170147749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F12-4EA2-9F53-0B9D54B56E03}"/>
                </c:ext>
              </c:extLst>
            </c:dLbl>
            <c:dLbl>
              <c:idx val="17"/>
              <c:layout>
                <c:manualLayout>
                  <c:x val="-3.5416759327292748E-2"/>
                  <c:y val="5.74343026428005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F12-4EA2-9F53-0B9D54B56E03}"/>
                </c:ext>
              </c:extLst>
            </c:dLbl>
            <c:dLbl>
              <c:idx val="18"/>
              <c:layout>
                <c:manualLayout>
                  <c:x val="-3.3157322620875417E-2"/>
                  <c:y val="4.29831313867491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F12-4EA2-9F53-0B9D54B56E03}"/>
                </c:ext>
              </c:extLst>
            </c:dLbl>
            <c:dLbl>
              <c:idx val="19"/>
              <c:layout>
                <c:manualLayout>
                  <c:x val="-3.3157322620875583E-2"/>
                  <c:y val="3.57575457587234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F12-4EA2-9F53-0B9D54B56E03}"/>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'[29]MMYT (2)'!$R$4:$AA$4</c:f>
              <c:strCache>
                <c:ptCount val="10"/>
                <c:pt idx="0">
                  <c:v>1Q18</c:v>
                </c:pt>
                <c:pt idx="1">
                  <c:v>2Q18</c:v>
                </c:pt>
                <c:pt idx="2">
                  <c:v>3Q18</c:v>
                </c:pt>
                <c:pt idx="3">
                  <c:v>4Q18</c:v>
                </c:pt>
                <c:pt idx="4">
                  <c:v>1Q19</c:v>
                </c:pt>
                <c:pt idx="5">
                  <c:v>2Q19</c:v>
                </c:pt>
                <c:pt idx="6">
                  <c:v>3Q19</c:v>
                </c:pt>
                <c:pt idx="7">
                  <c:v>4Q19</c:v>
                </c:pt>
                <c:pt idx="8">
                  <c:v>1Q20</c:v>
                </c:pt>
                <c:pt idx="9">
                  <c:v>2Q20</c:v>
                </c:pt>
              </c:strCache>
            </c:strRef>
          </c:cat>
          <c:val>
            <c:numRef>
              <c:f>'MMYT (2)'!$R$164:$AB$164</c:f>
              <c:numCache>
                <c:formatCode>0%</c:formatCode>
                <c:ptCount val="11"/>
                <c:pt idx="0">
                  <c:v>-0.16204312249237821</c:v>
                </c:pt>
                <c:pt idx="1">
                  <c:v>-0.19354971992515593</c:v>
                </c:pt>
                <c:pt idx="2">
                  <c:v>-0.15920142047771715</c:v>
                </c:pt>
                <c:pt idx="3">
                  <c:v>-0.12383816293056316</c:v>
                </c:pt>
                <c:pt idx="4">
                  <c:v>-0.11310945105669896</c:v>
                </c:pt>
                <c:pt idx="5">
                  <c:v>-0.14773279598201627</c:v>
                </c:pt>
                <c:pt idx="6">
                  <c:v>-0.10751319103510013</c:v>
                </c:pt>
                <c:pt idx="7">
                  <c:v>-5.3731168755237674E-2</c:v>
                </c:pt>
                <c:pt idx="8">
                  <c:v>-7.5192628716804807E-2</c:v>
                </c:pt>
                <c:pt idx="9">
                  <c:v>-3.1554963752034326</c:v>
                </c:pt>
                <c:pt idx="10">
                  <c:v>-0.92368990905153747</c:v>
                </c:pt>
              </c:numCache>
            </c:numRef>
          </c:val>
          <c:smooth val="0"/>
          <c:extLst>
            <c:ext xmlns:c16="http://schemas.microsoft.com/office/drawing/2014/chart" uri="{C3380CC4-5D6E-409C-BE32-E72D297353CC}">
              <c16:uniqueId val="{00000010-BF12-4EA2-9F53-0B9D54B56E03}"/>
            </c:ext>
          </c:extLst>
        </c:ser>
        <c:dLbls>
          <c:showLegendKey val="0"/>
          <c:showVal val="0"/>
          <c:showCatName val="0"/>
          <c:showSerName val="0"/>
          <c:showPercent val="0"/>
          <c:showBubbleSize val="0"/>
        </c:dLbls>
        <c:marker val="1"/>
        <c:smooth val="0"/>
        <c:axId val="130435328"/>
        <c:axId val="130461696"/>
      </c:lineChart>
      <c:catAx>
        <c:axId val="130432000"/>
        <c:scaling>
          <c:orientation val="minMax"/>
        </c:scaling>
        <c:delete val="0"/>
        <c:axPos val="b"/>
        <c:numFmt formatCode="General" sourceLinked="0"/>
        <c:majorTickMark val="out"/>
        <c:minorTickMark val="none"/>
        <c:tickLblPos val="low"/>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0433792"/>
        <c:crosses val="autoZero"/>
        <c:auto val="1"/>
        <c:lblAlgn val="ctr"/>
        <c:lblOffset val="100"/>
        <c:noMultiLvlLbl val="0"/>
      </c:catAx>
      <c:valAx>
        <c:axId val="130433792"/>
        <c:scaling>
          <c:orientation val="minMax"/>
        </c:scaling>
        <c:delete val="0"/>
        <c:axPos val="l"/>
        <c:numFmt formatCode="#,##0_);\(#,##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0432000"/>
        <c:crosses val="autoZero"/>
        <c:crossBetween val="between"/>
      </c:valAx>
      <c:catAx>
        <c:axId val="130435328"/>
        <c:scaling>
          <c:orientation val="minMax"/>
        </c:scaling>
        <c:delete val="1"/>
        <c:axPos val="b"/>
        <c:numFmt formatCode="General" sourceLinked="1"/>
        <c:majorTickMark val="out"/>
        <c:minorTickMark val="none"/>
        <c:tickLblPos val="nextTo"/>
        <c:crossAx val="130461696"/>
        <c:crosses val="autoZero"/>
        <c:auto val="1"/>
        <c:lblAlgn val="ctr"/>
        <c:lblOffset val="100"/>
        <c:noMultiLvlLbl val="0"/>
      </c:catAx>
      <c:valAx>
        <c:axId val="130461696"/>
        <c:scaling>
          <c:orientation val="minMax"/>
          <c:min val="-3.2"/>
        </c:scaling>
        <c:delete val="0"/>
        <c:axPos val="r"/>
        <c:numFmt formatCode="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0435328"/>
        <c:crosses val="max"/>
        <c:crossBetween val="between"/>
      </c:valAx>
      <c:spPr>
        <a:ln>
          <a:solidFill>
            <a:schemeClr val="bg1">
              <a:lumMod val="7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userShapes r:id="rId1"/>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a:t>MMYT Hotel Coverage</a:t>
            </a:r>
            <a:endParaRPr lang="zh-CN" altLang="en-US"/>
          </a:p>
        </c:rich>
      </c:tx>
      <c:overlay val="0"/>
    </c:title>
    <c:autoTitleDeleted val="0"/>
    <c:plotArea>
      <c:layout/>
      <c:barChart>
        <c:barDir val="col"/>
        <c:grouping val="clustered"/>
        <c:varyColors val="0"/>
        <c:ser>
          <c:idx val="0"/>
          <c:order val="0"/>
          <c:tx>
            <c:strRef>
              <c:f>'MMYT (2)'!$A$241</c:f>
              <c:strCache>
                <c:ptCount val="1"/>
                <c:pt idx="0">
                  <c:v>India total hotels</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'MMYT (2)'!$B$4:$X$4</c:f>
              <c:strCache>
                <c:ptCount val="11"/>
                <c:pt idx="0">
                  <c:v> 1Q17 </c:v>
                </c:pt>
                <c:pt idx="1">
                  <c:v> 2Q17 </c:v>
                </c:pt>
                <c:pt idx="2">
                  <c:v> 3Q17 </c:v>
                </c:pt>
                <c:pt idx="3">
                  <c:v> 4Q17 </c:v>
                </c:pt>
                <c:pt idx="4">
                  <c:v> 1Q18 </c:v>
                </c:pt>
                <c:pt idx="5">
                  <c:v> 2Q18 </c:v>
                </c:pt>
                <c:pt idx="6">
                  <c:v> 3Q18 </c:v>
                </c:pt>
                <c:pt idx="7">
                  <c:v> 4Q18 </c:v>
                </c:pt>
                <c:pt idx="8">
                  <c:v> 1Q19 </c:v>
                </c:pt>
                <c:pt idx="9">
                  <c:v> 2Q19 </c:v>
                </c:pt>
                <c:pt idx="10">
                  <c:v> 3Q19 </c:v>
                </c:pt>
              </c:strCache>
            </c:strRef>
          </c:cat>
          <c:val>
            <c:numRef>
              <c:f>'MMYT (2)'!$B$241:$X$241</c:f>
              <c:numCache>
                <c:formatCode>#,##0_ </c:formatCode>
                <c:ptCount val="11"/>
                <c:pt idx="0">
                  <c:v>53.5</c:v>
                </c:pt>
                <c:pt idx="1">
                  <c:v>58.5</c:v>
                </c:pt>
                <c:pt idx="2">
                  <c:v>58.5</c:v>
                </c:pt>
                <c:pt idx="4" formatCode="#,##0_);[Red]\(#,##0\)">
                  <c:v>53</c:v>
                </c:pt>
                <c:pt idx="6" formatCode="#,##0_);[Red]\(#,##0\)">
                  <c:v>58</c:v>
                </c:pt>
                <c:pt idx="7" formatCode="#,##0_);[Red]\(#,##0\)">
                  <c:v>60</c:v>
                </c:pt>
                <c:pt idx="8" formatCode="#,##0_);[Red]\(#,##0\)">
                  <c:v>61.5</c:v>
                </c:pt>
                <c:pt idx="9" formatCode="#,##0_);[Red]\(#,##0\)">
                  <c:v>63</c:v>
                </c:pt>
                <c:pt idx="10" formatCode="#,##0_);[Red]\(#,##0\)">
                  <c:v>66.5</c:v>
                </c:pt>
              </c:numCache>
            </c:numRef>
          </c:val>
          <c:extLst>
            <c:ext xmlns:c16="http://schemas.microsoft.com/office/drawing/2014/chart" uri="{C3380CC4-5D6E-409C-BE32-E72D297353CC}">
              <c16:uniqueId val="{00000000-4017-4253-9C4E-73D37EDDF92F}"/>
            </c:ext>
          </c:extLst>
        </c:ser>
        <c:ser>
          <c:idx val="2"/>
          <c:order val="1"/>
          <c:tx>
            <c:strRef>
              <c:f>'MMYT (2)'!$A$244</c:f>
              <c:strCache>
                <c:ptCount val="1"/>
                <c:pt idx="0">
                  <c:v>International</c:v>
                </c:pt>
              </c:strCache>
            </c:strRef>
          </c:tx>
          <c:invertIfNegative val="0"/>
          <c:dLbls>
            <c:spPr>
              <a:noFill/>
              <a:ln>
                <a:noFill/>
              </a:ln>
              <a:effectLst/>
            </c:spPr>
            <c:txPr>
              <a:bodyPr rot="0" spcFirstLastPara="0" vertOverflow="ellipsis" vert="horz" wrap="square" lIns="38100" tIns="19050" rIns="38100" bIns="19050" anchor="ctr" anchorCtr="1">
                <a:spAutoFit/>
              </a:bodyPr>
              <a:lstStyle/>
              <a:p>
                <a:pPr>
                  <a:defRPr lang="zh-CN" sz="1000" b="0" i="0" u="none" strike="noStrike" kern="1200" baseline="0">
                    <a:solidFill>
                      <a:schemeClr val="tx1"/>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'MMYT (2)'!$B$4:$X$4</c:f>
              <c:strCache>
                <c:ptCount val="11"/>
                <c:pt idx="0">
                  <c:v> 1Q17 </c:v>
                </c:pt>
                <c:pt idx="1">
                  <c:v> 2Q17 </c:v>
                </c:pt>
                <c:pt idx="2">
                  <c:v> 3Q17 </c:v>
                </c:pt>
                <c:pt idx="3">
                  <c:v> 4Q17 </c:v>
                </c:pt>
                <c:pt idx="4">
                  <c:v> 1Q18 </c:v>
                </c:pt>
                <c:pt idx="5">
                  <c:v> 2Q18 </c:v>
                </c:pt>
                <c:pt idx="6">
                  <c:v> 3Q18 </c:v>
                </c:pt>
                <c:pt idx="7">
                  <c:v> 4Q18 </c:v>
                </c:pt>
                <c:pt idx="8">
                  <c:v> 1Q19 </c:v>
                </c:pt>
                <c:pt idx="9">
                  <c:v> 2Q19 </c:v>
                </c:pt>
                <c:pt idx="10">
                  <c:v> 3Q19 </c:v>
                </c:pt>
              </c:strCache>
            </c:strRef>
          </c:cat>
          <c:val>
            <c:numRef>
              <c:f>'MMYT (2)'!$B$244:$X$244</c:f>
              <c:numCache>
                <c:formatCode>#,##0_ </c:formatCode>
                <c:ptCount val="11"/>
                <c:pt idx="0">
                  <c:v>240</c:v>
                </c:pt>
                <c:pt idx="1">
                  <c:v>500</c:v>
                </c:pt>
                <c:pt idx="3" formatCode="#,##0_);[Red]\(#,##0\)">
                  <c:v>500</c:v>
                </c:pt>
                <c:pt idx="7" formatCode="#,##0_);[Red]\(#,##0\)">
                  <c:v>500</c:v>
                </c:pt>
                <c:pt idx="8" formatCode="#,##0_);[Red]\(#,##0\)">
                  <c:v>500</c:v>
                </c:pt>
                <c:pt idx="9" formatCode="#,##0_);[Red]\(#,##0\)">
                  <c:v>500</c:v>
                </c:pt>
                <c:pt idx="10" formatCode="#,##0_);[Red]\(#,##0\)">
                  <c:v>500</c:v>
                </c:pt>
              </c:numCache>
            </c:numRef>
          </c:val>
          <c:extLst>
            <c:ext xmlns:c16="http://schemas.microsoft.com/office/drawing/2014/chart" uri="{C3380CC4-5D6E-409C-BE32-E72D297353CC}">
              <c16:uniqueId val="{00000001-4017-4253-9C4E-73D37EDDF92F}"/>
            </c:ext>
          </c:extLst>
        </c:ser>
        <c:dLbls>
          <c:showLegendKey val="0"/>
          <c:showVal val="1"/>
          <c:showCatName val="0"/>
          <c:showSerName val="0"/>
          <c:showPercent val="0"/>
          <c:showBubbleSize val="0"/>
        </c:dLbls>
        <c:gapWidth val="150"/>
        <c:axId val="130747008"/>
        <c:axId val="130761088"/>
      </c:barChart>
      <c:catAx>
        <c:axId val="130747008"/>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0761088"/>
        <c:crosses val="autoZero"/>
        <c:auto val="1"/>
        <c:lblAlgn val="ctr"/>
        <c:lblOffset val="100"/>
        <c:noMultiLvlLbl val="0"/>
      </c:catAx>
      <c:valAx>
        <c:axId val="130761088"/>
        <c:scaling>
          <c:orientation val="minMax"/>
        </c:scaling>
        <c:delete val="0"/>
        <c:axPos val="l"/>
        <c:numFmt formatCode="#,##0_ " sourceLinked="1"/>
        <c:majorTickMark val="out"/>
        <c:minorTickMark val="none"/>
        <c:tickLblPos val="nextTo"/>
        <c:crossAx val="130747008"/>
        <c:crosses val="autoZero"/>
        <c:crossBetween val="between"/>
      </c:valAx>
      <c:spPr>
        <a:ln>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userShapes r:id="rId1"/>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a:t>% of Transactions</a:t>
            </a:r>
            <a:r>
              <a:rPr lang="en-US" altLang="zh-CN" baseline="0"/>
              <a:t> on Mobile</a:t>
            </a:r>
            <a:endParaRPr lang="zh-CN" altLang="en-US"/>
          </a:p>
        </c:rich>
      </c:tx>
      <c:overlay val="0"/>
    </c:title>
    <c:autoTitleDeleted val="0"/>
    <c:plotArea>
      <c:layout/>
      <c:lineChart>
        <c:grouping val="standard"/>
        <c:varyColors val="0"/>
        <c:ser>
          <c:idx val="0"/>
          <c:order val="0"/>
          <c:tx>
            <c:strRef>
              <c:f>'MMYT (2)'!$A$287</c:f>
              <c:strCache>
                <c:ptCount val="1"/>
                <c:pt idx="0">
                  <c:v> Domestic Air ticketing</c:v>
                </c:pt>
              </c:strCache>
            </c:strRef>
          </c:tx>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'MMYT (2)'!$B$4:$Q$4</c:f>
              <c:strCache>
                <c:ptCount val="4"/>
                <c:pt idx="0">
                  <c:v> 1Q17 </c:v>
                </c:pt>
                <c:pt idx="1">
                  <c:v> 2Q17 </c:v>
                </c:pt>
                <c:pt idx="2">
                  <c:v> 3Q17 </c:v>
                </c:pt>
                <c:pt idx="3">
                  <c:v> 4Q17 </c:v>
                </c:pt>
              </c:strCache>
            </c:strRef>
          </c:cat>
          <c:val>
            <c:numRef>
              <c:f>'MMYT (2)'!$B$287:$Q$287</c:f>
              <c:numCache>
                <c:formatCode>0%</c:formatCode>
                <c:ptCount val="4"/>
                <c:pt idx="0">
                  <c:v>0.56999999999999995</c:v>
                </c:pt>
                <c:pt idx="1">
                  <c:v>0.59</c:v>
                </c:pt>
                <c:pt idx="2">
                  <c:v>0.59</c:v>
                </c:pt>
                <c:pt idx="3">
                  <c:v>0.62</c:v>
                </c:pt>
              </c:numCache>
            </c:numRef>
          </c:val>
          <c:smooth val="0"/>
          <c:extLst>
            <c:ext xmlns:c16="http://schemas.microsoft.com/office/drawing/2014/chart" uri="{C3380CC4-5D6E-409C-BE32-E72D297353CC}">
              <c16:uniqueId val="{00000000-07CA-429B-97E2-A31B4E76B861}"/>
            </c:ext>
          </c:extLst>
        </c:ser>
        <c:ser>
          <c:idx val="1"/>
          <c:order val="1"/>
          <c:tx>
            <c:strRef>
              <c:f>'MMYT (2)'!$A$288</c:f>
              <c:strCache>
                <c:ptCount val="1"/>
                <c:pt idx="0">
                  <c:v> Standalone Hotel booking</c:v>
                </c:pt>
              </c:strCache>
            </c:strRef>
          </c:tx>
          <c:dLbls>
            <c:dLbl>
              <c:idx val="17"/>
              <c:layout>
                <c:manualLayout>
                  <c:x val="-2.690655314967421E-2"/>
                  <c:y val="-7.90829486037747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CA-429B-97E2-A31B4E76B861}"/>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'MMYT (2)'!$B$4:$Q$4</c:f>
              <c:strCache>
                <c:ptCount val="4"/>
                <c:pt idx="0">
                  <c:v> 1Q17 </c:v>
                </c:pt>
                <c:pt idx="1">
                  <c:v> 2Q17 </c:v>
                </c:pt>
                <c:pt idx="2">
                  <c:v> 3Q17 </c:v>
                </c:pt>
                <c:pt idx="3">
                  <c:v> 4Q17 </c:v>
                </c:pt>
              </c:strCache>
            </c:strRef>
          </c:cat>
          <c:val>
            <c:numRef>
              <c:f>'MMYT (2)'!$B$288:$Q$288</c:f>
              <c:numCache>
                <c:formatCode>0%</c:formatCode>
                <c:ptCount val="4"/>
                <c:pt idx="0">
                  <c:v>0.77</c:v>
                </c:pt>
                <c:pt idx="1">
                  <c:v>0.78</c:v>
                </c:pt>
                <c:pt idx="2">
                  <c:v>0.79</c:v>
                </c:pt>
                <c:pt idx="3">
                  <c:v>0.76</c:v>
                </c:pt>
              </c:numCache>
            </c:numRef>
          </c:val>
          <c:smooth val="0"/>
          <c:extLst>
            <c:ext xmlns:c16="http://schemas.microsoft.com/office/drawing/2014/chart" uri="{C3380CC4-5D6E-409C-BE32-E72D297353CC}">
              <c16:uniqueId val="{00000002-07CA-429B-97E2-A31B4E76B861}"/>
            </c:ext>
          </c:extLst>
        </c:ser>
        <c:ser>
          <c:idx val="2"/>
          <c:order val="2"/>
          <c:tx>
            <c:strRef>
              <c:f>'MMYT (2)'!$A$289</c:f>
              <c:strCache>
                <c:ptCount val="1"/>
                <c:pt idx="0">
                  <c:v> Intercity Bus ticketing</c:v>
                </c:pt>
              </c:strCache>
            </c:strRef>
          </c:tx>
          <c:dLbls>
            <c:dLbl>
              <c:idx val="10"/>
              <c:layout>
                <c:manualLayout>
                  <c:x val="-3.5277853070565912E-2"/>
                  <c:y val="3.6422881402395173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CA-429B-97E2-A31B4E76B861}"/>
                </c:ext>
              </c:extLst>
            </c:dLbl>
            <c:dLbl>
              <c:idx val="14"/>
              <c:layout>
                <c:manualLayout>
                  <c:x val="-3.2240683570941299E-3"/>
                  <c:y val="7.455743563969430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CA-429B-97E2-A31B4E76B861}"/>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'MMYT (2)'!$B$4:$Q$4</c:f>
              <c:strCache>
                <c:ptCount val="4"/>
                <c:pt idx="0">
                  <c:v> 1Q17 </c:v>
                </c:pt>
                <c:pt idx="1">
                  <c:v> 2Q17 </c:v>
                </c:pt>
                <c:pt idx="2">
                  <c:v> 3Q17 </c:v>
                </c:pt>
                <c:pt idx="3">
                  <c:v> 4Q17 </c:v>
                </c:pt>
              </c:strCache>
            </c:strRef>
          </c:cat>
          <c:val>
            <c:numRef>
              <c:f>'MMYT (2)'!$B$289:$Q$289</c:f>
              <c:numCache>
                <c:formatCode>0%</c:formatCode>
                <c:ptCount val="4"/>
                <c:pt idx="0">
                  <c:v>0.5</c:v>
                </c:pt>
                <c:pt idx="1">
                  <c:v>0.47</c:v>
                </c:pt>
                <c:pt idx="2">
                  <c:v>0.74</c:v>
                </c:pt>
                <c:pt idx="3">
                  <c:v>0.6</c:v>
                </c:pt>
              </c:numCache>
            </c:numRef>
          </c:val>
          <c:smooth val="0"/>
          <c:extLst>
            <c:ext xmlns:c16="http://schemas.microsoft.com/office/drawing/2014/chart" uri="{C3380CC4-5D6E-409C-BE32-E72D297353CC}">
              <c16:uniqueId val="{00000005-07CA-429B-97E2-A31B4E76B861}"/>
            </c:ext>
          </c:extLst>
        </c:ser>
        <c:dLbls>
          <c:showLegendKey val="0"/>
          <c:showVal val="0"/>
          <c:showCatName val="0"/>
          <c:showSerName val="0"/>
          <c:showPercent val="0"/>
          <c:showBubbleSize val="0"/>
        </c:dLbls>
        <c:marker val="1"/>
        <c:smooth val="0"/>
        <c:axId val="131708416"/>
        <c:axId val="131709952"/>
      </c:lineChart>
      <c:catAx>
        <c:axId val="131708416"/>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1709952"/>
        <c:crosses val="autoZero"/>
        <c:auto val="1"/>
        <c:lblAlgn val="ctr"/>
        <c:lblOffset val="100"/>
        <c:noMultiLvlLbl val="0"/>
      </c:catAx>
      <c:valAx>
        <c:axId val="131709952"/>
        <c:scaling>
          <c:orientation val="minMax"/>
        </c:scaling>
        <c:delete val="1"/>
        <c:axPos val="l"/>
        <c:numFmt formatCode="0%" sourceLinked="1"/>
        <c:majorTickMark val="out"/>
        <c:minorTickMark val="none"/>
        <c:tickLblPos val="nextTo"/>
        <c:crossAx val="131708416"/>
        <c:crosses val="autoZero"/>
        <c:crossBetween val="between"/>
      </c:valAx>
      <c:spPr>
        <a:ln>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sz="1600"/>
              <a:t>MMYT Claimed</a:t>
            </a:r>
            <a:r>
              <a:rPr lang="en-US" altLang="zh-CN" sz="1600" baseline="0"/>
              <a:t> </a:t>
            </a:r>
            <a:r>
              <a:rPr lang="en-US" altLang="en-US" sz="1600"/>
              <a:t>%  share of domestic air market</a:t>
            </a:r>
          </a:p>
        </c:rich>
      </c:tx>
      <c:overlay val="0"/>
    </c:title>
    <c:autoTitleDeleted val="0"/>
    <c:plotArea>
      <c:layout/>
      <c:lineChart>
        <c:grouping val="standard"/>
        <c:varyColors val="0"/>
        <c:ser>
          <c:idx val="0"/>
          <c:order val="0"/>
          <c:tx>
            <c:strRef>
              <c:f>'MMYT (2)'!$A$35</c:f>
              <c:strCache>
                <c:ptCount val="1"/>
                <c:pt idx="0">
                  <c:v>     %  share of domestic air market </c:v>
                </c:pt>
              </c:strCache>
            </c:strRef>
          </c:tx>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'MMYT (2)'!$B$4:$AB$4</c:f>
              <c:strCache>
                <c:ptCount val="15"/>
                <c:pt idx="0">
                  <c:v> 1Q17 </c:v>
                </c:pt>
                <c:pt idx="1">
                  <c:v> 2Q17 </c:v>
                </c:pt>
                <c:pt idx="2">
                  <c:v> 3Q17 </c:v>
                </c:pt>
                <c:pt idx="3">
                  <c:v> 4Q17 </c:v>
                </c:pt>
                <c:pt idx="4">
                  <c:v> 1Q18 </c:v>
                </c:pt>
                <c:pt idx="5">
                  <c:v> 2Q18 </c:v>
                </c:pt>
                <c:pt idx="6">
                  <c:v> 3Q18 </c:v>
                </c:pt>
                <c:pt idx="7">
                  <c:v> 4Q18 </c:v>
                </c:pt>
                <c:pt idx="8">
                  <c:v> 1Q19 </c:v>
                </c:pt>
                <c:pt idx="9">
                  <c:v> 2Q19 </c:v>
                </c:pt>
                <c:pt idx="10">
                  <c:v> 3Q19 </c:v>
                </c:pt>
                <c:pt idx="11">
                  <c:v> 4Q19 </c:v>
                </c:pt>
                <c:pt idx="12">
                  <c:v> 1Q20 </c:v>
                </c:pt>
                <c:pt idx="13">
                  <c:v> 2Q20 </c:v>
                </c:pt>
                <c:pt idx="14">
                  <c:v> 3Q20 </c:v>
                </c:pt>
              </c:strCache>
            </c:strRef>
          </c:cat>
          <c:val>
            <c:numRef>
              <c:f>'MMYT (2)'!$B$35:$AB$35</c:f>
              <c:numCache>
                <c:formatCode>0%</c:formatCode>
                <c:ptCount val="15"/>
                <c:pt idx="1">
                  <c:v>0.23</c:v>
                </c:pt>
                <c:pt idx="2">
                  <c:v>0.23</c:v>
                </c:pt>
                <c:pt idx="3">
                  <c:v>0.24</c:v>
                </c:pt>
                <c:pt idx="5">
                  <c:v>0.24</c:v>
                </c:pt>
                <c:pt idx="6">
                  <c:v>0.25</c:v>
                </c:pt>
                <c:pt idx="10">
                  <c:v>0.26</c:v>
                </c:pt>
                <c:pt idx="11">
                  <c:v>0.27</c:v>
                </c:pt>
                <c:pt idx="12">
                  <c:v>0.27400000000000002</c:v>
                </c:pt>
                <c:pt idx="14" formatCode="0.0%">
                  <c:v>0.28492955827173827</c:v>
                </c:pt>
              </c:numCache>
            </c:numRef>
          </c:val>
          <c:smooth val="0"/>
          <c:extLst>
            <c:ext xmlns:c16="http://schemas.microsoft.com/office/drawing/2014/chart" uri="{C3380CC4-5D6E-409C-BE32-E72D297353CC}">
              <c16:uniqueId val="{00000000-D141-492D-8CDE-0DD23C764819}"/>
            </c:ext>
          </c:extLst>
        </c:ser>
        <c:dLbls>
          <c:showLegendKey val="0"/>
          <c:showVal val="0"/>
          <c:showCatName val="0"/>
          <c:showSerName val="0"/>
          <c:showPercent val="0"/>
          <c:showBubbleSize val="0"/>
        </c:dLbls>
        <c:marker val="1"/>
        <c:smooth val="0"/>
        <c:axId val="129687936"/>
        <c:axId val="129689472"/>
      </c:lineChart>
      <c:catAx>
        <c:axId val="129687936"/>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9689472"/>
        <c:crosses val="autoZero"/>
        <c:auto val="1"/>
        <c:lblAlgn val="ctr"/>
        <c:lblOffset val="100"/>
        <c:noMultiLvlLbl val="0"/>
      </c:catAx>
      <c:valAx>
        <c:axId val="129689472"/>
        <c:scaling>
          <c:orientation val="minMax"/>
        </c:scaling>
        <c:delete val="1"/>
        <c:axPos val="l"/>
        <c:numFmt formatCode="0%" sourceLinked="1"/>
        <c:majorTickMark val="out"/>
        <c:minorTickMark val="none"/>
        <c:tickLblPos val="nextTo"/>
        <c:crossAx val="129687936"/>
        <c:crosses val="autoZero"/>
        <c:crossBetween val="between"/>
      </c:valAx>
      <c:spPr>
        <a:noFill/>
        <a:ln w="9525">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400" b="0" i="0" baseline="0">
                <a:effectLst/>
              </a:rPr>
              <a:t>BKNG </a:t>
            </a:r>
            <a:r>
              <a:rPr lang="en-US" altLang="zh-CN" sz="1400" b="0" i="0" u="none" strike="noStrike" baseline="0">
                <a:effectLst/>
              </a:rPr>
              <a:t>Gross Booking &amp; YoY Growth</a:t>
            </a:r>
            <a:endParaRPr lang="zh-CN" altLang="zh-CN"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0.11114436739145181"/>
          <c:y val="0.14216335540838851"/>
          <c:w val="0.795458221797822"/>
          <c:h val="0.48914011576367522"/>
        </c:manualLayout>
      </c:layout>
      <c:barChart>
        <c:barDir val="col"/>
        <c:grouping val="clustered"/>
        <c:varyColors val="0"/>
        <c:ser>
          <c:idx val="0"/>
          <c:order val="0"/>
          <c:tx>
            <c:strRef>
              <c:f>BKNG!$A$6</c:f>
              <c:strCache>
                <c:ptCount val="1"/>
                <c:pt idx="0">
                  <c:v> Gross booking value(mn) </c:v>
                </c:pt>
              </c:strCache>
            </c:strRef>
          </c:tx>
          <c:spPr>
            <a:solidFill>
              <a:schemeClr val="accent1"/>
            </a:solidFill>
            <a:ln>
              <a:noFill/>
            </a:ln>
            <a:effectLst/>
          </c:spPr>
          <c:invertIfNegative val="0"/>
          <c:cat>
            <c:strRef>
              <c:extLst>
                <c:ext xmlns:c15="http://schemas.microsoft.com/office/drawing/2012/chart" uri="{02D57815-91ED-43cb-92C2-25804820EDAC}">
                  <c15:fullRef>
                    <c15:sqref>BKNG!$AE$4:$BL$4</c15:sqref>
                  </c15:fullRef>
                </c:ext>
              </c:extLst>
              <c:f>(BKNG!$AE$4:$AL$4,BKNG!$AN$4:$BL$4)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BKNG!$AE$6:$BL$6</c15:sqref>
                  </c15:fullRef>
                </c:ext>
              </c:extLst>
              <c:f>(BKNG!$AE$6:$AL$6,BKNG!$AN$6:$BL$6)</c:f>
              <c:numCache>
                <c:formatCode>_-* #,##0_-;\-* #,##0_-;_-* "-"_-;_-@_-</c:formatCode>
                <c:ptCount val="18"/>
                <c:pt idx="0">
                  <c:v>25410</c:v>
                </c:pt>
                <c:pt idx="1">
                  <c:v>25039</c:v>
                </c:pt>
                <c:pt idx="2">
                  <c:v>25281</c:v>
                </c:pt>
                <c:pt idx="3">
                  <c:v>20713</c:v>
                </c:pt>
                <c:pt idx="4">
                  <c:v>39427</c:v>
                </c:pt>
                <c:pt idx="5">
                  <c:v>39692</c:v>
                </c:pt>
                <c:pt idx="6">
                  <c:v>39813</c:v>
                </c:pt>
                <c:pt idx="7">
                  <c:v>31695</c:v>
                </c:pt>
                <c:pt idx="8">
                  <c:v>43535</c:v>
                </c:pt>
                <c:pt idx="9">
                  <c:v>41431</c:v>
                </c:pt>
                <c:pt idx="10">
                  <c:v>43447</c:v>
                </c:pt>
                <c:pt idx="11">
                  <c:v>37167</c:v>
                </c:pt>
                <c:pt idx="12">
                  <c:v>46669</c:v>
                </c:pt>
                <c:pt idx="13">
                  <c:v>46736</c:v>
                </c:pt>
                <c:pt idx="14">
                  <c:v>49668</c:v>
                </c:pt>
                <c:pt idx="15">
                  <c:v>43034</c:v>
                </c:pt>
                <c:pt idx="16">
                  <c:v>53758</c:v>
                </c:pt>
                <c:pt idx="17">
                  <c:v>51000</c:v>
                </c:pt>
              </c:numCache>
            </c:numRef>
          </c:val>
          <c:extLst>
            <c:ext xmlns:c16="http://schemas.microsoft.com/office/drawing/2014/chart" uri="{C3380CC4-5D6E-409C-BE32-E72D297353CC}">
              <c16:uniqueId val="{00000000-17DD-466E-91E3-E5A497010125}"/>
            </c:ext>
          </c:extLst>
        </c:ser>
        <c:dLbls>
          <c:showLegendKey val="0"/>
          <c:showVal val="0"/>
          <c:showCatName val="0"/>
          <c:showSerName val="0"/>
          <c:showPercent val="0"/>
          <c:showBubbleSize val="0"/>
        </c:dLbls>
        <c:gapWidth val="219"/>
        <c:overlap val="-27"/>
        <c:axId val="592526560"/>
        <c:axId val="841369648"/>
      </c:barChart>
      <c:lineChart>
        <c:grouping val="standard"/>
        <c:varyColors val="0"/>
        <c:ser>
          <c:idx val="1"/>
          <c:order val="1"/>
          <c:tx>
            <c:strRef>
              <c:f>BKNG!$A$7</c:f>
              <c:strCache>
                <c:ptCount val="1"/>
                <c:pt idx="0">
                  <c:v>Gross booking value YoY Growth on a non-constant currency basis</c:v>
                </c:pt>
              </c:strCache>
            </c:strRef>
          </c:tx>
          <c:spPr>
            <a:ln w="28575" cap="rnd">
              <a:solidFill>
                <a:schemeClr val="accent2"/>
              </a:solidFill>
              <a:round/>
            </a:ln>
            <a:effectLst/>
          </c:spPr>
          <c:marker>
            <c:symbol val="triangle"/>
            <c:size val="6"/>
            <c:spPr>
              <a:solidFill>
                <a:schemeClr val="accent2"/>
              </a:solidFill>
              <a:ln w="9525">
                <a:solidFill>
                  <a:schemeClr val="accent2"/>
                </a:solidFill>
              </a:ln>
              <a:effectLst/>
            </c:spPr>
          </c:marker>
          <c:dLbls>
            <c:dLbl>
              <c:idx val="1"/>
              <c:tx>
                <c:rich>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r>
                      <a:rPr lang="en-US" altLang="zh-CN"/>
                      <a:t>4.8%</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9B6-42C7-9333-C67D8C89E36C}"/>
                </c:ext>
              </c:extLst>
            </c:dLbl>
            <c:dLbl>
              <c:idx val="5"/>
              <c:tx>
                <c:rich>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r>
                      <a:rPr lang="en-US" altLang="zh-CN"/>
                      <a:t>14.9%</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9B6-42C7-9333-C67D8C89E36C}"/>
                </c:ext>
              </c:extLst>
            </c:dLbl>
            <c:dLbl>
              <c:idx val="9"/>
              <c:tx>
                <c:rich>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r>
                      <a:rPr lang="en-US" altLang="zh-CN"/>
                      <a:t>4.4%</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9B6-42C7-9333-C67D8C89E36C}"/>
                </c:ext>
              </c:extLst>
            </c:dLbl>
            <c:dLbl>
              <c:idx val="13"/>
              <c:tx>
                <c:rich>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r>
                      <a:rPr lang="en-US" altLang="zh-CN"/>
                      <a:t>12.8%</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9B6-42C7-9333-C67D8C89E36C}"/>
                </c:ext>
              </c:extLst>
            </c:dLbl>
            <c:dLbl>
              <c:idx val="17"/>
              <c:tx>
                <c:rich>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r>
                      <a:rPr lang="en-US" altLang="zh-CN"/>
                      <a:t>9.1%</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03D7-43D3-85F4-F9948664D1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BKNG!$AE$4:$BL$4</c15:sqref>
                  </c15:fullRef>
                </c:ext>
              </c:extLst>
              <c:f>(BKNG!$AE$4:$AL$4,BKNG!$AN$4:$BL$4)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BKNG!$AE$7:$BL$7</c15:sqref>
                  </c15:fullRef>
                </c:ext>
              </c:extLst>
              <c:f>(BKNG!$AE$7:$AL$7,BKNG!$AN$7:$BL$7)</c:f>
              <c:numCache>
                <c:formatCode>0%</c:formatCode>
                <c:ptCount val="18"/>
                <c:pt idx="0">
                  <c:v>1.6E-2</c:v>
                </c:pt>
                <c:pt idx="1">
                  <c:v>4.8000000000000001E-2</c:v>
                </c:pt>
                <c:pt idx="2">
                  <c:v>4.1000000000000002E-2</c:v>
                </c:pt>
                <c:pt idx="3">
                  <c:v>5.8999999999999997E-2</c:v>
                </c:pt>
                <c:pt idx="4">
                  <c:v>0.44500000000000001</c:v>
                </c:pt>
                <c:pt idx="5">
                  <c:v>0.14899999999999999</c:v>
                </c:pt>
                <c:pt idx="6">
                  <c:v>0.23950809464508094</c:v>
                </c:pt>
                <c:pt idx="7">
                  <c:v>0.16124422950098927</c:v>
                </c:pt>
                <c:pt idx="8">
                  <c:v>0.1041925583990666</c:v>
                </c:pt>
                <c:pt idx="9">
                  <c:v>4.3812355134535963E-2</c:v>
                </c:pt>
                <c:pt idx="10">
                  <c:v>9.1276718659734302E-2</c:v>
                </c:pt>
                <c:pt idx="11">
                  <c:v>0.17264552768575481</c:v>
                </c:pt>
                <c:pt idx="12">
                  <c:v>7.1988055587458355E-2</c:v>
                </c:pt>
                <c:pt idx="13">
                  <c:v>0.12804421809755984</c:v>
                </c:pt>
                <c:pt idx="14">
                  <c:v>0.14318595069855222</c:v>
                </c:pt>
                <c:pt idx="15">
                  <c:v>0.15785508650146629</c:v>
                </c:pt>
                <c:pt idx="16">
                  <c:v>0.15189954787974891</c:v>
                </c:pt>
                <c:pt idx="17">
                  <c:v>9.1235878123930192E-2</c:v>
                </c:pt>
              </c:numCache>
            </c:numRef>
          </c:val>
          <c:smooth val="0"/>
          <c:extLst>
            <c:ext xmlns:c16="http://schemas.microsoft.com/office/drawing/2014/chart" uri="{C3380CC4-5D6E-409C-BE32-E72D297353CC}">
              <c16:uniqueId val="{00000001-17DD-466E-91E3-E5A497010125}"/>
            </c:ext>
          </c:extLst>
        </c:ser>
        <c:dLbls>
          <c:showLegendKey val="0"/>
          <c:showVal val="0"/>
          <c:showCatName val="0"/>
          <c:showSerName val="0"/>
          <c:showPercent val="0"/>
          <c:showBubbleSize val="0"/>
        </c:dLbls>
        <c:marker val="1"/>
        <c:smooth val="0"/>
        <c:axId val="842803632"/>
        <c:axId val="842801968"/>
      </c:lineChart>
      <c:catAx>
        <c:axId val="59252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1369648"/>
        <c:crosses val="autoZero"/>
        <c:auto val="1"/>
        <c:lblAlgn val="ctr"/>
        <c:lblOffset val="100"/>
        <c:noMultiLvlLbl val="0"/>
      </c:catAx>
      <c:valAx>
        <c:axId val="841369648"/>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92526560"/>
        <c:crosses val="autoZero"/>
        <c:crossBetween val="between"/>
      </c:valAx>
      <c:valAx>
        <c:axId val="842801968"/>
        <c:scaling>
          <c:orientation val="minMax"/>
          <c:min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zh-CN"/>
          </a:p>
        </c:txPr>
        <c:crossAx val="842803632"/>
        <c:crosses val="max"/>
        <c:crossBetween val="between"/>
      </c:valAx>
      <c:catAx>
        <c:axId val="842803632"/>
        <c:scaling>
          <c:orientation val="minMax"/>
        </c:scaling>
        <c:delete val="1"/>
        <c:axPos val="b"/>
        <c:numFmt formatCode="General" sourceLinked="1"/>
        <c:majorTickMark val="out"/>
        <c:minorTickMark val="none"/>
        <c:tickLblPos val="nextTo"/>
        <c:crossAx val="842801968"/>
        <c:crosses val="autoZero"/>
        <c:auto val="1"/>
        <c:lblAlgn val="ctr"/>
        <c:lblOffset val="100"/>
        <c:noMultiLvlLbl val="0"/>
      </c:catAx>
      <c:spPr>
        <a:noFill/>
        <a:ln>
          <a:solidFill>
            <a:schemeClr val="bg1">
              <a:lumMod val="75000"/>
            </a:schemeClr>
          </a:solidFill>
        </a:ln>
        <a:effectLst/>
      </c:spPr>
    </c:plotArea>
    <c:legend>
      <c:legendPos val="b"/>
      <c:layout>
        <c:manualLayout>
          <c:xMode val="edge"/>
          <c:yMode val="edge"/>
          <c:x val="0.14766560740543616"/>
          <c:y val="0.79194104048252245"/>
          <c:w val="0.70997030937733185"/>
          <c:h val="0.181568893292311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400" b="0" i="0" baseline="0">
                <a:effectLst/>
              </a:rPr>
              <a:t>BKNG </a:t>
            </a:r>
            <a:r>
              <a:rPr lang="en-US" altLang="zh-CN" sz="1400" b="0" i="0" u="none" strike="noStrike" baseline="0">
                <a:effectLst/>
              </a:rPr>
              <a:t>Gross Booking by Bussiness </a:t>
            </a:r>
            <a:endParaRPr lang="zh-CN" altLang="zh-CN"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percentStacked"/>
        <c:varyColors val="0"/>
        <c:ser>
          <c:idx val="1"/>
          <c:order val="1"/>
          <c:tx>
            <c:strRef>
              <c:f>BKNG!$A$16</c:f>
              <c:strCache>
                <c:ptCount val="1"/>
                <c:pt idx="0">
                  <c:v>Agency %</c:v>
                </c:pt>
              </c:strCache>
            </c:strRef>
          </c:tx>
          <c:spPr>
            <a:solidFill>
              <a:schemeClr val="accent2"/>
            </a:solidFill>
            <a:ln>
              <a:noFill/>
            </a:ln>
            <a:effectLst/>
          </c:spPr>
          <c:invertIfNegative val="0"/>
          <c:cat>
            <c:strRef>
              <c:extLst>
                <c:ext xmlns:c15="http://schemas.microsoft.com/office/drawing/2012/chart" uri="{02D57815-91ED-43cb-92C2-25804820EDAC}">
                  <c15:fullRef>
                    <c15:sqref>BKNG!$W$4:$BL$4</c15:sqref>
                  </c15:fullRef>
                </c:ext>
              </c:extLst>
              <c:f>(BKNG!$W$4:$AL$4,BKNG!$AN$4:$BL$4)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BKNG!$W$16:$BL$16</c15:sqref>
                  </c15:fullRef>
                </c:ext>
              </c:extLst>
              <c:f>(BKNG!$W$16:$AL$16,BKNG!$AN$16:$BL$16)</c:f>
              <c:numCache>
                <c:formatCode>0%</c:formatCode>
                <c:ptCount val="18"/>
                <c:pt idx="0">
                  <c:v>0.77441951987406532</c:v>
                </c:pt>
                <c:pt idx="1">
                  <c:v>0.7443588002715763</c:v>
                </c:pt>
                <c:pt idx="2">
                  <c:v>0.71666468889680002</c:v>
                </c:pt>
                <c:pt idx="3">
                  <c:v>0.68642881282286483</c:v>
                </c:pt>
                <c:pt idx="4">
                  <c:v>0.49458492910949348</c:v>
                </c:pt>
                <c:pt idx="5">
                  <c:v>0.46785246397258895</c:v>
                </c:pt>
                <c:pt idx="6">
                  <c:v>0.44060985105367595</c:v>
                </c:pt>
                <c:pt idx="7">
                  <c:v>0.41943524215175898</c:v>
                </c:pt>
                <c:pt idx="8">
                  <c:v>0.40826920868266914</c:v>
                </c:pt>
                <c:pt idx="9">
                  <c:v>0.37655378822620744</c:v>
                </c:pt>
                <c:pt idx="10">
                  <c:v>0.34720464013625796</c:v>
                </c:pt>
                <c:pt idx="11">
                  <c:v>0.34810450130492104</c:v>
                </c:pt>
                <c:pt idx="12">
                  <c:v>0.33212625083031561</c:v>
                </c:pt>
                <c:pt idx="13">
                  <c:v>0.30879835672714823</c:v>
                </c:pt>
                <c:pt idx="14">
                  <c:v>0.28050253684464849</c:v>
                </c:pt>
                <c:pt idx="15">
                  <c:v>0.28391504391876193</c:v>
                </c:pt>
                <c:pt idx="16">
                  <c:v>0.27943747907288219</c:v>
                </c:pt>
                <c:pt idx="17">
                  <c:v>0.27374509803921571</c:v>
                </c:pt>
              </c:numCache>
            </c:numRef>
          </c:val>
          <c:extLst>
            <c:ext xmlns:c16="http://schemas.microsoft.com/office/drawing/2014/chart" uri="{C3380CC4-5D6E-409C-BE32-E72D297353CC}">
              <c16:uniqueId val="{00000000-6975-444D-8342-76F571224D4C}"/>
            </c:ext>
          </c:extLst>
        </c:ser>
        <c:ser>
          <c:idx val="3"/>
          <c:order val="3"/>
          <c:tx>
            <c:strRef>
              <c:f>BKNG!$A$19</c:f>
              <c:strCache>
                <c:ptCount val="1"/>
                <c:pt idx="0">
                  <c:v>Merchant %</c:v>
                </c:pt>
              </c:strCache>
            </c:strRef>
          </c:tx>
          <c:spPr>
            <a:solidFill>
              <a:schemeClr val="accent4"/>
            </a:solidFill>
            <a:ln>
              <a:noFill/>
            </a:ln>
            <a:effectLst/>
          </c:spPr>
          <c:invertIfNegative val="0"/>
          <c:dLbls>
            <c:dLbl>
              <c:idx val="1"/>
              <c:tx>
                <c:rich>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r>
                      <a:rPr lang="en-US" altLang="zh-CN"/>
                      <a:t>25.6%</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endParaRPr lang="zh-CN"/>
                </a:p>
              </c:tx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8DD-4A47-B1C2-86D35092AC94}"/>
                </c:ext>
              </c:extLst>
            </c:dLbl>
            <c:dLbl>
              <c:idx val="5"/>
              <c:tx>
                <c:rich>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r>
                      <a:rPr lang="en-US" altLang="zh-CN"/>
                      <a:t>53.2%</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endParaRPr lang="zh-CN"/>
                </a:p>
              </c:tx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AB2-4104-8867-6EA942FA290A}"/>
                </c:ext>
              </c:extLst>
            </c:dLbl>
            <c:dLbl>
              <c:idx val="9"/>
              <c:tx>
                <c:rich>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r>
                      <a:rPr lang="en-US" altLang="zh-CN"/>
                      <a:t>62.3%</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endParaRPr lang="zh-CN"/>
                </a:p>
              </c:tx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AB2-4104-8867-6EA942FA290A}"/>
                </c:ext>
              </c:extLst>
            </c:dLbl>
            <c:dLbl>
              <c:idx val="13"/>
              <c:tx>
                <c:rich>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r>
                      <a:rPr lang="en-US" altLang="zh-CN"/>
                      <a:t>69.1%</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endParaRPr lang="zh-CN"/>
                </a:p>
              </c:tx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AB2-4104-8867-6EA942FA290A}"/>
                </c:ext>
              </c:extLst>
            </c:dLbl>
            <c:dLbl>
              <c:idx val="17"/>
              <c:tx>
                <c:rich>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r>
                      <a:rPr lang="en-US" altLang="zh-CN"/>
                      <a:t>72.5%</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endParaRPr lang="zh-CN"/>
                </a:p>
              </c:tx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642-43AE-82DE-8F601C4E96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BKNG!$W$4:$BL$4</c15:sqref>
                  </c15:fullRef>
                </c:ext>
              </c:extLst>
              <c:f>(BKNG!$W$4:$AL$4,BKNG!$AN$4:$BL$4)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BKNG!$W$19:$BL$19</c15:sqref>
                  </c15:fullRef>
                </c:ext>
              </c:extLst>
              <c:f>(BKNG!$W$19:$AL$19,BKNG!$AN$19:$BL$19)</c:f>
              <c:numCache>
                <c:formatCode>0%</c:formatCode>
                <c:ptCount val="18"/>
                <c:pt idx="0">
                  <c:v>0.22558048012593468</c:v>
                </c:pt>
                <c:pt idx="1">
                  <c:v>0.25564119972842364</c:v>
                </c:pt>
                <c:pt idx="2">
                  <c:v>0.28333531110320004</c:v>
                </c:pt>
                <c:pt idx="3">
                  <c:v>0.31357118717713511</c:v>
                </c:pt>
                <c:pt idx="4">
                  <c:v>0.50541507089050652</c:v>
                </c:pt>
                <c:pt idx="5">
                  <c:v>0.53214753602741105</c:v>
                </c:pt>
                <c:pt idx="6">
                  <c:v>0.55939014894632411</c:v>
                </c:pt>
                <c:pt idx="7">
                  <c:v>0.58056475784824102</c:v>
                </c:pt>
                <c:pt idx="8">
                  <c:v>0.59173079131733086</c:v>
                </c:pt>
                <c:pt idx="9">
                  <c:v>0.62344621177379256</c:v>
                </c:pt>
                <c:pt idx="10">
                  <c:v>0.65279535986374204</c:v>
                </c:pt>
                <c:pt idx="11">
                  <c:v>0.65189549869507901</c:v>
                </c:pt>
                <c:pt idx="12">
                  <c:v>0.66789517666973797</c:v>
                </c:pt>
                <c:pt idx="13">
                  <c:v>0.69122304005477575</c:v>
                </c:pt>
                <c:pt idx="14">
                  <c:v>0.71951759684303773</c:v>
                </c:pt>
                <c:pt idx="15">
                  <c:v>0.71601524376074732</c:v>
                </c:pt>
                <c:pt idx="16">
                  <c:v>0.72056252092711781</c:v>
                </c:pt>
                <c:pt idx="17">
                  <c:v>0.72541176470588231</c:v>
                </c:pt>
              </c:numCache>
            </c:numRef>
          </c:val>
          <c:extLst>
            <c:ext xmlns:c16="http://schemas.microsoft.com/office/drawing/2014/chart" uri="{C3380CC4-5D6E-409C-BE32-E72D297353CC}">
              <c16:uniqueId val="{00000001-6975-444D-8342-76F571224D4C}"/>
            </c:ext>
          </c:extLst>
        </c:ser>
        <c:dLbls>
          <c:showLegendKey val="0"/>
          <c:showVal val="0"/>
          <c:showCatName val="0"/>
          <c:showSerName val="0"/>
          <c:showPercent val="0"/>
          <c:showBubbleSize val="0"/>
        </c:dLbls>
        <c:gapWidth val="219"/>
        <c:overlap val="100"/>
        <c:axId val="842799056"/>
        <c:axId val="842804464"/>
      </c:barChart>
      <c:lineChart>
        <c:grouping val="standard"/>
        <c:varyColors val="0"/>
        <c:ser>
          <c:idx val="0"/>
          <c:order val="0"/>
          <c:tx>
            <c:strRef>
              <c:f>BKNG!$A$15</c:f>
              <c:strCache>
                <c:ptCount val="1"/>
                <c:pt idx="0">
                  <c:v>Agency YoY growth</c:v>
                </c:pt>
              </c:strCache>
            </c:strRef>
          </c:tx>
          <c:spPr>
            <a:ln w="28575" cap="rnd">
              <a:solidFill>
                <a:schemeClr val="accent1"/>
              </a:solidFill>
              <a:round/>
            </a:ln>
            <a:effectLst/>
          </c:spPr>
          <c:marker>
            <c:symbol val="triangle"/>
            <c:size val="6"/>
            <c:spPr>
              <a:solidFill>
                <a:schemeClr val="accent1"/>
              </a:solidFill>
              <a:ln w="9525">
                <a:solidFill>
                  <a:schemeClr val="accent1"/>
                </a:solidFill>
              </a:ln>
              <a:effectLst/>
            </c:spPr>
          </c:marker>
          <c:cat>
            <c:strRef>
              <c:extLst>
                <c:ext xmlns:c15="http://schemas.microsoft.com/office/drawing/2012/chart" uri="{02D57815-91ED-43cb-92C2-25804820EDAC}">
                  <c15:fullRef>
                    <c15:sqref>BKNG!$B$4:$BL$4</c15:sqref>
                  </c15:fullRef>
                </c:ext>
              </c:extLst>
              <c:f>(BKNG!$B$4:$Q$4,BKNG!$S$4:$BL$4)</c:f>
              <c:strCache>
                <c:ptCount val="18"/>
                <c:pt idx="0">
                  <c:v> 2019Q1 </c:v>
                </c:pt>
                <c:pt idx="1">
                  <c:v> 2019Q2 </c:v>
                </c:pt>
                <c:pt idx="2">
                  <c:v> 2019Q3 </c:v>
                </c:pt>
                <c:pt idx="3">
                  <c:v> 2019Q4 </c:v>
                </c:pt>
                <c:pt idx="4">
                  <c:v> 2020Q1 </c:v>
                </c:pt>
                <c:pt idx="5">
                  <c:v> 2023Q1 </c:v>
                </c:pt>
                <c:pt idx="6">
                  <c:v> 2023Q2 </c:v>
                </c:pt>
                <c:pt idx="7">
                  <c:v> 2023Q3 </c:v>
                </c:pt>
                <c:pt idx="8">
                  <c:v> 2023Q4 </c:v>
                </c:pt>
                <c:pt idx="9">
                  <c:v> 2024Q1 </c:v>
                </c:pt>
                <c:pt idx="10">
                  <c:v> 2024Q2 </c:v>
                </c:pt>
                <c:pt idx="11">
                  <c:v> 2024Q3 </c:v>
                </c:pt>
                <c:pt idx="12">
                  <c:v> 2024Q4 </c:v>
                </c:pt>
                <c:pt idx="13">
                  <c:v> 2025Q1 </c:v>
                </c:pt>
                <c:pt idx="14">
                  <c:v> 2025Q2 </c:v>
                </c:pt>
                <c:pt idx="15">
                  <c:v> 2025Q3 </c:v>
                </c:pt>
                <c:pt idx="16">
                  <c:v> 2026Q1 </c:v>
                </c:pt>
                <c:pt idx="17">
                  <c:v> 2026Q2 </c:v>
                </c:pt>
              </c:strCache>
            </c:strRef>
          </c:cat>
          <c:val>
            <c:numRef>
              <c:extLst>
                <c:ext xmlns:c15="http://schemas.microsoft.com/office/drawing/2012/chart" uri="{02D57815-91ED-43cb-92C2-25804820EDAC}">
                  <c15:fullRef>
                    <c15:sqref>BKNG!$W$15:$BL$15</c15:sqref>
                  </c15:fullRef>
                </c:ext>
              </c:extLst>
              <c:f>(BKNG!$W$15:$AL$15,BKNG!$AN$15:$BL$15)</c:f>
              <c:numCache>
                <c:formatCode>0.0%</c:formatCode>
                <c:ptCount val="18"/>
                <c:pt idx="0">
                  <c:v>-4.3643079315707656E-2</c:v>
                </c:pt>
                <c:pt idx="1">
                  <c:v>-2.367731796752226E-2</c:v>
                </c:pt>
                <c:pt idx="2">
                  <c:v>-4.7624053826745172E-2</c:v>
                </c:pt>
                <c:pt idx="3">
                  <c:v>-6.6447800393959255E-2</c:v>
                </c:pt>
                <c:pt idx="4">
                  <c:v>-0.57699999999999996</c:v>
                </c:pt>
                <c:pt idx="5" formatCode="0%">
                  <c:v>0.19700000000000001</c:v>
                </c:pt>
                <c:pt idx="6" formatCode="0%">
                  <c:v>-4.4999999999999998E-2</c:v>
                </c:pt>
                <c:pt idx="7" formatCode="0%">
                  <c:v>-4.0000000000000001E-3</c:v>
                </c:pt>
                <c:pt idx="8" formatCode="0%">
                  <c:v>-5.2526548357209046E-2</c:v>
                </c:pt>
                <c:pt idx="9" formatCode="0%">
                  <c:v>-8.85128205128205E-2</c:v>
                </c:pt>
                <c:pt idx="10" formatCode="0%">
                  <c:v>-0.15988152934841138</c:v>
                </c:pt>
                <c:pt idx="11" formatCode="0%">
                  <c:v>-0.14006384676775741</c:v>
                </c:pt>
                <c:pt idx="12" formatCode="0%">
                  <c:v>-2.6778998044230451E-2</c:v>
                </c:pt>
                <c:pt idx="13" formatCode="0%">
                  <c:v>-0.12793968718352655</c:v>
                </c:pt>
                <c:pt idx="14">
                  <c:v>-7.4931094160630707E-2</c:v>
                </c:pt>
                <c:pt idx="15" formatCode="0%">
                  <c:v>-7.6433543254888936E-2</c:v>
                </c:pt>
                <c:pt idx="16" formatCode="0%">
                  <c:v>-3.0838709677419307E-2</c:v>
                </c:pt>
                <c:pt idx="17" formatCode="0%">
                  <c:v>-3.2635809312638542E-2</c:v>
                </c:pt>
              </c:numCache>
            </c:numRef>
          </c:val>
          <c:smooth val="0"/>
          <c:extLst>
            <c:ext xmlns:c16="http://schemas.microsoft.com/office/drawing/2014/chart" uri="{C3380CC4-5D6E-409C-BE32-E72D297353CC}">
              <c16:uniqueId val="{00000002-6975-444D-8342-76F571224D4C}"/>
            </c:ext>
          </c:extLst>
        </c:ser>
        <c:ser>
          <c:idx val="2"/>
          <c:order val="2"/>
          <c:tx>
            <c:strRef>
              <c:f>BKNG!$A$18</c:f>
              <c:strCache>
                <c:ptCount val="1"/>
                <c:pt idx="0">
                  <c:v>Merchant YoY growth</c:v>
                </c:pt>
              </c:strCache>
            </c:strRef>
          </c:tx>
          <c:spPr>
            <a:ln w="28575" cap="rnd">
              <a:solidFill>
                <a:schemeClr val="accent3">
                  <a:lumMod val="60000"/>
                  <a:lumOff val="40000"/>
                </a:schemeClr>
              </a:solidFill>
              <a:round/>
            </a:ln>
            <a:effectLst/>
          </c:spPr>
          <c:marker>
            <c:symbol val="circle"/>
            <c:size val="6"/>
            <c:spPr>
              <a:solidFill>
                <a:schemeClr val="accent3">
                  <a:lumMod val="60000"/>
                  <a:lumOff val="40000"/>
                </a:schemeClr>
              </a:solidFill>
              <a:ln w="9525">
                <a:solidFill>
                  <a:schemeClr val="accent3"/>
                </a:solidFill>
              </a:ln>
              <a:effectLst/>
            </c:spPr>
          </c:marker>
          <c:cat>
            <c:strRef>
              <c:extLst>
                <c:ext xmlns:c15="http://schemas.microsoft.com/office/drawing/2012/chart" uri="{02D57815-91ED-43cb-92C2-25804820EDAC}">
                  <c15:fullRef>
                    <c15:sqref>BKNG!$B$4:$BL$4</c15:sqref>
                  </c15:fullRef>
                </c:ext>
              </c:extLst>
              <c:f>(BKNG!$B$4:$Q$4,BKNG!$S$4:$BL$4)</c:f>
              <c:strCache>
                <c:ptCount val="18"/>
                <c:pt idx="0">
                  <c:v> 2019Q1 </c:v>
                </c:pt>
                <c:pt idx="1">
                  <c:v> 2019Q2 </c:v>
                </c:pt>
                <c:pt idx="2">
                  <c:v> 2019Q3 </c:v>
                </c:pt>
                <c:pt idx="3">
                  <c:v> 2019Q4 </c:v>
                </c:pt>
                <c:pt idx="4">
                  <c:v> 2020Q1 </c:v>
                </c:pt>
                <c:pt idx="5">
                  <c:v> 2023Q1 </c:v>
                </c:pt>
                <c:pt idx="6">
                  <c:v> 2023Q2 </c:v>
                </c:pt>
                <c:pt idx="7">
                  <c:v> 2023Q3 </c:v>
                </c:pt>
                <c:pt idx="8">
                  <c:v> 2023Q4 </c:v>
                </c:pt>
                <c:pt idx="9">
                  <c:v> 2024Q1 </c:v>
                </c:pt>
                <c:pt idx="10">
                  <c:v> 2024Q2 </c:v>
                </c:pt>
                <c:pt idx="11">
                  <c:v> 2024Q3 </c:v>
                </c:pt>
                <c:pt idx="12">
                  <c:v> 2024Q4 </c:v>
                </c:pt>
                <c:pt idx="13">
                  <c:v> 2025Q1 </c:v>
                </c:pt>
                <c:pt idx="14">
                  <c:v> 2025Q2 </c:v>
                </c:pt>
                <c:pt idx="15">
                  <c:v> 2025Q3 </c:v>
                </c:pt>
                <c:pt idx="16">
                  <c:v> 2026Q1 </c:v>
                </c:pt>
                <c:pt idx="17">
                  <c:v> 2026Q2 </c:v>
                </c:pt>
              </c:strCache>
            </c:strRef>
          </c:cat>
          <c:val>
            <c:numRef>
              <c:extLst>
                <c:ext xmlns:c15="http://schemas.microsoft.com/office/drawing/2012/chart" uri="{02D57815-91ED-43cb-92C2-25804820EDAC}">
                  <c15:fullRef>
                    <c15:sqref>BKNG!$W$18:$BL$18</c15:sqref>
                  </c15:fullRef>
                </c:ext>
              </c:extLst>
              <c:f>(BKNG!$W$18:$AL$18,BKNG!$AN$18:$BL$18)</c:f>
              <c:numCache>
                <c:formatCode>0.0%</c:formatCode>
                <c:ptCount val="18"/>
                <c:pt idx="0">
                  <c:v>0.29273793414524141</c:v>
                </c:pt>
                <c:pt idx="1">
                  <c:v>0.33159975036405243</c:v>
                </c:pt>
                <c:pt idx="2">
                  <c:v>0.36438095238095247</c:v>
                </c:pt>
                <c:pt idx="3">
                  <c:v>0.50277649236464605</c:v>
                </c:pt>
                <c:pt idx="4">
                  <c:v>-0.28942777390090724</c:v>
                </c:pt>
                <c:pt idx="5" formatCode="0%">
                  <c:v>0.81</c:v>
                </c:pt>
                <c:pt idx="6" formatCode="0%">
                  <c:v>0.39900000000000002</c:v>
                </c:pt>
                <c:pt idx="7" formatCode="0%">
                  <c:v>0.53300000000000003</c:v>
                </c:pt>
                <c:pt idx="8" formatCode="0%">
                  <c:v>0.38739350071627832</c:v>
                </c:pt>
                <c:pt idx="9" formatCode="0%">
                  <c:v>0.29276860540974559</c:v>
                </c:pt>
                <c:pt idx="10" formatCode="0%">
                  <c:v>0.22289555913265779</c:v>
                </c:pt>
                <c:pt idx="11" formatCode="0%">
                  <c:v>0.27349467917920167</c:v>
                </c:pt>
                <c:pt idx="12" formatCode="0%">
                  <c:v>0.31672191728710386</c:v>
                </c:pt>
                <c:pt idx="13" formatCode="0%">
                  <c:v>0.20996855712122975</c:v>
                </c:pt>
                <c:pt idx="14">
                  <c:v>0.25067750677506773</c:v>
                </c:pt>
                <c:pt idx="15">
                  <c:v>0.26003102743106976</c:v>
                </c:pt>
                <c:pt idx="16">
                  <c:v>0.24273339749759382</c:v>
                </c:pt>
                <c:pt idx="17">
                  <c:v>0.14520971985760722</c:v>
                </c:pt>
              </c:numCache>
            </c:numRef>
          </c:val>
          <c:smooth val="0"/>
          <c:extLst>
            <c:ext xmlns:c16="http://schemas.microsoft.com/office/drawing/2014/chart" uri="{C3380CC4-5D6E-409C-BE32-E72D297353CC}">
              <c16:uniqueId val="{00000003-6975-444D-8342-76F571224D4C}"/>
            </c:ext>
          </c:extLst>
        </c:ser>
        <c:dLbls>
          <c:showLegendKey val="0"/>
          <c:showVal val="0"/>
          <c:showCatName val="0"/>
          <c:showSerName val="0"/>
          <c:showPercent val="0"/>
          <c:showBubbleSize val="0"/>
        </c:dLbls>
        <c:marker val="1"/>
        <c:smooth val="0"/>
        <c:axId val="798948000"/>
        <c:axId val="798945504"/>
      </c:lineChart>
      <c:catAx>
        <c:axId val="84279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2804464"/>
        <c:crosses val="autoZero"/>
        <c:auto val="1"/>
        <c:lblAlgn val="ctr"/>
        <c:lblOffset val="100"/>
        <c:noMultiLvlLbl val="0"/>
      </c:catAx>
      <c:valAx>
        <c:axId val="8428044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2799056"/>
        <c:crosses val="autoZero"/>
        <c:crossBetween val="between"/>
        <c:majorUnit val="0.2"/>
      </c:valAx>
      <c:valAx>
        <c:axId val="798945504"/>
        <c:scaling>
          <c:orientation val="minMax"/>
          <c:min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zh-CN"/>
          </a:p>
        </c:txPr>
        <c:crossAx val="798948000"/>
        <c:crosses val="max"/>
        <c:crossBetween val="between"/>
        <c:majorUnit val="1"/>
      </c:valAx>
      <c:catAx>
        <c:axId val="798948000"/>
        <c:scaling>
          <c:orientation val="minMax"/>
        </c:scaling>
        <c:delete val="1"/>
        <c:axPos val="b"/>
        <c:numFmt formatCode="General" sourceLinked="1"/>
        <c:majorTickMark val="out"/>
        <c:minorTickMark val="none"/>
        <c:tickLblPos val="nextTo"/>
        <c:crossAx val="798945504"/>
        <c:crosses val="autoZero"/>
        <c:auto val="1"/>
        <c:lblAlgn val="ctr"/>
        <c:lblOffset val="100"/>
        <c:noMultiLvlLbl val="0"/>
      </c:cat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400" b="0" i="0" baseline="0">
                <a:effectLst/>
              </a:rPr>
              <a:t>BKNG </a:t>
            </a:r>
            <a:r>
              <a:rPr lang="en-US" altLang="zh-CN" sz="1400" b="0" i="0" u="none" strike="noStrike" baseline="0">
                <a:effectLst/>
              </a:rPr>
              <a:t>Revenue &amp; YoY Growth</a:t>
            </a:r>
            <a:endParaRPr lang="zh-CN" altLang="zh-CN" sz="1400">
              <a:effectLst/>
            </a:endParaRPr>
          </a:p>
        </c:rich>
      </c:tx>
      <c:layout>
        <c:manualLayout>
          <c:xMode val="edge"/>
          <c:yMode val="edge"/>
          <c:x val="0.26730324335310568"/>
          <c:y val="2.50794486701145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9.9452328937924689E-2"/>
          <c:y val="0.14122807017543859"/>
          <c:w val="0.81210010425343526"/>
          <c:h val="0.51443086061610721"/>
        </c:manualLayout>
      </c:layout>
      <c:barChart>
        <c:barDir val="col"/>
        <c:grouping val="clustered"/>
        <c:varyColors val="0"/>
        <c:ser>
          <c:idx val="0"/>
          <c:order val="0"/>
          <c:tx>
            <c:strRef>
              <c:f>BKNG!$A$33</c:f>
              <c:strCache>
                <c:ptCount val="1"/>
                <c:pt idx="0">
                  <c:v>Net revenues</c:v>
                </c:pt>
              </c:strCache>
            </c:strRef>
          </c:tx>
          <c:spPr>
            <a:solidFill>
              <a:schemeClr val="accent1"/>
            </a:solidFill>
            <a:ln>
              <a:noFill/>
            </a:ln>
            <a:effectLst/>
          </c:spPr>
          <c:invertIfNegative val="0"/>
          <c:cat>
            <c:strRef>
              <c:extLst>
                <c:ext xmlns:c15="http://schemas.microsoft.com/office/drawing/2012/chart" uri="{02D57815-91ED-43cb-92C2-25804820EDAC}">
                  <c15:fullRef>
                    <c15:sqref>BKNG!$W$4:$BL$4</c15:sqref>
                  </c15:fullRef>
                </c:ext>
              </c:extLst>
              <c:f>(BKNG!$W$4:$AL$4,BKNG!$AN$4:$BL$4)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BKNG!$W$33:$BL$33</c15:sqref>
                  </c15:fullRef>
                </c:ext>
              </c:extLst>
              <c:f>(BKNG!$W$33:$AL$33,BKNG!$AN$33:$BL$33)</c:f>
              <c:numCache>
                <c:formatCode>#,##0_);[Red]\(#,##0\)</c:formatCode>
                <c:ptCount val="18"/>
                <c:pt idx="0">
                  <c:v>2837</c:v>
                </c:pt>
                <c:pt idx="1">
                  <c:v>3850</c:v>
                </c:pt>
                <c:pt idx="2">
                  <c:v>5040</c:v>
                </c:pt>
                <c:pt idx="3">
                  <c:v>3339</c:v>
                </c:pt>
                <c:pt idx="4">
                  <c:v>3778</c:v>
                </c:pt>
                <c:pt idx="5">
                  <c:v>5462</c:v>
                </c:pt>
                <c:pt idx="6">
                  <c:v>7341</c:v>
                </c:pt>
                <c:pt idx="7">
                  <c:v>4784</c:v>
                </c:pt>
                <c:pt idx="8">
                  <c:v>4415</c:v>
                </c:pt>
                <c:pt idx="9">
                  <c:v>5859</c:v>
                </c:pt>
                <c:pt idx="10">
                  <c:v>7994</c:v>
                </c:pt>
                <c:pt idx="11">
                  <c:v>5471.14360367893</c:v>
                </c:pt>
                <c:pt idx="12">
                  <c:v>4762</c:v>
                </c:pt>
                <c:pt idx="13">
                  <c:v>6798</c:v>
                </c:pt>
                <c:pt idx="14">
                  <c:v>9008</c:v>
                </c:pt>
                <c:pt idx="15">
                  <c:v>6349</c:v>
                </c:pt>
                <c:pt idx="16">
                  <c:v>5532</c:v>
                </c:pt>
                <c:pt idx="17">
                  <c:v>7352</c:v>
                </c:pt>
              </c:numCache>
            </c:numRef>
          </c:val>
          <c:extLst>
            <c:ext xmlns:c16="http://schemas.microsoft.com/office/drawing/2014/chart" uri="{C3380CC4-5D6E-409C-BE32-E72D297353CC}">
              <c16:uniqueId val="{00000000-A5DE-4621-BADE-3A1C8C3F32BD}"/>
            </c:ext>
          </c:extLst>
        </c:ser>
        <c:dLbls>
          <c:showLegendKey val="0"/>
          <c:showVal val="0"/>
          <c:showCatName val="0"/>
          <c:showSerName val="0"/>
          <c:showPercent val="0"/>
          <c:showBubbleSize val="0"/>
        </c:dLbls>
        <c:gapWidth val="219"/>
        <c:overlap val="-27"/>
        <c:axId val="798950496"/>
        <c:axId val="798941760"/>
      </c:barChart>
      <c:lineChart>
        <c:grouping val="standard"/>
        <c:varyColors val="0"/>
        <c:ser>
          <c:idx val="2"/>
          <c:order val="1"/>
          <c:tx>
            <c:strRef>
              <c:f>BKNG!$A$158</c:f>
              <c:strCache>
                <c:ptCount val="1"/>
                <c:pt idx="0">
                  <c:v>Net Revenue on a non-constant currency basis</c:v>
                </c:pt>
              </c:strCache>
            </c:strRef>
          </c:tx>
          <c:spPr>
            <a:ln w="28575" cap="rnd">
              <a:solidFill>
                <a:schemeClr val="accent3">
                  <a:lumMod val="60000"/>
                  <a:lumOff val="40000"/>
                </a:schemeClr>
              </a:solidFill>
              <a:round/>
            </a:ln>
            <a:effectLst/>
          </c:spPr>
          <c:marker>
            <c:symbol val="triangle"/>
            <c:size val="6"/>
            <c:spPr>
              <a:solidFill>
                <a:schemeClr val="accent3">
                  <a:lumMod val="60000"/>
                  <a:lumOff val="40000"/>
                </a:schemeClr>
              </a:solidFill>
              <a:ln w="9525">
                <a:solidFill>
                  <a:schemeClr val="accent3">
                    <a:lumMod val="60000"/>
                    <a:lumOff val="40000"/>
                  </a:schemeClr>
                </a:solidFill>
              </a:ln>
              <a:effectLst/>
            </c:spPr>
          </c:marker>
          <c:dLbls>
            <c:dLbl>
              <c:idx val="1"/>
              <c:tx>
                <c:rich>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r>
                      <a:rPr lang="en-US" altLang="zh-CN"/>
                      <a:t>8.9%</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DEA-416D-B55C-3F5A019756F2}"/>
                </c:ext>
              </c:extLst>
            </c:dLbl>
            <c:dLbl>
              <c:idx val="5"/>
              <c:tx>
                <c:rich>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r>
                      <a:rPr lang="en-US" altLang="zh-CN"/>
                      <a:t>27.2%</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DEA-416D-B55C-3F5A019756F2}"/>
                </c:ext>
              </c:extLst>
            </c:dLbl>
            <c:dLbl>
              <c:idx val="9"/>
              <c:tx>
                <c:rich>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r>
                      <a:rPr lang="en-US" altLang="zh-CN"/>
                      <a:t>7.3%</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DEA-416D-B55C-3F5A019756F2}"/>
                </c:ext>
              </c:extLst>
            </c:dLbl>
            <c:dLbl>
              <c:idx val="13"/>
              <c:tx>
                <c:rich>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r>
                      <a:rPr lang="en-US" altLang="zh-CN"/>
                      <a:t>16%</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DEA-416D-B55C-3F5A019756F2}"/>
                </c:ext>
              </c:extLst>
            </c:dLbl>
            <c:dLbl>
              <c:idx val="17"/>
              <c:tx>
                <c:rich>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r>
                      <a:rPr lang="en-US" altLang="zh-CN"/>
                      <a:t>8.1%</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134-4494-AAE9-A1D87A4383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BKNG!$W$4:$BL$4</c15:sqref>
                  </c15:fullRef>
                </c:ext>
              </c:extLst>
              <c:f>(BKNG!$W$4:$AL$4,BKNG!$AN$4:$BL$4)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BKNG!$W$158:$BL$158</c15:sqref>
                  </c15:fullRef>
                </c:ext>
              </c:extLst>
              <c:f>(BKNG!$W$158:$AL$158,BKNG!$AN$158:$BL$158)</c:f>
              <c:numCache>
                <c:formatCode>0.0%</c:formatCode>
                <c:ptCount val="18"/>
                <c:pt idx="0">
                  <c:v>-3.1E-2</c:v>
                </c:pt>
                <c:pt idx="1">
                  <c:v>8.8999999999999996E-2</c:v>
                </c:pt>
                <c:pt idx="2">
                  <c:v>3.9E-2</c:v>
                </c:pt>
                <c:pt idx="3">
                  <c:v>3.9E-2</c:v>
                </c:pt>
                <c:pt idx="4">
                  <c:v>0.40200000000000002</c:v>
                </c:pt>
                <c:pt idx="5">
                  <c:v>0.27200000000000002</c:v>
                </c:pt>
                <c:pt idx="6">
                  <c:v>0.21299999999999999</c:v>
                </c:pt>
                <c:pt idx="7">
                  <c:v>0.18099999999999999</c:v>
                </c:pt>
                <c:pt idx="8">
                  <c:v>0.16900000000000001</c:v>
                </c:pt>
                <c:pt idx="9">
                  <c:v>7.2683998535335137E-2</c:v>
                </c:pt>
                <c:pt idx="10">
                  <c:v>8.8952458793079892E-2</c:v>
                </c:pt>
                <c:pt idx="11">
                  <c:v>0.14360367892976589</c:v>
                </c:pt>
                <c:pt idx="12">
                  <c:v>7.859569648924114E-2</c:v>
                </c:pt>
                <c:pt idx="13">
                  <c:v>0.1602662570404505</c:v>
                </c:pt>
                <c:pt idx="14">
                  <c:v>0.12684513385038776</c:v>
                </c:pt>
                <c:pt idx="15">
                  <c:v>0.16048254432462072</c:v>
                </c:pt>
                <c:pt idx="16">
                  <c:v>0.16</c:v>
                </c:pt>
                <c:pt idx="17">
                  <c:v>8.1000000000000003E-2</c:v>
                </c:pt>
              </c:numCache>
            </c:numRef>
          </c:val>
          <c:smooth val="0"/>
          <c:extLst>
            <c:ext xmlns:c16="http://schemas.microsoft.com/office/drawing/2014/chart" uri="{C3380CC4-5D6E-409C-BE32-E72D297353CC}">
              <c16:uniqueId val="{00000002-A5DE-4621-BADE-3A1C8C3F32BD}"/>
            </c:ext>
          </c:extLst>
        </c:ser>
        <c:dLbls>
          <c:showLegendKey val="0"/>
          <c:showVal val="0"/>
          <c:showCatName val="0"/>
          <c:showSerName val="0"/>
          <c:showPercent val="0"/>
          <c:showBubbleSize val="0"/>
        </c:dLbls>
        <c:marker val="1"/>
        <c:smooth val="0"/>
        <c:axId val="340891616"/>
        <c:axId val="842811536"/>
      </c:lineChart>
      <c:dateAx>
        <c:axId val="798950496"/>
        <c:scaling>
          <c:orientation val="minMax"/>
        </c:scaling>
        <c:delete val="0"/>
        <c:axPos val="b"/>
        <c:numFmt formatCode="m/d/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98941760"/>
        <c:crosses val="autoZero"/>
        <c:auto val="0"/>
        <c:lblOffset val="100"/>
        <c:baseTimeUnit val="days"/>
      </c:dateAx>
      <c:valAx>
        <c:axId val="79894176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98950496"/>
        <c:crosses val="autoZero"/>
        <c:crossBetween val="between"/>
      </c:valAx>
      <c:valAx>
        <c:axId val="842811536"/>
        <c:scaling>
          <c:orientation val="minMax"/>
          <c:min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zh-CN"/>
          </a:p>
        </c:txPr>
        <c:crossAx val="340891616"/>
        <c:crosses val="max"/>
        <c:crossBetween val="between"/>
      </c:valAx>
      <c:catAx>
        <c:axId val="340891616"/>
        <c:scaling>
          <c:orientation val="minMax"/>
        </c:scaling>
        <c:delete val="1"/>
        <c:axPos val="b"/>
        <c:numFmt formatCode="General" sourceLinked="1"/>
        <c:majorTickMark val="out"/>
        <c:minorTickMark val="none"/>
        <c:tickLblPos val="nextTo"/>
        <c:crossAx val="842811536"/>
        <c:crosses val="autoZero"/>
        <c:auto val="1"/>
        <c:lblAlgn val="ctr"/>
        <c:lblOffset val="100"/>
        <c:noMultiLvlLbl val="0"/>
      </c:catAx>
      <c:spPr>
        <a:noFill/>
        <a:ln>
          <a:solidFill>
            <a:schemeClr val="bg1">
              <a:lumMod val="75000"/>
            </a:schemeClr>
          </a:solidFill>
        </a:ln>
        <a:effectLst/>
      </c:spPr>
    </c:plotArea>
    <c:legend>
      <c:legendPos val="b"/>
      <c:layout>
        <c:manualLayout>
          <c:xMode val="edge"/>
          <c:yMode val="edge"/>
          <c:x val="0.14004515902578049"/>
          <c:y val="0.80646774416355849"/>
          <c:w val="0.664381389481011"/>
          <c:h val="0.193532152230971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400" b="0" i="0" baseline="0">
                <a:effectLst/>
              </a:rPr>
              <a:t>BKNG Revenue </a:t>
            </a:r>
            <a:r>
              <a:rPr lang="en-US" altLang="zh-CN" sz="1400" b="0" i="0" u="none" strike="noStrike" baseline="0">
                <a:effectLst/>
              </a:rPr>
              <a:t>by Bussiness </a:t>
            </a:r>
            <a:endParaRPr lang="zh-CN" altLang="zh-CN"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0.10178798610872331"/>
          <c:y val="0.1460946094609461"/>
          <c:w val="0.79343992481289183"/>
          <c:h val="0.46882392176225496"/>
        </c:manualLayout>
      </c:layout>
      <c:barChart>
        <c:barDir val="col"/>
        <c:grouping val="percentStacked"/>
        <c:varyColors val="0"/>
        <c:ser>
          <c:idx val="1"/>
          <c:order val="1"/>
          <c:tx>
            <c:strRef>
              <c:f>BKNG!$A$41</c:f>
              <c:strCache>
                <c:ptCount val="1"/>
                <c:pt idx="0">
                  <c:v>Agency %</c:v>
                </c:pt>
              </c:strCache>
            </c:strRef>
          </c:tx>
          <c:spPr>
            <a:solidFill>
              <a:schemeClr val="accent2"/>
            </a:solidFill>
            <a:ln>
              <a:noFill/>
            </a:ln>
            <a:effectLst/>
          </c:spPr>
          <c:invertIfNegative val="0"/>
          <c:cat>
            <c:strRef>
              <c:extLst>
                <c:ext xmlns:c15="http://schemas.microsoft.com/office/drawing/2012/chart" uri="{02D57815-91ED-43cb-92C2-25804820EDAC}">
                  <c15:fullRef>
                    <c15:sqref>BKNG!$W$4:$BL$4</c15:sqref>
                  </c15:fullRef>
                </c:ext>
              </c:extLst>
              <c:f>(BKNG!$W$4:$AL$4,BKNG!$AN$4:$BL$4)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BKNG!$W$41:$BL$41</c15:sqref>
                  </c15:fullRef>
                </c:ext>
              </c:extLst>
              <c:f>(BKNG!$W$41:$AL$41,BKNG!$AN$41:$BL$41)</c:f>
              <c:numCache>
                <c:formatCode>0%</c:formatCode>
                <c:ptCount val="18"/>
                <c:pt idx="0">
                  <c:v>0.68699330278463167</c:v>
                </c:pt>
                <c:pt idx="1">
                  <c:v>0.67714285714285716</c:v>
                </c:pt>
                <c:pt idx="2">
                  <c:v>0.68154761904761907</c:v>
                </c:pt>
                <c:pt idx="3">
                  <c:v>0.63671758011380652</c:v>
                </c:pt>
                <c:pt idx="4">
                  <c:v>0.47167813658020119</c:v>
                </c:pt>
                <c:pt idx="5">
                  <c:v>0.4447088978396192</c:v>
                </c:pt>
                <c:pt idx="6">
                  <c:v>0.42705353494074377</c:v>
                </c:pt>
                <c:pt idx="7">
                  <c:v>0.43227424749163879</c:v>
                </c:pt>
                <c:pt idx="8">
                  <c:v>0.39932049830124577</c:v>
                </c:pt>
                <c:pt idx="9">
                  <c:v>0.36593275302952721</c:v>
                </c:pt>
                <c:pt idx="10" formatCode="0.0%">
                  <c:v>0.34438328746559921</c:v>
                </c:pt>
                <c:pt idx="11">
                  <c:v>0.34069659563433885</c:v>
                </c:pt>
                <c:pt idx="12">
                  <c:v>0.32843343133137337</c:v>
                </c:pt>
                <c:pt idx="13">
                  <c:v>0.30067666960870842</c:v>
                </c:pt>
                <c:pt idx="14">
                  <c:v>0.28519094138543516</c:v>
                </c:pt>
                <c:pt idx="15">
                  <c:v>0.28209166797920932</c:v>
                </c:pt>
                <c:pt idx="16">
                  <c:v>0.27621113521330443</c:v>
                </c:pt>
                <c:pt idx="17">
                  <c:v>0.25884113166485312</c:v>
                </c:pt>
              </c:numCache>
            </c:numRef>
          </c:val>
          <c:extLst>
            <c:ext xmlns:c16="http://schemas.microsoft.com/office/drawing/2014/chart" uri="{C3380CC4-5D6E-409C-BE32-E72D297353CC}">
              <c16:uniqueId val="{00000000-1EBF-4486-9F51-39E705F99CBE}"/>
            </c:ext>
          </c:extLst>
        </c:ser>
        <c:ser>
          <c:idx val="3"/>
          <c:order val="3"/>
          <c:tx>
            <c:strRef>
              <c:f>BKNG!$A$44</c:f>
              <c:strCache>
                <c:ptCount val="1"/>
                <c:pt idx="0">
                  <c:v>Merchant %</c:v>
                </c:pt>
              </c:strCache>
            </c:strRef>
          </c:tx>
          <c:spPr>
            <a:solidFill>
              <a:schemeClr val="accent4"/>
            </a:solidFill>
            <a:ln>
              <a:noFill/>
            </a:ln>
            <a:effectLst/>
          </c:spPr>
          <c:invertIfNegative val="0"/>
          <c:dLbls>
            <c:dLbl>
              <c:idx val="1"/>
              <c:tx>
                <c:rich>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r>
                      <a:rPr lang="en-US" altLang="zh-CN"/>
                      <a:t>24.9%</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endParaRPr lang="zh-CN"/>
                </a:p>
              </c:tx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D87-4955-930D-CD5EA2D4B402}"/>
                </c:ext>
              </c:extLst>
            </c:dLbl>
            <c:dLbl>
              <c:idx val="5"/>
              <c:tx>
                <c:rich>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r>
                      <a:rPr lang="en-US" altLang="zh-CN"/>
                      <a:t>50.7%</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endParaRPr lang="zh-CN"/>
                </a:p>
              </c:tx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D87-4955-930D-CD5EA2D4B402}"/>
                </c:ext>
              </c:extLst>
            </c:dLbl>
            <c:dLbl>
              <c:idx val="9"/>
              <c:tx>
                <c:rich>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r>
                      <a:rPr lang="en-US" altLang="zh-CN"/>
                      <a:t>58.8%</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endParaRPr lang="zh-CN"/>
                </a:p>
              </c:tx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D87-4955-930D-CD5EA2D4B402}"/>
                </c:ext>
              </c:extLst>
            </c:dLbl>
            <c:dLbl>
              <c:idx val="13"/>
              <c:tx>
                <c:rich>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r>
                      <a:rPr lang="en-US" altLang="zh-CN"/>
                      <a:t>65.6%</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endParaRPr lang="zh-CN"/>
                </a:p>
              </c:tx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D87-4955-930D-CD5EA2D4B402}"/>
                </c:ext>
              </c:extLst>
            </c:dLbl>
            <c:dLbl>
              <c:idx val="17"/>
              <c:tx>
                <c:rich>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r>
                      <a:rPr lang="en-US" altLang="zh-CN"/>
                      <a:t>69.7%</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1100" b="1" i="0" u="none" strike="noStrike" kern="1200" baseline="0">
                      <a:solidFill>
                        <a:srgbClr val="000000"/>
                      </a:solidFill>
                      <a:latin typeface="+mn-lt"/>
                      <a:ea typeface="+mn-ea"/>
                      <a:cs typeface="+mn-cs"/>
                    </a:defRPr>
                  </a:pPr>
                  <a:endParaRPr lang="zh-CN"/>
                </a:p>
              </c:tx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B2B-400F-8105-6DA8701CAC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BKNG!$W$4:$BL$4</c15:sqref>
                  </c15:fullRef>
                </c:ext>
              </c:extLst>
              <c:f>(BKNG!$W$4:$AL$4,BKNG!$AN$4:$BL$4)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BKNG!$W$44:$BL$44</c15:sqref>
                  </c15:fullRef>
                </c:ext>
              </c:extLst>
              <c:f>(BKNG!$W$44:$AL$44,BKNG!$AN$44:$BL$44)</c:f>
              <c:numCache>
                <c:formatCode>0%</c:formatCode>
                <c:ptCount val="18"/>
                <c:pt idx="0">
                  <c:v>0.21254846669016567</c:v>
                </c:pt>
                <c:pt idx="1">
                  <c:v>0.24909090909090909</c:v>
                </c:pt>
                <c:pt idx="2">
                  <c:v>0.26051587301587303</c:v>
                </c:pt>
                <c:pt idx="3">
                  <c:v>0.28601377657981431</c:v>
                </c:pt>
                <c:pt idx="4">
                  <c:v>0.46373742721016409</c:v>
                </c:pt>
                <c:pt idx="5">
                  <c:v>0.50714024166971805</c:v>
                </c:pt>
                <c:pt idx="6">
                  <c:v>0.53739272578667752</c:v>
                </c:pt>
                <c:pt idx="7">
                  <c:v>0.51609531772575246</c:v>
                </c:pt>
                <c:pt idx="8">
                  <c:v>0.54088335220838057</c:v>
                </c:pt>
                <c:pt idx="9">
                  <c:v>0.58815497525174942</c:v>
                </c:pt>
                <c:pt idx="10" formatCode="0.0%">
                  <c:v>0.62196647485614209</c:v>
                </c:pt>
                <c:pt idx="11">
                  <c:v>0.60974455098506142</c:v>
                </c:pt>
                <c:pt idx="12">
                  <c:v>0.61276774464510708</c:v>
                </c:pt>
                <c:pt idx="13">
                  <c:v>0.65563401000294208</c:v>
                </c:pt>
                <c:pt idx="14">
                  <c:v>0.68061722912966249</c:v>
                </c:pt>
                <c:pt idx="15">
                  <c:v>0.66923925027563391</c:v>
                </c:pt>
                <c:pt idx="16">
                  <c:v>0.6684743311641359</c:v>
                </c:pt>
                <c:pt idx="17">
                  <c:v>0.69736126224156691</c:v>
                </c:pt>
              </c:numCache>
            </c:numRef>
          </c:val>
          <c:extLst>
            <c:ext xmlns:c16="http://schemas.microsoft.com/office/drawing/2014/chart" uri="{C3380CC4-5D6E-409C-BE32-E72D297353CC}">
              <c16:uniqueId val="{00000001-1EBF-4486-9F51-39E705F99CBE}"/>
            </c:ext>
          </c:extLst>
        </c:ser>
        <c:ser>
          <c:idx val="5"/>
          <c:order val="5"/>
          <c:tx>
            <c:strRef>
              <c:f>BKNG!$A$47</c:f>
              <c:strCache>
                <c:ptCount val="1"/>
                <c:pt idx="0">
                  <c:v>Advertising&amp;media %</c:v>
                </c:pt>
              </c:strCache>
            </c:strRef>
          </c:tx>
          <c:spPr>
            <a:solidFill>
              <a:schemeClr val="accent6"/>
            </a:solidFill>
            <a:ln>
              <a:noFill/>
            </a:ln>
            <a:effectLst/>
          </c:spPr>
          <c:invertIfNegative val="0"/>
          <c:cat>
            <c:strRef>
              <c:extLst>
                <c:ext xmlns:c15="http://schemas.microsoft.com/office/drawing/2012/chart" uri="{02D57815-91ED-43cb-92C2-25804820EDAC}">
                  <c15:fullRef>
                    <c15:sqref>BKNG!$W$4:$BL$4</c15:sqref>
                  </c15:fullRef>
                </c:ext>
              </c:extLst>
              <c:f>(BKNG!$W$4:$AL$4,BKNG!$AN$4:$BL$4)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BKNG!$W$47:$BL$47</c15:sqref>
                  </c15:fullRef>
                </c:ext>
              </c:extLst>
              <c:f>(BKNG!$W$47:$AL$47,BKNG!$AN$47:$BL$47)</c:f>
              <c:numCache>
                <c:formatCode>0.0%</c:formatCode>
                <c:ptCount val="18"/>
                <c:pt idx="0">
                  <c:v>0.10045823052520268</c:v>
                </c:pt>
                <c:pt idx="1">
                  <c:v>7.3766233766233771E-2</c:v>
                </c:pt>
                <c:pt idx="2">
                  <c:v>5.7936507936507939E-2</c:v>
                </c:pt>
                <c:pt idx="3">
                  <c:v>7.7268643306379156E-2</c:v>
                </c:pt>
                <c:pt idx="4">
                  <c:v>6.4584436209634721E-2</c:v>
                </c:pt>
                <c:pt idx="5">
                  <c:v>4.8150860490662764E-2</c:v>
                </c:pt>
                <c:pt idx="6">
                  <c:v>3.5553739272578669E-2</c:v>
                </c:pt>
                <c:pt idx="7">
                  <c:v>5.1630434782608696E-2</c:v>
                </c:pt>
                <c:pt idx="8">
                  <c:v>5.9796149490373728E-2</c:v>
                </c:pt>
                <c:pt idx="9" formatCode="0%">
                  <c:v>4.5912271718723328E-2</c:v>
                </c:pt>
                <c:pt idx="10">
                  <c:v>3.3650237678258692E-2</c:v>
                </c:pt>
                <c:pt idx="11">
                  <c:v>4.9532605910357207E-2</c:v>
                </c:pt>
                <c:pt idx="12">
                  <c:v>5.8798824023519533E-2</c:v>
                </c:pt>
                <c:pt idx="13">
                  <c:v>4.3689320388349516E-2</c:v>
                </c:pt>
                <c:pt idx="14">
                  <c:v>3.4191829484902306E-2</c:v>
                </c:pt>
                <c:pt idx="15">
                  <c:v>4.8669081745156717E-2</c:v>
                </c:pt>
                <c:pt idx="16">
                  <c:v>5.5314533622559656E-2</c:v>
                </c:pt>
                <c:pt idx="17">
                  <c:v>4.379760609357998E-2</c:v>
                </c:pt>
              </c:numCache>
            </c:numRef>
          </c:val>
          <c:extLst>
            <c:ext xmlns:c16="http://schemas.microsoft.com/office/drawing/2014/chart" uri="{C3380CC4-5D6E-409C-BE32-E72D297353CC}">
              <c16:uniqueId val="{00000002-1EBF-4486-9F51-39E705F99CBE}"/>
            </c:ext>
          </c:extLst>
        </c:ser>
        <c:dLbls>
          <c:showLegendKey val="0"/>
          <c:showVal val="0"/>
          <c:showCatName val="0"/>
          <c:showSerName val="0"/>
          <c:showPercent val="0"/>
          <c:showBubbleSize val="0"/>
        </c:dLbls>
        <c:gapWidth val="219"/>
        <c:overlap val="100"/>
        <c:axId val="842813616"/>
        <c:axId val="842810704"/>
      </c:barChart>
      <c:lineChart>
        <c:grouping val="standard"/>
        <c:varyColors val="0"/>
        <c:ser>
          <c:idx val="0"/>
          <c:order val="0"/>
          <c:tx>
            <c:strRef>
              <c:f>BKNG!$A$40</c:f>
              <c:strCache>
                <c:ptCount val="1"/>
                <c:pt idx="0">
                  <c:v>Agency YoY growth</c:v>
                </c:pt>
              </c:strCache>
            </c:strRef>
          </c:tx>
          <c:spPr>
            <a:ln w="28575" cap="rnd">
              <a:solidFill>
                <a:schemeClr val="accent1"/>
              </a:solidFill>
              <a:round/>
            </a:ln>
            <a:effectLst/>
          </c:spPr>
          <c:marker>
            <c:symbol val="star"/>
            <c:size val="6"/>
            <c:spPr>
              <a:solidFill>
                <a:schemeClr val="accent1"/>
              </a:solidFill>
              <a:ln w="9525">
                <a:solidFill>
                  <a:schemeClr val="accent1"/>
                </a:solidFill>
              </a:ln>
              <a:effectLst/>
            </c:spPr>
          </c:marker>
          <c:cat>
            <c:strRef>
              <c:extLst>
                <c:ext xmlns:c15="http://schemas.microsoft.com/office/drawing/2012/chart" uri="{02D57815-91ED-43cb-92C2-25804820EDAC}">
                  <c15:fullRef>
                    <c15:sqref>BKNG!$W$4:$BL$4</c15:sqref>
                  </c15:fullRef>
                </c:ext>
              </c:extLst>
              <c:f>(BKNG!$W$4:$AL$4,BKNG!$AN$4:$BL$4)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BKNG!$W$40:$BL$40</c15:sqref>
                  </c15:fullRef>
                </c:ext>
              </c:extLst>
              <c:f>(BKNG!$W$40:$AL$40,BKNG!$AN$40:$BL$40)</c:f>
              <c:numCache>
                <c:formatCode>0.0%</c:formatCode>
                <c:ptCount val="18"/>
                <c:pt idx="0">
                  <c:v>-7.7762725241903863E-2</c:v>
                </c:pt>
                <c:pt idx="1">
                  <c:v>1.586217941599033E-2</c:v>
                </c:pt>
                <c:pt idx="2">
                  <c:v>-2.9900527383917019E-2</c:v>
                </c:pt>
                <c:pt idx="3">
                  <c:v>-5.8875608676405511E-2</c:v>
                </c:pt>
                <c:pt idx="4">
                  <c:v>0.22896551724137937</c:v>
                </c:pt>
                <c:pt idx="5">
                  <c:v>5.5627987831377679E-2</c:v>
                </c:pt>
                <c:pt idx="6">
                  <c:v>-2.1230096784264796E-2</c:v>
                </c:pt>
                <c:pt idx="7">
                  <c:v>9.2728160078086042E-3</c:v>
                </c:pt>
                <c:pt idx="8">
                  <c:v>-1.0662177328844002E-2</c:v>
                </c:pt>
                <c:pt idx="9">
                  <c:v>-0.1173322354878551</c:v>
                </c:pt>
                <c:pt idx="10">
                  <c:v>-0.12185007974481654</c:v>
                </c:pt>
                <c:pt idx="11">
                  <c:v>-9.8646034816247563E-2</c:v>
                </c:pt>
                <c:pt idx="12">
                  <c:v>-0.11287577992058995</c:v>
                </c:pt>
                <c:pt idx="13" formatCode="0%">
                  <c:v>-4.6641791044776171E-2</c:v>
                </c:pt>
                <c:pt idx="14" formatCode="0%">
                  <c:v>-6.6836178714130057E-2</c:v>
                </c:pt>
                <c:pt idx="15" formatCode="0%">
                  <c:v>-3.9163090128755407E-2</c:v>
                </c:pt>
                <c:pt idx="16" formatCode="0%">
                  <c:v>-2.3017902813299185E-2</c:v>
                </c:pt>
                <c:pt idx="17" formatCode="0%">
                  <c:v>-6.8982387475538198E-2</c:v>
                </c:pt>
              </c:numCache>
            </c:numRef>
          </c:val>
          <c:smooth val="0"/>
          <c:extLst>
            <c:ext xmlns:c16="http://schemas.microsoft.com/office/drawing/2014/chart" uri="{C3380CC4-5D6E-409C-BE32-E72D297353CC}">
              <c16:uniqueId val="{00000003-1EBF-4486-9F51-39E705F99CBE}"/>
            </c:ext>
          </c:extLst>
        </c:ser>
        <c:ser>
          <c:idx val="2"/>
          <c:order val="2"/>
          <c:tx>
            <c:strRef>
              <c:f>BKNG!$A$43</c:f>
              <c:strCache>
                <c:ptCount val="1"/>
                <c:pt idx="0">
                  <c:v>Merchant YoY growth</c:v>
                </c:pt>
              </c:strCache>
            </c:strRef>
          </c:tx>
          <c:spPr>
            <a:ln w="28575" cap="rnd">
              <a:solidFill>
                <a:schemeClr val="accent3">
                  <a:lumMod val="60000"/>
                  <a:lumOff val="40000"/>
                </a:schemeClr>
              </a:solidFill>
              <a:round/>
            </a:ln>
            <a:effectLst/>
          </c:spPr>
          <c:marker>
            <c:symbol val="triangle"/>
            <c:size val="6"/>
            <c:spPr>
              <a:solidFill>
                <a:schemeClr val="accent3">
                  <a:lumMod val="60000"/>
                  <a:lumOff val="40000"/>
                </a:schemeClr>
              </a:solidFill>
              <a:ln w="9525">
                <a:solidFill>
                  <a:schemeClr val="accent3">
                    <a:lumMod val="60000"/>
                    <a:lumOff val="40000"/>
                  </a:schemeClr>
                </a:solidFill>
              </a:ln>
              <a:effectLst/>
            </c:spPr>
          </c:marker>
          <c:cat>
            <c:strRef>
              <c:extLst>
                <c:ext xmlns:c15="http://schemas.microsoft.com/office/drawing/2012/chart" uri="{02D57815-91ED-43cb-92C2-25804820EDAC}">
                  <c15:fullRef>
                    <c15:sqref>BKNG!$W$4:$BL$4</c15:sqref>
                  </c15:fullRef>
                </c:ext>
              </c:extLst>
              <c:f>(BKNG!$W$4:$AL$4,BKNG!$AN$4:$BL$4)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BKNG!$W$43:$BL$43</c15:sqref>
                  </c15:fullRef>
                </c:ext>
              </c:extLst>
              <c:f>(BKNG!$W$43:$AL$43,BKNG!$AN$43:$BL$43)</c:f>
              <c:numCache>
                <c:formatCode>0.0%</c:formatCode>
                <c:ptCount val="18"/>
                <c:pt idx="0">
                  <c:v>0.14537093493039444</c:v>
                </c:pt>
                <c:pt idx="1">
                  <c:v>0.35096300136364134</c:v>
                </c:pt>
                <c:pt idx="2">
                  <c:v>0.25088004603391001</c:v>
                </c:pt>
                <c:pt idx="3">
                  <c:v>0.36233951497860195</c:v>
                </c:pt>
                <c:pt idx="4">
                  <c:v>0.66857142857142859</c:v>
                </c:pt>
                <c:pt idx="5">
                  <c:v>0.58376214979988572</c:v>
                </c:pt>
                <c:pt idx="6">
                  <c:v>0.50918133129303755</c:v>
                </c:pt>
                <c:pt idx="7">
                  <c:v>0.38707865168539324</c:v>
                </c:pt>
                <c:pt idx="8">
                  <c:v>0.36301369863013688</c:v>
                </c:pt>
                <c:pt idx="9">
                  <c:v>0.2440433212996389</c:v>
                </c:pt>
                <c:pt idx="10">
                  <c:v>0.26032953105196444</c:v>
                </c:pt>
                <c:pt idx="11">
                  <c:v>0.35115431348724191</c:v>
                </c:pt>
                <c:pt idx="12">
                  <c:v>0.22194304857621439</c:v>
                </c:pt>
                <c:pt idx="13" formatCode="0%">
                  <c:v>0.29338363319791072</c:v>
                </c:pt>
                <c:pt idx="14" formatCode="0%">
                  <c:v>0.23310539018503618</c:v>
                </c:pt>
                <c:pt idx="15" formatCode="0%">
                  <c:v>0.27368105515587526</c:v>
                </c:pt>
                <c:pt idx="16" formatCode="0%">
                  <c:v>0.26730637422892389</c:v>
                </c:pt>
                <c:pt idx="17" formatCode="0%">
                  <c:v>0.15032533094009426</c:v>
                </c:pt>
              </c:numCache>
            </c:numRef>
          </c:val>
          <c:smooth val="0"/>
          <c:extLst>
            <c:ext xmlns:c16="http://schemas.microsoft.com/office/drawing/2014/chart" uri="{C3380CC4-5D6E-409C-BE32-E72D297353CC}">
              <c16:uniqueId val="{00000004-1EBF-4486-9F51-39E705F99CBE}"/>
            </c:ext>
          </c:extLst>
        </c:ser>
        <c:ser>
          <c:idx val="4"/>
          <c:order val="4"/>
          <c:tx>
            <c:strRef>
              <c:f>BKNG!$A$46</c:f>
              <c:strCache>
                <c:ptCount val="1"/>
                <c:pt idx="0">
                  <c:v>Advertising&amp;media YoY growth</c:v>
                </c:pt>
              </c:strCache>
            </c:strRef>
          </c:tx>
          <c:spPr>
            <a:ln w="28575" cap="rnd">
              <a:solidFill>
                <a:schemeClr val="accent5"/>
              </a:solidFill>
              <a:round/>
            </a:ln>
            <a:effectLst/>
          </c:spPr>
          <c:marker>
            <c:symbol val="circle"/>
            <c:size val="6"/>
            <c:spPr>
              <a:solidFill>
                <a:schemeClr val="accent5"/>
              </a:solidFill>
              <a:ln w="9525">
                <a:solidFill>
                  <a:schemeClr val="accent5"/>
                </a:solidFill>
              </a:ln>
              <a:effectLst/>
            </c:spPr>
          </c:marker>
          <c:cat>
            <c:strRef>
              <c:extLst>
                <c:ext xmlns:c15="http://schemas.microsoft.com/office/drawing/2012/chart" uri="{02D57815-91ED-43cb-92C2-25804820EDAC}">
                  <c15:fullRef>
                    <c15:sqref>BKNG!$W$4:$BL$4</c15:sqref>
                  </c15:fullRef>
                </c:ext>
              </c:extLst>
              <c:f>(BKNG!$W$4:$AL$4,BKNG!$AN$4:$BL$4)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BKNG!$W$46:$BL$46</c15:sqref>
                  </c15:fullRef>
                </c:ext>
              </c:extLst>
              <c:f>(BKNG!$W$46:$AL$46,BKNG!$AN$46:$BL$46)</c:f>
              <c:numCache>
                <c:formatCode>0%</c:formatCode>
                <c:ptCount val="18"/>
                <c:pt idx="0">
                  <c:v>-1.1772048752578868E-2</c:v>
                </c:pt>
                <c:pt idx="1">
                  <c:v>8.8385319061689227E-2</c:v>
                </c:pt>
                <c:pt idx="2">
                  <c:v>0.12935352246137177</c:v>
                </c:pt>
                <c:pt idx="3">
                  <c:v>1.9762845849802479E-2</c:v>
                </c:pt>
                <c:pt idx="4">
                  <c:v>0.25128205128205128</c:v>
                </c:pt>
                <c:pt idx="5">
                  <c:v>7.7868852459016313E-2</c:v>
                </c:pt>
                <c:pt idx="6">
                  <c:v>0.11063829787234036</c:v>
                </c:pt>
                <c:pt idx="7">
                  <c:v>0.1227272727272728</c:v>
                </c:pt>
                <c:pt idx="8">
                  <c:v>8.1967213114754189E-2</c:v>
                </c:pt>
                <c:pt idx="9">
                  <c:v>2.281368821292773E-2</c:v>
                </c:pt>
                <c:pt idx="10">
                  <c:v>3.0651340996168619E-2</c:v>
                </c:pt>
                <c:pt idx="11">
                  <c:v>9.7165991902834037E-2</c:v>
                </c:pt>
                <c:pt idx="12">
                  <c:v>6.0606060606060552E-2</c:v>
                </c:pt>
                <c:pt idx="13">
                  <c:v>0.10408921933085491</c:v>
                </c:pt>
                <c:pt idx="14">
                  <c:v>0.14498141263940512</c:v>
                </c:pt>
                <c:pt idx="15">
                  <c:v>0.14022140221402224</c:v>
                </c:pt>
                <c:pt idx="16">
                  <c:v>9.6000000000000002E-2</c:v>
                </c:pt>
                <c:pt idx="17">
                  <c:v>8.4175084175084125E-2</c:v>
                </c:pt>
              </c:numCache>
            </c:numRef>
          </c:val>
          <c:smooth val="0"/>
          <c:extLst>
            <c:ext xmlns:c16="http://schemas.microsoft.com/office/drawing/2014/chart" uri="{C3380CC4-5D6E-409C-BE32-E72D297353CC}">
              <c16:uniqueId val="{00000005-1EBF-4486-9F51-39E705F99CBE}"/>
            </c:ext>
          </c:extLst>
        </c:ser>
        <c:dLbls>
          <c:showLegendKey val="0"/>
          <c:showVal val="0"/>
          <c:showCatName val="0"/>
          <c:showSerName val="0"/>
          <c:showPercent val="0"/>
          <c:showBubbleSize val="0"/>
        </c:dLbls>
        <c:marker val="1"/>
        <c:smooth val="0"/>
        <c:axId val="798944256"/>
        <c:axId val="798946336"/>
      </c:lineChart>
      <c:catAx>
        <c:axId val="84281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2810704"/>
        <c:crosses val="autoZero"/>
        <c:auto val="1"/>
        <c:lblAlgn val="ctr"/>
        <c:lblOffset val="100"/>
        <c:noMultiLvlLbl val="0"/>
      </c:catAx>
      <c:valAx>
        <c:axId val="842810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2813616"/>
        <c:crosses val="autoZero"/>
        <c:crossBetween val="between"/>
      </c:valAx>
      <c:valAx>
        <c:axId val="798946336"/>
        <c:scaling>
          <c:orientation val="minMax"/>
          <c:min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zh-CN"/>
          </a:p>
        </c:txPr>
        <c:crossAx val="798944256"/>
        <c:crosses val="max"/>
        <c:crossBetween val="between"/>
      </c:valAx>
      <c:catAx>
        <c:axId val="798944256"/>
        <c:scaling>
          <c:orientation val="minMax"/>
        </c:scaling>
        <c:delete val="1"/>
        <c:axPos val="b"/>
        <c:numFmt formatCode="General" sourceLinked="1"/>
        <c:majorTickMark val="out"/>
        <c:minorTickMark val="none"/>
        <c:tickLblPos val="nextTo"/>
        <c:crossAx val="798946336"/>
        <c:crosses val="autoZero"/>
        <c:auto val="1"/>
        <c:lblAlgn val="ctr"/>
        <c:lblOffset val="100"/>
        <c:noMultiLvlLbl val="0"/>
      </c:catAx>
      <c:spPr>
        <a:noFill/>
        <a:ln>
          <a:solidFill>
            <a:schemeClr val="bg1">
              <a:lumMod val="75000"/>
            </a:schemeClr>
          </a:solidFill>
        </a:ln>
        <a:effectLst/>
      </c:spPr>
    </c:plotArea>
    <c:legend>
      <c:legendPos val="b"/>
      <c:layout>
        <c:manualLayout>
          <c:xMode val="edge"/>
          <c:yMode val="edge"/>
          <c:x val="8.742197618310811E-2"/>
          <c:y val="0.77502594353923582"/>
          <c:w val="0.76602935962515228"/>
          <c:h val="0.205976328430644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BKNG</a:t>
            </a:r>
            <a:r>
              <a:rPr lang="zh-CN" altLang="en-US" baseline="0"/>
              <a:t> </a:t>
            </a:r>
            <a:r>
              <a:rPr lang="en-US" altLang="zh-CN" baseline="0"/>
              <a:t>Main Business Take Rate</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9.8895546423230951E-2"/>
          <c:y val="0.14657836644591613"/>
          <c:w val="0.84671302142322091"/>
          <c:h val="0.58324876057159525"/>
        </c:manualLayout>
      </c:layout>
      <c:lineChart>
        <c:grouping val="standard"/>
        <c:varyColors val="0"/>
        <c:ser>
          <c:idx val="2"/>
          <c:order val="0"/>
          <c:tx>
            <c:strRef>
              <c:f>BKNG!$A$49</c:f>
              <c:strCache>
                <c:ptCount val="1"/>
                <c:pt idx="0">
                  <c:v>Blended take rate</c:v>
                </c:pt>
              </c:strCache>
            </c:strRef>
          </c:tx>
          <c:spPr>
            <a:ln w="28575" cap="rnd">
              <a:solidFill>
                <a:schemeClr val="accent3"/>
              </a:solidFill>
              <a:round/>
            </a:ln>
            <a:effectLst/>
          </c:spPr>
          <c:marker>
            <c:symbol val="triangle"/>
            <c:size val="6"/>
            <c:spPr>
              <a:solidFill>
                <a:schemeClr val="accent3"/>
              </a:solidFill>
              <a:ln w="9525">
                <a:solidFill>
                  <a:schemeClr val="accent3"/>
                </a:solidFill>
              </a:ln>
              <a:effectLst/>
            </c:spPr>
          </c:marker>
          <c:dLbls>
            <c:dLbl>
              <c:idx val="17"/>
              <c:layout>
                <c:manualLayout>
                  <c:x val="-2.4762654668166479E-2"/>
                  <c:y val="-8.0662899846452946E-2"/>
                </c:manualLayout>
              </c:layout>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14.4%</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BFE-4F4B-B46F-202933DDED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BKNG!$W$4:$BL$4</c15:sqref>
                  </c15:fullRef>
                </c:ext>
              </c:extLst>
              <c:f>(BKNG!$W$4:$AL$4,BKNG!$AN$4:$BL$4)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BKNG!$W$49:$BL$49</c15:sqref>
                  </c15:fullRef>
                </c:ext>
              </c:extLst>
              <c:f>(BKNG!$W$49:$AL$49,BKNG!$AN$49:$BL$49)</c:f>
              <c:numCache>
                <c:formatCode>0.0%</c:formatCode>
                <c:ptCount val="18"/>
                <c:pt idx="0">
                  <c:v>0.11164895710350256</c:v>
                </c:pt>
                <c:pt idx="1">
                  <c:v>0.15376013419066256</c:v>
                </c:pt>
                <c:pt idx="2">
                  <c:v>0.19935920256318976</c:v>
                </c:pt>
                <c:pt idx="3">
                  <c:v>0.1612031091584995</c:v>
                </c:pt>
                <c:pt idx="4">
                  <c:v>9.5822659598752122E-2</c:v>
                </c:pt>
                <c:pt idx="5">
                  <c:v>0.13760959387282071</c:v>
                </c:pt>
                <c:pt idx="6">
                  <c:v>0.18438700926832943</c:v>
                </c:pt>
                <c:pt idx="7">
                  <c:v>0.15093863385392017</c:v>
                </c:pt>
                <c:pt idx="8">
                  <c:v>0.1014126564832893</c:v>
                </c:pt>
                <c:pt idx="9">
                  <c:v>0.1414158480364944</c:v>
                </c:pt>
                <c:pt idx="10">
                  <c:v>0.18399429189587313</c:v>
                </c:pt>
                <c:pt idx="11">
                  <c:v>0.14720433727981624</c:v>
                </c:pt>
                <c:pt idx="12">
                  <c:v>0.10203775525509438</c:v>
                </c:pt>
                <c:pt idx="13">
                  <c:v>0.14545532351934268</c:v>
                </c:pt>
                <c:pt idx="14">
                  <c:v>0.18136425867761941</c:v>
                </c:pt>
                <c:pt idx="15">
                  <c:v>0.14753450759864292</c:v>
                </c:pt>
                <c:pt idx="16">
                  <c:v>0.10290561404814168</c:v>
                </c:pt>
                <c:pt idx="17">
                  <c:v>0.14415686274509804</c:v>
                </c:pt>
              </c:numCache>
            </c:numRef>
          </c:val>
          <c:smooth val="0"/>
          <c:extLst>
            <c:ext xmlns:c16="http://schemas.microsoft.com/office/drawing/2014/chart" uri="{C3380CC4-5D6E-409C-BE32-E72D297353CC}">
              <c16:uniqueId val="{00000012-2E44-4A8D-B1AF-4C7CA9A4934A}"/>
            </c:ext>
          </c:extLst>
        </c:ser>
        <c:ser>
          <c:idx val="3"/>
          <c:order val="1"/>
          <c:tx>
            <c:strRef>
              <c:f>BKNG!$A$53</c:f>
              <c:strCache>
                <c:ptCount val="1"/>
                <c:pt idx="0">
                  <c:v>Blended take rate-TTM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17"/>
              <c:layout>
                <c:manualLayout>
                  <c:x val="-4.9988751406074242E-2"/>
                  <c:y val="8.6426588607259824E-2"/>
                </c:manualLayout>
              </c:layout>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TTM 14.3%</a:t>
                    </a:r>
                    <a:endParaRPr lang="en-US"/>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BFE-4F4B-B46F-202933DDED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BKNG!$W$4:$BL$4</c15:sqref>
                  </c15:fullRef>
                </c:ext>
              </c:extLst>
              <c:f>(BKNG!$W$4:$AL$4,BKNG!$AN$4:$BL$4)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BKNG!$W$53:$BL$53</c15:sqref>
                  </c15:fullRef>
                </c:ext>
              </c:extLst>
              <c:f>(BKNG!$W$53:$AL$53,BKNG!$AN$53:$BL$53)</c:f>
              <c:numCache>
                <c:formatCode>0.0%</c:formatCode>
                <c:ptCount val="18"/>
                <c:pt idx="0">
                  <c:v>0.15500680754198343</c:v>
                </c:pt>
                <c:pt idx="1">
                  <c:v>0.15644656589763989</c:v>
                </c:pt>
                <c:pt idx="2">
                  <c:v>0.15679771625280745</c:v>
                </c:pt>
                <c:pt idx="3">
                  <c:v>0.15621662536420478</c:v>
                </c:pt>
                <c:pt idx="4">
                  <c:v>0.13624368374492077</c:v>
                </c:pt>
                <c:pt idx="5">
                  <c:v>0.13961294420823919</c:v>
                </c:pt>
                <c:pt idx="6">
                  <c:v>0.14108298113878517</c:v>
                </c:pt>
                <c:pt idx="7">
                  <c:v>0.14184044029290899</c:v>
                </c:pt>
                <c:pt idx="8">
                  <c:v>0.14219148867418491</c:v>
                </c:pt>
                <c:pt idx="9">
                  <c:v>0.14314838247887829</c:v>
                </c:pt>
                <c:pt idx="10">
                  <c:v>0.14397781497489195</c:v>
                </c:pt>
                <c:pt idx="11">
                  <c:v>0.14336876434351975</c:v>
                </c:pt>
                <c:pt idx="12">
                  <c:v>0.1427623078108515</c:v>
                </c:pt>
                <c:pt idx="13">
                  <c:v>0.14380613611157403</c:v>
                </c:pt>
                <c:pt idx="14">
                  <c:v>0.14446848646249444</c:v>
                </c:pt>
                <c:pt idx="15">
                  <c:v>0.14463185156925853</c:v>
                </c:pt>
                <c:pt idx="16">
                  <c:v>0.14331042050560053</c:v>
                </c:pt>
                <c:pt idx="17">
                  <c:v>0.14302137141699584</c:v>
                </c:pt>
              </c:numCache>
            </c:numRef>
          </c:val>
          <c:smooth val="0"/>
          <c:extLst>
            <c:ext xmlns:c16="http://schemas.microsoft.com/office/drawing/2014/chart" uri="{C3380CC4-5D6E-409C-BE32-E72D297353CC}">
              <c16:uniqueId val="{00000001-9E76-413D-A0D9-6DC4A1707AAE}"/>
            </c:ext>
          </c:extLst>
        </c:ser>
        <c:dLbls>
          <c:showLegendKey val="0"/>
          <c:showVal val="0"/>
          <c:showCatName val="0"/>
          <c:showSerName val="0"/>
          <c:showPercent val="0"/>
          <c:showBubbleSize val="0"/>
        </c:dLbls>
        <c:marker val="1"/>
        <c:smooth val="0"/>
        <c:axId val="842806128"/>
        <c:axId val="842811120"/>
      </c:lineChart>
      <c:catAx>
        <c:axId val="8428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2811120"/>
        <c:crosses val="autoZero"/>
        <c:auto val="1"/>
        <c:lblAlgn val="ctr"/>
        <c:lblOffset val="100"/>
        <c:noMultiLvlLbl val="0"/>
      </c:catAx>
      <c:valAx>
        <c:axId val="8428111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2806128"/>
        <c:crosses val="autoZero"/>
        <c:crossBetween val="between"/>
      </c:val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400" b="0" i="0" baseline="0">
                <a:effectLst/>
              </a:rPr>
              <a:t>BKNG </a:t>
            </a:r>
            <a:r>
              <a:rPr lang="en-US" altLang="zh-CN" sz="1400" b="0" i="0" u="none" strike="noStrike" baseline="0">
                <a:effectLst/>
              </a:rPr>
              <a:t>Opex as % of Rev</a:t>
            </a:r>
            <a:endParaRPr lang="zh-CN" altLang="zh-CN"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xMode val="edge"/>
          <c:yMode val="edge"/>
          <c:x val="1.917583789058068E-2"/>
          <c:y val="0.11008304289832624"/>
          <c:w val="0.73006724303554271"/>
          <c:h val="0.69965762476411764"/>
        </c:manualLayout>
      </c:layout>
      <c:lineChart>
        <c:grouping val="standard"/>
        <c:varyColors val="0"/>
        <c:ser>
          <c:idx val="0"/>
          <c:order val="0"/>
          <c:tx>
            <c:strRef>
              <c:f>BKNG!$A$135</c:f>
              <c:strCache>
                <c:ptCount val="1"/>
                <c:pt idx="0">
                  <c:v>Marketing expense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7"/>
              <c:layout>
                <c:manualLayout>
                  <c:x val="2.1094646029347981E-2"/>
                  <c:y val="-2.0576203917201635E-2"/>
                </c:manualLayout>
              </c:layout>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32.2%</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A48-4858-9B66-E5A302A2CA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BKNG!$W$4:$BL$4</c15:sqref>
                  </c15:fullRef>
                </c:ext>
              </c:extLst>
              <c:f>(BKNG!$W$4:$AL$4,BKNG!$AN$4:$BL$4)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BKNG!$W$135:$BL$135</c15:sqref>
                  </c15:fullRef>
                </c:ext>
              </c:extLst>
              <c:f>(BKNG!$W$135:$AL$135,BKNG!$AN$135:$BL$135)</c:f>
              <c:numCache>
                <c:formatCode>0.0%</c:formatCode>
                <c:ptCount val="18"/>
                <c:pt idx="0">
                  <c:v>0.42051462812830454</c:v>
                </c:pt>
                <c:pt idx="1">
                  <c:v>0.35506493506493508</c:v>
                </c:pt>
                <c:pt idx="2">
                  <c:v>0.28075396825396826</c:v>
                </c:pt>
                <c:pt idx="3">
                  <c:v>0.29709493860437258</c:v>
                </c:pt>
                <c:pt idx="4">
                  <c:v>0.40153520381154051</c:v>
                </c:pt>
                <c:pt idx="5">
                  <c:v>0.3297326986451849</c:v>
                </c:pt>
                <c:pt idx="6">
                  <c:v>0.27543931344503475</c:v>
                </c:pt>
                <c:pt idx="7" formatCode="0%">
                  <c:v>0.29954013377926419</c:v>
                </c:pt>
                <c:pt idx="8">
                  <c:v>0.36466591166477919</c:v>
                </c:pt>
                <c:pt idx="9" formatCode="0%">
                  <c:v>0.33094384707287933</c:v>
                </c:pt>
                <c:pt idx="10">
                  <c:v>0.26907680760570429</c:v>
                </c:pt>
                <c:pt idx="11">
                  <c:v>0.28842233257027183</c:v>
                </c:pt>
                <c:pt idx="12">
                  <c:v>0.37316253674926503</c:v>
                </c:pt>
                <c:pt idx="13" formatCode="0%">
                  <c:v>0.31465136804942628</c:v>
                </c:pt>
                <c:pt idx="14">
                  <c:v>0.25976909413854354</c:v>
                </c:pt>
                <c:pt idx="15">
                  <c:v>0.30398487950858405</c:v>
                </c:pt>
                <c:pt idx="16">
                  <c:v>0.37382501807664498</c:v>
                </c:pt>
                <c:pt idx="17">
                  <c:v>0.32249727965179542</c:v>
                </c:pt>
              </c:numCache>
            </c:numRef>
          </c:val>
          <c:smooth val="0"/>
          <c:extLst>
            <c:ext xmlns:c16="http://schemas.microsoft.com/office/drawing/2014/chart" uri="{C3380CC4-5D6E-409C-BE32-E72D297353CC}">
              <c16:uniqueId val="{00000000-056A-4FD4-B338-2B2CC71187B0}"/>
            </c:ext>
          </c:extLst>
        </c:ser>
        <c:ser>
          <c:idx val="2"/>
          <c:order val="1"/>
          <c:tx>
            <c:strRef>
              <c:f>BKNG!$A$136</c:f>
              <c:strCache>
                <c:ptCount val="1"/>
                <c:pt idx="0">
                  <c:v>Sales and other expenses</c:v>
                </c:pt>
              </c:strCache>
            </c:strRef>
          </c:tx>
          <c:spPr>
            <a:ln w="28575" cap="rnd">
              <a:solidFill>
                <a:schemeClr val="accent3"/>
              </a:solidFill>
              <a:round/>
            </a:ln>
            <a:effectLst/>
          </c:spPr>
          <c:marker>
            <c:symbol val="triangle"/>
            <c:size val="5"/>
            <c:spPr>
              <a:solidFill>
                <a:schemeClr val="accent3"/>
              </a:solidFill>
              <a:ln w="9525">
                <a:solidFill>
                  <a:schemeClr val="accent3"/>
                </a:solidFill>
              </a:ln>
              <a:effectLst/>
            </c:spPr>
          </c:marker>
          <c:dLbls>
            <c:dLbl>
              <c:idx val="17"/>
              <c:layout>
                <c:manualLayout>
                  <c:x val="2.1094646029347981E-2"/>
                  <c:y val="-0.14375016708039598"/>
                </c:manualLayout>
              </c:layout>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Sales 12.8%</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A48-4858-9B66-E5A302A2CA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BKNG!$W$4:$BL$4</c15:sqref>
                  </c15:fullRef>
                </c:ext>
              </c:extLst>
              <c:f>(BKNG!$W$4:$AL$4,BKNG!$AN$4:$BL$4)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BKNG!$W$136:$BL$136</c15:sqref>
                  </c15:fullRef>
                </c:ext>
              </c:extLst>
              <c:f>(BKNG!$W$136:$AL$136,BKNG!$AN$136:$BL$136)</c:f>
              <c:numCache>
                <c:formatCode>0.0%</c:formatCode>
                <c:ptCount val="18"/>
                <c:pt idx="0">
                  <c:v>7.5784279168135349E-2</c:v>
                </c:pt>
                <c:pt idx="1">
                  <c:v>6.4415584415584412E-2</c:v>
                </c:pt>
                <c:pt idx="2">
                  <c:v>5.4761904761904762E-2</c:v>
                </c:pt>
                <c:pt idx="3">
                  <c:v>6.4690026954177901E-2</c:v>
                </c:pt>
                <c:pt idx="4">
                  <c:v>0.15087347803070408</c:v>
                </c:pt>
                <c:pt idx="5">
                  <c:v>0.13127059685097034</c:v>
                </c:pt>
                <c:pt idx="6">
                  <c:v>9.8487944421740914E-2</c:v>
                </c:pt>
                <c:pt idx="7" formatCode="0%">
                  <c:v>0.1358695652173913</c:v>
                </c:pt>
                <c:pt idx="8">
                  <c:v>0.15356738391845981</c:v>
                </c:pt>
                <c:pt idx="9" formatCode="0%">
                  <c:v>0.13995562382659157</c:v>
                </c:pt>
                <c:pt idx="10">
                  <c:v>0.1090818113585189</c:v>
                </c:pt>
                <c:pt idx="11">
                  <c:v>0.13708285768549042</c:v>
                </c:pt>
                <c:pt idx="12">
                  <c:v>0.14741705165896682</c:v>
                </c:pt>
                <c:pt idx="13" formatCode="0%">
                  <c:v>0.13224477787584585</c:v>
                </c:pt>
                <c:pt idx="14">
                  <c:v>0.11345470692717584</c:v>
                </c:pt>
                <c:pt idx="15">
                  <c:v>0.13072924870058278</c:v>
                </c:pt>
                <c:pt idx="16">
                  <c:v>0.14533622559652928</c:v>
                </c:pt>
                <c:pt idx="17">
                  <c:v>0.12812840043525572</c:v>
                </c:pt>
              </c:numCache>
            </c:numRef>
          </c:val>
          <c:smooth val="0"/>
          <c:extLst>
            <c:ext xmlns:c16="http://schemas.microsoft.com/office/drawing/2014/chart" uri="{C3380CC4-5D6E-409C-BE32-E72D297353CC}">
              <c16:uniqueId val="{00000002-BCB2-4BD1-9A6E-10D896DB474A}"/>
            </c:ext>
          </c:extLst>
        </c:ser>
        <c:ser>
          <c:idx val="3"/>
          <c:order val="2"/>
          <c:tx>
            <c:strRef>
              <c:f>BKNG!$A$137</c:f>
              <c:strCache>
                <c:ptCount val="1"/>
                <c:pt idx="0">
                  <c:v>Personnel</c:v>
                </c:pt>
              </c:strCache>
            </c:strRef>
          </c:tx>
          <c:spPr>
            <a:ln w="28575" cap="rnd">
              <a:solidFill>
                <a:schemeClr val="accent4"/>
              </a:solidFill>
              <a:round/>
            </a:ln>
            <a:effectLst/>
          </c:spPr>
          <c:marker>
            <c:symbol val="diamond"/>
            <c:size val="5"/>
            <c:spPr>
              <a:solidFill>
                <a:schemeClr val="accent4"/>
              </a:solidFill>
              <a:ln w="9525">
                <a:solidFill>
                  <a:schemeClr val="accent4"/>
                </a:solidFill>
              </a:ln>
              <a:effectLst/>
            </c:spPr>
          </c:marker>
          <c:dLbls>
            <c:dLbl>
              <c:idx val="17"/>
              <c:layout>
                <c:manualLayout>
                  <c:x val="2.1094646029347981E-2"/>
                  <c:y val="-9.4113180462759363E-2"/>
                </c:manualLayout>
              </c:layout>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Pers. 12.2%</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A48-4858-9B66-E5A302A2CA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BKNG!$W$4:$BL$4</c15:sqref>
                  </c15:fullRef>
                </c:ext>
              </c:extLst>
              <c:f>(BKNG!$W$4:$AL$4,BKNG!$AN$4:$BL$4)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BKNG!$W$137:$BL$137</c15:sqref>
                  </c15:fullRef>
                </c:ext>
              </c:extLst>
              <c:f>(BKNG!$W$137:$AL$137,BKNG!$AN$137:$BL$137)</c:f>
              <c:numCache>
                <c:formatCode>0.0%</c:formatCode>
                <c:ptCount val="18"/>
                <c:pt idx="0">
                  <c:v>0.17659499471272472</c:v>
                </c:pt>
                <c:pt idx="1">
                  <c:v>0.16077922077922077</c:v>
                </c:pt>
                <c:pt idx="2">
                  <c:v>0.11230158730158731</c:v>
                </c:pt>
                <c:pt idx="3">
                  <c:v>0.16831386642707397</c:v>
                </c:pt>
                <c:pt idx="4">
                  <c:v>0.19110640550555849</c:v>
                </c:pt>
                <c:pt idx="5">
                  <c:v>0.13767850604174295</c:v>
                </c:pt>
                <c:pt idx="6">
                  <c:v>0.10734232393406892</c:v>
                </c:pt>
                <c:pt idx="7" formatCode="0%">
                  <c:v>0.2157190635451505</c:v>
                </c:pt>
                <c:pt idx="8">
                  <c:v>0.1870894677236693</c:v>
                </c:pt>
                <c:pt idx="9" formatCode="0%">
                  <c:v>0.13773681515617001</c:v>
                </c:pt>
                <c:pt idx="10">
                  <c:v>0.10858143607705779</c:v>
                </c:pt>
                <c:pt idx="11">
                  <c:v>0.15590890347429778</c:v>
                </c:pt>
                <c:pt idx="12">
                  <c:v>0.14552708945821083</c:v>
                </c:pt>
                <c:pt idx="13" formatCode="0%">
                  <c:v>0.13180347160929684</c:v>
                </c:pt>
                <c:pt idx="14">
                  <c:v>0.10490674955595027</c:v>
                </c:pt>
                <c:pt idx="15">
                  <c:v>0.136871948338321</c:v>
                </c:pt>
                <c:pt idx="16">
                  <c:v>0.16142443962400579</c:v>
                </c:pt>
                <c:pt idx="17">
                  <c:v>0.12241566920565833</c:v>
                </c:pt>
              </c:numCache>
            </c:numRef>
          </c:val>
          <c:smooth val="0"/>
          <c:extLst>
            <c:ext xmlns:c16="http://schemas.microsoft.com/office/drawing/2014/chart" uri="{C3380CC4-5D6E-409C-BE32-E72D297353CC}">
              <c16:uniqueId val="{00000003-BCB2-4BD1-9A6E-10D896DB474A}"/>
            </c:ext>
          </c:extLst>
        </c:ser>
        <c:ser>
          <c:idx val="4"/>
          <c:order val="3"/>
          <c:tx>
            <c:strRef>
              <c:f>BKNG!$A$138</c:f>
              <c:strCache>
                <c:ptCount val="1"/>
                <c:pt idx="0">
                  <c:v>General and administrative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dLbl>
              <c:idx val="17"/>
              <c:layout>
                <c:manualLayout>
                  <c:x val="2.1094646029347981E-2"/>
                  <c:y val="-0.12434075813860429"/>
                </c:manualLayout>
              </c:layout>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G&amp;A 3.0%</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A48-4858-9B66-E5A302A2CA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BKNG!$W$4:$BL$4</c15:sqref>
                  </c15:fullRef>
                </c:ext>
              </c:extLst>
              <c:f>(BKNG!$W$4:$AL$4,BKNG!$AN$4:$BL$4)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BKNG!$W$138:$BL$138</c15:sqref>
                  </c15:fullRef>
                </c:ext>
              </c:extLst>
              <c:f>(BKNG!$W$138:$AL$138,BKNG!$AN$138:$BL$138)</c:f>
              <c:numCache>
                <c:formatCode>0.0%</c:formatCode>
                <c:ptCount val="18"/>
                <c:pt idx="0">
                  <c:v>6.7324638702855127E-2</c:v>
                </c:pt>
                <c:pt idx="1">
                  <c:v>4.6753246753246755E-2</c:v>
                </c:pt>
                <c:pt idx="2">
                  <c:v>4.4642857142857144E-2</c:v>
                </c:pt>
                <c:pt idx="3">
                  <c:v>6.0197663971248878E-2</c:v>
                </c:pt>
                <c:pt idx="4">
                  <c:v>6.9348861831656963E-2</c:v>
                </c:pt>
                <c:pt idx="5">
                  <c:v>4.6503112413035515E-2</c:v>
                </c:pt>
                <c:pt idx="6">
                  <c:v>5.2717613404168369E-2</c:v>
                </c:pt>
                <c:pt idx="7" formatCode="0%">
                  <c:v>0.15426421404682275</c:v>
                </c:pt>
                <c:pt idx="8">
                  <c:v>4.2129105322763309E-2</c:v>
                </c:pt>
                <c:pt idx="9" formatCode="0%">
                  <c:v>1.9115890083632018E-2</c:v>
                </c:pt>
                <c:pt idx="10">
                  <c:v>7.1928946710032526E-2</c:v>
                </c:pt>
                <c:pt idx="11">
                  <c:v>2.9792674403646587E-2</c:v>
                </c:pt>
                <c:pt idx="12">
                  <c:v>2.981940361192776E-2</c:v>
                </c:pt>
                <c:pt idx="13" formatCode="0%">
                  <c:v>2.9273315681082671E-2</c:v>
                </c:pt>
                <c:pt idx="14">
                  <c:v>2.819715808170515E-2</c:v>
                </c:pt>
                <c:pt idx="15">
                  <c:v>4.1266341156087571E-2</c:v>
                </c:pt>
                <c:pt idx="16">
                  <c:v>1.8076644974692697E-2</c:v>
                </c:pt>
                <c:pt idx="17">
                  <c:v>2.9515778019586505E-2</c:v>
                </c:pt>
              </c:numCache>
            </c:numRef>
          </c:val>
          <c:smooth val="0"/>
          <c:extLst>
            <c:ext xmlns:c16="http://schemas.microsoft.com/office/drawing/2014/chart" uri="{C3380CC4-5D6E-409C-BE32-E72D297353CC}">
              <c16:uniqueId val="{00000004-BCB2-4BD1-9A6E-10D896DB474A}"/>
            </c:ext>
          </c:extLst>
        </c:ser>
        <c:ser>
          <c:idx val="5"/>
          <c:order val="4"/>
          <c:tx>
            <c:strRef>
              <c:f>BKNG!$A$139</c:f>
              <c:strCache>
                <c:ptCount val="1"/>
                <c:pt idx="0">
                  <c:v>Information technology</c:v>
                </c:pt>
              </c:strCache>
            </c:strRef>
          </c:tx>
          <c:spPr>
            <a:ln w="28575" cap="rnd">
              <a:solidFill>
                <a:schemeClr val="accent6"/>
              </a:solidFill>
              <a:round/>
            </a:ln>
            <a:effectLst/>
          </c:spPr>
          <c:marker>
            <c:symbol val="diamond"/>
            <c:size val="5"/>
            <c:spPr>
              <a:solidFill>
                <a:schemeClr val="accent6"/>
              </a:solidFill>
              <a:ln w="9525">
                <a:solidFill>
                  <a:schemeClr val="accent6"/>
                </a:solidFill>
              </a:ln>
              <a:effectLst/>
            </c:spPr>
          </c:marker>
          <c:dLbls>
            <c:dLbl>
              <c:idx val="17"/>
              <c:layout>
                <c:manualLayout>
                  <c:x val="2.1094646029347981E-2"/>
                  <c:y val="-6.3739517139680832E-2"/>
                </c:manualLayout>
              </c:layout>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IT 3.6%</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A48-4858-9B66-E5A302A2CA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BKNG!$W$4:$BL$4</c15:sqref>
                  </c15:fullRef>
                </c:ext>
              </c:extLst>
              <c:f>(BKNG!$W$4:$AL$4,BKNG!$AN$4:$BL$4)</c:f>
              <c:strCache>
                <c:ptCount val="18"/>
                <c:pt idx="0">
                  <c:v> 2019Q1 </c:v>
                </c:pt>
                <c:pt idx="1">
                  <c:v> 2019Q2 </c:v>
                </c:pt>
                <c:pt idx="2">
                  <c:v> 2019Q3 </c:v>
                </c:pt>
                <c:pt idx="3">
                  <c:v> 2019Q4 </c:v>
                </c:pt>
                <c:pt idx="4">
                  <c:v> 2023Q1 </c:v>
                </c:pt>
                <c:pt idx="5">
                  <c:v> 2023Q2 </c:v>
                </c:pt>
                <c:pt idx="6">
                  <c:v> 2023Q3 </c:v>
                </c:pt>
                <c:pt idx="7">
                  <c:v> 2023Q4 </c:v>
                </c:pt>
                <c:pt idx="8">
                  <c:v> 2024Q1 </c:v>
                </c:pt>
                <c:pt idx="9">
                  <c:v> 2024Q2 </c:v>
                </c:pt>
                <c:pt idx="10">
                  <c:v> 2024Q3 </c:v>
                </c:pt>
                <c:pt idx="11">
                  <c:v> 2024Q4 </c:v>
                </c:pt>
                <c:pt idx="12">
                  <c:v> 2025Q1 </c:v>
                </c:pt>
                <c:pt idx="13">
                  <c:v> 2025Q2 </c:v>
                </c:pt>
                <c:pt idx="14">
                  <c:v> 2025Q3 </c:v>
                </c:pt>
                <c:pt idx="15">
                  <c:v> 2025Q4 </c:v>
                </c:pt>
                <c:pt idx="16">
                  <c:v> 2026Q1 </c:v>
                </c:pt>
                <c:pt idx="17">
                  <c:v> 2026Q2 </c:v>
                </c:pt>
              </c:strCache>
            </c:strRef>
          </c:cat>
          <c:val>
            <c:numRef>
              <c:extLst>
                <c:ext xmlns:c15="http://schemas.microsoft.com/office/drawing/2012/chart" uri="{02D57815-91ED-43cb-92C2-25804820EDAC}">
                  <c15:fullRef>
                    <c15:sqref>BKNG!$W$139:$BL$139</c15:sqref>
                  </c15:fullRef>
                </c:ext>
              </c:extLst>
              <c:f>(BKNG!$W$139:$AL$139,BKNG!$AN$139:$BL$139)</c:f>
              <c:numCache>
                <c:formatCode>0.0%</c:formatCode>
                <c:ptCount val="18"/>
                <c:pt idx="0">
                  <c:v>2.2911526260133944E-2</c:v>
                </c:pt>
                <c:pt idx="1">
                  <c:v>1.8181818181818181E-2</c:v>
                </c:pt>
                <c:pt idx="2">
                  <c:v>1.4087301587301588E-2</c:v>
                </c:pt>
                <c:pt idx="3">
                  <c:v>2.3659778376759508E-2</c:v>
                </c:pt>
                <c:pt idx="4">
                  <c:v>3.6262572789835891E-2</c:v>
                </c:pt>
                <c:pt idx="5">
                  <c:v>2.6363969242035885E-2</c:v>
                </c:pt>
                <c:pt idx="6">
                  <c:v>2.5473368750851384E-2</c:v>
                </c:pt>
                <c:pt idx="7" formatCode="0%">
                  <c:v>3.9088628762541808E-2</c:v>
                </c:pt>
                <c:pt idx="8">
                  <c:v>4.2355605889014721E-2</c:v>
                </c:pt>
                <c:pt idx="9" formatCode="0%">
                  <c:v>3.1233998975934461E-2</c:v>
                </c:pt>
                <c:pt idx="10">
                  <c:v>2.4268201150863148E-2</c:v>
                </c:pt>
                <c:pt idx="11">
                  <c:v>3.7834868721195354E-2</c:v>
                </c:pt>
                <c:pt idx="12">
                  <c:v>4.1999160016799666E-2</c:v>
                </c:pt>
                <c:pt idx="13" formatCode="0%">
                  <c:v>3.2215357458075904E-2</c:v>
                </c:pt>
                <c:pt idx="14">
                  <c:v>2.6865008880994672E-2</c:v>
                </c:pt>
                <c:pt idx="15">
                  <c:v>3.8903764372342102E-2</c:v>
                </c:pt>
                <c:pt idx="16">
                  <c:v>4.3383947939262472E-2</c:v>
                </c:pt>
                <c:pt idx="17">
                  <c:v>3.5772578890097932E-2</c:v>
                </c:pt>
              </c:numCache>
            </c:numRef>
          </c:val>
          <c:smooth val="0"/>
          <c:extLst>
            <c:ext xmlns:c16="http://schemas.microsoft.com/office/drawing/2014/chart" uri="{C3380CC4-5D6E-409C-BE32-E72D297353CC}">
              <c16:uniqueId val="{00000005-BCB2-4BD1-9A6E-10D896DB474A}"/>
            </c:ext>
          </c:extLst>
        </c:ser>
        <c:dLbls>
          <c:showLegendKey val="0"/>
          <c:showVal val="0"/>
          <c:showCatName val="0"/>
          <c:showSerName val="0"/>
          <c:showPercent val="0"/>
          <c:showBubbleSize val="0"/>
        </c:dLbls>
        <c:marker val="1"/>
        <c:smooth val="0"/>
        <c:axId val="841370896"/>
        <c:axId val="841368400"/>
      </c:lineChart>
      <c:catAx>
        <c:axId val="84137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1368400"/>
        <c:crosses val="autoZero"/>
        <c:auto val="1"/>
        <c:lblAlgn val="ctr"/>
        <c:lblOffset val="100"/>
        <c:noMultiLvlLbl val="0"/>
      </c:catAx>
      <c:valAx>
        <c:axId val="841368400"/>
        <c:scaling>
          <c:orientation val="minMax"/>
          <c:max val="0.60000000000000009"/>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1370896"/>
        <c:crosses val="autoZero"/>
        <c:crossBetween val="between"/>
      </c:valAx>
      <c:spPr>
        <a:noFill/>
        <a:ln>
          <a:solidFill>
            <a:schemeClr val="bg1">
              <a:lumMod val="75000"/>
            </a:schemeClr>
          </a:solidFill>
        </a:ln>
        <a:effectLst/>
      </c:spPr>
    </c:plotArea>
    <c:legend>
      <c:legendPos val="b"/>
      <c:layout>
        <c:manualLayout>
          <c:xMode val="edge"/>
          <c:yMode val="edge"/>
          <c:x val="2.4377786271787629E-2"/>
          <c:y val="0.81557671371918372"/>
          <c:w val="0.68325573197129907"/>
          <c:h val="0.174066226924559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400" b="0" i="0" baseline="0">
                <a:effectLst/>
              </a:rPr>
              <a:t>BKNG Adjusted EBITDA &amp; Adjusted EBITDA Margin</a:t>
            </a:r>
            <a:endParaRPr lang="zh-CN" altLang="zh-CN"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BKNG!$A$86</c:f>
              <c:strCache>
                <c:ptCount val="1"/>
                <c:pt idx="0">
                  <c:v>Adjusted EBITDA(mn)-reported</c:v>
                </c:pt>
              </c:strCache>
            </c:strRef>
          </c:tx>
          <c:spPr>
            <a:solidFill>
              <a:schemeClr val="accent1"/>
            </a:solidFill>
            <a:ln>
              <a:noFill/>
            </a:ln>
            <a:effectLst/>
          </c:spPr>
          <c:invertIfNegative val="0"/>
          <c:cat>
            <c:strRef>
              <c:f>BKNG!$W$4:$BL$4</c:f>
              <c:strCache>
                <c:ptCount val="19"/>
                <c:pt idx="0">
                  <c:v> 2019Q1 </c:v>
                </c:pt>
                <c:pt idx="1">
                  <c:v> 2019Q2 </c:v>
                </c:pt>
                <c:pt idx="2">
                  <c:v> 2019Q3 </c:v>
                </c:pt>
                <c:pt idx="3">
                  <c:v> 2019Q4 </c:v>
                </c:pt>
                <c:pt idx="4">
                  <c:v> 2020Q1 </c:v>
                </c:pt>
                <c:pt idx="5">
                  <c:v> 2023Q1 </c:v>
                </c:pt>
                <c:pt idx="6">
                  <c:v> 2023Q2 </c:v>
                </c:pt>
                <c:pt idx="7">
                  <c:v> 2023Q3 </c:v>
                </c:pt>
                <c:pt idx="8">
                  <c:v> 2023Q4 </c:v>
                </c:pt>
                <c:pt idx="9">
                  <c:v> 2024Q1 </c:v>
                </c:pt>
                <c:pt idx="10">
                  <c:v> 2024Q2 </c:v>
                </c:pt>
                <c:pt idx="11">
                  <c:v> 2024Q3 </c:v>
                </c:pt>
                <c:pt idx="12">
                  <c:v> 2024Q4 </c:v>
                </c:pt>
                <c:pt idx="13">
                  <c:v> 2025Q1 </c:v>
                </c:pt>
                <c:pt idx="14">
                  <c:v> 2025Q2 </c:v>
                </c:pt>
                <c:pt idx="15">
                  <c:v> 2025Q3 </c:v>
                </c:pt>
                <c:pt idx="16">
                  <c:v> 2025Q4 </c:v>
                </c:pt>
                <c:pt idx="17">
                  <c:v> 2026Q1 </c:v>
                </c:pt>
                <c:pt idx="18">
                  <c:v> 2026Q2 </c:v>
                </c:pt>
              </c:strCache>
            </c:strRef>
          </c:cat>
          <c:val>
            <c:numRef>
              <c:f>BKNG!$W$86:$BL$86</c:f>
              <c:numCache>
                <c:formatCode>_(* #,##0_);_(* \(#,##0\);_(* "-"??_);_(@_)</c:formatCode>
                <c:ptCount val="19"/>
                <c:pt idx="0">
                  <c:v>718</c:v>
                </c:pt>
                <c:pt idx="1">
                  <c:v>1373</c:v>
                </c:pt>
                <c:pt idx="2">
                  <c:v>2482</c:v>
                </c:pt>
                <c:pt idx="3">
                  <c:v>1282</c:v>
                </c:pt>
                <c:pt idx="4">
                  <c:v>290</c:v>
                </c:pt>
                <c:pt idx="5">
                  <c:v>586</c:v>
                </c:pt>
                <c:pt idx="6">
                  <c:v>1778</c:v>
                </c:pt>
                <c:pt idx="7">
                  <c:v>3284</c:v>
                </c:pt>
                <c:pt idx="8">
                  <c:v>1464</c:v>
                </c:pt>
                <c:pt idx="9">
                  <c:v>898</c:v>
                </c:pt>
                <c:pt idx="10">
                  <c:v>1895</c:v>
                </c:pt>
                <c:pt idx="11">
                  <c:v>3665</c:v>
                </c:pt>
                <c:pt idx="12">
                  <c:v>1848</c:v>
                </c:pt>
                <c:pt idx="13">
                  <c:v>1088</c:v>
                </c:pt>
                <c:pt idx="14">
                  <c:v>2423</c:v>
                </c:pt>
                <c:pt idx="15">
                  <c:v>4231</c:v>
                </c:pt>
                <c:pt idx="16">
                  <c:v>2195</c:v>
                </c:pt>
                <c:pt idx="17">
                  <c:v>1290</c:v>
                </c:pt>
                <c:pt idx="18">
                  <c:v>2648</c:v>
                </c:pt>
              </c:numCache>
            </c:numRef>
          </c:val>
          <c:extLst>
            <c:ext xmlns:c16="http://schemas.microsoft.com/office/drawing/2014/chart" uri="{C3380CC4-5D6E-409C-BE32-E72D297353CC}">
              <c16:uniqueId val="{00000000-B45B-455D-B368-410F09ACBF50}"/>
            </c:ext>
          </c:extLst>
        </c:ser>
        <c:dLbls>
          <c:showLegendKey val="0"/>
          <c:showVal val="0"/>
          <c:showCatName val="0"/>
          <c:showSerName val="0"/>
          <c:showPercent val="0"/>
          <c:showBubbleSize val="0"/>
        </c:dLbls>
        <c:gapWidth val="219"/>
        <c:overlap val="-27"/>
        <c:axId val="842814032"/>
        <c:axId val="842798640"/>
      </c:barChart>
      <c:lineChart>
        <c:grouping val="standard"/>
        <c:varyColors val="0"/>
        <c:ser>
          <c:idx val="2"/>
          <c:order val="1"/>
          <c:tx>
            <c:strRef>
              <c:f>BKNG!$A$88</c:f>
              <c:strCache>
                <c:ptCount val="1"/>
                <c:pt idx="0">
                  <c:v>        Adjusted EBITDA margin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Lbl>
              <c:idx val="1"/>
              <c:tx>
                <c:rich>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r>
                      <a:rPr lang="en-US" altLang="zh-CN"/>
                      <a:t>35.7%</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EC-4356-80FE-D544A7163396}"/>
                </c:ext>
              </c:extLst>
            </c:dLbl>
            <c:dLbl>
              <c:idx val="6"/>
              <c:tx>
                <c:rich>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r>
                      <a:rPr lang="en-US" altLang="zh-CN"/>
                      <a:t>32.6%</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EC-4356-80FE-D544A7163396}"/>
                </c:ext>
              </c:extLst>
            </c:dLbl>
            <c:dLbl>
              <c:idx val="10"/>
              <c:tx>
                <c:rich>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r>
                      <a:rPr lang="en-US" altLang="zh-CN"/>
                      <a:t>32.4%</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EC-4356-80FE-D544A7163396}"/>
                </c:ext>
              </c:extLst>
            </c:dLbl>
            <c:dLbl>
              <c:idx val="14"/>
              <c:tx>
                <c:rich>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r>
                      <a:rPr lang="en-US" altLang="zh-CN"/>
                      <a:t>35.6%</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EC-4356-80FE-D544A7163396}"/>
                </c:ext>
              </c:extLst>
            </c:dLbl>
            <c:dLbl>
              <c:idx val="18"/>
              <c:tx>
                <c:rich>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r>
                      <a:rPr lang="en-US" altLang="zh-CN"/>
                      <a:t>36%</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64B-4256-A6D8-9B03C44351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BKNG!$W$4:$BL$4</c:f>
              <c:strCache>
                <c:ptCount val="19"/>
                <c:pt idx="0">
                  <c:v> 2019Q1 </c:v>
                </c:pt>
                <c:pt idx="1">
                  <c:v> 2019Q2 </c:v>
                </c:pt>
                <c:pt idx="2">
                  <c:v> 2019Q3 </c:v>
                </c:pt>
                <c:pt idx="3">
                  <c:v> 2019Q4 </c:v>
                </c:pt>
                <c:pt idx="4">
                  <c:v> 2020Q1 </c:v>
                </c:pt>
                <c:pt idx="5">
                  <c:v> 2023Q1 </c:v>
                </c:pt>
                <c:pt idx="6">
                  <c:v> 2023Q2 </c:v>
                </c:pt>
                <c:pt idx="7">
                  <c:v> 2023Q3 </c:v>
                </c:pt>
                <c:pt idx="8">
                  <c:v> 2023Q4 </c:v>
                </c:pt>
                <c:pt idx="9">
                  <c:v> 2024Q1 </c:v>
                </c:pt>
                <c:pt idx="10">
                  <c:v> 2024Q2 </c:v>
                </c:pt>
                <c:pt idx="11">
                  <c:v> 2024Q3 </c:v>
                </c:pt>
                <c:pt idx="12">
                  <c:v> 2024Q4 </c:v>
                </c:pt>
                <c:pt idx="13">
                  <c:v> 2025Q1 </c:v>
                </c:pt>
                <c:pt idx="14">
                  <c:v> 2025Q2 </c:v>
                </c:pt>
                <c:pt idx="15">
                  <c:v> 2025Q3 </c:v>
                </c:pt>
                <c:pt idx="16">
                  <c:v> 2025Q4 </c:v>
                </c:pt>
                <c:pt idx="17">
                  <c:v> 2026Q1 </c:v>
                </c:pt>
                <c:pt idx="18">
                  <c:v> 2026Q2 </c:v>
                </c:pt>
              </c:strCache>
            </c:strRef>
          </c:cat>
          <c:val>
            <c:numRef>
              <c:f>BKNG!$W$88:$BL$88</c:f>
              <c:numCache>
                <c:formatCode>0.0%</c:formatCode>
                <c:ptCount val="19"/>
                <c:pt idx="0">
                  <c:v>0.25308424391963341</c:v>
                </c:pt>
                <c:pt idx="1">
                  <c:v>0.35662337662337662</c:v>
                </c:pt>
                <c:pt idx="2">
                  <c:v>0.49246031746031749</c:v>
                </c:pt>
                <c:pt idx="3">
                  <c:v>0.38394728960766694</c:v>
                </c:pt>
                <c:pt idx="4">
                  <c:v>0.12674825174825174</c:v>
                </c:pt>
                <c:pt idx="5">
                  <c:v>0.15510852302805717</c:v>
                </c:pt>
                <c:pt idx="6">
                  <c:v>0.32552178689124861</c:v>
                </c:pt>
                <c:pt idx="7">
                  <c:v>0.44735049720746495</c:v>
                </c:pt>
                <c:pt idx="8">
                  <c:v>0.30602006688963213</c:v>
                </c:pt>
                <c:pt idx="9">
                  <c:v>0.20339750849377122</c:v>
                </c:pt>
                <c:pt idx="10">
                  <c:v>0.32400000000000001</c:v>
                </c:pt>
                <c:pt idx="11">
                  <c:v>0.45800000000000002</c:v>
                </c:pt>
                <c:pt idx="12">
                  <c:v>0.3377721613370484</c:v>
                </c:pt>
                <c:pt idx="13">
                  <c:v>0.22900000000000001</c:v>
                </c:pt>
                <c:pt idx="14">
                  <c:v>0.35599999999999998</c:v>
                </c:pt>
                <c:pt idx="15">
                  <c:v>0.47</c:v>
                </c:pt>
                <c:pt idx="16">
                  <c:v>0.34599999999999997</c:v>
                </c:pt>
                <c:pt idx="17">
                  <c:v>0.23300000000000001</c:v>
                </c:pt>
                <c:pt idx="18">
                  <c:v>0.36</c:v>
                </c:pt>
              </c:numCache>
            </c:numRef>
          </c:val>
          <c:smooth val="0"/>
          <c:extLst>
            <c:ext xmlns:c16="http://schemas.microsoft.com/office/drawing/2014/chart" uri="{C3380CC4-5D6E-409C-BE32-E72D297353CC}">
              <c16:uniqueId val="{00000002-B45B-455D-B368-410F09ACBF50}"/>
            </c:ext>
          </c:extLst>
        </c:ser>
        <c:dLbls>
          <c:showLegendKey val="0"/>
          <c:showVal val="0"/>
          <c:showCatName val="0"/>
          <c:showSerName val="0"/>
          <c:showPercent val="0"/>
          <c:showBubbleSize val="0"/>
        </c:dLbls>
        <c:marker val="1"/>
        <c:smooth val="0"/>
        <c:axId val="326393056"/>
        <c:axId val="326397216"/>
      </c:lineChart>
      <c:catAx>
        <c:axId val="84281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2798640"/>
        <c:crosses val="autoZero"/>
        <c:auto val="1"/>
        <c:lblAlgn val="ctr"/>
        <c:lblOffset val="100"/>
        <c:noMultiLvlLbl val="0"/>
      </c:catAx>
      <c:valAx>
        <c:axId val="84279864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2814032"/>
        <c:crosses val="autoZero"/>
        <c:crossBetween val="between"/>
      </c:valAx>
      <c:valAx>
        <c:axId val="326397216"/>
        <c:scaling>
          <c:orientation val="minMax"/>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zh-CN"/>
          </a:p>
        </c:txPr>
        <c:crossAx val="326393056"/>
        <c:crosses val="max"/>
        <c:crossBetween val="between"/>
      </c:valAx>
      <c:catAx>
        <c:axId val="326393056"/>
        <c:scaling>
          <c:orientation val="minMax"/>
        </c:scaling>
        <c:delete val="1"/>
        <c:axPos val="b"/>
        <c:numFmt formatCode="General" sourceLinked="1"/>
        <c:majorTickMark val="out"/>
        <c:minorTickMark val="none"/>
        <c:tickLblPos val="nextTo"/>
        <c:crossAx val="326397216"/>
        <c:crosses val="autoZero"/>
        <c:auto val="1"/>
        <c:lblAlgn val="ctr"/>
        <c:lblOffset val="100"/>
        <c:noMultiLvlLbl val="0"/>
      </c:cat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400" b="0" i="0" baseline="0">
                <a:effectLst/>
              </a:rPr>
              <a:t>BKNG Room </a:t>
            </a:r>
            <a:r>
              <a:rPr lang="en-US" altLang="zh-CN" sz="1400" b="0" i="0" u="none" strike="noStrike" baseline="0">
                <a:effectLst/>
              </a:rPr>
              <a:t>Nights  &amp; YoY Growth</a:t>
            </a:r>
            <a:endParaRPr lang="zh-CN" altLang="zh-CN"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BKNG!$A$235</c:f>
              <c:strCache>
                <c:ptCount val="1"/>
                <c:pt idx="0">
                  <c:v> Room nights(mn) </c:v>
                </c:pt>
              </c:strCache>
            </c:strRef>
          </c:tx>
          <c:spPr>
            <a:solidFill>
              <a:schemeClr val="accent1"/>
            </a:solidFill>
            <a:ln>
              <a:noFill/>
            </a:ln>
            <a:effectLst/>
          </c:spPr>
          <c:invertIfNegative val="0"/>
          <c:cat>
            <c:strRef>
              <c:f>BKNG!$W$4:$BL$4</c:f>
              <c:strCache>
                <c:ptCount val="19"/>
                <c:pt idx="0">
                  <c:v> 2019Q1 </c:v>
                </c:pt>
                <c:pt idx="1">
                  <c:v> 2019Q2 </c:v>
                </c:pt>
                <c:pt idx="2">
                  <c:v> 2019Q3 </c:v>
                </c:pt>
                <c:pt idx="3">
                  <c:v> 2019Q4 </c:v>
                </c:pt>
                <c:pt idx="4">
                  <c:v> 2020Q1 </c:v>
                </c:pt>
                <c:pt idx="5">
                  <c:v> 2023Q1 </c:v>
                </c:pt>
                <c:pt idx="6">
                  <c:v> 2023Q2 </c:v>
                </c:pt>
                <c:pt idx="7">
                  <c:v> 2023Q3 </c:v>
                </c:pt>
                <c:pt idx="8">
                  <c:v> 2023Q4 </c:v>
                </c:pt>
                <c:pt idx="9">
                  <c:v> 2024Q1 </c:v>
                </c:pt>
                <c:pt idx="10">
                  <c:v> 2024Q2 </c:v>
                </c:pt>
                <c:pt idx="11">
                  <c:v> 2024Q3 </c:v>
                </c:pt>
                <c:pt idx="12">
                  <c:v> 2024Q4 </c:v>
                </c:pt>
                <c:pt idx="13">
                  <c:v> 2025Q1 </c:v>
                </c:pt>
                <c:pt idx="14">
                  <c:v> 2025Q2 </c:v>
                </c:pt>
                <c:pt idx="15">
                  <c:v> 2025Q3 </c:v>
                </c:pt>
                <c:pt idx="16">
                  <c:v> 2025Q4 </c:v>
                </c:pt>
                <c:pt idx="17">
                  <c:v> 2026Q1 </c:v>
                </c:pt>
                <c:pt idx="18">
                  <c:v> 2026Q2 </c:v>
                </c:pt>
              </c:strCache>
            </c:strRef>
          </c:cat>
          <c:val>
            <c:numRef>
              <c:f>BKNG!$W$235:$BL$235</c:f>
              <c:numCache>
                <c:formatCode>General</c:formatCode>
                <c:ptCount val="19"/>
                <c:pt idx="0">
                  <c:v>217</c:v>
                </c:pt>
                <c:pt idx="1">
                  <c:v>213</c:v>
                </c:pt>
                <c:pt idx="2">
                  <c:v>223</c:v>
                </c:pt>
                <c:pt idx="3">
                  <c:v>191</c:v>
                </c:pt>
                <c:pt idx="4">
                  <c:v>124</c:v>
                </c:pt>
                <c:pt idx="5">
                  <c:v>274</c:v>
                </c:pt>
                <c:pt idx="6">
                  <c:v>268</c:v>
                </c:pt>
                <c:pt idx="7">
                  <c:v>276</c:v>
                </c:pt>
                <c:pt idx="8">
                  <c:v>231</c:v>
                </c:pt>
                <c:pt idx="9">
                  <c:v>297</c:v>
                </c:pt>
                <c:pt idx="10">
                  <c:v>287</c:v>
                </c:pt>
                <c:pt idx="11">
                  <c:v>299</c:v>
                </c:pt>
                <c:pt idx="12">
                  <c:v>261</c:v>
                </c:pt>
                <c:pt idx="13">
                  <c:v>319</c:v>
                </c:pt>
                <c:pt idx="14">
                  <c:v>309</c:v>
                </c:pt>
                <c:pt idx="15">
                  <c:v>323</c:v>
                </c:pt>
                <c:pt idx="16">
                  <c:v>285</c:v>
                </c:pt>
                <c:pt idx="17">
                  <c:v>338</c:v>
                </c:pt>
                <c:pt idx="18">
                  <c:v>325</c:v>
                </c:pt>
              </c:numCache>
            </c:numRef>
          </c:val>
          <c:extLst>
            <c:ext xmlns:c16="http://schemas.microsoft.com/office/drawing/2014/chart" uri="{C3380CC4-5D6E-409C-BE32-E72D297353CC}">
              <c16:uniqueId val="{00000000-0E44-45C4-867F-4DFBCD35565B}"/>
            </c:ext>
          </c:extLst>
        </c:ser>
        <c:dLbls>
          <c:showLegendKey val="0"/>
          <c:showVal val="0"/>
          <c:showCatName val="0"/>
          <c:showSerName val="0"/>
          <c:showPercent val="0"/>
          <c:showBubbleSize val="0"/>
        </c:dLbls>
        <c:gapWidth val="219"/>
        <c:overlap val="-27"/>
        <c:axId val="842806544"/>
        <c:axId val="842798224"/>
      </c:barChart>
      <c:lineChart>
        <c:grouping val="standard"/>
        <c:varyColors val="0"/>
        <c:ser>
          <c:idx val="1"/>
          <c:order val="1"/>
          <c:tx>
            <c:strRef>
              <c:f>BKNG!$A$236</c:f>
              <c:strCache>
                <c:ptCount val="1"/>
                <c:pt idx="0">
                  <c:v>  YoY Growth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1"/>
              <c:tx>
                <c:rich>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r>
                      <a:rPr lang="en-US" altLang="zh-CN"/>
                      <a:t>11.8%</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E37-47D9-B883-8385E7233F70}"/>
                </c:ext>
              </c:extLst>
            </c:dLbl>
            <c:dLbl>
              <c:idx val="6"/>
              <c:tx>
                <c:rich>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r>
                      <a:rPr lang="en-US" altLang="zh-CN"/>
                      <a:t>8.8%</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E37-47D9-B883-8385E7233F70}"/>
                </c:ext>
              </c:extLst>
            </c:dLbl>
            <c:dLbl>
              <c:idx val="10"/>
              <c:tx>
                <c:rich>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r>
                      <a:rPr lang="en-US" altLang="zh-CN"/>
                      <a:t>7.1%</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E37-47D9-B883-8385E7233F70}"/>
                </c:ext>
              </c:extLst>
            </c:dLbl>
            <c:dLbl>
              <c:idx val="14"/>
              <c:tx>
                <c:rich>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r>
                      <a:rPr lang="en-US" altLang="zh-CN"/>
                      <a:t>7.7%</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E37-47D9-B883-8385E7233F70}"/>
                </c:ext>
              </c:extLst>
            </c:dLbl>
            <c:dLbl>
              <c:idx val="18"/>
              <c:tx>
                <c:rich>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r>
                      <a:rPr lang="en-US" altLang="zh-CN"/>
                      <a:t>5.3%</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32-407D-97A3-DFEC16A2AD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BKNG!$W$4:$BL$4</c:f>
              <c:strCache>
                <c:ptCount val="19"/>
                <c:pt idx="0">
                  <c:v> 2019Q1 </c:v>
                </c:pt>
                <c:pt idx="1">
                  <c:v> 2019Q2 </c:v>
                </c:pt>
                <c:pt idx="2">
                  <c:v> 2019Q3 </c:v>
                </c:pt>
                <c:pt idx="3">
                  <c:v> 2019Q4 </c:v>
                </c:pt>
                <c:pt idx="4">
                  <c:v> 2020Q1 </c:v>
                </c:pt>
                <c:pt idx="5">
                  <c:v> 2023Q1 </c:v>
                </c:pt>
                <c:pt idx="6">
                  <c:v> 2023Q2 </c:v>
                </c:pt>
                <c:pt idx="7">
                  <c:v> 2023Q3 </c:v>
                </c:pt>
                <c:pt idx="8">
                  <c:v> 2023Q4 </c:v>
                </c:pt>
                <c:pt idx="9">
                  <c:v> 2024Q1 </c:v>
                </c:pt>
                <c:pt idx="10">
                  <c:v> 2024Q2 </c:v>
                </c:pt>
                <c:pt idx="11">
                  <c:v> 2024Q3 </c:v>
                </c:pt>
                <c:pt idx="12">
                  <c:v> 2024Q4 </c:v>
                </c:pt>
                <c:pt idx="13">
                  <c:v> 2025Q1 </c:v>
                </c:pt>
                <c:pt idx="14">
                  <c:v> 2025Q2 </c:v>
                </c:pt>
                <c:pt idx="15">
                  <c:v> 2025Q3 </c:v>
                </c:pt>
                <c:pt idx="16">
                  <c:v> 2025Q4 </c:v>
                </c:pt>
                <c:pt idx="17">
                  <c:v> 2026Q1 </c:v>
                </c:pt>
                <c:pt idx="18">
                  <c:v> 2026Q2 </c:v>
                </c:pt>
              </c:strCache>
            </c:strRef>
          </c:cat>
          <c:val>
            <c:numRef>
              <c:f>BKNG!$W$236:$BL$236</c:f>
              <c:numCache>
                <c:formatCode>0.0%</c:formatCode>
                <c:ptCount val="19"/>
                <c:pt idx="0">
                  <c:v>0.10299999999999999</c:v>
                </c:pt>
                <c:pt idx="1">
                  <c:v>0.11799999999999999</c:v>
                </c:pt>
                <c:pt idx="2">
                  <c:v>0.11</c:v>
                </c:pt>
                <c:pt idx="3">
                  <c:v>0.11799999999999999</c:v>
                </c:pt>
                <c:pt idx="4">
                  <c:v>-0.42799999999999999</c:v>
                </c:pt>
                <c:pt idx="5">
                  <c:v>0.38300000000000001</c:v>
                </c:pt>
                <c:pt idx="6">
                  <c:v>8.7999999999999995E-2</c:v>
                </c:pt>
                <c:pt idx="7">
                  <c:v>0.14899999999999999</c:v>
                </c:pt>
                <c:pt idx="8">
                  <c:v>9.1999999999999998E-2</c:v>
                </c:pt>
                <c:pt idx="9">
                  <c:v>8.5000000000000006E-2</c:v>
                </c:pt>
                <c:pt idx="10">
                  <c:v>7.0999999999999994E-2</c:v>
                </c:pt>
                <c:pt idx="11">
                  <c:v>8.1000000000000003E-2</c:v>
                </c:pt>
                <c:pt idx="12">
                  <c:v>0.13200000000000001</c:v>
                </c:pt>
                <c:pt idx="13">
                  <c:v>7.1999999999999995E-2</c:v>
                </c:pt>
                <c:pt idx="14">
                  <c:v>7.6999999999999999E-2</c:v>
                </c:pt>
                <c:pt idx="15">
                  <c:v>8.2000000000000003E-2</c:v>
                </c:pt>
                <c:pt idx="16">
                  <c:v>0.09</c:v>
                </c:pt>
                <c:pt idx="17">
                  <c:v>5.8999999999999997E-2</c:v>
                </c:pt>
                <c:pt idx="18">
                  <c:v>5.2999999999999999E-2</c:v>
                </c:pt>
              </c:numCache>
            </c:numRef>
          </c:val>
          <c:smooth val="0"/>
          <c:extLst>
            <c:ext xmlns:c16="http://schemas.microsoft.com/office/drawing/2014/chart" uri="{C3380CC4-5D6E-409C-BE32-E72D297353CC}">
              <c16:uniqueId val="{00000001-0E44-45C4-867F-4DFBCD35565B}"/>
            </c:ext>
          </c:extLst>
        </c:ser>
        <c:dLbls>
          <c:showLegendKey val="0"/>
          <c:showVal val="0"/>
          <c:showCatName val="0"/>
          <c:showSerName val="0"/>
          <c:showPercent val="0"/>
          <c:showBubbleSize val="0"/>
        </c:dLbls>
        <c:marker val="1"/>
        <c:smooth val="0"/>
        <c:axId val="446162223"/>
        <c:axId val="446161391"/>
      </c:lineChart>
      <c:catAx>
        <c:axId val="84280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2798224"/>
        <c:crosses val="autoZero"/>
        <c:auto val="1"/>
        <c:lblAlgn val="ctr"/>
        <c:lblOffset val="100"/>
        <c:noMultiLvlLbl val="0"/>
      </c:catAx>
      <c:valAx>
        <c:axId val="842798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2806544"/>
        <c:crosses val="autoZero"/>
        <c:crossBetween val="between"/>
      </c:valAx>
      <c:valAx>
        <c:axId val="446161391"/>
        <c:scaling>
          <c:orientation val="minMax"/>
          <c:min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46162223"/>
        <c:crosses val="max"/>
        <c:crossBetween val="between"/>
      </c:valAx>
      <c:catAx>
        <c:axId val="446162223"/>
        <c:scaling>
          <c:orientation val="minMax"/>
        </c:scaling>
        <c:delete val="1"/>
        <c:axPos val="b"/>
        <c:numFmt formatCode="General" sourceLinked="1"/>
        <c:majorTickMark val="out"/>
        <c:minorTickMark val="none"/>
        <c:tickLblPos val="nextTo"/>
        <c:crossAx val="446161391"/>
        <c:crosses val="autoZero"/>
        <c:auto val="1"/>
        <c:lblAlgn val="ctr"/>
        <c:lblOffset val="100"/>
        <c:noMultiLvlLbl val="0"/>
      </c:cat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BKNG</a:t>
            </a:r>
            <a:r>
              <a:rPr lang="zh-CN" altLang="en-US"/>
              <a:t> </a:t>
            </a:r>
            <a:r>
              <a:rPr lang="en-US" altLang="zh-CN"/>
              <a:t>Air Tickets &amp; YoY Growth</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BKNG!$A$238</c:f>
              <c:strCache>
                <c:ptCount val="1"/>
                <c:pt idx="0">
                  <c:v> # of air tickets(mn) </c:v>
                </c:pt>
              </c:strCache>
            </c:strRef>
          </c:tx>
          <c:spPr>
            <a:solidFill>
              <a:schemeClr val="accent1"/>
            </a:solidFill>
            <a:ln>
              <a:noFill/>
            </a:ln>
            <a:effectLst/>
          </c:spPr>
          <c:invertIfNegative val="0"/>
          <c:cat>
            <c:strRef>
              <c:f>BKNG!$W$4:$BL$4</c:f>
              <c:strCache>
                <c:ptCount val="19"/>
                <c:pt idx="0">
                  <c:v> 2019Q1 </c:v>
                </c:pt>
                <c:pt idx="1">
                  <c:v> 2019Q2 </c:v>
                </c:pt>
                <c:pt idx="2">
                  <c:v> 2019Q3 </c:v>
                </c:pt>
                <c:pt idx="3">
                  <c:v> 2019Q4 </c:v>
                </c:pt>
                <c:pt idx="4">
                  <c:v> 2020Q1 </c:v>
                </c:pt>
                <c:pt idx="5">
                  <c:v> 2023Q1 </c:v>
                </c:pt>
                <c:pt idx="6">
                  <c:v> 2023Q2 </c:v>
                </c:pt>
                <c:pt idx="7">
                  <c:v> 2023Q3 </c:v>
                </c:pt>
                <c:pt idx="8">
                  <c:v> 2023Q4 </c:v>
                </c:pt>
                <c:pt idx="9">
                  <c:v> 2024Q1 </c:v>
                </c:pt>
                <c:pt idx="10">
                  <c:v> 2024Q2 </c:v>
                </c:pt>
                <c:pt idx="11">
                  <c:v> 2024Q3 </c:v>
                </c:pt>
                <c:pt idx="12">
                  <c:v> 2024Q4 </c:v>
                </c:pt>
                <c:pt idx="13">
                  <c:v> 2025Q1 </c:v>
                </c:pt>
                <c:pt idx="14">
                  <c:v> 2025Q2 </c:v>
                </c:pt>
                <c:pt idx="15">
                  <c:v> 2025Q3 </c:v>
                </c:pt>
                <c:pt idx="16">
                  <c:v> 2025Q4 </c:v>
                </c:pt>
                <c:pt idx="17">
                  <c:v> 2026Q1 </c:v>
                </c:pt>
                <c:pt idx="18">
                  <c:v> 2026Q2 </c:v>
                </c:pt>
              </c:strCache>
            </c:strRef>
          </c:cat>
          <c:val>
            <c:numRef>
              <c:f>BKNG!$W$238:$BL$238</c:f>
              <c:numCache>
                <c:formatCode>0.0</c:formatCode>
                <c:ptCount val="19"/>
                <c:pt idx="0">
                  <c:v>1.8792000000000002</c:v>
                </c:pt>
                <c:pt idx="1">
                  <c:v>1.9456</c:v>
                </c:pt>
                <c:pt idx="2">
                  <c:v>1.7549999999999999</c:v>
                </c:pt>
                <c:pt idx="3">
                  <c:v>1.9773558</c:v>
                </c:pt>
                <c:pt idx="4">
                  <c:v>2</c:v>
                </c:pt>
                <c:pt idx="5" formatCode="0">
                  <c:v>8</c:v>
                </c:pt>
                <c:pt idx="6" formatCode="0">
                  <c:v>9</c:v>
                </c:pt>
                <c:pt idx="7" formatCode="0">
                  <c:v>9</c:v>
                </c:pt>
                <c:pt idx="8" formatCode="0">
                  <c:v>9</c:v>
                </c:pt>
                <c:pt idx="9" formatCode="0">
                  <c:v>11</c:v>
                </c:pt>
                <c:pt idx="10" formatCode="0">
                  <c:v>11</c:v>
                </c:pt>
                <c:pt idx="11" formatCode="0">
                  <c:v>13</c:v>
                </c:pt>
                <c:pt idx="12" formatCode="0">
                  <c:v>14</c:v>
                </c:pt>
                <c:pt idx="13" formatCode="0">
                  <c:v>16</c:v>
                </c:pt>
                <c:pt idx="14" formatCode="0">
                  <c:v>16</c:v>
                </c:pt>
                <c:pt idx="15" formatCode="0">
                  <c:v>17</c:v>
                </c:pt>
                <c:pt idx="16" formatCode="0">
                  <c:v>18</c:v>
                </c:pt>
                <c:pt idx="17" formatCode="0">
                  <c:v>21</c:v>
                </c:pt>
                <c:pt idx="18" formatCode="0">
                  <c:v>17</c:v>
                </c:pt>
              </c:numCache>
            </c:numRef>
          </c:val>
          <c:extLst>
            <c:ext xmlns:c16="http://schemas.microsoft.com/office/drawing/2014/chart" uri="{C3380CC4-5D6E-409C-BE32-E72D297353CC}">
              <c16:uniqueId val="{00000000-B55F-473A-AA39-E38E4D5BBBE7}"/>
            </c:ext>
          </c:extLst>
        </c:ser>
        <c:dLbls>
          <c:showLegendKey val="0"/>
          <c:showVal val="0"/>
          <c:showCatName val="0"/>
          <c:showSerName val="0"/>
          <c:showPercent val="0"/>
          <c:showBubbleSize val="0"/>
        </c:dLbls>
        <c:gapWidth val="219"/>
        <c:overlap val="-27"/>
        <c:axId val="446163471"/>
        <c:axId val="446161807"/>
      </c:barChart>
      <c:lineChart>
        <c:grouping val="standard"/>
        <c:varyColors val="0"/>
        <c:ser>
          <c:idx val="1"/>
          <c:order val="1"/>
          <c:tx>
            <c:strRef>
              <c:f>BKNG!$A$239</c:f>
              <c:strCache>
                <c:ptCount val="1"/>
                <c:pt idx="0">
                  <c:v>  YoY Growth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1"/>
              <c:tx>
                <c:rich>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r>
                      <a:rPr lang="en-US" altLang="zh-CN"/>
                      <a:t>2.4%</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EAA-482D-A907-0600AF2993D5}"/>
                </c:ext>
              </c:extLst>
            </c:dLbl>
            <c:dLbl>
              <c:idx val="6"/>
              <c:tx>
                <c:rich>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r>
                      <a:rPr lang="en-US" altLang="zh-CN"/>
                      <a:t>58.3%</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EAA-482D-A907-0600AF2993D5}"/>
                </c:ext>
              </c:extLst>
            </c:dLbl>
            <c:dLbl>
              <c:idx val="10"/>
              <c:tx>
                <c:rich>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r>
                      <a:rPr lang="en-US" altLang="zh-CN"/>
                      <a:t>27.7%</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EAA-482D-A907-0600AF2993D5}"/>
                </c:ext>
              </c:extLst>
            </c:dLbl>
            <c:dLbl>
              <c:idx val="14"/>
              <c:tx>
                <c:rich>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r>
                      <a:rPr lang="en-US" altLang="zh-CN"/>
                      <a:t>44.2%</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EAA-482D-A907-0600AF2993D5}"/>
                </c:ext>
              </c:extLst>
            </c:dLbl>
            <c:dLbl>
              <c:idx val="18"/>
              <c:tx>
                <c:rich>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r>
                      <a:rPr lang="en-US" altLang="zh-CN"/>
                      <a:t>3.7%</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10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725-440F-AF6A-A4C9BBFB69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BKNG!$W$4:$BL$4</c:f>
              <c:strCache>
                <c:ptCount val="19"/>
                <c:pt idx="0">
                  <c:v> 2019Q1 </c:v>
                </c:pt>
                <c:pt idx="1">
                  <c:v> 2019Q2 </c:v>
                </c:pt>
                <c:pt idx="2">
                  <c:v> 2019Q3 </c:v>
                </c:pt>
                <c:pt idx="3">
                  <c:v> 2019Q4 </c:v>
                </c:pt>
                <c:pt idx="4">
                  <c:v> 2020Q1 </c:v>
                </c:pt>
                <c:pt idx="5">
                  <c:v> 2023Q1 </c:v>
                </c:pt>
                <c:pt idx="6">
                  <c:v> 2023Q2 </c:v>
                </c:pt>
                <c:pt idx="7">
                  <c:v> 2023Q3 </c:v>
                </c:pt>
                <c:pt idx="8">
                  <c:v> 2023Q4 </c:v>
                </c:pt>
                <c:pt idx="9">
                  <c:v> 2024Q1 </c:v>
                </c:pt>
                <c:pt idx="10">
                  <c:v> 2024Q2 </c:v>
                </c:pt>
                <c:pt idx="11">
                  <c:v> 2024Q3 </c:v>
                </c:pt>
                <c:pt idx="12">
                  <c:v> 2024Q4 </c:v>
                </c:pt>
                <c:pt idx="13">
                  <c:v> 2025Q1 </c:v>
                </c:pt>
                <c:pt idx="14">
                  <c:v> 2025Q2 </c:v>
                </c:pt>
                <c:pt idx="15">
                  <c:v> 2025Q3 </c:v>
                </c:pt>
                <c:pt idx="16">
                  <c:v> 2025Q4 </c:v>
                </c:pt>
                <c:pt idx="17">
                  <c:v> 2026Q1 </c:v>
                </c:pt>
                <c:pt idx="18">
                  <c:v> 2026Q2 </c:v>
                </c:pt>
              </c:strCache>
            </c:strRef>
          </c:cat>
          <c:val>
            <c:numRef>
              <c:f>BKNG!$W$239:$BL$239</c:f>
              <c:numCache>
                <c:formatCode>0.0%</c:formatCode>
                <c:ptCount val="19"/>
                <c:pt idx="0">
                  <c:v>4.3999999999999997E-2</c:v>
                </c:pt>
                <c:pt idx="1">
                  <c:v>2.4E-2</c:v>
                </c:pt>
                <c:pt idx="2">
                  <c:v>-2.5000000000000001E-2</c:v>
                </c:pt>
                <c:pt idx="3">
                  <c:v>0.113</c:v>
                </c:pt>
                <c:pt idx="4">
                  <c:v>-0.08</c:v>
                </c:pt>
                <c:pt idx="5">
                  <c:v>0.73299999999999998</c:v>
                </c:pt>
                <c:pt idx="6">
                  <c:v>0.58299999999999996</c:v>
                </c:pt>
                <c:pt idx="7">
                  <c:v>0.56599999999999995</c:v>
                </c:pt>
                <c:pt idx="8">
                  <c:v>0.45800000000000002</c:v>
                </c:pt>
                <c:pt idx="9">
                  <c:v>0.33100000000000002</c:v>
                </c:pt>
                <c:pt idx="10">
                  <c:v>0.27700000000000002</c:v>
                </c:pt>
                <c:pt idx="11">
                  <c:v>0.38700000000000001</c:v>
                </c:pt>
                <c:pt idx="12">
                  <c:v>0.52300000000000002</c:v>
                </c:pt>
                <c:pt idx="13">
                  <c:v>0.44800000000000001</c:v>
                </c:pt>
                <c:pt idx="14">
                  <c:v>0.442</c:v>
                </c:pt>
                <c:pt idx="15">
                  <c:v>0.32300000000000001</c:v>
                </c:pt>
                <c:pt idx="16">
                  <c:v>0.27700000000000002</c:v>
                </c:pt>
                <c:pt idx="17">
                  <c:v>0.28499999999999998</c:v>
                </c:pt>
                <c:pt idx="18">
                  <c:v>3.6999999999999998E-2</c:v>
                </c:pt>
              </c:numCache>
            </c:numRef>
          </c:val>
          <c:smooth val="0"/>
          <c:extLst>
            <c:ext xmlns:c16="http://schemas.microsoft.com/office/drawing/2014/chart" uri="{C3380CC4-5D6E-409C-BE32-E72D297353CC}">
              <c16:uniqueId val="{00000001-B55F-473A-AA39-E38E4D5BBBE7}"/>
            </c:ext>
          </c:extLst>
        </c:ser>
        <c:dLbls>
          <c:showLegendKey val="0"/>
          <c:showVal val="0"/>
          <c:showCatName val="0"/>
          <c:showSerName val="0"/>
          <c:showPercent val="0"/>
          <c:showBubbleSize val="0"/>
        </c:dLbls>
        <c:marker val="1"/>
        <c:smooth val="0"/>
        <c:axId val="446178031"/>
        <c:axId val="446179279"/>
      </c:lineChart>
      <c:catAx>
        <c:axId val="44616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46161807"/>
        <c:crosses val="autoZero"/>
        <c:auto val="1"/>
        <c:lblAlgn val="ctr"/>
        <c:lblOffset val="100"/>
        <c:noMultiLvlLbl val="0"/>
      </c:catAx>
      <c:valAx>
        <c:axId val="446161807"/>
        <c:scaling>
          <c:orientation val="minMax"/>
        </c:scaling>
        <c:delete val="0"/>
        <c:axPos val="l"/>
        <c:majorGridlines>
          <c:spPr>
            <a:ln w="9525" cap="flat" cmpd="sng" algn="ctr">
              <a:solidFill>
                <a:schemeClr val="tx1">
                  <a:lumMod val="15000"/>
                  <a:lumOff val="85000"/>
                </a:schemeClr>
              </a:solidFill>
              <a:round/>
            </a:ln>
            <a:effectLst/>
          </c:spPr>
        </c:majorGridlines>
        <c:numFmt formatCode="#,##0.0_);[Red]\(#,##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46163471"/>
        <c:crosses val="autoZero"/>
        <c:crossBetween val="between"/>
      </c:valAx>
      <c:valAx>
        <c:axId val="446179279"/>
        <c:scaling>
          <c:orientation val="minMax"/>
          <c:min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zh-CN"/>
          </a:p>
        </c:txPr>
        <c:crossAx val="446178031"/>
        <c:crosses val="max"/>
        <c:crossBetween val="between"/>
      </c:valAx>
      <c:catAx>
        <c:axId val="446178031"/>
        <c:scaling>
          <c:orientation val="minMax"/>
        </c:scaling>
        <c:delete val="1"/>
        <c:axPos val="b"/>
        <c:numFmt formatCode="General" sourceLinked="1"/>
        <c:majorTickMark val="out"/>
        <c:minorTickMark val="none"/>
        <c:tickLblPos val="nextTo"/>
        <c:crossAx val="446179279"/>
        <c:crosses val="autoZero"/>
        <c:auto val="1"/>
        <c:lblAlgn val="ctr"/>
        <c:lblOffset val="100"/>
        <c:noMultiLvlLbl val="0"/>
      </c:cat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BKNG-Gross Booking per Marketing Dollar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Sheet6!$A$8</c:f>
              <c:strCache>
                <c:ptCount val="1"/>
                <c:pt idx="0">
                  <c:v> Gross Booking per Marketing Dollar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Sheet6!$B$2:$K$2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Sheet6!$B$8:$K$8</c:f>
              <c:numCache>
                <c:formatCode>_-* #,##0.00_-;\-* #,##0.00_-;_-* "-"_-;_-@_-</c:formatCode>
                <c:ptCount val="10"/>
                <c:pt idx="0">
                  <c:v>19.379200945243745</c:v>
                </c:pt>
                <c:pt idx="1">
                  <c:v>19.382946086091138</c:v>
                </c:pt>
                <c:pt idx="2">
                  <c:v>18.908106046460944</c:v>
                </c:pt>
                <c:pt idx="3">
                  <c:v>18.119996059060433</c:v>
                </c:pt>
                <c:pt idx="4">
                  <c:v>17.330305984984996</c:v>
                </c:pt>
                <c:pt idx="5">
                  <c:v>16.500933244144452</c:v>
                </c:pt>
                <c:pt idx="6">
                  <c:v>16.171877412290598</c:v>
                </c:pt>
                <c:pt idx="7">
                  <c:v>15.886172501466849</c:v>
                </c:pt>
                <c:pt idx="8">
                  <c:v>16.02678880055306</c:v>
                </c:pt>
                <c:pt idx="9">
                  <c:v>16.285545423843296</c:v>
                </c:pt>
              </c:numCache>
            </c:numRef>
          </c:val>
          <c:smooth val="0"/>
          <c:extLst>
            <c:ext xmlns:c16="http://schemas.microsoft.com/office/drawing/2014/chart" uri="{C3380CC4-5D6E-409C-BE32-E72D297353CC}">
              <c16:uniqueId val="{00000000-BD64-4F9F-8819-4991ABA73605}"/>
            </c:ext>
          </c:extLst>
        </c:ser>
        <c:dLbls>
          <c:showLegendKey val="0"/>
          <c:showVal val="0"/>
          <c:showCatName val="0"/>
          <c:showSerName val="0"/>
          <c:showPercent val="0"/>
          <c:showBubbleSize val="0"/>
        </c:dLbls>
        <c:marker val="1"/>
        <c:smooth val="0"/>
        <c:axId val="414271096"/>
        <c:axId val="414276016"/>
      </c:lineChart>
      <c:catAx>
        <c:axId val="414271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14276016"/>
        <c:crosses val="autoZero"/>
        <c:auto val="1"/>
        <c:lblAlgn val="ctr"/>
        <c:lblOffset val="100"/>
        <c:noMultiLvlLbl val="0"/>
      </c:catAx>
      <c:valAx>
        <c:axId val="414276016"/>
        <c:scaling>
          <c:orientation val="minMax"/>
          <c:max val="20"/>
          <c:min val="15"/>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14271096"/>
        <c:crosses val="autoZero"/>
        <c:crossBetween val="between"/>
        <c:majorUnit val="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400" b="0" i="0" baseline="0">
                <a:effectLst/>
              </a:rPr>
              <a:t>BKNG</a:t>
            </a:r>
            <a:r>
              <a:rPr lang="zh-CN" altLang="en-US" sz="1400" b="0" i="0" baseline="0">
                <a:effectLst/>
              </a:rPr>
              <a:t>广告及其他收入增速及占比</a:t>
            </a:r>
            <a:endParaRPr lang="zh-CN" altLang="zh-CN"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1"/>
          <c:order val="1"/>
          <c:tx>
            <c:strRef>
              <c:f>Sheet6!$A$17</c:f>
              <c:strCache>
                <c:ptCount val="1"/>
                <c:pt idx="0">
                  <c:v>Advertising&amp;media %</c:v>
                </c:pt>
              </c:strCache>
            </c:strRef>
          </c:tx>
          <c:spPr>
            <a:solidFill>
              <a:schemeClr val="accent2"/>
            </a:solidFill>
            <a:ln>
              <a:noFill/>
            </a:ln>
            <a:effectLst/>
          </c:spPr>
          <c:invertIfNegative val="0"/>
          <c:cat>
            <c:numRef>
              <c:f>Sheet6!$F$2:$K$2</c:f>
              <c:numCache>
                <c:formatCode>General</c:formatCode>
                <c:ptCount val="6"/>
                <c:pt idx="0">
                  <c:v>2014</c:v>
                </c:pt>
                <c:pt idx="1">
                  <c:v>2015</c:v>
                </c:pt>
                <c:pt idx="2">
                  <c:v>2016</c:v>
                </c:pt>
                <c:pt idx="3">
                  <c:v>2017</c:v>
                </c:pt>
                <c:pt idx="4">
                  <c:v>2018</c:v>
                </c:pt>
                <c:pt idx="5">
                  <c:v>2019</c:v>
                </c:pt>
              </c:numCache>
            </c:numRef>
          </c:cat>
          <c:val>
            <c:numRef>
              <c:f>Sheet6!$F$17:$K$17</c:f>
              <c:numCache>
                <c:formatCode>0.0%</c:formatCode>
                <c:ptCount val="6"/>
                <c:pt idx="0">
                  <c:v>4.8580479606006706E-2</c:v>
                </c:pt>
                <c:pt idx="1">
                  <c:v>6.6469738086144314E-2</c:v>
                </c:pt>
                <c:pt idx="2">
                  <c:v>6.6358056581184072E-2</c:v>
                </c:pt>
                <c:pt idx="3">
                  <c:v>6.5762448346284627E-2</c:v>
                </c:pt>
                <c:pt idx="4">
                  <c:v>7.3027153368882505E-2</c:v>
                </c:pt>
                <c:pt idx="5">
                  <c:v>7.4273197929111912E-2</c:v>
                </c:pt>
              </c:numCache>
            </c:numRef>
          </c:val>
          <c:extLst>
            <c:ext xmlns:c16="http://schemas.microsoft.com/office/drawing/2014/chart" uri="{C3380CC4-5D6E-409C-BE32-E72D297353CC}">
              <c16:uniqueId val="{00000000-61F0-4E86-A957-B823573BCDEA}"/>
            </c:ext>
          </c:extLst>
        </c:ser>
        <c:dLbls>
          <c:showLegendKey val="0"/>
          <c:showVal val="0"/>
          <c:showCatName val="0"/>
          <c:showSerName val="0"/>
          <c:showPercent val="0"/>
          <c:showBubbleSize val="0"/>
        </c:dLbls>
        <c:gapWidth val="219"/>
        <c:axId val="842799056"/>
        <c:axId val="842804464"/>
      </c:barChart>
      <c:lineChart>
        <c:grouping val="standard"/>
        <c:varyColors val="0"/>
        <c:ser>
          <c:idx val="0"/>
          <c:order val="0"/>
          <c:tx>
            <c:strRef>
              <c:f>Sheet6!$A$16</c:f>
              <c:strCache>
                <c:ptCount val="1"/>
                <c:pt idx="0">
                  <c:v>Advertising&amp;media YoY growth</c:v>
                </c:pt>
              </c:strCache>
            </c:strRef>
          </c:tx>
          <c:spPr>
            <a:ln w="28575" cap="rnd">
              <a:solidFill>
                <a:schemeClr val="accent1"/>
              </a:solidFill>
              <a:round/>
            </a:ln>
            <a:effectLst/>
          </c:spPr>
          <c:marker>
            <c:symbol val="triangle"/>
            <c:size val="6"/>
            <c:spPr>
              <a:solidFill>
                <a:schemeClr val="accent1"/>
              </a:solidFill>
              <a:ln w="9525">
                <a:solidFill>
                  <a:schemeClr val="accent1"/>
                </a:solidFill>
              </a:ln>
              <a:effectLst/>
            </c:spPr>
          </c:marker>
          <c:cat>
            <c:numRef>
              <c:f>Sheet6!$F$2:$K$2</c:f>
              <c:numCache>
                <c:formatCode>General</c:formatCode>
                <c:ptCount val="6"/>
                <c:pt idx="0">
                  <c:v>2014</c:v>
                </c:pt>
                <c:pt idx="1">
                  <c:v>2015</c:v>
                </c:pt>
                <c:pt idx="2">
                  <c:v>2016</c:v>
                </c:pt>
                <c:pt idx="3">
                  <c:v>2017</c:v>
                </c:pt>
                <c:pt idx="4">
                  <c:v>2018</c:v>
                </c:pt>
                <c:pt idx="5">
                  <c:v>2019</c:v>
                </c:pt>
              </c:numCache>
            </c:numRef>
          </c:cat>
          <c:val>
            <c:numRef>
              <c:f>Sheet6!$F$16:$K$16</c:f>
              <c:numCache>
                <c:formatCode>0.0%</c:formatCode>
                <c:ptCount val="6"/>
                <c:pt idx="0">
                  <c:v>1.3963293853677921</c:v>
                </c:pt>
                <c:pt idx="1">
                  <c:v>0.49498555283274204</c:v>
                </c:pt>
                <c:pt idx="2">
                  <c:v>0.16272450890206747</c:v>
                </c:pt>
                <c:pt idx="3">
                  <c:v>0.1698085946541168</c:v>
                </c:pt>
                <c:pt idx="4">
                  <c:v>0.27213980878697352</c:v>
                </c:pt>
                <c:pt idx="5">
                  <c:v>5.4777747300136737E-2</c:v>
                </c:pt>
              </c:numCache>
            </c:numRef>
          </c:val>
          <c:smooth val="0"/>
          <c:extLst>
            <c:ext xmlns:c16="http://schemas.microsoft.com/office/drawing/2014/chart" uri="{C3380CC4-5D6E-409C-BE32-E72D297353CC}">
              <c16:uniqueId val="{00000002-61F0-4E86-A957-B823573BCDEA}"/>
            </c:ext>
          </c:extLst>
        </c:ser>
        <c:dLbls>
          <c:showLegendKey val="0"/>
          <c:showVal val="0"/>
          <c:showCatName val="0"/>
          <c:showSerName val="0"/>
          <c:showPercent val="0"/>
          <c:showBubbleSize val="0"/>
        </c:dLbls>
        <c:marker val="1"/>
        <c:smooth val="0"/>
        <c:axId val="798948000"/>
        <c:axId val="798945504"/>
      </c:lineChart>
      <c:catAx>
        <c:axId val="84279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2804464"/>
        <c:crosses val="autoZero"/>
        <c:auto val="1"/>
        <c:lblAlgn val="ctr"/>
        <c:lblOffset val="100"/>
        <c:noMultiLvlLbl val="0"/>
      </c:catAx>
      <c:valAx>
        <c:axId val="842804464"/>
        <c:scaling>
          <c:orientation val="minMax"/>
          <c:max val="0.1"/>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2799056"/>
        <c:crosses val="autoZero"/>
        <c:crossBetween val="between"/>
        <c:majorUnit val="2.5000000000000005E-2"/>
      </c:valAx>
      <c:valAx>
        <c:axId val="798945504"/>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98948000"/>
        <c:crosses val="max"/>
        <c:crossBetween val="between"/>
      </c:valAx>
      <c:catAx>
        <c:axId val="798948000"/>
        <c:scaling>
          <c:orientation val="minMax"/>
        </c:scaling>
        <c:delete val="1"/>
        <c:axPos val="b"/>
        <c:numFmt formatCode="General" sourceLinked="1"/>
        <c:majorTickMark val="out"/>
        <c:minorTickMark val="none"/>
        <c:tickLblPos val="nextTo"/>
        <c:crossAx val="798945504"/>
        <c:crosses val="autoZero"/>
        <c:auto val="1"/>
        <c:lblAlgn val="ctr"/>
        <c:lblOffset val="100"/>
        <c:noMultiLvlLbl val="0"/>
      </c:cat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EXPE</a:t>
            </a:r>
            <a:r>
              <a:rPr lang="zh-CN" altLang="en-US"/>
              <a:t> </a:t>
            </a:r>
            <a:r>
              <a:rPr lang="en-US" altLang="zh-CN"/>
              <a:t>Gross Bookings &amp;</a:t>
            </a:r>
            <a:r>
              <a:rPr lang="en-US" altLang="zh-CN" baseline="0"/>
              <a:t> YoY Growth</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EXPE!$A$5</c:f>
              <c:strCache>
                <c:ptCount val="1"/>
                <c:pt idx="0">
                  <c:v> Gross booking value(mn) </c:v>
                </c:pt>
              </c:strCache>
            </c:strRef>
          </c:tx>
          <c:spPr>
            <a:solidFill>
              <a:schemeClr val="accent1"/>
            </a:solidFill>
            <a:ln>
              <a:noFill/>
            </a:ln>
            <a:effectLst/>
          </c:spPr>
          <c:invertIfNegative val="0"/>
          <c:cat>
            <c:strRef>
              <c:extLst>
                <c:ext xmlns:c15="http://schemas.microsoft.com/office/drawing/2012/chart" uri="{02D57815-91ED-43cb-92C2-25804820EDAC}">
                  <c15:fullRef>
                    <c15:sqref>EXPE!$AH$3:$BW$3</c15:sqref>
                  </c15:fullRef>
                </c:ext>
              </c:extLst>
              <c:f>(EXPE!$AH$3:$AS$3,EXPE!$AU$3:$AW$3,EXPE!$BJ$3:$BW$3)</c:f>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xmlns:c15="http://schemas.microsoft.com/office/drawing/2012/chart" uri="{02D57815-91ED-43cb-92C2-25804820EDAC}">
                  <c15:fullRef>
                    <c15:sqref>EXPE!$AH$5:$BW$5</c15:sqref>
                  </c15:fullRef>
                </c:ext>
              </c:extLst>
              <c:f>(EXPE!$AH$5:$AS$5,EXPE!$AU$5:$AW$5,EXPE!$BJ$5:$BW$5)</c:f>
              <c:numCache>
                <c:formatCode>_-* #,##0_-;\-* #,##0_-;_-* "-"_-;_-@_-</c:formatCode>
                <c:ptCount val="17"/>
                <c:pt idx="0">
                  <c:v>28292</c:v>
                </c:pt>
                <c:pt idx="1">
                  <c:v>26927</c:v>
                </c:pt>
                <c:pt idx="2">
                  <c:v>23245</c:v>
                </c:pt>
                <c:pt idx="3">
                  <c:v>29401</c:v>
                </c:pt>
                <c:pt idx="4">
                  <c:v>27321</c:v>
                </c:pt>
                <c:pt idx="5">
                  <c:v>25685</c:v>
                </c:pt>
                <c:pt idx="6">
                  <c:v>21672</c:v>
                </c:pt>
                <c:pt idx="7">
                  <c:v>30164</c:v>
                </c:pt>
                <c:pt idx="8">
                  <c:v>28837</c:v>
                </c:pt>
                <c:pt idx="9">
                  <c:v>27498</c:v>
                </c:pt>
                <c:pt idx="10">
                  <c:v>24422</c:v>
                </c:pt>
                <c:pt idx="11">
                  <c:v>31451</c:v>
                </c:pt>
                <c:pt idx="12">
                  <c:v>30409</c:v>
                </c:pt>
                <c:pt idx="13">
                  <c:v>30727</c:v>
                </c:pt>
                <c:pt idx="14">
                  <c:v>27003</c:v>
                </c:pt>
                <c:pt idx="15">
                  <c:v>35530</c:v>
                </c:pt>
                <c:pt idx="16">
                  <c:v>33928</c:v>
                </c:pt>
              </c:numCache>
            </c:numRef>
          </c:val>
          <c:extLst>
            <c:ext xmlns:c16="http://schemas.microsoft.com/office/drawing/2014/chart" uri="{C3380CC4-5D6E-409C-BE32-E72D297353CC}">
              <c16:uniqueId val="{00000000-36E0-4BC3-85D4-412A8609BB96}"/>
            </c:ext>
          </c:extLst>
        </c:ser>
        <c:dLbls>
          <c:showLegendKey val="0"/>
          <c:showVal val="0"/>
          <c:showCatName val="0"/>
          <c:showSerName val="0"/>
          <c:showPercent val="0"/>
          <c:showBubbleSize val="0"/>
        </c:dLbls>
        <c:gapWidth val="219"/>
        <c:overlap val="-27"/>
        <c:axId val="905257920"/>
        <c:axId val="905257088"/>
      </c:barChart>
      <c:lineChart>
        <c:grouping val="standard"/>
        <c:varyColors val="0"/>
        <c:ser>
          <c:idx val="1"/>
          <c:order val="1"/>
          <c:tx>
            <c:strRef>
              <c:f>EXPE!$A$6</c:f>
              <c:strCache>
                <c:ptCount val="1"/>
                <c:pt idx="0">
                  <c:v>Gross booking value YoY Growth on a non-constant currency basis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2.9631452185080977E-2"/>
                  <c:y val="-5.2845528455284625E-2"/>
                </c:manualLayout>
              </c:layout>
              <c:tx>
                <c:rich>
                  <a:bodyPr rot="0" spcFirstLastPara="1" vertOverflow="ellipsis" vert="horz" wrap="square" lIns="38100" tIns="19050" rIns="38100" bIns="19050" anchor="ctr" anchorCtr="0">
                    <a:spAutoFit/>
                  </a:bodyPr>
                  <a:lstStyle/>
                  <a:p>
                    <a:pPr algn="ctr" rtl="0">
                      <a:defRPr lang="en-US" altLang="zh-CN" sz="900" b="1" i="0" u="none" strike="noStrike" kern="1200" baseline="0">
                        <a:solidFill>
                          <a:srgbClr val="000000"/>
                        </a:solidFill>
                        <a:latin typeface="+mn-lt"/>
                        <a:ea typeface="+mn-ea"/>
                        <a:cs typeface="+mn-cs"/>
                      </a:defRPr>
                    </a:pPr>
                    <a:fld id="{2368AF2A-012B-44B5-99A7-46E8FABCEE17}" type="VALUE">
                      <a:rPr lang="en-US" altLang="zh-CN" sz="900" b="1" i="0" u="none" strike="noStrike" kern="1200" baseline="0">
                        <a:solidFill>
                          <a:srgbClr val="000000"/>
                        </a:solidFill>
                        <a:latin typeface="+mn-lt"/>
                        <a:ea typeface="+mn-ea"/>
                        <a:cs typeface="+mn-cs"/>
                      </a:rPr>
                      <a:pPr algn="ctr" rtl="0">
                        <a:defRPr lang="en-US" altLang="zh-CN" b="1">
                          <a:solidFill>
                            <a:srgbClr val="000000"/>
                          </a:solidFill>
                        </a:defRPr>
                      </a:pPr>
                      <a:t>[值]</a:t>
                    </a:fld>
                    <a:endParaRPr lang="zh-CN" altLang="en-US"/>
                  </a:p>
                </c:rich>
              </c:tx>
              <c:spPr>
                <a:solidFill>
                  <a:schemeClr val="bg1"/>
                </a:solidFill>
                <a:ln>
                  <a:noFill/>
                </a:ln>
                <a:effectLst/>
              </c:spPr>
              <c:txPr>
                <a:bodyPr rot="0" spcFirstLastPara="1" vertOverflow="ellipsis" vert="horz" wrap="square" lIns="38100" tIns="19050" rIns="38100" bIns="19050" anchor="ctr" anchorCtr="0">
                  <a:spAutoFit/>
                </a:bodyPr>
                <a:lstStyle/>
                <a:p>
                  <a:pPr algn="ctr" rtl="0">
                    <a:defRPr lang="en-US" altLang="zh-CN" sz="900" b="1" i="0" u="none" strike="noStrike" kern="1200" baseline="0">
                      <a:solidFill>
                        <a:srgbClr val="000000"/>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46E5-4E64-BD50-F7E4A3F3A882}"/>
                </c:ext>
              </c:extLst>
            </c:dLbl>
            <c:dLbl>
              <c:idx val="4"/>
              <c:tx>
                <c:rich>
                  <a:bodyPr rot="0" spcFirstLastPara="1" vertOverflow="ellipsis" vert="horz" wrap="square" lIns="38100" tIns="19050" rIns="38100" bIns="19050" anchor="ctr" anchorCtr="0">
                    <a:spAutoFit/>
                  </a:bodyPr>
                  <a:lstStyle/>
                  <a:p>
                    <a:pPr algn="ctr" rtl="0">
                      <a:defRPr lang="en-US" altLang="zh-CN" sz="900" b="1" i="0" u="none" strike="noStrike" kern="1200" baseline="0">
                        <a:solidFill>
                          <a:srgbClr val="000000"/>
                        </a:solidFill>
                        <a:latin typeface="+mn-lt"/>
                        <a:ea typeface="+mn-ea"/>
                        <a:cs typeface="+mn-cs"/>
                      </a:defRPr>
                    </a:pPr>
                    <a:r>
                      <a:rPr lang="en-US" altLang="zh-CN" sz="900" b="1" i="0" u="none" strike="noStrike" kern="1200" baseline="0">
                        <a:solidFill>
                          <a:srgbClr val="000000"/>
                        </a:solidFill>
                        <a:latin typeface="+mn-lt"/>
                        <a:ea typeface="+mn-ea"/>
                        <a:cs typeface="+mn-cs"/>
                      </a:rPr>
                      <a:t>5%</a:t>
                    </a:r>
                  </a:p>
                </c:rich>
              </c:tx>
              <c:numFmt formatCode="0%" sourceLinked="0"/>
              <c:spPr>
                <a:solidFill>
                  <a:srgbClr val="FFFFFF"/>
                </a:solidFill>
                <a:ln>
                  <a:noFill/>
                </a:ln>
                <a:effectLst/>
              </c:spPr>
              <c:txPr>
                <a:bodyPr rot="0" spcFirstLastPara="1" vertOverflow="ellipsis" vert="horz" wrap="square" lIns="38100" tIns="19050" rIns="38100" bIns="19050" anchor="ctr" anchorCtr="0">
                  <a:spAutoFit/>
                </a:bodyPr>
                <a:lstStyle/>
                <a:p>
                  <a:pPr algn="ctr" rtl="0">
                    <a:defRPr lang="en-US"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71-4B94-84A7-A5207E16764E}"/>
                </c:ext>
              </c:extLst>
            </c:dLbl>
            <c:dLbl>
              <c:idx val="8"/>
              <c:tx>
                <c:rich>
                  <a:bodyPr rot="0" spcFirstLastPara="1" vertOverflow="ellipsis" vert="horz" wrap="square" lIns="38100" tIns="19050" rIns="38100" bIns="19050" anchor="ctr" anchorCtr="0">
                    <a:spAutoFit/>
                  </a:bodyPr>
                  <a:lstStyle/>
                  <a:p>
                    <a:pPr algn="ctr" rtl="0">
                      <a:defRPr lang="en-US" altLang="zh-CN" sz="900" b="1" i="0" u="none" strike="noStrike" kern="1200" baseline="0">
                        <a:solidFill>
                          <a:srgbClr val="000000"/>
                        </a:solidFill>
                        <a:latin typeface="+mn-lt"/>
                        <a:ea typeface="+mn-ea"/>
                        <a:cs typeface="+mn-cs"/>
                      </a:defRPr>
                    </a:pPr>
                    <a:r>
                      <a:rPr lang="en-US" altLang="zh-CN" sz="900" b="1" i="0" u="none" strike="noStrike" kern="1200" baseline="0">
                        <a:solidFill>
                          <a:srgbClr val="000000"/>
                        </a:solidFill>
                        <a:latin typeface="+mn-lt"/>
                        <a:ea typeface="+mn-ea"/>
                        <a:cs typeface="+mn-cs"/>
                      </a:rPr>
                      <a:t>6%</a:t>
                    </a:r>
                  </a:p>
                </c:rich>
              </c:tx>
              <c:numFmt formatCode="0%" sourceLinked="0"/>
              <c:spPr>
                <a:solidFill>
                  <a:srgbClr val="FFFFFF"/>
                </a:solidFill>
                <a:ln>
                  <a:noFill/>
                </a:ln>
                <a:effectLst/>
              </c:spPr>
              <c:txPr>
                <a:bodyPr rot="0" spcFirstLastPara="1" vertOverflow="ellipsis" vert="horz" wrap="square" lIns="38100" tIns="19050" rIns="38100" bIns="19050" anchor="ctr" anchorCtr="0">
                  <a:spAutoFit/>
                </a:bodyPr>
                <a:lstStyle/>
                <a:p>
                  <a:pPr algn="ctr" rtl="0">
                    <a:defRPr lang="en-US"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71-4B94-84A7-A5207E16764E}"/>
                </c:ext>
              </c:extLst>
            </c:dLbl>
            <c:dLbl>
              <c:idx val="12"/>
              <c:tx>
                <c:rich>
                  <a:bodyPr rot="0" spcFirstLastPara="1" vertOverflow="ellipsis" vert="horz" wrap="square" lIns="38100" tIns="19050" rIns="38100" bIns="19050" anchor="ctr" anchorCtr="0">
                    <a:spAutoFit/>
                  </a:bodyPr>
                  <a:lstStyle/>
                  <a:p>
                    <a:pPr algn="ctr" rtl="0">
                      <a:defRPr lang="en-US" altLang="zh-CN" sz="900" b="1" i="0" u="none" strike="noStrike" kern="1200" baseline="0">
                        <a:solidFill>
                          <a:srgbClr val="000000"/>
                        </a:solidFill>
                        <a:latin typeface="+mn-lt"/>
                        <a:ea typeface="+mn-ea"/>
                        <a:cs typeface="+mn-cs"/>
                      </a:defRPr>
                    </a:pPr>
                    <a:r>
                      <a:rPr lang="en-US" altLang="zh-CN" sz="900" b="1" i="0" u="none" strike="noStrike" kern="1200" baseline="0">
                        <a:solidFill>
                          <a:srgbClr val="000000"/>
                        </a:solidFill>
                        <a:latin typeface="+mn-lt"/>
                        <a:ea typeface="+mn-ea"/>
                        <a:cs typeface="+mn-cs"/>
                      </a:rPr>
                      <a:t>5%</a:t>
                    </a:r>
                  </a:p>
                </c:rich>
              </c:tx>
              <c:numFmt formatCode="0%" sourceLinked="0"/>
              <c:spPr>
                <a:solidFill>
                  <a:srgbClr val="FFFFFF"/>
                </a:solidFill>
                <a:ln>
                  <a:noFill/>
                </a:ln>
                <a:effectLst/>
              </c:spPr>
              <c:txPr>
                <a:bodyPr rot="0" spcFirstLastPara="1" vertOverflow="ellipsis" vert="horz" wrap="square" lIns="38100" tIns="19050" rIns="38100" bIns="19050" anchor="ctr" anchorCtr="0">
                  <a:spAutoFit/>
                </a:bodyPr>
                <a:lstStyle/>
                <a:p>
                  <a:pPr algn="ctr" rtl="0">
                    <a:defRPr lang="en-US"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71-4B94-84A7-A5207E16764E}"/>
                </c:ext>
              </c:extLst>
            </c:dLbl>
            <c:dLbl>
              <c:idx val="16"/>
              <c:layout>
                <c:manualLayout>
                  <c:x val="-5.269993825736996E-2"/>
                  <c:y val="-0.10769316945137959"/>
                </c:manualLayout>
              </c:layout>
              <c:tx>
                <c:rich>
                  <a:bodyPr rot="0" spcFirstLastPara="1" vertOverflow="ellipsis" vert="horz" wrap="square" lIns="38100" tIns="19050" rIns="38100" bIns="19050" anchor="ctr" anchorCtr="0">
                    <a:spAutoFit/>
                  </a:bodyPr>
                  <a:lstStyle/>
                  <a:p>
                    <a:pPr algn="ctr" rtl="0">
                      <a:defRPr lang="en-US" altLang="zh-CN" sz="900" b="1" i="0" u="none" strike="noStrike" kern="1200" baseline="0">
                        <a:solidFill>
                          <a:srgbClr val="000000"/>
                        </a:solidFill>
                        <a:latin typeface="+mn-lt"/>
                        <a:ea typeface="+mn-ea"/>
                        <a:cs typeface="+mn-cs"/>
                      </a:defRPr>
                    </a:pPr>
                    <a:r>
                      <a:rPr lang="en-US" altLang="zh-CN" sz="900" b="1" i="0" u="none" strike="noStrike" kern="1200" baseline="0">
                        <a:solidFill>
                          <a:srgbClr val="000000"/>
                        </a:solidFill>
                        <a:latin typeface="+mn-lt"/>
                        <a:ea typeface="+mn-ea"/>
                        <a:cs typeface="+mn-cs"/>
                      </a:rPr>
                      <a:t>12%</a:t>
                    </a:r>
                  </a:p>
                </c:rich>
              </c:tx>
              <c:numFmt formatCode="0%" sourceLinked="0"/>
              <c:spPr>
                <a:solidFill>
                  <a:srgbClr val="FFFFFF"/>
                </a:solidFill>
                <a:ln>
                  <a:noFill/>
                </a:ln>
                <a:effectLst/>
              </c:spPr>
              <c:txPr>
                <a:bodyPr rot="0" spcFirstLastPara="1" vertOverflow="ellipsis" vert="horz" wrap="square" lIns="38100" tIns="19050" rIns="38100" bIns="19050" anchor="ctr" anchorCtr="0">
                  <a:spAutoFit/>
                </a:bodyPr>
                <a:lstStyle/>
                <a:p>
                  <a:pPr algn="ctr" rtl="0">
                    <a:defRPr lang="en-US" altLang="zh-CN"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7C1-43EB-99BC-C16725C1F49B}"/>
                </c:ext>
              </c:extLst>
            </c:dLbl>
            <c:spPr>
              <a:noFill/>
              <a:ln>
                <a:noFill/>
              </a:ln>
              <a:effectLst/>
            </c:spPr>
            <c:txPr>
              <a:bodyPr rot="0" spcFirstLastPara="1" vertOverflow="ellipsis" vert="horz" wrap="square" lIns="38100" tIns="19050" rIns="38100" bIns="19050" anchor="ctr" anchorCtr="0">
                <a:spAutoFit/>
              </a:bodyPr>
              <a:lstStyle/>
              <a:p>
                <a:pPr algn="ctr" rtl="0">
                  <a:defRPr lang="en-US" altLang="zh-CN" sz="900" b="1" i="0" u="none" strike="noStrike" kern="1200" baseline="0">
                    <a:solidFill>
                      <a:srgbClr val="000000"/>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EXPE!$AH$3:$BW$3</c15:sqref>
                  </c15:fullRef>
                </c:ext>
              </c:extLst>
              <c:f>(EXPE!$AH$3:$AS$3,EXPE!$AU$3:$AW$3,EXPE!$BJ$3:$BW$3)</c:f>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xmlns:c15="http://schemas.microsoft.com/office/drawing/2012/chart" uri="{02D57815-91ED-43cb-92C2-25804820EDAC}">
                  <c15:fullRef>
                    <c15:sqref>EXPE!$AH$6:$BW$6</c15:sqref>
                  </c15:fullRef>
                </c:ext>
              </c:extLst>
              <c:f>(EXPE!$AH$6:$AS$6,EXPE!$AU$6:$AW$6,EXPE!$BJ$6:$BW$6)</c:f>
              <c:numCache>
                <c:formatCode>0%</c:formatCode>
                <c:ptCount val="17"/>
                <c:pt idx="0">
                  <c:v>0.09</c:v>
                </c:pt>
                <c:pt idx="1">
                  <c:v>0.09</c:v>
                </c:pt>
                <c:pt idx="2">
                  <c:v>0.06</c:v>
                </c:pt>
                <c:pt idx="3">
                  <c:v>0.2</c:v>
                </c:pt>
                <c:pt idx="4">
                  <c:v>0.05</c:v>
                </c:pt>
                <c:pt idx="5">
                  <c:v>7.0000000000000007E-2</c:v>
                </c:pt>
                <c:pt idx="6">
                  <c:v>0.06</c:v>
                </c:pt>
                <c:pt idx="7">
                  <c:v>2.5951498248358851E-2</c:v>
                </c:pt>
                <c:pt idx="8">
                  <c:v>5.5488452106438269E-2</c:v>
                </c:pt>
                <c:pt idx="9">
                  <c:v>7.0585945104146397E-2</c:v>
                </c:pt>
                <c:pt idx="10">
                  <c:v>0.12689184200812109</c:v>
                </c:pt>
                <c:pt idx="11">
                  <c:v>4.2666755072271689E-2</c:v>
                </c:pt>
                <c:pt idx="12">
                  <c:v>5.4513298886846862E-2</c:v>
                </c:pt>
                <c:pt idx="13">
                  <c:v>0.11742672194341397</c:v>
                </c:pt>
                <c:pt idx="14">
                  <c:v>0.10568340021292277</c:v>
                </c:pt>
                <c:pt idx="15">
                  <c:v>0.1296938094178246</c:v>
                </c:pt>
                <c:pt idx="16">
                  <c:v>0.11572231905028119</c:v>
                </c:pt>
              </c:numCache>
            </c:numRef>
          </c:val>
          <c:smooth val="0"/>
          <c:extLst>
            <c:ext xmlns:c15="http://schemas.microsoft.com/office/drawing/2012/chart" uri="{02D57815-91ED-43cb-92C2-25804820EDAC}">
              <c15:categoryFilterExceptions>
                <c15:categoryFilterException>
                  <c15:sqref>EXPE!$AY$6</c15:sqref>
                  <c15:dLbl>
                    <c:idx val="2"/>
                    <c:tx>
                      <c:rich>
                        <a:bodyPr rot="0" spcFirstLastPara="1" vertOverflow="ellipsis" vert="horz" wrap="square" lIns="38100" tIns="19050" rIns="38100" bIns="19050" anchor="ctr" anchorCtr="0">
                          <a:spAutoFit/>
                        </a:bodyPr>
                        <a:lstStyle/>
                        <a:p>
                          <a:pPr algn="ctr" rtl="0">
                            <a:defRPr lang="en-US" altLang="zh-CN" sz="900" b="1" i="0" u="none" strike="noStrike" kern="1200" baseline="0">
                              <a:solidFill>
                                <a:srgbClr val="000000"/>
                              </a:solidFill>
                              <a:latin typeface="+mn-lt"/>
                              <a:ea typeface="+mn-ea"/>
                              <a:cs typeface="+mn-cs"/>
                            </a:defRPr>
                          </a:pPr>
                          <a:r>
                            <a:rPr lang="en-US" altLang="zh-CN" sz="900" b="1" i="0" u="none" strike="noStrike" kern="1200" baseline="0">
                              <a:solidFill>
                                <a:srgbClr val="000000"/>
                              </a:solidFill>
                              <a:latin typeface="+mn-lt"/>
                              <a:ea typeface="+mn-ea"/>
                              <a:cs typeface="+mn-cs"/>
                            </a:rPr>
                            <a:t>-90%</a:t>
                          </a:r>
                        </a:p>
                      </c:rich>
                    </c:tx>
                    <c:numFmt formatCode="0%" sourceLinked="0"/>
                    <c:spPr>
                      <a:solidFill>
                        <a:srgbClr val="FFFFFF"/>
                      </a:solidFill>
                      <a:ln>
                        <a:noFill/>
                      </a:ln>
                      <a:effectLst/>
                    </c:spPr>
                    <c:txPr>
                      <a:bodyPr rot="0" spcFirstLastPara="1" vertOverflow="ellipsis" vert="horz" wrap="square" lIns="38100" tIns="19050" rIns="38100" bIns="19050" anchor="ctr" anchorCtr="0">
                        <a:spAutoFit/>
                      </a:bodyPr>
                      <a:lstStyle/>
                      <a:p>
                        <a:pPr algn="ctr" rtl="0">
                          <a:defRPr lang="en-US"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uri="{CE6537A1-D6FC-4f65-9D91-7224C49458BB}">
                        <c15:showDataLabelsRange val="0"/>
                      </c:ext>
                      <c:ext xmlns:c16="http://schemas.microsoft.com/office/drawing/2014/chart" uri="{C3380CC4-5D6E-409C-BE32-E72D297353CC}">
                        <c16:uniqueId val="{00000000-2E7F-4A92-879D-B1B325484F1B}"/>
                      </c:ext>
                    </c:extLst>
                  </c15:dLbl>
                </c15:categoryFilterException>
                <c15:categoryFilterException>
                  <c15:sqref>EXPE!$BG$6</c15:sqref>
                  <c15:dLbl>
                    <c:idx val="2"/>
                    <c:tx>
                      <c:rich>
                        <a:bodyPr rot="0" spcFirstLastPara="1" vertOverflow="ellipsis" vert="horz" wrap="square" lIns="38100" tIns="19050" rIns="38100" bIns="19050" anchor="ctr" anchorCtr="0">
                          <a:spAutoFit/>
                        </a:bodyPr>
                        <a:lstStyle/>
                        <a:p>
                          <a:pPr algn="ctr" rtl="0">
                            <a:defRPr lang="en-US" altLang="zh-CN" sz="900" b="1" i="0" u="none" strike="noStrike" kern="1200" baseline="0">
                              <a:solidFill>
                                <a:srgbClr val="000000"/>
                              </a:solidFill>
                              <a:latin typeface="+mn-lt"/>
                              <a:ea typeface="+mn-ea"/>
                              <a:cs typeface="+mn-cs"/>
                            </a:defRPr>
                          </a:pPr>
                          <a:r>
                            <a:rPr lang="en-US" altLang="zh-CN" sz="900" b="1" i="0" u="none" strike="noStrike" kern="1200" baseline="0">
                              <a:solidFill>
                                <a:srgbClr val="000000"/>
                              </a:solidFill>
                              <a:latin typeface="+mn-lt"/>
                              <a:ea typeface="+mn-ea"/>
                              <a:cs typeface="+mn-cs"/>
                            </a:rPr>
                            <a:t>26%</a:t>
                          </a:r>
                        </a:p>
                      </c:rich>
                    </c:tx>
                    <c:numFmt formatCode="0%" sourceLinked="0"/>
                    <c:spPr>
                      <a:solidFill>
                        <a:srgbClr val="FFFFFF"/>
                      </a:solidFill>
                      <a:ln>
                        <a:noFill/>
                      </a:ln>
                      <a:effectLst/>
                    </c:spPr>
                    <c:txPr>
                      <a:bodyPr rot="0" spcFirstLastPara="1" vertOverflow="ellipsis" vert="horz" wrap="square" lIns="38100" tIns="19050" rIns="38100" bIns="19050" anchor="ctr" anchorCtr="0">
                        <a:spAutoFit/>
                      </a:bodyPr>
                      <a:lstStyle/>
                      <a:p>
                        <a:pPr algn="ctr" rtl="0">
                          <a:defRPr lang="en-US"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uri="{CE6537A1-D6FC-4f65-9D91-7224C49458BB}">
                        <c15:showDataLabelsRange val="0"/>
                      </c:ext>
                      <c:ext xmlns:c16="http://schemas.microsoft.com/office/drawing/2014/chart" uri="{C3380CC4-5D6E-409C-BE32-E72D297353CC}">
                        <c16:uniqueId val="{00000001-2E7F-4A92-879D-B1B325484F1B}"/>
                      </c:ext>
                    </c:extLst>
                  </c15:dLbl>
                </c15:categoryFilterException>
              </c15:categoryFilterExceptions>
            </c:ext>
            <c:ext xmlns:c16="http://schemas.microsoft.com/office/drawing/2014/chart" uri="{C3380CC4-5D6E-409C-BE32-E72D297353CC}">
              <c16:uniqueId val="{00000001-36E0-4BC3-85D4-412A8609BB96}"/>
            </c:ext>
          </c:extLst>
        </c:ser>
        <c:dLbls>
          <c:showLegendKey val="0"/>
          <c:showVal val="0"/>
          <c:showCatName val="0"/>
          <c:showSerName val="0"/>
          <c:showPercent val="0"/>
          <c:showBubbleSize val="0"/>
        </c:dLbls>
        <c:marker val="1"/>
        <c:smooth val="0"/>
        <c:axId val="905264992"/>
        <c:axId val="905261664"/>
        <c:extLst>
          <c:ext xmlns:c15="http://schemas.microsoft.com/office/drawing/2012/chart" uri="{02D57815-91ED-43cb-92C2-25804820EDAC}">
            <c15:filteredLineSeries>
              <c15:ser>
                <c:idx val="2"/>
                <c:order val="2"/>
                <c:tx>
                  <c:strRef>
                    <c:extLst>
                      <c:ext uri="{02D57815-91ED-43cb-92C2-25804820EDAC}">
                        <c15:formulaRef>
                          <c15:sqref>EXPE!$A$7</c15:sqref>
                        </c15:formulaRef>
                      </c:ext>
                    </c:extLst>
                    <c:strCache>
                      <c:ptCount val="1"/>
                      <c:pt idx="0">
                        <c:v>Gross booking value YoY Growth on a constant currency basis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c:ext uri="{02D57815-91ED-43cb-92C2-25804820EDAC}">
                        <c15:fullRef>
                          <c15:sqref>EXPE!$AH$3:$BW$3</c15:sqref>
                        </c15:fullRef>
                        <c15:formulaRef>
                          <c15:sqref>(EXPE!$AH$3:$AS$3,EXPE!$AU$3:$AW$3,EXPE!$BJ$3:$BW$3)</c15:sqref>
                        </c15:formulaRef>
                      </c:ext>
                    </c:extLst>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uri="{02D57815-91ED-43cb-92C2-25804820EDAC}">
                        <c15:fullRef>
                          <c15:sqref>EXPE!$AH$7:$BU$7</c15:sqref>
                        </c15:fullRef>
                        <c15:formulaRef>
                          <c15:sqref>(EXPE!$AH$7:$AS$7,EXPE!$AU$7:$AW$7,EXPE!$BJ$7:$BU$7)</c15:sqref>
                        </c15:formulaRef>
                      </c:ext>
                    </c:extLst>
                    <c:numCache>
                      <c:formatCode>0%</c:formatCode>
                      <c:ptCount val="15"/>
                      <c:pt idx="0">
                        <c:v>0.11</c:v>
                      </c:pt>
                      <c:pt idx="1">
                        <c:v>0.1</c:v>
                      </c:pt>
                      <c:pt idx="2">
                        <c:v>0.06</c:v>
                      </c:pt>
                      <c:pt idx="3">
                        <c:v>0.2</c:v>
                      </c:pt>
                      <c:pt idx="4">
                        <c:v>0.05</c:v>
                      </c:pt>
                      <c:pt idx="5">
                        <c:v>7.0000000000000007E-2</c:v>
                      </c:pt>
                      <c:pt idx="6">
                        <c:v>0.06</c:v>
                      </c:pt>
                      <c:pt idx="7">
                        <c:v>0.03</c:v>
                      </c:pt>
                      <c:pt idx="8">
                        <c:v>0.06</c:v>
                      </c:pt>
                      <c:pt idx="9">
                        <c:v>7.0000000000000007E-2</c:v>
                      </c:pt>
                      <c:pt idx="10">
                        <c:v>0.13</c:v>
                      </c:pt>
                      <c:pt idx="11">
                        <c:v>0.04</c:v>
                      </c:pt>
                      <c:pt idx="12">
                        <c:v>0.05</c:v>
                      </c:pt>
                      <c:pt idx="13">
                        <c:v>0.11742672194341397</c:v>
                      </c:pt>
                      <c:pt idx="14">
                        <c:v>0.10568340021292277</c:v>
                      </c:pt>
                    </c:numCache>
                  </c:numRef>
                </c:val>
                <c:smooth val="0"/>
                <c:extLst>
                  <c:ext xmlns:c16="http://schemas.microsoft.com/office/drawing/2014/chart" uri="{C3380CC4-5D6E-409C-BE32-E72D297353CC}">
                    <c16:uniqueId val="{00000002-36E0-4BC3-85D4-412A8609BB96}"/>
                  </c:ext>
                </c:extLst>
              </c15:ser>
            </c15:filteredLineSeries>
          </c:ext>
        </c:extLst>
      </c:lineChart>
      <c:catAx>
        <c:axId val="90525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05257088"/>
        <c:crosses val="autoZero"/>
        <c:auto val="1"/>
        <c:lblAlgn val="ctr"/>
        <c:lblOffset val="100"/>
        <c:noMultiLvlLbl val="0"/>
      </c:catAx>
      <c:valAx>
        <c:axId val="90525708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05257920"/>
        <c:crosses val="autoZero"/>
        <c:crossBetween val="between"/>
      </c:valAx>
      <c:valAx>
        <c:axId val="90526166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05264992"/>
        <c:crosses val="max"/>
        <c:crossBetween val="between"/>
      </c:valAx>
      <c:catAx>
        <c:axId val="905264992"/>
        <c:scaling>
          <c:orientation val="minMax"/>
        </c:scaling>
        <c:delete val="1"/>
        <c:axPos val="b"/>
        <c:numFmt formatCode="General" sourceLinked="1"/>
        <c:majorTickMark val="out"/>
        <c:minorTickMark val="none"/>
        <c:tickLblPos val="nextTo"/>
        <c:crossAx val="905261664"/>
        <c:crosses val="autoZero"/>
        <c:auto val="1"/>
        <c:lblAlgn val="ctr"/>
        <c:lblOffset val="100"/>
        <c:noMultiLvlLbl val="0"/>
      </c:catAx>
      <c:spPr>
        <a:no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EXPE</a:t>
            </a:r>
            <a:r>
              <a:rPr lang="zh-CN" altLang="en-US"/>
              <a:t> </a:t>
            </a:r>
            <a:r>
              <a:rPr lang="en-US" altLang="zh-CN"/>
              <a:t>Revenue &amp; YoY Growth</a:t>
            </a:r>
            <a:endParaRPr lang="zh-CN" altLang="en-US"/>
          </a:p>
        </c:rich>
      </c:tx>
      <c:layout>
        <c:manualLayout>
          <c:xMode val="edge"/>
          <c:yMode val="edge"/>
          <c:x val="0.28804387961842137"/>
          <c:y val="3.14474460866655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EXPE!$A$59</c:f>
              <c:strCache>
                <c:ptCount val="1"/>
                <c:pt idx="0">
                  <c:v>Total revenues(mn)</c:v>
                </c:pt>
              </c:strCache>
            </c:strRef>
          </c:tx>
          <c:spPr>
            <a:solidFill>
              <a:schemeClr val="accent1"/>
            </a:solidFill>
            <a:ln>
              <a:noFill/>
            </a:ln>
            <a:effectLst/>
          </c:spPr>
          <c:invertIfNegative val="0"/>
          <c:cat>
            <c:strRef>
              <c:extLst>
                <c:ext xmlns:c15="http://schemas.microsoft.com/office/drawing/2012/chart" uri="{02D57815-91ED-43cb-92C2-25804820EDAC}">
                  <c15:fullRef>
                    <c15:sqref>EXPE!$AT$3:$BW$3</c15:sqref>
                  </c15:fullRef>
                </c:ext>
              </c:extLst>
              <c:f>(EXPE!$AU$3:$AW$3,EXPE!$BJ$3:$BW$3)</c:f>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xmlns:c15="http://schemas.microsoft.com/office/drawing/2012/chart" uri="{02D57815-91ED-43cb-92C2-25804820EDAC}">
                  <c15:fullRef>
                    <c15:sqref>EXPE!$AT$59:$BW$59</c15:sqref>
                  </c15:fullRef>
                </c:ext>
              </c:extLst>
              <c:f>(EXPE!$AU$59:$AW$59,EXPE!$BJ$59:$BW$59)</c:f>
              <c:numCache>
                <c:formatCode>#,##0_);[Red]\(#,##0\)</c:formatCode>
                <c:ptCount val="17"/>
                <c:pt idx="0">
                  <c:v>3153</c:v>
                </c:pt>
                <c:pt idx="1">
                  <c:v>3558</c:v>
                </c:pt>
                <c:pt idx="2">
                  <c:v>2747</c:v>
                </c:pt>
                <c:pt idx="3">
                  <c:v>2665</c:v>
                </c:pt>
                <c:pt idx="4">
                  <c:v>3358</c:v>
                </c:pt>
                <c:pt idx="5">
                  <c:v>3929</c:v>
                </c:pt>
                <c:pt idx="6">
                  <c:v>2887</c:v>
                </c:pt>
                <c:pt idx="7">
                  <c:v>2889</c:v>
                </c:pt>
                <c:pt idx="8">
                  <c:v>3558</c:v>
                </c:pt>
                <c:pt idx="9">
                  <c:v>4060</c:v>
                </c:pt>
                <c:pt idx="10">
                  <c:v>3184</c:v>
                </c:pt>
                <c:pt idx="11">
                  <c:v>2988</c:v>
                </c:pt>
                <c:pt idx="12">
                  <c:v>3786</c:v>
                </c:pt>
                <c:pt idx="13">
                  <c:v>4412</c:v>
                </c:pt>
                <c:pt idx="14">
                  <c:v>3547</c:v>
                </c:pt>
                <c:pt idx="15">
                  <c:v>3426</c:v>
                </c:pt>
                <c:pt idx="16">
                  <c:v>4315</c:v>
                </c:pt>
              </c:numCache>
            </c:numRef>
          </c:val>
          <c:extLst>
            <c:ext xmlns:c16="http://schemas.microsoft.com/office/drawing/2014/chart" uri="{C3380CC4-5D6E-409C-BE32-E72D297353CC}">
              <c16:uniqueId val="{00000000-137F-4592-B586-7CD8092A93A0}"/>
            </c:ext>
          </c:extLst>
        </c:ser>
        <c:dLbls>
          <c:showLegendKey val="0"/>
          <c:showVal val="0"/>
          <c:showCatName val="0"/>
          <c:showSerName val="0"/>
          <c:showPercent val="0"/>
          <c:showBubbleSize val="0"/>
        </c:dLbls>
        <c:gapWidth val="219"/>
        <c:overlap val="-27"/>
        <c:axId val="905537712"/>
        <c:axId val="905535632"/>
      </c:barChart>
      <c:lineChart>
        <c:grouping val="standard"/>
        <c:varyColors val="0"/>
        <c:ser>
          <c:idx val="1"/>
          <c:order val="1"/>
          <c:tx>
            <c:strRef>
              <c:f>EXPE!$A$245</c:f>
              <c:strCache>
                <c:ptCount val="1"/>
                <c:pt idx="0">
                  <c:v>Total revenues on a non-constant currency basis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9%</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0125-47A9-AD2B-0B53CE030D08}"/>
                </c:ext>
              </c:extLst>
            </c:dLbl>
            <c:dLbl>
              <c:idx val="4"/>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6%</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125-47A9-AD2B-0B53CE030D08}"/>
                </c:ext>
              </c:extLst>
            </c:dLbl>
            <c:dLbl>
              <c:idx val="8"/>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6%</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125-47A9-AD2B-0B53CE030D08}"/>
                </c:ext>
              </c:extLst>
            </c:dLbl>
            <c:dLbl>
              <c:idx val="12"/>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6%</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125-47A9-AD2B-0B53CE030D08}"/>
                </c:ext>
              </c:extLst>
            </c:dLbl>
            <c:dLbl>
              <c:idx val="16"/>
              <c:layout>
                <c:manualLayout>
                  <c:x val="-5.5085451432500585E-2"/>
                  <c:y val="-6.4703779914164899E-2"/>
                </c:manualLayout>
              </c:layout>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14%</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125-47A9-AD2B-0B53CE030D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EXPE!$AT$3:$BW$3</c15:sqref>
                  </c15:fullRef>
                </c:ext>
              </c:extLst>
              <c:f>(EXPE!$AU$3:$AW$3,EXPE!$BJ$3:$BW$3)</c:f>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xmlns:c15="http://schemas.microsoft.com/office/drawing/2012/chart" uri="{02D57815-91ED-43cb-92C2-25804820EDAC}">
                  <c15:fullRef>
                    <c15:sqref>EXPE!$AT$245:$BW$245</c15:sqref>
                  </c15:fullRef>
                </c:ext>
              </c:extLst>
              <c:f>(EXPE!$AU$245:$AW$245,EXPE!$BJ$245:$BW$245)</c:f>
              <c:numCache>
                <c:formatCode>0%</c:formatCode>
                <c:ptCount val="17"/>
                <c:pt idx="0">
                  <c:v>0.09</c:v>
                </c:pt>
                <c:pt idx="1">
                  <c:v>0.09</c:v>
                </c:pt>
                <c:pt idx="2">
                  <c:v>7.0000000000000007E-2</c:v>
                </c:pt>
                <c:pt idx="3">
                  <c:v>0.18497109826589586</c:v>
                </c:pt>
                <c:pt idx="4">
                  <c:v>5.5642879597610717E-2</c:v>
                </c:pt>
                <c:pt idx="5">
                  <c:v>8.5659021829234572E-2</c:v>
                </c:pt>
                <c:pt idx="6">
                  <c:v>0.1027501909854851</c:v>
                </c:pt>
                <c:pt idx="7" formatCode="0.0%">
                  <c:v>8.405253283302061E-2</c:v>
                </c:pt>
                <c:pt idx="8" formatCode="0.0%">
                  <c:v>5.9559261465157887E-2</c:v>
                </c:pt>
                <c:pt idx="9">
                  <c:v>3.3341817256299366E-2</c:v>
                </c:pt>
                <c:pt idx="10">
                  <c:v>0.10287495670245939</c:v>
                </c:pt>
                <c:pt idx="11">
                  <c:v>3.4267912772585563E-2</c:v>
                </c:pt>
                <c:pt idx="12">
                  <c:v>6.4080944350758839E-2</c:v>
                </c:pt>
                <c:pt idx="13">
                  <c:v>8.6699507389162545E-2</c:v>
                </c:pt>
                <c:pt idx="14">
                  <c:v>0.11400753768844218</c:v>
                </c:pt>
                <c:pt idx="15">
                  <c:v>0.14658634538152615</c:v>
                </c:pt>
                <c:pt idx="16">
                  <c:v>0.13972530375066028</c:v>
                </c:pt>
              </c:numCache>
            </c:numRef>
          </c:val>
          <c:smooth val="0"/>
          <c:extLst>
            <c:ext xmlns:c16="http://schemas.microsoft.com/office/drawing/2014/chart" uri="{C3380CC4-5D6E-409C-BE32-E72D297353CC}">
              <c16:uniqueId val="{00000001-137F-4592-B586-7CD8092A93A0}"/>
            </c:ext>
          </c:extLst>
        </c:ser>
        <c:dLbls>
          <c:showLegendKey val="0"/>
          <c:showVal val="0"/>
          <c:showCatName val="0"/>
          <c:showSerName val="0"/>
          <c:showPercent val="0"/>
          <c:showBubbleSize val="0"/>
        </c:dLbls>
        <c:marker val="1"/>
        <c:smooth val="0"/>
        <c:axId val="353152176"/>
        <c:axId val="353151760"/>
        <c:extLst>
          <c:ext xmlns:c15="http://schemas.microsoft.com/office/drawing/2012/chart" uri="{02D57815-91ED-43cb-92C2-25804820EDAC}">
            <c15:filteredLineSeries>
              <c15:ser>
                <c:idx val="2"/>
                <c:order val="2"/>
                <c:tx>
                  <c:strRef>
                    <c:extLst>
                      <c:ext uri="{02D57815-91ED-43cb-92C2-25804820EDAC}">
                        <c15:formulaRef>
                          <c15:sqref>EXPE!$A$246</c15:sqref>
                        </c15:formulaRef>
                      </c:ext>
                    </c:extLst>
                    <c:strCache>
                      <c:ptCount val="1"/>
                      <c:pt idx="0">
                        <c:v>Total revenues on a constant currency basis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c:ext uri="{02D57815-91ED-43cb-92C2-25804820EDAC}">
                        <c15:fullRef>
                          <c15:sqref>EXPE!$AT$3:$BW$3</c15:sqref>
                        </c15:fullRef>
                        <c15:formulaRef>
                          <c15:sqref>(EXPE!$AU$3:$AW$3,EXPE!$BJ$3:$BW$3)</c15:sqref>
                        </c15:formulaRef>
                      </c:ext>
                    </c:extLst>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uri="{02D57815-91ED-43cb-92C2-25804820EDAC}">
                        <c15:fullRef>
                          <c15:sqref>EXPE!$AT$246:$BV$246</c15:sqref>
                        </c15:fullRef>
                        <c15:formulaRef>
                          <c15:sqref>(EXPE!$AU$246:$AW$246,EXPE!$BJ$246:$BV$246)</c15:sqref>
                        </c15:formulaRef>
                      </c:ext>
                    </c:extLst>
                    <c:numCache>
                      <c:formatCode>0.0%</c:formatCode>
                      <c:ptCount val="16"/>
                      <c:pt idx="0">
                        <c:v>0.12</c:v>
                      </c:pt>
                      <c:pt idx="1">
                        <c:v>0.09</c:v>
                      </c:pt>
                      <c:pt idx="2">
                        <c:v>0.08</c:v>
                      </c:pt>
                      <c:pt idx="3">
                        <c:v>0.185</c:v>
                      </c:pt>
                      <c:pt idx="4">
                        <c:v>5.6000000000000001E-2</c:v>
                      </c:pt>
                      <c:pt idx="5">
                        <c:v>8.5999999999999993E-2</c:v>
                      </c:pt>
                      <c:pt idx="6">
                        <c:v>0.10299999999999999</c:v>
                      </c:pt>
                    </c:numCache>
                  </c:numRef>
                </c:val>
                <c:smooth val="0"/>
                <c:extLst>
                  <c:ext xmlns:c16="http://schemas.microsoft.com/office/drawing/2014/chart" uri="{C3380CC4-5D6E-409C-BE32-E72D297353CC}">
                    <c16:uniqueId val="{00000002-137F-4592-B586-7CD8092A93A0}"/>
                  </c:ext>
                </c:extLst>
              </c15:ser>
            </c15:filteredLineSeries>
          </c:ext>
        </c:extLst>
      </c:lineChart>
      <c:catAx>
        <c:axId val="90553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05535632"/>
        <c:crosses val="autoZero"/>
        <c:auto val="1"/>
        <c:lblAlgn val="ctr"/>
        <c:lblOffset val="100"/>
        <c:noMultiLvlLbl val="0"/>
      </c:catAx>
      <c:valAx>
        <c:axId val="905535632"/>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05537712"/>
        <c:crosses val="autoZero"/>
        <c:crossBetween val="between"/>
      </c:valAx>
      <c:valAx>
        <c:axId val="353151760"/>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zh-CN"/>
          </a:p>
        </c:txPr>
        <c:crossAx val="353152176"/>
        <c:crosses val="max"/>
        <c:crossBetween val="between"/>
      </c:valAx>
      <c:catAx>
        <c:axId val="353152176"/>
        <c:scaling>
          <c:orientation val="minMax"/>
        </c:scaling>
        <c:delete val="1"/>
        <c:axPos val="b"/>
        <c:numFmt formatCode="General" sourceLinked="1"/>
        <c:majorTickMark val="out"/>
        <c:minorTickMark val="none"/>
        <c:tickLblPos val="nextTo"/>
        <c:crossAx val="353151760"/>
        <c:crosses val="autoZero"/>
        <c:auto val="1"/>
        <c:lblAlgn val="ctr"/>
        <c:lblOffset val="100"/>
        <c:noMultiLvlLbl val="0"/>
      </c:catAx>
      <c:spPr>
        <a:no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400" b="0" i="0" baseline="0">
                <a:effectLst/>
              </a:rPr>
              <a:t>EXPE Revenue by Geo</a:t>
            </a:r>
            <a:endParaRPr lang="zh-CN" altLang="zh-CN"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stacked"/>
        <c:varyColors val="0"/>
        <c:ser>
          <c:idx val="1"/>
          <c:order val="1"/>
          <c:tx>
            <c:strRef>
              <c:f>EXPE!$A$68</c:f>
              <c:strCache>
                <c:ptCount val="1"/>
                <c:pt idx="0">
                  <c:v>US contribution</c:v>
                </c:pt>
              </c:strCache>
            </c:strRef>
          </c:tx>
          <c:spPr>
            <a:solidFill>
              <a:schemeClr val="accent2"/>
            </a:solidFill>
            <a:ln>
              <a:noFill/>
            </a:ln>
            <a:effectLst/>
          </c:spPr>
          <c:invertIfNegative val="0"/>
          <c:cat>
            <c:strRef>
              <c:extLst>
                <c:ext xmlns:c15="http://schemas.microsoft.com/office/drawing/2012/chart" uri="{02D57815-91ED-43cb-92C2-25804820EDAC}">
                  <c15:fullRef>
                    <c15:sqref>EXPE!$AT$3:$BW$3</c15:sqref>
                  </c15:fullRef>
                </c:ext>
              </c:extLst>
              <c:f>(EXPE!$AU$3:$AW$3,EXPE!$BJ$3:$BW$3)</c:f>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xmlns:c15="http://schemas.microsoft.com/office/drawing/2012/chart" uri="{02D57815-91ED-43cb-92C2-25804820EDAC}">
                  <c15:fullRef>
                    <c15:sqref>EXPE!$AT$68:$BW$68</c15:sqref>
                  </c15:fullRef>
                </c:ext>
              </c:extLst>
              <c:f>(EXPE!$AU$68:$AW$68,EXPE!$BJ$68:$BW$68)</c:f>
              <c:numCache>
                <c:formatCode>0%</c:formatCode>
                <c:ptCount val="17"/>
                <c:pt idx="0">
                  <c:v>0.58293688550586742</c:v>
                </c:pt>
                <c:pt idx="1">
                  <c:v>0.55705452501405284</c:v>
                </c:pt>
                <c:pt idx="2">
                  <c:v>0.57262468147069534</c:v>
                </c:pt>
                <c:pt idx="3">
                  <c:v>0.65590994371482181</c:v>
                </c:pt>
                <c:pt idx="4">
                  <c:v>0.646813579511614</c:v>
                </c:pt>
                <c:pt idx="5">
                  <c:v>0.62102316110969713</c:v>
                </c:pt>
                <c:pt idx="6">
                  <c:v>0.61898164184274329</c:v>
                </c:pt>
                <c:pt idx="7">
                  <c:v>0.62062997577016266</c:v>
                </c:pt>
                <c:pt idx="8">
                  <c:v>0.63125351320966838</c:v>
                </c:pt>
                <c:pt idx="9">
                  <c:v>0.59975369458128081</c:v>
                </c:pt>
                <c:pt idx="10">
                  <c:v>0.59610552763819091</c:v>
                </c:pt>
                <c:pt idx="11">
                  <c:v>0.61278447121820612</c:v>
                </c:pt>
                <c:pt idx="12">
                  <c:v>0.60829371368198626</c:v>
                </c:pt>
                <c:pt idx="13">
                  <c:v>0.5750226654578422</c:v>
                </c:pt>
                <c:pt idx="14">
                  <c:v>0.57485198759515088</c:v>
                </c:pt>
                <c:pt idx="15">
                  <c:v>0.58085230589608872</c:v>
                </c:pt>
                <c:pt idx="16">
                  <c:v>0.59559675550405566</c:v>
                </c:pt>
              </c:numCache>
            </c:numRef>
          </c:val>
          <c:extLst>
            <c:ext xmlns:c16="http://schemas.microsoft.com/office/drawing/2014/chart" uri="{C3380CC4-5D6E-409C-BE32-E72D297353CC}">
              <c16:uniqueId val="{00000000-B92F-4355-B48F-57D560B36454}"/>
            </c:ext>
          </c:extLst>
        </c:ser>
        <c:ser>
          <c:idx val="3"/>
          <c:order val="3"/>
          <c:tx>
            <c:strRef>
              <c:f>EXPE!$A$73</c:f>
              <c:strCache>
                <c:ptCount val="1"/>
                <c:pt idx="0">
                  <c:v>Int'l contribution</c:v>
                </c:pt>
              </c:strCache>
            </c:strRef>
          </c:tx>
          <c:spPr>
            <a:solidFill>
              <a:schemeClr val="accent4"/>
            </a:solidFill>
            <a:ln>
              <a:noFill/>
            </a:ln>
            <a:effectLst/>
          </c:spPr>
          <c:invertIfNegative val="0"/>
          <c:cat>
            <c:strRef>
              <c:extLst>
                <c:ext xmlns:c15="http://schemas.microsoft.com/office/drawing/2012/chart" uri="{02D57815-91ED-43cb-92C2-25804820EDAC}">
                  <c15:fullRef>
                    <c15:sqref>EXPE!$AT$3:$BW$3</c15:sqref>
                  </c15:fullRef>
                </c:ext>
              </c:extLst>
              <c:f>(EXPE!$AU$3:$AW$3,EXPE!$BJ$3:$BW$3)</c:f>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xmlns:c15="http://schemas.microsoft.com/office/drawing/2012/chart" uri="{02D57815-91ED-43cb-92C2-25804820EDAC}">
                  <c15:fullRef>
                    <c15:sqref>EXPE!$AT$73:$BW$73</c15:sqref>
                  </c15:fullRef>
                </c:ext>
              </c:extLst>
              <c:f>(EXPE!$AU$73:$AW$73,EXPE!$BJ$73:$BW$73)</c:f>
              <c:numCache>
                <c:formatCode>0%</c:formatCode>
                <c:ptCount val="17"/>
                <c:pt idx="0">
                  <c:v>0.41706311449413258</c:v>
                </c:pt>
                <c:pt idx="1">
                  <c:v>0.44294547498594716</c:v>
                </c:pt>
                <c:pt idx="2">
                  <c:v>0.42737531852930472</c:v>
                </c:pt>
                <c:pt idx="3">
                  <c:v>0.34409005628517825</c:v>
                </c:pt>
                <c:pt idx="4">
                  <c:v>0.35318642048838594</c:v>
                </c:pt>
                <c:pt idx="5">
                  <c:v>0.37897683889030287</c:v>
                </c:pt>
                <c:pt idx="6">
                  <c:v>0.38101835815725665</c:v>
                </c:pt>
                <c:pt idx="7">
                  <c:v>0.37937002422983729</c:v>
                </c:pt>
                <c:pt idx="8">
                  <c:v>0.36874648679033167</c:v>
                </c:pt>
                <c:pt idx="9">
                  <c:v>0.40024630541871919</c:v>
                </c:pt>
                <c:pt idx="10">
                  <c:v>0.40389447236180903</c:v>
                </c:pt>
                <c:pt idx="11">
                  <c:v>0.38721552878179383</c:v>
                </c:pt>
                <c:pt idx="12">
                  <c:v>0.39170628631801374</c:v>
                </c:pt>
                <c:pt idx="13">
                  <c:v>0.42497733454215775</c:v>
                </c:pt>
                <c:pt idx="14">
                  <c:v>0.42514801240484917</c:v>
                </c:pt>
                <c:pt idx="15">
                  <c:v>0.41914769410391128</c:v>
                </c:pt>
                <c:pt idx="16">
                  <c:v>0.40440324449594439</c:v>
                </c:pt>
              </c:numCache>
            </c:numRef>
          </c:val>
          <c:extLst>
            <c:ext xmlns:c16="http://schemas.microsoft.com/office/drawing/2014/chart" uri="{C3380CC4-5D6E-409C-BE32-E72D297353CC}">
              <c16:uniqueId val="{00000001-B92F-4355-B48F-57D560B36454}"/>
            </c:ext>
          </c:extLst>
        </c:ser>
        <c:dLbls>
          <c:showLegendKey val="0"/>
          <c:showVal val="0"/>
          <c:showCatName val="0"/>
          <c:showSerName val="0"/>
          <c:showPercent val="0"/>
          <c:showBubbleSize val="0"/>
        </c:dLbls>
        <c:gapWidth val="150"/>
        <c:overlap val="100"/>
        <c:axId val="353148848"/>
        <c:axId val="353144272"/>
      </c:barChart>
      <c:lineChart>
        <c:grouping val="standard"/>
        <c:varyColors val="0"/>
        <c:ser>
          <c:idx val="0"/>
          <c:order val="0"/>
          <c:tx>
            <c:strRef>
              <c:f>EXPE!$A$67</c:f>
              <c:strCache>
                <c:ptCount val="1"/>
                <c:pt idx="0">
                  <c:v>US YoY growth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13%</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F3B-4203-AEE9-AEF73E887B22}"/>
                </c:ext>
              </c:extLst>
            </c:dLbl>
            <c:dLbl>
              <c:idx val="4"/>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-2%</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F3B-4203-AEE9-AEF73E887B22}"/>
                </c:ext>
              </c:extLst>
            </c:dLbl>
            <c:dLbl>
              <c:idx val="8"/>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3%</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F3B-4203-AEE9-AEF73E887B22}"/>
                </c:ext>
              </c:extLst>
            </c:dLbl>
            <c:dLbl>
              <c:idx val="12"/>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3%</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F3B-4203-AEE9-AEF73E887B22}"/>
                </c:ext>
              </c:extLst>
            </c:dLbl>
            <c:dLbl>
              <c:idx val="16"/>
              <c:layout>
                <c:manualLayout>
                  <c:x val="-7.8269913271326597E-2"/>
                  <c:y val="-9.3131253465208896E-2"/>
                </c:manualLayout>
              </c:layout>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12%</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E60-498E-93FA-50A016DBA9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EXPE!$AT$3:$BW$3</c15:sqref>
                  </c15:fullRef>
                </c:ext>
              </c:extLst>
              <c:f>(EXPE!$AU$3:$AW$3,EXPE!$BJ$3:$BW$3)</c:f>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xmlns:c15="http://schemas.microsoft.com/office/drawing/2012/chart" uri="{02D57815-91ED-43cb-92C2-25804820EDAC}">
                  <c15:fullRef>
                    <c15:sqref>EXPE!$AT$67:$BW$67</c15:sqref>
                  </c15:fullRef>
                </c:ext>
              </c:extLst>
              <c:f>(EXPE!$AU$67:$AW$67,EXPE!$BJ$67:$BW$67)</c:f>
              <c:numCache>
                <c:formatCode>0.0%</c:formatCode>
                <c:ptCount val="17"/>
                <c:pt idx="0">
                  <c:v>0.12622549019607843</c:v>
                </c:pt>
                <c:pt idx="1">
                  <c:v>0.10602678571428581</c:v>
                </c:pt>
                <c:pt idx="2">
                  <c:v>0.10308555399719488</c:v>
                </c:pt>
                <c:pt idx="3">
                  <c:v>5.555555555555558E-2</c:v>
                </c:pt>
                <c:pt idx="4">
                  <c:v>-1.6304347826086918E-2</c:v>
                </c:pt>
                <c:pt idx="5">
                  <c:v>3.4775233248515613E-2</c:v>
                </c:pt>
                <c:pt idx="6">
                  <c:v>4.0768782760628897E-2</c:v>
                </c:pt>
                <c:pt idx="7">
                  <c:v>2.5743707093821566E-2</c:v>
                </c:pt>
                <c:pt idx="8">
                  <c:v>3.4069981583793707E-2</c:v>
                </c:pt>
                <c:pt idx="9">
                  <c:v>-2.049180327868827E-3</c:v>
                </c:pt>
                <c:pt idx="10">
                  <c:v>6.2115277000559521E-2</c:v>
                </c:pt>
                <c:pt idx="11" formatCode="0%">
                  <c:v>2.1193530395984483E-2</c:v>
                </c:pt>
                <c:pt idx="12" formatCode="0%">
                  <c:v>2.5378450578806833E-2</c:v>
                </c:pt>
                <c:pt idx="13" formatCode="0%">
                  <c:v>4.188911704312126E-2</c:v>
                </c:pt>
                <c:pt idx="14" formatCode="0%">
                  <c:v>7.4288724973656572E-2</c:v>
                </c:pt>
                <c:pt idx="15" formatCode="0%">
                  <c:v>8.6837793555434084E-2</c:v>
                </c:pt>
                <c:pt idx="16" formatCode="0%">
                  <c:v>0.11593573599652629</c:v>
                </c:pt>
              </c:numCache>
            </c:numRef>
          </c:val>
          <c:smooth val="0"/>
          <c:extLst>
            <c:ext xmlns:c16="http://schemas.microsoft.com/office/drawing/2014/chart" uri="{C3380CC4-5D6E-409C-BE32-E72D297353CC}">
              <c16:uniqueId val="{00000002-B92F-4355-B48F-57D560B36454}"/>
            </c:ext>
          </c:extLst>
        </c:ser>
        <c:ser>
          <c:idx val="2"/>
          <c:order val="2"/>
          <c:tx>
            <c:strRef>
              <c:f>EXPE!$A$72</c:f>
              <c:strCache>
                <c:ptCount val="1"/>
                <c:pt idx="0">
                  <c:v>Int'l YoY growth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Lbl>
              <c:idx val="0"/>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5%</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F3B-4203-AEE9-AEF73E887B22}"/>
                </c:ext>
              </c:extLst>
            </c:dLbl>
            <c:dLbl>
              <c:idx val="4"/>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22%</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F3B-4203-AEE9-AEF73E887B22}"/>
                </c:ext>
              </c:extLst>
            </c:dLbl>
            <c:dLbl>
              <c:idx val="8"/>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11%</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F3B-4203-AEE9-AEF73E887B22}"/>
                </c:ext>
              </c:extLst>
            </c:dLbl>
            <c:dLbl>
              <c:idx val="12"/>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13%</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F3B-4203-AEE9-AEF73E887B22}"/>
                </c:ext>
              </c:extLst>
            </c:dLbl>
            <c:dLbl>
              <c:idx val="16"/>
              <c:layout>
                <c:manualLayout>
                  <c:x val="-7.8269913271326597E-2"/>
                  <c:y val="-9.3131253465208952E-2"/>
                </c:manualLayout>
              </c:layout>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18%</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E60-498E-93FA-50A016DBA9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EXPE!$AT$3:$BW$3</c15:sqref>
                  </c15:fullRef>
                </c:ext>
              </c:extLst>
              <c:f>(EXPE!$AU$3:$AW$3,EXPE!$BJ$3:$BW$3)</c:f>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xmlns:c15="http://schemas.microsoft.com/office/drawing/2012/chart" uri="{02D57815-91ED-43cb-92C2-25804820EDAC}">
                  <c15:fullRef>
                    <c15:sqref>EXPE!$AT$72:$BW$72</c15:sqref>
                  </c15:fullRef>
                </c:ext>
              </c:extLst>
              <c:f>(EXPE!$AU$72:$AW$72,EXPE!$BJ$72:$BW$72)</c:f>
              <c:numCache>
                <c:formatCode>0.0%</c:formatCode>
                <c:ptCount val="17"/>
                <c:pt idx="0">
                  <c:v>5.3685897435897356E-2</c:v>
                </c:pt>
                <c:pt idx="1">
                  <c:v>6.1994609164420567E-2</c:v>
                </c:pt>
                <c:pt idx="2">
                  <c:v>3.6187113857016673E-2</c:v>
                </c:pt>
                <c:pt idx="3">
                  <c:v>0.54637436762225966</c:v>
                </c:pt>
                <c:pt idx="4">
                  <c:v>0.21891058581706058</c:v>
                </c:pt>
                <c:pt idx="5">
                  <c:v>0.1808088818398097</c:v>
                </c:pt>
                <c:pt idx="6">
                  <c:v>0.22086570477247514</c:v>
                </c:pt>
                <c:pt idx="7">
                  <c:v>0.19520174482006536</c:v>
                </c:pt>
                <c:pt idx="8">
                  <c:v>0.10623946037099485</c:v>
                </c:pt>
                <c:pt idx="9">
                  <c:v>9.133646742780388E-2</c:v>
                </c:pt>
                <c:pt idx="10">
                  <c:v>0.16909090909090918</c:v>
                </c:pt>
                <c:pt idx="11" formatCode="0%">
                  <c:v>5.5656934306569372E-2</c:v>
                </c:pt>
                <c:pt idx="12" formatCode="0%">
                  <c:v>0.13033536585365857</c:v>
                </c:pt>
                <c:pt idx="13" formatCode="0%">
                  <c:v>0.15384615384615374</c:v>
                </c:pt>
                <c:pt idx="14" formatCode="0%">
                  <c:v>0.17262830482115077</c:v>
                </c:pt>
                <c:pt idx="15" formatCode="0%">
                  <c:v>0.24114088159031977</c:v>
                </c:pt>
                <c:pt idx="16" formatCode="0%">
                  <c:v>0.17666891436277821</c:v>
                </c:pt>
              </c:numCache>
            </c:numRef>
          </c:val>
          <c:smooth val="0"/>
          <c:extLst>
            <c:ext xmlns:c16="http://schemas.microsoft.com/office/drawing/2014/chart" uri="{C3380CC4-5D6E-409C-BE32-E72D297353CC}">
              <c16:uniqueId val="{00000003-B92F-4355-B48F-57D560B36454}"/>
            </c:ext>
          </c:extLst>
        </c:ser>
        <c:dLbls>
          <c:showLegendKey val="0"/>
          <c:showVal val="0"/>
          <c:showCatName val="0"/>
          <c:showSerName val="0"/>
          <c:showPercent val="0"/>
          <c:showBubbleSize val="0"/>
        </c:dLbls>
        <c:marker val="1"/>
        <c:smooth val="0"/>
        <c:axId val="353156336"/>
        <c:axId val="353155920"/>
      </c:lineChart>
      <c:catAx>
        <c:axId val="35314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53144272"/>
        <c:crosses val="autoZero"/>
        <c:auto val="1"/>
        <c:lblAlgn val="ctr"/>
        <c:lblOffset val="100"/>
        <c:noMultiLvlLbl val="0"/>
      </c:catAx>
      <c:valAx>
        <c:axId val="353144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53148848"/>
        <c:crosses val="autoZero"/>
        <c:crossBetween val="between"/>
      </c:valAx>
      <c:valAx>
        <c:axId val="353155920"/>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53156336"/>
        <c:crosses val="max"/>
        <c:crossBetween val="between"/>
      </c:valAx>
      <c:catAx>
        <c:axId val="353156336"/>
        <c:scaling>
          <c:orientation val="minMax"/>
        </c:scaling>
        <c:delete val="1"/>
        <c:axPos val="b"/>
        <c:numFmt formatCode="General" sourceLinked="1"/>
        <c:majorTickMark val="out"/>
        <c:minorTickMark val="none"/>
        <c:tickLblPos val="nextTo"/>
        <c:crossAx val="353155920"/>
        <c:crosses val="autoZero"/>
        <c:auto val="1"/>
        <c:lblAlgn val="ctr"/>
        <c:lblOffset val="100"/>
        <c:noMultiLvlLbl val="0"/>
      </c:catAx>
      <c:spPr>
        <a:no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400" b="0" i="0" baseline="0">
                <a:effectLst/>
              </a:rPr>
              <a:t>EXPE</a:t>
            </a:r>
            <a:r>
              <a:rPr lang="zh-CN" altLang="zh-CN" sz="1400" b="0" i="0" baseline="0">
                <a:effectLst/>
              </a:rPr>
              <a:t>总收入按照业务</a:t>
            </a:r>
            <a:r>
              <a:rPr lang="zh-CN" altLang="en-US" sz="1400" b="0" i="0" baseline="0">
                <a:effectLst/>
              </a:rPr>
              <a:t>线</a:t>
            </a:r>
            <a:r>
              <a:rPr lang="zh-CN" altLang="zh-CN" sz="1400" b="0" i="0" baseline="0">
                <a:effectLst/>
              </a:rPr>
              <a:t>分布</a:t>
            </a:r>
            <a:endParaRPr lang="zh-CN" altLang="zh-CN"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stacked"/>
        <c:varyColors val="0"/>
        <c:ser>
          <c:idx val="1"/>
          <c:order val="0"/>
          <c:tx>
            <c:strRef>
              <c:f>EXPE!$A$116</c:f>
              <c:strCache>
                <c:ptCount val="1"/>
                <c:pt idx="0">
                  <c:v>Hotel contribution</c:v>
                </c:pt>
              </c:strCache>
            </c:strRef>
          </c:tx>
          <c:spPr>
            <a:solidFill>
              <a:schemeClr val="accent2"/>
            </a:solidFill>
            <a:ln>
              <a:noFill/>
            </a:ln>
            <a:effectLst/>
          </c:spPr>
          <c:invertIfNegative val="0"/>
          <c:cat>
            <c:strRef>
              <c:f>EXPE!$AP$3:$BW$3</c:f>
              <c:strCache>
                <c:ptCount val="30"/>
                <c:pt idx="0">
                  <c:v> 2019Q1 </c:v>
                </c:pt>
                <c:pt idx="1">
                  <c:v> 2019Q2 </c:v>
                </c:pt>
                <c:pt idx="2">
                  <c:v> 2019Q3 </c:v>
                </c:pt>
                <c:pt idx="3">
                  <c:v> 2019Q4 </c:v>
                </c:pt>
                <c:pt idx="4">
                  <c:v> 2020Q1 </c:v>
                </c:pt>
                <c:pt idx="5">
                  <c:v> 2020Q2 </c:v>
                </c:pt>
                <c:pt idx="6">
                  <c:v> 2020Q3 </c:v>
                </c:pt>
                <c:pt idx="7">
                  <c:v> 2020Q4 </c:v>
                </c:pt>
                <c:pt idx="8">
                  <c:v> 2021Q1 </c:v>
                </c:pt>
                <c:pt idx="9">
                  <c:v> 2021Q2 </c:v>
                </c:pt>
                <c:pt idx="10">
                  <c:v> 2021Q3 </c:v>
                </c:pt>
                <c:pt idx="11">
                  <c:v> 2021Q4 </c:v>
                </c:pt>
                <c:pt idx="12">
                  <c:v> 2022Q1 </c:v>
                </c:pt>
                <c:pt idx="13">
                  <c:v> 2022Q2 </c:v>
                </c:pt>
                <c:pt idx="14">
                  <c:v> 2022Q3 </c:v>
                </c:pt>
                <c:pt idx="15">
                  <c:v> 2022Q4 </c:v>
                </c:pt>
                <c:pt idx="16">
                  <c:v> 2023Q1 </c:v>
                </c:pt>
                <c:pt idx="17">
                  <c:v> 2023Q2 </c:v>
                </c:pt>
                <c:pt idx="18">
                  <c:v> 2023Q3 </c:v>
                </c:pt>
                <c:pt idx="19">
                  <c:v> 2023Q4 </c:v>
                </c:pt>
                <c:pt idx="20">
                  <c:v> 2024Q1 </c:v>
                </c:pt>
                <c:pt idx="21">
                  <c:v> 2024Q2 </c:v>
                </c:pt>
                <c:pt idx="22">
                  <c:v> 2024Q3 </c:v>
                </c:pt>
                <c:pt idx="23">
                  <c:v> 2024Q4 </c:v>
                </c:pt>
                <c:pt idx="24">
                  <c:v> 2025Q1 </c:v>
                </c:pt>
                <c:pt idx="25">
                  <c:v> 2025Q2 </c:v>
                </c:pt>
                <c:pt idx="26">
                  <c:v> 2025Q3 </c:v>
                </c:pt>
                <c:pt idx="27">
                  <c:v> 2025Q4 </c:v>
                </c:pt>
                <c:pt idx="28">
                  <c:v> 2026Q1 </c:v>
                </c:pt>
                <c:pt idx="29">
                  <c:v> 2026Q2 </c:v>
                </c:pt>
              </c:strCache>
            </c:strRef>
          </c:cat>
          <c:val>
            <c:numRef>
              <c:f>EXPE!$AP$116:$BW$116</c:f>
              <c:numCache>
                <c:formatCode>0%</c:formatCode>
                <c:ptCount val="30"/>
                <c:pt idx="0">
                  <c:v>0.66</c:v>
                </c:pt>
                <c:pt idx="1">
                  <c:v>0.71</c:v>
                </c:pt>
                <c:pt idx="2">
                  <c:v>0.73</c:v>
                </c:pt>
                <c:pt idx="3">
                  <c:v>0.7</c:v>
                </c:pt>
                <c:pt idx="4">
                  <c:v>0.69</c:v>
                </c:pt>
                <c:pt idx="5">
                  <c:v>0.86</c:v>
                </c:pt>
                <c:pt idx="6">
                  <c:v>0.82</c:v>
                </c:pt>
                <c:pt idx="7">
                  <c:v>0.86</c:v>
                </c:pt>
                <c:pt idx="8">
                  <c:v>0.7247191011235955</c:v>
                </c:pt>
                <c:pt idx="9">
                  <c:v>0.72619611558503083</c:v>
                </c:pt>
                <c:pt idx="10">
                  <c:v>0.7765023632680621</c:v>
                </c:pt>
                <c:pt idx="11">
                  <c:v>0.75164545853444498</c:v>
                </c:pt>
                <c:pt idx="12">
                  <c:v>0.71587372165406848</c:v>
                </c:pt>
                <c:pt idx="13">
                  <c:v>0.75447972335743474</c:v>
                </c:pt>
                <c:pt idx="14">
                  <c:v>0.79607626416137056</c:v>
                </c:pt>
                <c:pt idx="15">
                  <c:v>0.76928953399541633</c:v>
                </c:pt>
                <c:pt idx="16">
                  <c:v>0.76135084427767352</c:v>
                </c:pt>
                <c:pt idx="17">
                  <c:v>0.80345443716497911</c:v>
                </c:pt>
                <c:pt idx="18">
                  <c:v>0.82285568847034873</c:v>
                </c:pt>
                <c:pt idx="19">
                  <c:v>0.79806027017665393</c:v>
                </c:pt>
                <c:pt idx="20">
                  <c:v>0.77120110764970573</c:v>
                </c:pt>
                <c:pt idx="21">
                  <c:v>0.80438448566610454</c:v>
                </c:pt>
                <c:pt idx="22">
                  <c:v>0.81699507389162562</c:v>
                </c:pt>
                <c:pt idx="23">
                  <c:v>0.79868090452261309</c:v>
                </c:pt>
                <c:pt idx="24">
                  <c:v>0.76606425702811243</c:v>
                </c:pt>
                <c:pt idx="25">
                  <c:v>0.80295826730058106</c:v>
                </c:pt>
                <c:pt idx="26">
                  <c:v>0.81686310063463285</c:v>
                </c:pt>
                <c:pt idx="27">
                  <c:v>0.79475613194248662</c:v>
                </c:pt>
                <c:pt idx="28">
                  <c:v>0.76182136602451844</c:v>
                </c:pt>
                <c:pt idx="29">
                  <c:v>0.79466975666280415</c:v>
                </c:pt>
              </c:numCache>
            </c:numRef>
          </c:val>
          <c:extLst>
            <c:ext xmlns:c16="http://schemas.microsoft.com/office/drawing/2014/chart" uri="{C3380CC4-5D6E-409C-BE32-E72D297353CC}">
              <c16:uniqueId val="{00000000-A8CC-40C3-9F7B-1B28F71DA0F0}"/>
            </c:ext>
          </c:extLst>
        </c:ser>
        <c:ser>
          <c:idx val="3"/>
          <c:order val="1"/>
          <c:tx>
            <c:strRef>
              <c:f>EXPE!$A$120</c:f>
              <c:strCache>
                <c:ptCount val="1"/>
                <c:pt idx="0">
                  <c:v>Air contribution</c:v>
                </c:pt>
              </c:strCache>
            </c:strRef>
          </c:tx>
          <c:spPr>
            <a:solidFill>
              <a:schemeClr val="accent4"/>
            </a:solidFill>
            <a:ln>
              <a:noFill/>
            </a:ln>
            <a:effectLst/>
          </c:spPr>
          <c:invertIfNegative val="0"/>
          <c:cat>
            <c:strRef>
              <c:f>EXPE!$AP$3:$BW$3</c:f>
              <c:strCache>
                <c:ptCount val="30"/>
                <c:pt idx="0">
                  <c:v> 2019Q1 </c:v>
                </c:pt>
                <c:pt idx="1">
                  <c:v> 2019Q2 </c:v>
                </c:pt>
                <c:pt idx="2">
                  <c:v> 2019Q3 </c:v>
                </c:pt>
                <c:pt idx="3">
                  <c:v> 2019Q4 </c:v>
                </c:pt>
                <c:pt idx="4">
                  <c:v> 2020Q1 </c:v>
                </c:pt>
                <c:pt idx="5">
                  <c:v> 2020Q2 </c:v>
                </c:pt>
                <c:pt idx="6">
                  <c:v> 2020Q3 </c:v>
                </c:pt>
                <c:pt idx="7">
                  <c:v> 2020Q4 </c:v>
                </c:pt>
                <c:pt idx="8">
                  <c:v> 2021Q1 </c:v>
                </c:pt>
                <c:pt idx="9">
                  <c:v> 2021Q2 </c:v>
                </c:pt>
                <c:pt idx="10">
                  <c:v> 2021Q3 </c:v>
                </c:pt>
                <c:pt idx="11">
                  <c:v> 2021Q4 </c:v>
                </c:pt>
                <c:pt idx="12">
                  <c:v> 2022Q1 </c:v>
                </c:pt>
                <c:pt idx="13">
                  <c:v> 2022Q2 </c:v>
                </c:pt>
                <c:pt idx="14">
                  <c:v> 2022Q3 </c:v>
                </c:pt>
                <c:pt idx="15">
                  <c:v> 2022Q4 </c:v>
                </c:pt>
                <c:pt idx="16">
                  <c:v> 2023Q1 </c:v>
                </c:pt>
                <c:pt idx="17">
                  <c:v> 2023Q2 </c:v>
                </c:pt>
                <c:pt idx="18">
                  <c:v> 2023Q3 </c:v>
                </c:pt>
                <c:pt idx="19">
                  <c:v> 2023Q4 </c:v>
                </c:pt>
                <c:pt idx="20">
                  <c:v> 2024Q1 </c:v>
                </c:pt>
                <c:pt idx="21">
                  <c:v> 2024Q2 </c:v>
                </c:pt>
                <c:pt idx="22">
                  <c:v> 2024Q3 </c:v>
                </c:pt>
                <c:pt idx="23">
                  <c:v> 2024Q4 </c:v>
                </c:pt>
                <c:pt idx="24">
                  <c:v> 2025Q1 </c:v>
                </c:pt>
                <c:pt idx="25">
                  <c:v> 2025Q2 </c:v>
                </c:pt>
                <c:pt idx="26">
                  <c:v> 2025Q3 </c:v>
                </c:pt>
                <c:pt idx="27">
                  <c:v> 2025Q4 </c:v>
                </c:pt>
                <c:pt idx="28">
                  <c:v> 2026Q1 </c:v>
                </c:pt>
                <c:pt idx="29">
                  <c:v> 2026Q2 </c:v>
                </c:pt>
              </c:strCache>
            </c:strRef>
          </c:cat>
          <c:val>
            <c:numRef>
              <c:f>EXPE!$AP$120:$BW$120</c:f>
              <c:numCache>
                <c:formatCode>0%</c:formatCode>
                <c:ptCount val="30"/>
                <c:pt idx="0">
                  <c:v>0.1</c:v>
                </c:pt>
                <c:pt idx="1">
                  <c:v>7.0000000000000007E-2</c:v>
                </c:pt>
                <c:pt idx="2">
                  <c:v>0.06</c:v>
                </c:pt>
                <c:pt idx="3">
                  <c:v>7.0000000000000007E-2</c:v>
                </c:pt>
                <c:pt idx="4">
                  <c:v>0.05</c:v>
                </c:pt>
                <c:pt idx="5">
                  <c:v>-0.12</c:v>
                </c:pt>
                <c:pt idx="6">
                  <c:v>0.02</c:v>
                </c:pt>
                <c:pt idx="7">
                  <c:v>0.04</c:v>
                </c:pt>
                <c:pt idx="8">
                  <c:v>4.0128410914927769E-2</c:v>
                </c:pt>
                <c:pt idx="9">
                  <c:v>3.6949313121743252E-2</c:v>
                </c:pt>
                <c:pt idx="10">
                  <c:v>2.0594193112761647E-2</c:v>
                </c:pt>
                <c:pt idx="11">
                  <c:v>2.8521281263712155E-2</c:v>
                </c:pt>
                <c:pt idx="12">
                  <c:v>3.2903512672298803E-2</c:v>
                </c:pt>
                <c:pt idx="13">
                  <c:v>2.9864822382898459E-2</c:v>
                </c:pt>
                <c:pt idx="14">
                  <c:v>2.7631942525559547E-2</c:v>
                </c:pt>
                <c:pt idx="15">
                  <c:v>3.5523300229182583E-2</c:v>
                </c:pt>
                <c:pt idx="16">
                  <c:v>4.2401500938086305E-2</c:v>
                </c:pt>
                <c:pt idx="17">
                  <c:v>3.3055390113162594E-2</c:v>
                </c:pt>
                <c:pt idx="18">
                  <c:v>2.5451768897938407E-2</c:v>
                </c:pt>
                <c:pt idx="19">
                  <c:v>2.9788708001385521E-2</c:v>
                </c:pt>
                <c:pt idx="20">
                  <c:v>3.9806161301488403E-2</c:v>
                </c:pt>
                <c:pt idx="21">
                  <c:v>3.1197301854974706E-2</c:v>
                </c:pt>
                <c:pt idx="22">
                  <c:v>2.561576354679803E-2</c:v>
                </c:pt>
                <c:pt idx="23">
                  <c:v>3.077889447236181E-2</c:v>
                </c:pt>
                <c:pt idx="24">
                  <c:v>3.5809906291834004E-2</c:v>
                </c:pt>
                <c:pt idx="25">
                  <c:v>2.7733755942947701E-2</c:v>
                </c:pt>
                <c:pt idx="26">
                  <c:v>2.2892112420670897E-2</c:v>
                </c:pt>
                <c:pt idx="27">
                  <c:v>2.6501268677755849E-2</c:v>
                </c:pt>
                <c:pt idx="28">
                  <c:v>3.1231757151196731E-2</c:v>
                </c:pt>
                <c:pt idx="29">
                  <c:v>2.1089223638470451E-2</c:v>
                </c:pt>
              </c:numCache>
            </c:numRef>
          </c:val>
          <c:extLst>
            <c:ext xmlns:c16="http://schemas.microsoft.com/office/drawing/2014/chart" uri="{C3380CC4-5D6E-409C-BE32-E72D297353CC}">
              <c16:uniqueId val="{00000001-A8CC-40C3-9F7B-1B28F71DA0F0}"/>
            </c:ext>
          </c:extLst>
        </c:ser>
        <c:ser>
          <c:idx val="5"/>
          <c:order val="2"/>
          <c:tx>
            <c:strRef>
              <c:f>EXPE!$A$124</c:f>
              <c:strCache>
                <c:ptCount val="1"/>
                <c:pt idx="0">
                  <c:v>Advertising&amp;media contribution</c:v>
                </c:pt>
              </c:strCache>
            </c:strRef>
          </c:tx>
          <c:spPr>
            <a:solidFill>
              <a:schemeClr val="accent6"/>
            </a:solidFill>
            <a:ln>
              <a:noFill/>
            </a:ln>
            <a:effectLst/>
          </c:spPr>
          <c:invertIfNegative val="0"/>
          <c:cat>
            <c:strRef>
              <c:f>EXPE!$AP$3:$BW$3</c:f>
              <c:strCache>
                <c:ptCount val="30"/>
                <c:pt idx="0">
                  <c:v> 2019Q1 </c:v>
                </c:pt>
                <c:pt idx="1">
                  <c:v> 2019Q2 </c:v>
                </c:pt>
                <c:pt idx="2">
                  <c:v> 2019Q3 </c:v>
                </c:pt>
                <c:pt idx="3">
                  <c:v> 2019Q4 </c:v>
                </c:pt>
                <c:pt idx="4">
                  <c:v> 2020Q1 </c:v>
                </c:pt>
                <c:pt idx="5">
                  <c:v> 2020Q2 </c:v>
                </c:pt>
                <c:pt idx="6">
                  <c:v> 2020Q3 </c:v>
                </c:pt>
                <c:pt idx="7">
                  <c:v> 2020Q4 </c:v>
                </c:pt>
                <c:pt idx="8">
                  <c:v> 2021Q1 </c:v>
                </c:pt>
                <c:pt idx="9">
                  <c:v> 2021Q2 </c:v>
                </c:pt>
                <c:pt idx="10">
                  <c:v> 2021Q3 </c:v>
                </c:pt>
                <c:pt idx="11">
                  <c:v> 2021Q4 </c:v>
                </c:pt>
                <c:pt idx="12">
                  <c:v> 2022Q1 </c:v>
                </c:pt>
                <c:pt idx="13">
                  <c:v> 2022Q2 </c:v>
                </c:pt>
                <c:pt idx="14">
                  <c:v> 2022Q3 </c:v>
                </c:pt>
                <c:pt idx="15">
                  <c:v> 2022Q4 </c:v>
                </c:pt>
                <c:pt idx="16">
                  <c:v> 2023Q1 </c:v>
                </c:pt>
                <c:pt idx="17">
                  <c:v> 2023Q2 </c:v>
                </c:pt>
                <c:pt idx="18">
                  <c:v> 2023Q3 </c:v>
                </c:pt>
                <c:pt idx="19">
                  <c:v> 2023Q4 </c:v>
                </c:pt>
                <c:pt idx="20">
                  <c:v> 2024Q1 </c:v>
                </c:pt>
                <c:pt idx="21">
                  <c:v> 2024Q2 </c:v>
                </c:pt>
                <c:pt idx="22">
                  <c:v> 2024Q3 </c:v>
                </c:pt>
                <c:pt idx="23">
                  <c:v> 2024Q4 </c:v>
                </c:pt>
                <c:pt idx="24">
                  <c:v> 2025Q1 </c:v>
                </c:pt>
                <c:pt idx="25">
                  <c:v> 2025Q2 </c:v>
                </c:pt>
                <c:pt idx="26">
                  <c:v> 2025Q3 </c:v>
                </c:pt>
                <c:pt idx="27">
                  <c:v> 2025Q4 </c:v>
                </c:pt>
                <c:pt idx="28">
                  <c:v> 2026Q1 </c:v>
                </c:pt>
                <c:pt idx="29">
                  <c:v> 2026Q2 </c:v>
                </c:pt>
              </c:strCache>
            </c:strRef>
          </c:cat>
          <c:val>
            <c:numRef>
              <c:f>EXPE!$AP$124:$BW$124</c:f>
              <c:numCache>
                <c:formatCode>0%</c:formatCode>
                <c:ptCount val="30"/>
                <c:pt idx="0">
                  <c:v>0.1</c:v>
                </c:pt>
                <c:pt idx="1">
                  <c:v>0.09</c:v>
                </c:pt>
                <c:pt idx="2">
                  <c:v>0.09</c:v>
                </c:pt>
                <c:pt idx="3">
                  <c:v>0.09</c:v>
                </c:pt>
                <c:pt idx="4">
                  <c:v>0.09</c:v>
                </c:pt>
                <c:pt idx="5">
                  <c:v>0.04</c:v>
                </c:pt>
                <c:pt idx="6">
                  <c:v>0.06</c:v>
                </c:pt>
                <c:pt idx="7">
                  <c:v>0.09</c:v>
                </c:pt>
                <c:pt idx="8">
                  <c:v>7.0626003210272875E-2</c:v>
                </c:pt>
                <c:pt idx="9">
                  <c:v>7.6267171956418758E-2</c:v>
                </c:pt>
                <c:pt idx="10">
                  <c:v>6.8197164078325462E-2</c:v>
                </c:pt>
                <c:pt idx="11">
                  <c:v>6.669591926283458E-2</c:v>
                </c:pt>
                <c:pt idx="12">
                  <c:v>7.3810582481102713E-2</c:v>
                </c:pt>
                <c:pt idx="13">
                  <c:v>6.6960075447972334E-2</c:v>
                </c:pt>
                <c:pt idx="14">
                  <c:v>6.1342912406742195E-2</c:v>
                </c:pt>
                <c:pt idx="15">
                  <c:v>6.7226890756302518E-2</c:v>
                </c:pt>
                <c:pt idx="16">
                  <c:v>6.5666041275797379E-2</c:v>
                </c:pt>
                <c:pt idx="17">
                  <c:v>5.9857057772483624E-2</c:v>
                </c:pt>
                <c:pt idx="18">
                  <c:v>6.1084245355052177E-2</c:v>
                </c:pt>
                <c:pt idx="19">
                  <c:v>7.1007966747488743E-2</c:v>
                </c:pt>
                <c:pt idx="20">
                  <c:v>7.4420214607130497E-2</c:v>
                </c:pt>
                <c:pt idx="21">
                  <c:v>6.4362001124227089E-2</c:v>
                </c:pt>
                <c:pt idx="22">
                  <c:v>6.625615763546798E-2</c:v>
                </c:pt>
                <c:pt idx="23">
                  <c:v>7.5690954773869348E-2</c:v>
                </c:pt>
                <c:pt idx="24">
                  <c:v>8.6680053547523422E-2</c:v>
                </c:pt>
                <c:pt idx="25">
                  <c:v>7.3956682514527208E-2</c:v>
                </c:pt>
                <c:pt idx="26">
                  <c:v>7.5022665457842252E-2</c:v>
                </c:pt>
                <c:pt idx="27">
                  <c:v>8.5988159007612072E-2</c:v>
                </c:pt>
                <c:pt idx="28">
                  <c:v>9.3987157034442492E-2</c:v>
                </c:pt>
                <c:pt idx="29">
                  <c:v>8.1344148319814596E-2</c:v>
                </c:pt>
              </c:numCache>
            </c:numRef>
          </c:val>
          <c:extLst>
            <c:ext xmlns:c16="http://schemas.microsoft.com/office/drawing/2014/chart" uri="{C3380CC4-5D6E-409C-BE32-E72D297353CC}">
              <c16:uniqueId val="{00000002-A8CC-40C3-9F7B-1B28F71DA0F0}"/>
            </c:ext>
          </c:extLst>
        </c:ser>
        <c:ser>
          <c:idx val="7"/>
          <c:order val="3"/>
          <c:tx>
            <c:strRef>
              <c:f>EXPE!$A$127</c:f>
              <c:strCache>
                <c:ptCount val="1"/>
                <c:pt idx="0">
                  <c:v>Other businesses contribution</c:v>
                </c:pt>
              </c:strCache>
            </c:strRef>
          </c:tx>
          <c:spPr>
            <a:solidFill>
              <a:schemeClr val="accent2">
                <a:lumMod val="60000"/>
              </a:schemeClr>
            </a:solidFill>
            <a:ln>
              <a:noFill/>
            </a:ln>
            <a:effectLst/>
          </c:spPr>
          <c:invertIfNegative val="0"/>
          <c:cat>
            <c:strRef>
              <c:f>EXPE!$AP$3:$BW$3</c:f>
              <c:strCache>
                <c:ptCount val="30"/>
                <c:pt idx="0">
                  <c:v> 2019Q1 </c:v>
                </c:pt>
                <c:pt idx="1">
                  <c:v> 2019Q2 </c:v>
                </c:pt>
                <c:pt idx="2">
                  <c:v> 2019Q3 </c:v>
                </c:pt>
                <c:pt idx="3">
                  <c:v> 2019Q4 </c:v>
                </c:pt>
                <c:pt idx="4">
                  <c:v> 2020Q1 </c:v>
                </c:pt>
                <c:pt idx="5">
                  <c:v> 2020Q2 </c:v>
                </c:pt>
                <c:pt idx="6">
                  <c:v> 2020Q3 </c:v>
                </c:pt>
                <c:pt idx="7">
                  <c:v> 2020Q4 </c:v>
                </c:pt>
                <c:pt idx="8">
                  <c:v> 2021Q1 </c:v>
                </c:pt>
                <c:pt idx="9">
                  <c:v> 2021Q2 </c:v>
                </c:pt>
                <c:pt idx="10">
                  <c:v> 2021Q3 </c:v>
                </c:pt>
                <c:pt idx="11">
                  <c:v> 2021Q4 </c:v>
                </c:pt>
                <c:pt idx="12">
                  <c:v> 2022Q1 </c:v>
                </c:pt>
                <c:pt idx="13">
                  <c:v> 2022Q2 </c:v>
                </c:pt>
                <c:pt idx="14">
                  <c:v> 2022Q3 </c:v>
                </c:pt>
                <c:pt idx="15">
                  <c:v> 2022Q4 </c:v>
                </c:pt>
                <c:pt idx="16">
                  <c:v> 2023Q1 </c:v>
                </c:pt>
                <c:pt idx="17">
                  <c:v> 2023Q2 </c:v>
                </c:pt>
                <c:pt idx="18">
                  <c:v> 2023Q3 </c:v>
                </c:pt>
                <c:pt idx="19">
                  <c:v> 2023Q4 </c:v>
                </c:pt>
                <c:pt idx="20">
                  <c:v> 2024Q1 </c:v>
                </c:pt>
                <c:pt idx="21">
                  <c:v> 2024Q2 </c:v>
                </c:pt>
                <c:pt idx="22">
                  <c:v> 2024Q3 </c:v>
                </c:pt>
                <c:pt idx="23">
                  <c:v> 2024Q4 </c:v>
                </c:pt>
                <c:pt idx="24">
                  <c:v> 2025Q1 </c:v>
                </c:pt>
                <c:pt idx="25">
                  <c:v> 2025Q2 </c:v>
                </c:pt>
                <c:pt idx="26">
                  <c:v> 2025Q3 </c:v>
                </c:pt>
                <c:pt idx="27">
                  <c:v> 2025Q4 </c:v>
                </c:pt>
                <c:pt idx="28">
                  <c:v> 2026Q1 </c:v>
                </c:pt>
                <c:pt idx="29">
                  <c:v> 2026Q2 </c:v>
                </c:pt>
              </c:strCache>
            </c:strRef>
          </c:cat>
          <c:val>
            <c:numRef>
              <c:f>EXPE!$AP$127:$BW$127</c:f>
              <c:numCache>
                <c:formatCode>0%</c:formatCode>
                <c:ptCount val="30"/>
                <c:pt idx="0">
                  <c:v>0.14000000000000001</c:v>
                </c:pt>
                <c:pt idx="1">
                  <c:v>0.13</c:v>
                </c:pt>
                <c:pt idx="2">
                  <c:v>0.12</c:v>
                </c:pt>
                <c:pt idx="3">
                  <c:v>0.14000000000000001</c:v>
                </c:pt>
                <c:pt idx="4">
                  <c:v>0.17</c:v>
                </c:pt>
                <c:pt idx="5">
                  <c:v>0.22</c:v>
                </c:pt>
                <c:pt idx="6">
                  <c:v>0.1</c:v>
                </c:pt>
                <c:pt idx="7">
                  <c:v>0.01</c:v>
                </c:pt>
                <c:pt idx="8">
                  <c:v>0.16452648475120385</c:v>
                </c:pt>
                <c:pt idx="9">
                  <c:v>0.16058739933680721</c:v>
                </c:pt>
                <c:pt idx="10">
                  <c:v>0.13470627954085077</c:v>
                </c:pt>
                <c:pt idx="11">
                  <c:v>0.15313734093900833</c:v>
                </c:pt>
                <c:pt idx="12">
                  <c:v>0.17741218319253002</c:v>
                </c:pt>
                <c:pt idx="13">
                  <c:v>0.14869537881169442</c:v>
                </c:pt>
                <c:pt idx="14">
                  <c:v>0.11494888090632771</c:v>
                </c:pt>
                <c:pt idx="15">
                  <c:v>0.12796027501909854</c:v>
                </c:pt>
                <c:pt idx="16">
                  <c:v>0.13058161350844277</c:v>
                </c:pt>
                <c:pt idx="17">
                  <c:v>0.10363311494937463</c:v>
                </c:pt>
                <c:pt idx="18">
                  <c:v>9.0608297276660726E-2</c:v>
                </c:pt>
                <c:pt idx="19">
                  <c:v>0.10114305507447177</c:v>
                </c:pt>
                <c:pt idx="20">
                  <c:v>0.11457251644167532</c:v>
                </c:pt>
                <c:pt idx="21">
                  <c:v>0.10005621135469364</c:v>
                </c:pt>
                <c:pt idx="22">
                  <c:v>9.1133004926108374E-2</c:v>
                </c:pt>
                <c:pt idx="23">
                  <c:v>9.4849246231155773E-2</c:v>
                </c:pt>
                <c:pt idx="24">
                  <c:v>0.11144578313253012</c:v>
                </c:pt>
                <c:pt idx="25">
                  <c:v>9.535129424194401E-2</c:v>
                </c:pt>
                <c:pt idx="26">
                  <c:v>8.5222121486854041E-2</c:v>
                </c:pt>
                <c:pt idx="27">
                  <c:v>0.1060050747110234</c:v>
                </c:pt>
                <c:pt idx="28">
                  <c:v>0.11295971978984239</c:v>
                </c:pt>
                <c:pt idx="29">
                  <c:v>0.10289687137891078</c:v>
                </c:pt>
              </c:numCache>
            </c:numRef>
          </c:val>
          <c:extLst>
            <c:ext xmlns:c16="http://schemas.microsoft.com/office/drawing/2014/chart" uri="{C3380CC4-5D6E-409C-BE32-E72D297353CC}">
              <c16:uniqueId val="{00000003-A8CC-40C3-9F7B-1B28F71DA0F0}"/>
            </c:ext>
          </c:extLst>
        </c:ser>
        <c:dLbls>
          <c:showLegendKey val="0"/>
          <c:showVal val="0"/>
          <c:showCatName val="0"/>
          <c:showSerName val="0"/>
          <c:showPercent val="0"/>
          <c:showBubbleSize val="0"/>
        </c:dLbls>
        <c:gapWidth val="150"/>
        <c:overlap val="100"/>
        <c:axId val="353146352"/>
        <c:axId val="353143856"/>
      </c:barChart>
      <c:catAx>
        <c:axId val="35314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eaVert"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53143856"/>
        <c:crosses val="autoZero"/>
        <c:auto val="1"/>
        <c:lblAlgn val="ctr"/>
        <c:lblOffset val="100"/>
        <c:noMultiLvlLbl val="0"/>
      </c:catAx>
      <c:valAx>
        <c:axId val="3531438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53146352"/>
        <c:crosses val="autoZero"/>
        <c:crossBetween val="between"/>
      </c:valAx>
      <c:spPr>
        <a:noFill/>
        <a:ln>
          <a:solidFill>
            <a:schemeClr val="bg1">
              <a:lumMod val="65000"/>
            </a:schemeClr>
          </a:solidFill>
        </a:ln>
        <a:effectLst/>
      </c:spPr>
    </c:plotArea>
    <c:legend>
      <c:legendPos val="b"/>
      <c:layout>
        <c:manualLayout>
          <c:xMode val="edge"/>
          <c:yMode val="edge"/>
          <c:x val="6.0396870699276219E-2"/>
          <c:y val="0.86742062714967449"/>
          <c:w val="0.86541369583337269"/>
          <c:h val="0.10803066485646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EXPE Adj. EBITDA &amp; </a:t>
            </a:r>
            <a:r>
              <a:rPr lang="en-US" altLang="zh-CN" sz="1400" b="0" i="0" u="none" strike="noStrike" baseline="0">
                <a:effectLst/>
              </a:rPr>
              <a:t>Adj. EBITDA Margin</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7.7032889228812476E-2"/>
          <c:y val="0.14914827695773281"/>
          <c:w val="0.80827056655591623"/>
          <c:h val="0.75083608318672257"/>
        </c:manualLayout>
      </c:layout>
      <c:barChart>
        <c:barDir val="col"/>
        <c:grouping val="clustered"/>
        <c:varyColors val="0"/>
        <c:ser>
          <c:idx val="0"/>
          <c:order val="0"/>
          <c:tx>
            <c:strRef>
              <c:f>EXPE!$A$180</c:f>
              <c:strCache>
                <c:ptCount val="1"/>
                <c:pt idx="0">
                  <c:v>Adjusted EBITDA(mn)</c:v>
                </c:pt>
              </c:strCache>
            </c:strRef>
          </c:tx>
          <c:spPr>
            <a:solidFill>
              <a:schemeClr val="accent1"/>
            </a:solidFill>
            <a:ln>
              <a:noFill/>
            </a:ln>
            <a:effectLst/>
          </c:spPr>
          <c:invertIfNegative val="0"/>
          <c:cat>
            <c:strRef>
              <c:extLst>
                <c:ext xmlns:c15="http://schemas.microsoft.com/office/drawing/2012/chart" uri="{02D57815-91ED-43cb-92C2-25804820EDAC}">
                  <c15:fullRef>
                    <c15:sqref>EXPE!$AT$3:$BW$3</c15:sqref>
                  </c15:fullRef>
                </c:ext>
              </c:extLst>
              <c:f>(EXPE!$AU$3:$AW$3,EXPE!$BJ$3:$BW$3)</c:f>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xmlns:c15="http://schemas.microsoft.com/office/drawing/2012/chart" uri="{02D57815-91ED-43cb-92C2-25804820EDAC}">
                  <c15:fullRef>
                    <c15:sqref>EXPE!$AT$180:$BW$180</c15:sqref>
                  </c15:fullRef>
                </c:ext>
              </c:extLst>
              <c:f>(EXPE!$AU$180:$AW$180,EXPE!$BJ$180:$BW$180)</c:f>
              <c:numCache>
                <c:formatCode>#,##0_);\(#,##0\)</c:formatCode>
                <c:ptCount val="17"/>
                <c:pt idx="0">
                  <c:v>568</c:v>
                </c:pt>
                <c:pt idx="1">
                  <c:v>912</c:v>
                </c:pt>
                <c:pt idx="2">
                  <c:v>478</c:v>
                </c:pt>
                <c:pt idx="3">
                  <c:v>185</c:v>
                </c:pt>
                <c:pt idx="4">
                  <c:v>747</c:v>
                </c:pt>
                <c:pt idx="5">
                  <c:v>1216</c:v>
                </c:pt>
                <c:pt idx="6">
                  <c:v>532</c:v>
                </c:pt>
                <c:pt idx="7">
                  <c:v>255</c:v>
                </c:pt>
                <c:pt idx="8">
                  <c:v>786</c:v>
                </c:pt>
                <c:pt idx="9">
                  <c:v>1250</c:v>
                </c:pt>
                <c:pt idx="10">
                  <c:v>643</c:v>
                </c:pt>
                <c:pt idx="11">
                  <c:v>296</c:v>
                </c:pt>
                <c:pt idx="12">
                  <c:v>908</c:v>
                </c:pt>
                <c:pt idx="13">
                  <c:v>1449</c:v>
                </c:pt>
                <c:pt idx="14">
                  <c:v>848</c:v>
                </c:pt>
                <c:pt idx="15">
                  <c:v>542</c:v>
                </c:pt>
                <c:pt idx="16">
                  <c:v>1119</c:v>
                </c:pt>
              </c:numCache>
            </c:numRef>
          </c:val>
          <c:extLst>
            <c:ext xmlns:c16="http://schemas.microsoft.com/office/drawing/2014/chart" uri="{C3380CC4-5D6E-409C-BE32-E72D297353CC}">
              <c16:uniqueId val="{00000000-2F47-4D5A-8DDD-F7B9AC4BF85E}"/>
            </c:ext>
          </c:extLst>
        </c:ser>
        <c:dLbls>
          <c:showLegendKey val="0"/>
          <c:showVal val="0"/>
          <c:showCatName val="0"/>
          <c:showSerName val="0"/>
          <c:showPercent val="0"/>
          <c:showBubbleSize val="0"/>
        </c:dLbls>
        <c:gapWidth val="219"/>
        <c:overlap val="-27"/>
        <c:axId val="905255840"/>
        <c:axId val="905262496"/>
      </c:barChart>
      <c:lineChart>
        <c:grouping val="standard"/>
        <c:varyColors val="0"/>
        <c:ser>
          <c:idx val="1"/>
          <c:order val="1"/>
          <c:tx>
            <c:strRef>
              <c:f>EXPE!$A$182</c:f>
              <c:strCache>
                <c:ptCount val="1"/>
                <c:pt idx="0">
                  <c:v> Adjusted EBITDA margin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18%</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8A08-478F-837B-E4EDBDB09454}"/>
                </c:ext>
              </c:extLst>
            </c:dLbl>
            <c:dLbl>
              <c:idx val="4"/>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22%</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8A08-478F-837B-E4EDBDB09454}"/>
                </c:ext>
              </c:extLst>
            </c:dLbl>
            <c:dLbl>
              <c:idx val="8"/>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22%</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8A08-478F-837B-E4EDBDB09454}"/>
                </c:ext>
              </c:extLst>
            </c:dLbl>
            <c:dLbl>
              <c:idx val="12"/>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24%</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8A08-478F-837B-E4EDBDB09454}"/>
                </c:ext>
              </c:extLst>
            </c:dLbl>
            <c:dLbl>
              <c:idx val="16"/>
              <c:layout>
                <c:manualLayout>
                  <c:x val="-9.1659151318788656E-2"/>
                  <c:y val="-0.10399422128973794"/>
                </c:manualLayout>
              </c:layout>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26%</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CCF-47A7-BABE-57207D9694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EXPE!$AT$3:$BW$3</c15:sqref>
                  </c15:fullRef>
                </c:ext>
              </c:extLst>
              <c:f>(EXPE!$AU$3:$AW$3,EXPE!$BJ$3:$BW$3)</c:f>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xmlns:c15="http://schemas.microsoft.com/office/drawing/2012/chart" uri="{02D57815-91ED-43cb-92C2-25804820EDAC}">
                  <c15:fullRef>
                    <c15:sqref>EXPE!$AT$182:$BW$182</c15:sqref>
                  </c15:fullRef>
                </c:ext>
              </c:extLst>
              <c:f>(EXPE!$AU$182:$AW$182,EXPE!$BJ$182:$BW$182)</c:f>
              <c:numCache>
                <c:formatCode>0%</c:formatCode>
                <c:ptCount val="17"/>
                <c:pt idx="0">
                  <c:v>0.18014589280050744</c:v>
                </c:pt>
                <c:pt idx="1" formatCode="0.0%">
                  <c:v>0.25632377740303541</c:v>
                </c:pt>
                <c:pt idx="2">
                  <c:v>0.17400800873680378</c:v>
                </c:pt>
                <c:pt idx="3" formatCode="0.0%">
                  <c:v>6.9418386491557224E-2</c:v>
                </c:pt>
                <c:pt idx="4">
                  <c:v>0.2224538415723645</c:v>
                </c:pt>
                <c:pt idx="5">
                  <c:v>0.30949350979893103</c:v>
                </c:pt>
                <c:pt idx="6">
                  <c:v>0.18427433321787323</c:v>
                </c:pt>
                <c:pt idx="7" formatCode="0.0%">
                  <c:v>8.8265835929387332E-2</c:v>
                </c:pt>
                <c:pt idx="8" formatCode="0.0%">
                  <c:v>0.22091062394603711</c:v>
                </c:pt>
                <c:pt idx="9" formatCode="0.0%">
                  <c:v>0.30788177339901479</c:v>
                </c:pt>
                <c:pt idx="10" formatCode="0.0%">
                  <c:v>0.20194723618090452</c:v>
                </c:pt>
                <c:pt idx="11" formatCode="0.0%">
                  <c:v>9.906291834002677E-2</c:v>
                </c:pt>
                <c:pt idx="12" formatCode="0.0%">
                  <c:v>0.23983095615425251</c:v>
                </c:pt>
                <c:pt idx="13" formatCode="0.0%">
                  <c:v>0.32900000000000001</c:v>
                </c:pt>
                <c:pt idx="14" formatCode="0.0%">
                  <c:v>0.23899999999999999</c:v>
                </c:pt>
                <c:pt idx="15" formatCode="0.0%">
                  <c:v>0.1582019848219498</c:v>
                </c:pt>
                <c:pt idx="16" formatCode="0.0%">
                  <c:v>0.25932792584009268</c:v>
                </c:pt>
              </c:numCache>
            </c:numRef>
          </c:val>
          <c:smooth val="0"/>
          <c:extLst>
            <c:ext xmlns:c16="http://schemas.microsoft.com/office/drawing/2014/chart" uri="{C3380CC4-5D6E-409C-BE32-E72D297353CC}">
              <c16:uniqueId val="{00000001-2F47-4D5A-8DDD-F7B9AC4BF85E}"/>
            </c:ext>
          </c:extLst>
        </c:ser>
        <c:dLbls>
          <c:showLegendKey val="0"/>
          <c:showVal val="0"/>
          <c:showCatName val="0"/>
          <c:showSerName val="0"/>
          <c:showPercent val="0"/>
          <c:showBubbleSize val="0"/>
        </c:dLbls>
        <c:marker val="1"/>
        <c:smooth val="0"/>
        <c:axId val="894653440"/>
        <c:axId val="894645536"/>
      </c:lineChart>
      <c:catAx>
        <c:axId val="90525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05262496"/>
        <c:crosses val="autoZero"/>
        <c:auto val="1"/>
        <c:lblAlgn val="ctr"/>
        <c:lblOffset val="100"/>
        <c:noMultiLvlLbl val="0"/>
      </c:catAx>
      <c:valAx>
        <c:axId val="905262496"/>
        <c:scaling>
          <c:orientation val="minMax"/>
          <c:min val="-600"/>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05255840"/>
        <c:crosses val="autoZero"/>
        <c:crossBetween val="between"/>
      </c:valAx>
      <c:valAx>
        <c:axId val="8946455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94653440"/>
        <c:crosses val="max"/>
        <c:crossBetween val="between"/>
      </c:valAx>
      <c:catAx>
        <c:axId val="894653440"/>
        <c:scaling>
          <c:orientation val="minMax"/>
        </c:scaling>
        <c:delete val="1"/>
        <c:axPos val="b"/>
        <c:numFmt formatCode="General" sourceLinked="1"/>
        <c:majorTickMark val="out"/>
        <c:minorTickMark val="none"/>
        <c:tickLblPos val="nextTo"/>
        <c:crossAx val="8946455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EXPE</a:t>
            </a:r>
            <a:r>
              <a:rPr lang="zh-CN" altLang="en-US"/>
              <a:t> </a:t>
            </a:r>
            <a:r>
              <a:rPr lang="en-US" altLang="zh-CN"/>
              <a:t>Opex</a:t>
            </a:r>
            <a:r>
              <a:rPr lang="en-US" altLang="zh-CN" baseline="0"/>
              <a:t> as % of Rev (Non-GAAP)</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EXPE!$A$231</c:f>
              <c:strCache>
                <c:ptCount val="1"/>
                <c:pt idx="0">
                  <c:v>Cost of revenues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6"/>
              <c:layout>
                <c:manualLayout>
                  <c:x val="-8.6370500659638819E-2"/>
                  <c:y val="-0.1617459097297716"/>
                </c:manualLayout>
              </c:layout>
              <c:tx>
                <c:rich>
                  <a:bodyPr rot="0" spcFirstLastPara="1" vertOverflow="ellipsis" vert="horz" wrap="square" lIns="38100" tIns="19050" rIns="38100" bIns="19050" anchor="ctr" anchorCtr="1">
                    <a:spAutoFit/>
                  </a:bodyPr>
                  <a:lstStyle/>
                  <a:p>
                    <a:pPr>
                      <a:defRPr altLang="zh-CN" sz="800" b="1" i="0" u="none" strike="noStrike" kern="1200" baseline="0">
                        <a:solidFill>
                          <a:srgbClr val="000000"/>
                        </a:solidFill>
                        <a:latin typeface="+mn-lt"/>
                        <a:ea typeface="+mn-ea"/>
                        <a:cs typeface="+mn-cs"/>
                      </a:defRPr>
                    </a:pPr>
                    <a:r>
                      <a:rPr lang="en-US" altLang="zh-CN"/>
                      <a:t>COS 9%</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8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737-45A7-8D50-3B62A611F2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EXPE!$AT$3:$BW$3</c15:sqref>
                  </c15:fullRef>
                </c:ext>
              </c:extLst>
              <c:f>(EXPE!$AU$3:$AW$3,EXPE!$BJ$3:$BW$3)</c:f>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xmlns:c15="http://schemas.microsoft.com/office/drawing/2012/chart" uri="{02D57815-91ED-43cb-92C2-25804820EDAC}">
                  <c15:fullRef>
                    <c15:sqref>EXPE!$AT$231:$BW$231</c15:sqref>
                  </c15:fullRef>
                </c:ext>
              </c:extLst>
              <c:f>(EXPE!$AU$231:$AW$231,EXPE!$BJ$231:$BW$231)</c:f>
              <c:numCache>
                <c:formatCode>0%</c:formatCode>
                <c:ptCount val="17"/>
                <c:pt idx="0">
                  <c:v>0.15762765620044403</c:v>
                </c:pt>
                <c:pt idx="1">
                  <c:v>0.15317594154019112</c:v>
                </c:pt>
                <c:pt idx="2">
                  <c:v>0.1951219512195122</c:v>
                </c:pt>
                <c:pt idx="3">
                  <c:v>0.15422138836772983</c:v>
                </c:pt>
                <c:pt idx="4">
                  <c:v>0.12001191185229303</c:v>
                </c:pt>
                <c:pt idx="5">
                  <c:v>0.10409773479256808</c:v>
                </c:pt>
                <c:pt idx="6">
                  <c:v>0.11638378940076204</c:v>
                </c:pt>
                <c:pt idx="7">
                  <c:v>0.12322602976808585</c:v>
                </c:pt>
                <c:pt idx="8">
                  <c:v>0.10061832490163013</c:v>
                </c:pt>
                <c:pt idx="9">
                  <c:v>9.4827586206896547E-2</c:v>
                </c:pt>
                <c:pt idx="10">
                  <c:v>0.10427135678391959</c:v>
                </c:pt>
                <c:pt idx="11">
                  <c:v>0.11847389558232932</c:v>
                </c:pt>
                <c:pt idx="12">
                  <c:v>9.8520866349709454E-2</c:v>
                </c:pt>
                <c:pt idx="13">
                  <c:v>8.4542157751586577E-2</c:v>
                </c:pt>
                <c:pt idx="14">
                  <c:v>9.5291795883845509E-2</c:v>
                </c:pt>
                <c:pt idx="15">
                  <c:v>0.1088733216579101</c:v>
                </c:pt>
                <c:pt idx="16">
                  <c:v>9.2468134414831982E-2</c:v>
                </c:pt>
              </c:numCache>
            </c:numRef>
          </c:val>
          <c:smooth val="0"/>
          <c:extLst>
            <c:ext xmlns:c16="http://schemas.microsoft.com/office/drawing/2014/chart" uri="{C3380CC4-5D6E-409C-BE32-E72D297353CC}">
              <c16:uniqueId val="{00000000-5B3E-4646-9C3C-37D4D017CA05}"/>
            </c:ext>
          </c:extLst>
        </c:ser>
        <c:ser>
          <c:idx val="1"/>
          <c:order val="1"/>
          <c:tx>
            <c:strRef>
              <c:f>EXPE!$A$232</c:f>
              <c:strCache>
                <c:ptCount val="1"/>
                <c:pt idx="0">
                  <c:v>P&amp;D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16"/>
              <c:layout>
                <c:manualLayout>
                  <c:x val="-8.6370500659638819E-2"/>
                  <c:y val="-0.10012842030890619"/>
                </c:manualLayout>
              </c:layout>
              <c:tx>
                <c:rich>
                  <a:bodyPr rot="0" spcFirstLastPara="1" vertOverflow="ellipsis" vert="horz" wrap="square" lIns="38100" tIns="19050" rIns="38100" bIns="19050" anchor="ctr" anchorCtr="1">
                    <a:spAutoFit/>
                  </a:bodyPr>
                  <a:lstStyle/>
                  <a:p>
                    <a:pPr>
                      <a:defRPr altLang="zh-CN" sz="800" b="1" i="0" u="none" strike="noStrike" kern="1200" baseline="0">
                        <a:solidFill>
                          <a:srgbClr val="000000"/>
                        </a:solidFill>
                        <a:latin typeface="+mn-lt"/>
                        <a:ea typeface="+mn-ea"/>
                        <a:cs typeface="+mn-cs"/>
                      </a:defRPr>
                    </a:pPr>
                    <a:r>
                      <a:rPr lang="en-US" altLang="zh-CN"/>
                      <a:t>P&amp;D 7%</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8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737-45A7-8D50-3B62A611F2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EXPE!$AT$3:$BW$3</c15:sqref>
                  </c15:fullRef>
                </c:ext>
              </c:extLst>
              <c:f>(EXPE!$AU$3:$AW$3,EXPE!$BJ$3:$BW$3)</c:f>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xmlns:c15="http://schemas.microsoft.com/office/drawing/2012/chart" uri="{02D57815-91ED-43cb-92C2-25804820EDAC}">
                  <c15:fullRef>
                    <c15:sqref>EXPE!$AT$232:$BW$232</c15:sqref>
                  </c15:fullRef>
                </c:ext>
              </c:extLst>
              <c:f>(EXPE!$AU$232:$AW$232,EXPE!$BJ$232:$BW$232)</c:f>
              <c:numCache>
                <c:formatCode>0%</c:formatCode>
                <c:ptCount val="17"/>
                <c:pt idx="0">
                  <c:v>9.0390104662226453E-2</c:v>
                </c:pt>
                <c:pt idx="1">
                  <c:v>8.0382237211916813E-2</c:v>
                </c:pt>
                <c:pt idx="2">
                  <c:v>0.11030214779759738</c:v>
                </c:pt>
                <c:pt idx="3">
                  <c:v>0.10619136960600375</c:v>
                </c:pt>
                <c:pt idx="4">
                  <c:v>9.1721262656343061E-2</c:v>
                </c:pt>
                <c:pt idx="5">
                  <c:v>7.7627895138712141E-2</c:v>
                </c:pt>
                <c:pt idx="6">
                  <c:v>0.11222722549359196</c:v>
                </c:pt>
                <c:pt idx="7">
                  <c:v>0.10418830044998269</c:v>
                </c:pt>
                <c:pt idx="8">
                  <c:v>8.1787521079258005E-2</c:v>
                </c:pt>
                <c:pt idx="9">
                  <c:v>6.8965517241379309E-2</c:v>
                </c:pt>
                <c:pt idx="10">
                  <c:v>9.0452261306532666E-2</c:v>
                </c:pt>
                <c:pt idx="11">
                  <c:v>9.4377510040160636E-2</c:v>
                </c:pt>
                <c:pt idx="12">
                  <c:v>7.5541468568409931E-2</c:v>
                </c:pt>
                <c:pt idx="13">
                  <c:v>6.2556663644605617E-2</c:v>
                </c:pt>
                <c:pt idx="14">
                  <c:v>8.0631519594023121E-2</c:v>
                </c:pt>
                <c:pt idx="15">
                  <c:v>8.347927612375948E-2</c:v>
                </c:pt>
                <c:pt idx="16">
                  <c:v>6.6048667439165695E-2</c:v>
                </c:pt>
              </c:numCache>
            </c:numRef>
          </c:val>
          <c:smooth val="0"/>
          <c:extLst>
            <c:ext xmlns:c16="http://schemas.microsoft.com/office/drawing/2014/chart" uri="{C3380CC4-5D6E-409C-BE32-E72D297353CC}">
              <c16:uniqueId val="{00000001-5B3E-4646-9C3C-37D4D017CA05}"/>
            </c:ext>
          </c:extLst>
        </c:ser>
        <c:ser>
          <c:idx val="2"/>
          <c:order val="2"/>
          <c:tx>
            <c:strRef>
              <c:f>EXPE!$A$233</c:f>
              <c:strCache>
                <c:ptCount val="1"/>
                <c:pt idx="0">
                  <c:v>S&amp;M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Lbl>
              <c:idx val="16"/>
              <c:layout>
                <c:manualLayout>
                  <c:x val="-7.259991062503536E-2"/>
                  <c:y val="-9.242623413129801E-2"/>
                </c:manualLayout>
              </c:layout>
              <c:tx>
                <c:rich>
                  <a:bodyPr rot="0" spcFirstLastPara="1" vertOverflow="ellipsis" vert="horz" wrap="square" lIns="38100" tIns="19050" rIns="38100" bIns="19050" anchor="ctr" anchorCtr="1">
                    <a:spAutoFit/>
                  </a:bodyPr>
                  <a:lstStyle/>
                  <a:p>
                    <a:pPr>
                      <a:defRPr altLang="zh-CN" sz="800" b="1" i="0" u="none" strike="noStrike" kern="1200" baseline="0">
                        <a:solidFill>
                          <a:srgbClr val="000000"/>
                        </a:solidFill>
                        <a:latin typeface="+mn-lt"/>
                        <a:ea typeface="+mn-ea"/>
                        <a:cs typeface="+mn-cs"/>
                      </a:defRPr>
                    </a:pPr>
                    <a:r>
                      <a:rPr lang="en-US" altLang="zh-CN"/>
                      <a:t>S&amp;M 54%</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8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737-45A7-8D50-3B62A611F2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EXPE!$AT$3:$BW$3</c15:sqref>
                  </c15:fullRef>
                </c:ext>
              </c:extLst>
              <c:f>(EXPE!$AU$3:$AW$3,EXPE!$BJ$3:$BW$3)</c:f>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xmlns:c15="http://schemas.microsoft.com/office/drawing/2012/chart" uri="{02D57815-91ED-43cb-92C2-25804820EDAC}">
                  <c15:fullRef>
                    <c15:sqref>EXPE!$AT$233:$BW$233</c15:sqref>
                  </c15:fullRef>
                </c:ext>
              </c:extLst>
              <c:f>(EXPE!$AU$233:$AW$233,EXPE!$BJ$233:$BW$233)</c:f>
              <c:numCache>
                <c:formatCode>0%</c:formatCode>
                <c:ptCount val="17"/>
                <c:pt idx="0">
                  <c:v>0.51728512527751347</c:v>
                </c:pt>
                <c:pt idx="1">
                  <c:v>0.45952782462057334</c:v>
                </c:pt>
                <c:pt idx="2">
                  <c:v>0.45759009828904257</c:v>
                </c:pt>
                <c:pt idx="3">
                  <c:v>0.62063789868667918</c:v>
                </c:pt>
                <c:pt idx="4">
                  <c:v>0.52114353782013101</c:v>
                </c:pt>
                <c:pt idx="5">
                  <c:v>0.46729447696614917</c:v>
                </c:pt>
                <c:pt idx="6">
                  <c:v>0.53481122272254933</c:v>
                </c:pt>
                <c:pt idx="7">
                  <c:v>0.6289373485635168</c:v>
                </c:pt>
                <c:pt idx="8">
                  <c:v>0.55283867341202919</c:v>
                </c:pt>
                <c:pt idx="9">
                  <c:v>0.50073891625615763</c:v>
                </c:pt>
                <c:pt idx="10">
                  <c:v>0.54302763819095479</c:v>
                </c:pt>
                <c:pt idx="11">
                  <c:v>0.64792503346720209</c:v>
                </c:pt>
                <c:pt idx="12">
                  <c:v>0.55731642894875855</c:v>
                </c:pt>
                <c:pt idx="13">
                  <c:v>0.49116047144152314</c:v>
                </c:pt>
                <c:pt idx="14">
                  <c:v>0.53256272906681701</c:v>
                </c:pt>
                <c:pt idx="15">
                  <c:v>0.59544658493870406</c:v>
                </c:pt>
                <c:pt idx="16">
                  <c:v>0.53580533024333721</c:v>
                </c:pt>
              </c:numCache>
            </c:numRef>
          </c:val>
          <c:smooth val="0"/>
          <c:extLst>
            <c:ext xmlns:c16="http://schemas.microsoft.com/office/drawing/2014/chart" uri="{C3380CC4-5D6E-409C-BE32-E72D297353CC}">
              <c16:uniqueId val="{00000002-5B3E-4646-9C3C-37D4D017CA05}"/>
            </c:ext>
          </c:extLst>
        </c:ser>
        <c:ser>
          <c:idx val="3"/>
          <c:order val="3"/>
          <c:tx>
            <c:strRef>
              <c:f>EXPE!$A$234</c:f>
              <c:strCache>
                <c:ptCount val="1"/>
                <c:pt idx="0">
                  <c:v>G&amp;A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16"/>
              <c:layout>
                <c:manualLayout>
                  <c:x val="-8.3866990971236205E-2"/>
                  <c:y val="-1.1553279266412251E-2"/>
                </c:manualLayout>
              </c:layout>
              <c:tx>
                <c:rich>
                  <a:bodyPr rot="0" spcFirstLastPara="1" vertOverflow="ellipsis" vert="horz" wrap="square" lIns="38100" tIns="19050" rIns="38100" bIns="19050" anchor="ctr" anchorCtr="1">
                    <a:spAutoFit/>
                  </a:bodyPr>
                  <a:lstStyle/>
                  <a:p>
                    <a:pPr>
                      <a:defRPr altLang="zh-CN" sz="800" b="1" i="0" u="none" strike="noStrike" kern="1200" baseline="0">
                        <a:solidFill>
                          <a:srgbClr val="000000"/>
                        </a:solidFill>
                        <a:latin typeface="+mn-lt"/>
                        <a:ea typeface="+mn-ea"/>
                        <a:cs typeface="+mn-cs"/>
                      </a:defRPr>
                    </a:pPr>
                    <a:r>
                      <a:rPr lang="en-US" altLang="zh-CN"/>
                      <a:t>G&amp;A 4%</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8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737-45A7-8D50-3B62A611F2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EXPE!$AT$3:$BW$3</c15:sqref>
                  </c15:fullRef>
                </c:ext>
              </c:extLst>
              <c:f>(EXPE!$AU$3:$AW$3,EXPE!$BJ$3:$BW$3)</c:f>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xmlns:c15="http://schemas.microsoft.com/office/drawing/2012/chart" uri="{02D57815-91ED-43cb-92C2-25804820EDAC}">
                  <c15:fullRef>
                    <c15:sqref>EXPE!$AT$234:$BW$234</c15:sqref>
                  </c15:fullRef>
                </c:ext>
              </c:extLst>
              <c:f>(EXPE!$AU$234:$AW$234,EXPE!$BJ$234:$BW$234)</c:f>
              <c:numCache>
                <c:formatCode>0%</c:formatCode>
                <c:ptCount val="17"/>
                <c:pt idx="0">
                  <c:v>5.9942911512844907E-2</c:v>
                </c:pt>
                <c:pt idx="1">
                  <c:v>5.1152332771219784E-2</c:v>
                </c:pt>
                <c:pt idx="2">
                  <c:v>6.6254095376774666E-2</c:v>
                </c:pt>
                <c:pt idx="3">
                  <c:v>5.178236397748593E-2</c:v>
                </c:pt>
                <c:pt idx="4">
                  <c:v>4.4073853484216795E-2</c:v>
                </c:pt>
                <c:pt idx="5">
                  <c:v>3.7414100279969456E-2</c:v>
                </c:pt>
                <c:pt idx="6">
                  <c:v>5.4035330793210948E-2</c:v>
                </c:pt>
                <c:pt idx="7">
                  <c:v>4.9498096227068189E-2</c:v>
                </c:pt>
                <c:pt idx="8">
                  <c:v>3.9629005059021921E-2</c:v>
                </c:pt>
                <c:pt idx="9">
                  <c:v>3.5467980295566505E-2</c:v>
                </c:pt>
                <c:pt idx="10">
                  <c:v>5.4648241206030151E-2</c:v>
                </c:pt>
                <c:pt idx="11">
                  <c:v>4.7858099062918338E-2</c:v>
                </c:pt>
                <c:pt idx="12">
                  <c:v>4.2525092445853147E-2</c:v>
                </c:pt>
                <c:pt idx="13">
                  <c:v>3.4678150498640072E-2</c:v>
                </c:pt>
                <c:pt idx="14">
                  <c:v>4.5390470820411616E-2</c:v>
                </c:pt>
                <c:pt idx="15">
                  <c:v>4.5826036193812023E-2</c:v>
                </c:pt>
                <c:pt idx="16">
                  <c:v>3.7079953650057937E-2</c:v>
                </c:pt>
              </c:numCache>
            </c:numRef>
          </c:val>
          <c:smooth val="0"/>
          <c:extLst>
            <c:ext xmlns:c16="http://schemas.microsoft.com/office/drawing/2014/chart" uri="{C3380CC4-5D6E-409C-BE32-E72D297353CC}">
              <c16:uniqueId val="{00000003-5B3E-4646-9C3C-37D4D017CA05}"/>
            </c:ext>
          </c:extLst>
        </c:ser>
        <c:dLbls>
          <c:showLegendKey val="0"/>
          <c:showVal val="0"/>
          <c:showCatName val="0"/>
          <c:showSerName val="0"/>
          <c:showPercent val="0"/>
          <c:showBubbleSize val="0"/>
        </c:dLbls>
        <c:marker val="1"/>
        <c:smooth val="0"/>
        <c:axId val="905265408"/>
        <c:axId val="905259168"/>
      </c:lineChart>
      <c:catAx>
        <c:axId val="90526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05259168"/>
        <c:crosses val="autoZero"/>
        <c:auto val="1"/>
        <c:lblAlgn val="ctr"/>
        <c:lblOffset val="100"/>
        <c:noMultiLvlLbl val="0"/>
      </c:catAx>
      <c:valAx>
        <c:axId val="9052591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05265408"/>
        <c:crosses val="autoZero"/>
        <c:crossBetween val="between"/>
      </c:valAx>
      <c:spPr>
        <a:no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EXPE</a:t>
            </a:r>
            <a:r>
              <a:rPr lang="zh-CN" altLang="en-US"/>
              <a:t> </a:t>
            </a:r>
            <a:r>
              <a:rPr lang="en-US" altLang="zh-CN"/>
              <a:t>Room Nights</a:t>
            </a:r>
            <a:r>
              <a:rPr lang="en-US" altLang="zh-CN" baseline="0"/>
              <a:t> &amp; YoY Growth </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EXPE!$A$307</c:f>
              <c:strCache>
                <c:ptCount val="1"/>
                <c:pt idx="0">
                  <c:v>  roomnights in millions </c:v>
                </c:pt>
              </c:strCache>
            </c:strRef>
          </c:tx>
          <c:spPr>
            <a:solidFill>
              <a:schemeClr val="accent1"/>
            </a:solidFill>
            <a:ln>
              <a:noFill/>
            </a:ln>
            <a:effectLst/>
          </c:spPr>
          <c:invertIfNegative val="0"/>
          <c:cat>
            <c:strRef>
              <c:extLst>
                <c:ext xmlns:c15="http://schemas.microsoft.com/office/drawing/2012/chart" uri="{02D57815-91ED-43cb-92C2-25804820EDAC}">
                  <c15:fullRef>
                    <c15:sqref>EXPE!$AU$3:$BW$3</c15:sqref>
                  </c15:fullRef>
                </c:ext>
              </c:extLst>
              <c:f>EXPE!$AV$3:$BW$3</c:f>
              <c:strCache>
                <c:ptCount val="28"/>
                <c:pt idx="0">
                  <c:v> 2019Q3 </c:v>
                </c:pt>
                <c:pt idx="1">
                  <c:v> 2019Q4 </c:v>
                </c:pt>
                <c:pt idx="2">
                  <c:v> 2020Q1 </c:v>
                </c:pt>
                <c:pt idx="3">
                  <c:v> 2020Q2 </c:v>
                </c:pt>
                <c:pt idx="4">
                  <c:v> 2020Q3 </c:v>
                </c:pt>
                <c:pt idx="5">
                  <c:v> 2020Q4 </c:v>
                </c:pt>
                <c:pt idx="6">
                  <c:v> 2021Q1 </c:v>
                </c:pt>
                <c:pt idx="7">
                  <c:v> 2021Q2 </c:v>
                </c:pt>
                <c:pt idx="8">
                  <c:v> 2021Q3 </c:v>
                </c:pt>
                <c:pt idx="9">
                  <c:v> 2021Q4 </c:v>
                </c:pt>
                <c:pt idx="10">
                  <c:v> 2022Q1 </c:v>
                </c:pt>
                <c:pt idx="11">
                  <c:v> 2022Q2 </c:v>
                </c:pt>
                <c:pt idx="12">
                  <c:v> 2022Q3 </c:v>
                </c:pt>
                <c:pt idx="13">
                  <c:v> 2022Q4 </c:v>
                </c:pt>
                <c:pt idx="14">
                  <c:v> 2023Q1 </c:v>
                </c:pt>
                <c:pt idx="15">
                  <c:v> 2023Q2 </c:v>
                </c:pt>
                <c:pt idx="16">
                  <c:v> 2023Q3 </c:v>
                </c:pt>
                <c:pt idx="17">
                  <c:v> 2023Q4 </c:v>
                </c:pt>
                <c:pt idx="18">
                  <c:v> 2024Q1 </c:v>
                </c:pt>
                <c:pt idx="19">
                  <c:v> 2024Q2 </c:v>
                </c:pt>
                <c:pt idx="20">
                  <c:v> 2024Q3 </c:v>
                </c:pt>
                <c:pt idx="21">
                  <c:v> 2024Q4 </c:v>
                </c:pt>
                <c:pt idx="22">
                  <c:v> 2025Q1 </c:v>
                </c:pt>
                <c:pt idx="23">
                  <c:v> 2025Q2 </c:v>
                </c:pt>
                <c:pt idx="24">
                  <c:v> 2025Q3 </c:v>
                </c:pt>
                <c:pt idx="25">
                  <c:v> 2025Q4 </c:v>
                </c:pt>
                <c:pt idx="26">
                  <c:v> 2026Q1 </c:v>
                </c:pt>
                <c:pt idx="27">
                  <c:v> 2026Q2 </c:v>
                </c:pt>
              </c:strCache>
            </c:strRef>
          </c:cat>
          <c:val>
            <c:numRef>
              <c:extLst>
                <c:ext xmlns:c15="http://schemas.microsoft.com/office/drawing/2012/chart" uri="{02D57815-91ED-43cb-92C2-25804820EDAC}">
                  <c15:fullRef>
                    <c15:sqref>EXPE!$AU$307:$BW$307</c15:sqref>
                  </c15:fullRef>
                </c:ext>
              </c:extLst>
              <c:f>EXPE!$AV$307:$BW$307</c:f>
              <c:numCache>
                <c:formatCode>General</c:formatCode>
                <c:ptCount val="28"/>
                <c:pt idx="0">
                  <c:v>101.3</c:v>
                </c:pt>
                <c:pt idx="1">
                  <c:v>86.3</c:v>
                </c:pt>
                <c:pt idx="2">
                  <c:v>58.5</c:v>
                </c:pt>
                <c:pt idx="3">
                  <c:v>12.2</c:v>
                </c:pt>
                <c:pt idx="4">
                  <c:v>41.1</c:v>
                </c:pt>
                <c:pt idx="5">
                  <c:v>33.299999999999997</c:v>
                </c:pt>
                <c:pt idx="6">
                  <c:v>54</c:v>
                </c:pt>
                <c:pt idx="7">
                  <c:v>68.400000000000006</c:v>
                </c:pt>
                <c:pt idx="8">
                  <c:v>65.400000000000006</c:v>
                </c:pt>
                <c:pt idx="9">
                  <c:v>59.7</c:v>
                </c:pt>
                <c:pt idx="10">
                  <c:v>77</c:v>
                </c:pt>
                <c:pt idx="11">
                  <c:v>82.5</c:v>
                </c:pt>
                <c:pt idx="12">
                  <c:v>81.599999999999994</c:v>
                </c:pt>
                <c:pt idx="13">
                  <c:v>70.8</c:v>
                </c:pt>
                <c:pt idx="14">
                  <c:v>94.5</c:v>
                </c:pt>
                <c:pt idx="15">
                  <c:v>89.7</c:v>
                </c:pt>
                <c:pt idx="16">
                  <c:v>89.3</c:v>
                </c:pt>
                <c:pt idx="17">
                  <c:v>77.400000000000006</c:v>
                </c:pt>
                <c:pt idx="18">
                  <c:v>101.2</c:v>
                </c:pt>
                <c:pt idx="19">
                  <c:v>98.9</c:v>
                </c:pt>
                <c:pt idx="20">
                  <c:v>97.4</c:v>
                </c:pt>
                <c:pt idx="21">
                  <c:v>86.4</c:v>
                </c:pt>
                <c:pt idx="22" formatCode="0.0">
                  <c:v>107.7</c:v>
                </c:pt>
                <c:pt idx="23" formatCode="0.0">
                  <c:v>105.5</c:v>
                </c:pt>
                <c:pt idx="24">
                  <c:v>108.2</c:v>
                </c:pt>
                <c:pt idx="25">
                  <c:v>94</c:v>
                </c:pt>
                <c:pt idx="26">
                  <c:v>113.9</c:v>
                </c:pt>
                <c:pt idx="27">
                  <c:v>111.5</c:v>
                </c:pt>
              </c:numCache>
            </c:numRef>
          </c:val>
          <c:extLst>
            <c:ext xmlns:c16="http://schemas.microsoft.com/office/drawing/2014/chart" uri="{C3380CC4-5D6E-409C-BE32-E72D297353CC}">
              <c16:uniqueId val="{00000000-24BA-492C-920A-028F9EE437D3}"/>
            </c:ext>
          </c:extLst>
        </c:ser>
        <c:dLbls>
          <c:showLegendKey val="0"/>
          <c:showVal val="0"/>
          <c:showCatName val="0"/>
          <c:showSerName val="0"/>
          <c:showPercent val="0"/>
          <c:showBubbleSize val="0"/>
        </c:dLbls>
        <c:gapWidth val="150"/>
        <c:axId val="353146352"/>
        <c:axId val="353141776"/>
      </c:barChart>
      <c:lineChart>
        <c:grouping val="standard"/>
        <c:varyColors val="0"/>
        <c:ser>
          <c:idx val="1"/>
          <c:order val="1"/>
          <c:tx>
            <c:strRef>
              <c:f>EXPE!$A$308</c:f>
              <c:strCache>
                <c:ptCount val="1"/>
                <c:pt idx="0">
                  <c:v>Room Nights YoY growth</c:v>
                </c:pt>
              </c:strCache>
            </c:strRef>
          </c:tx>
          <c:spPr>
            <a:ln w="28575" cap="rnd">
              <a:solidFill>
                <a:schemeClr val="accent2"/>
              </a:solidFill>
              <a:round/>
            </a:ln>
            <a:effectLst/>
          </c:spPr>
          <c:marker>
            <c:symbol val="none"/>
          </c:marker>
          <c:dLbls>
            <c:dLbl>
              <c:idx val="3"/>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-87.9%</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3BBA-4C54-8AC3-0F29B5E9B94A}"/>
                </c:ext>
              </c:extLst>
            </c:dLbl>
            <c:dLbl>
              <c:idx val="7"/>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460.7%</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BBA-4C54-8AC3-0F29B5E9B94A}"/>
                </c:ext>
              </c:extLst>
            </c:dLbl>
            <c:dLbl>
              <c:idx val="11"/>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20.6%</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BBA-4C54-8AC3-0F29B5E9B94A}"/>
                </c:ext>
              </c:extLst>
            </c:dLbl>
            <c:dLbl>
              <c:idx val="15"/>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9%</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BBA-4C54-8AC3-0F29B5E9B94A}"/>
                </c:ext>
              </c:extLst>
            </c:dLbl>
            <c:dLbl>
              <c:idx val="19"/>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10.3%</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BBA-4C54-8AC3-0F29B5E9B94A}"/>
                </c:ext>
              </c:extLst>
            </c:dLbl>
            <c:dLbl>
              <c:idx val="23"/>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6.7%</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59B-47CF-B8FE-32CD1763B7FB}"/>
                </c:ext>
              </c:extLst>
            </c:dLbl>
            <c:dLbl>
              <c:idx val="27"/>
              <c:layout>
                <c:manualLayout>
                  <c:x val="-8.9480389702271984E-2"/>
                  <c:y val="-0.10248135518879346"/>
                </c:manualLayout>
              </c:layout>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5.7%</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F6-42D4-9BE0-2161D13C83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EXPE!$AU$3:$BW$3</c15:sqref>
                  </c15:fullRef>
                </c:ext>
              </c:extLst>
              <c:f>EXPE!$AV$3:$BW$3</c:f>
              <c:strCache>
                <c:ptCount val="28"/>
                <c:pt idx="0">
                  <c:v> 2019Q3 </c:v>
                </c:pt>
                <c:pt idx="1">
                  <c:v> 2019Q4 </c:v>
                </c:pt>
                <c:pt idx="2">
                  <c:v> 2020Q1 </c:v>
                </c:pt>
                <c:pt idx="3">
                  <c:v> 2020Q2 </c:v>
                </c:pt>
                <c:pt idx="4">
                  <c:v> 2020Q3 </c:v>
                </c:pt>
                <c:pt idx="5">
                  <c:v> 2020Q4 </c:v>
                </c:pt>
                <c:pt idx="6">
                  <c:v> 2021Q1 </c:v>
                </c:pt>
                <c:pt idx="7">
                  <c:v> 2021Q2 </c:v>
                </c:pt>
                <c:pt idx="8">
                  <c:v> 2021Q3 </c:v>
                </c:pt>
                <c:pt idx="9">
                  <c:v> 2021Q4 </c:v>
                </c:pt>
                <c:pt idx="10">
                  <c:v> 2022Q1 </c:v>
                </c:pt>
                <c:pt idx="11">
                  <c:v> 2022Q2 </c:v>
                </c:pt>
                <c:pt idx="12">
                  <c:v> 2022Q3 </c:v>
                </c:pt>
                <c:pt idx="13">
                  <c:v> 2022Q4 </c:v>
                </c:pt>
                <c:pt idx="14">
                  <c:v> 2023Q1 </c:v>
                </c:pt>
                <c:pt idx="15">
                  <c:v> 2023Q2 </c:v>
                </c:pt>
                <c:pt idx="16">
                  <c:v> 2023Q3 </c:v>
                </c:pt>
                <c:pt idx="17">
                  <c:v> 2023Q4 </c:v>
                </c:pt>
                <c:pt idx="18">
                  <c:v> 2024Q1 </c:v>
                </c:pt>
                <c:pt idx="19">
                  <c:v> 2024Q2 </c:v>
                </c:pt>
                <c:pt idx="20">
                  <c:v> 2024Q3 </c:v>
                </c:pt>
                <c:pt idx="21">
                  <c:v> 2024Q4 </c:v>
                </c:pt>
                <c:pt idx="22">
                  <c:v> 2025Q1 </c:v>
                </c:pt>
                <c:pt idx="23">
                  <c:v> 2025Q2 </c:v>
                </c:pt>
                <c:pt idx="24">
                  <c:v> 2025Q3 </c:v>
                </c:pt>
                <c:pt idx="25">
                  <c:v> 2025Q4 </c:v>
                </c:pt>
                <c:pt idx="26">
                  <c:v> 2026Q1 </c:v>
                </c:pt>
                <c:pt idx="27">
                  <c:v> 2026Q2 </c:v>
                </c:pt>
              </c:strCache>
            </c:strRef>
          </c:cat>
          <c:val>
            <c:numRef>
              <c:extLst>
                <c:ext xmlns:c15="http://schemas.microsoft.com/office/drawing/2012/chart" uri="{02D57815-91ED-43cb-92C2-25804820EDAC}">
                  <c15:fullRef>
                    <c15:sqref>EXPE!$AU$308:$BW$308</c15:sqref>
                  </c15:fullRef>
                </c:ext>
              </c:extLst>
              <c:f>EXPE!$AV$308:$BW$308</c:f>
              <c:numCache>
                <c:formatCode>0%</c:formatCode>
                <c:ptCount val="28"/>
                <c:pt idx="2">
                  <c:v>-0.43695861405197312</c:v>
                </c:pt>
                <c:pt idx="3">
                  <c:v>-0.87896825396825395</c:v>
                </c:pt>
                <c:pt idx="4">
                  <c:v>-0.59427443237907207</c:v>
                </c:pt>
                <c:pt idx="5">
                  <c:v>-0.61413673232908461</c:v>
                </c:pt>
                <c:pt idx="6">
                  <c:v>-7.6923076923076872E-2</c:v>
                </c:pt>
                <c:pt idx="7">
                  <c:v>4.6065573770491808</c:v>
                </c:pt>
                <c:pt idx="8">
                  <c:v>0.59124087591240881</c:v>
                </c:pt>
                <c:pt idx="9">
                  <c:v>0.79279279279279313</c:v>
                </c:pt>
                <c:pt idx="10">
                  <c:v>0.42592592592592582</c:v>
                </c:pt>
                <c:pt idx="11">
                  <c:v>0.20614035087719285</c:v>
                </c:pt>
                <c:pt idx="12">
                  <c:v>0.24770642201834847</c:v>
                </c:pt>
                <c:pt idx="13">
                  <c:v>0.18592964824120584</c:v>
                </c:pt>
                <c:pt idx="14">
                  <c:v>0.22727272727272729</c:v>
                </c:pt>
                <c:pt idx="15">
                  <c:v>0.09</c:v>
                </c:pt>
                <c:pt idx="16">
                  <c:v>0.09</c:v>
                </c:pt>
                <c:pt idx="17">
                  <c:v>9.3220338983051043E-2</c:v>
                </c:pt>
                <c:pt idx="18">
                  <c:v>7.0899470899471018E-2</c:v>
                </c:pt>
                <c:pt idx="19">
                  <c:v>0.10256410256410264</c:v>
                </c:pt>
                <c:pt idx="20">
                  <c:v>9.0705487122060502E-2</c:v>
                </c:pt>
                <c:pt idx="21">
                  <c:v>0.11627906976744184</c:v>
                </c:pt>
                <c:pt idx="22">
                  <c:v>6.422924901185767E-2</c:v>
                </c:pt>
                <c:pt idx="23">
                  <c:v>6.6734074823053602E-2</c:v>
                </c:pt>
                <c:pt idx="24">
                  <c:v>0.11088295687885008</c:v>
                </c:pt>
                <c:pt idx="25">
                  <c:v>8.7962962962962798E-2</c:v>
                </c:pt>
                <c:pt idx="26">
                  <c:v>5.7567316620241504E-2</c:v>
                </c:pt>
                <c:pt idx="27">
                  <c:v>5.6872037914691864E-2</c:v>
                </c:pt>
              </c:numCache>
            </c:numRef>
          </c:val>
          <c:smooth val="0"/>
          <c:extLst>
            <c:ext xmlns:c16="http://schemas.microsoft.com/office/drawing/2014/chart" uri="{C3380CC4-5D6E-409C-BE32-E72D297353CC}">
              <c16:uniqueId val="{00000001-1BD7-4203-B598-A4959ECBAB4C}"/>
            </c:ext>
          </c:extLst>
        </c:ser>
        <c:dLbls>
          <c:showLegendKey val="0"/>
          <c:showVal val="0"/>
          <c:showCatName val="0"/>
          <c:showSerName val="0"/>
          <c:showPercent val="0"/>
          <c:showBubbleSize val="0"/>
        </c:dLbls>
        <c:marker val="1"/>
        <c:smooth val="0"/>
        <c:axId val="1030086344"/>
        <c:axId val="1030092576"/>
      </c:lineChart>
      <c:catAx>
        <c:axId val="35314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53141776"/>
        <c:crosses val="autoZero"/>
        <c:auto val="1"/>
        <c:lblAlgn val="ctr"/>
        <c:lblOffset val="100"/>
        <c:noMultiLvlLbl val="0"/>
      </c:catAx>
      <c:valAx>
        <c:axId val="35314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53146352"/>
        <c:crosses val="autoZero"/>
        <c:crossBetween val="between"/>
      </c:valAx>
      <c:valAx>
        <c:axId val="103009257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30086344"/>
        <c:crosses val="max"/>
        <c:crossBetween val="between"/>
      </c:valAx>
      <c:catAx>
        <c:axId val="1030086344"/>
        <c:scaling>
          <c:orientation val="minMax"/>
        </c:scaling>
        <c:delete val="1"/>
        <c:axPos val="b"/>
        <c:numFmt formatCode="General" sourceLinked="1"/>
        <c:majorTickMark val="out"/>
        <c:minorTickMark val="none"/>
        <c:tickLblPos val="nextTo"/>
        <c:crossAx val="1030092576"/>
        <c:crosses val="autoZero"/>
        <c:auto val="1"/>
        <c:lblAlgn val="ctr"/>
        <c:lblOffset val="100"/>
        <c:noMultiLvlLbl val="0"/>
      </c:catAx>
      <c:spPr>
        <a:no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EXPE</a:t>
            </a:r>
            <a:r>
              <a:rPr lang="zh-CN" altLang="en-US"/>
              <a:t>其它住宿相关运营数据</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1"/>
          <c:order val="0"/>
          <c:tx>
            <c:strRef>
              <c:f>EXPE!$A$317</c:f>
              <c:strCache>
                <c:ptCount val="1"/>
                <c:pt idx="0">
                  <c:v> ADR(MS estimates) </c:v>
                </c:pt>
              </c:strCache>
            </c:strRef>
          </c:tx>
          <c:spPr>
            <a:solidFill>
              <a:schemeClr val="accent2"/>
            </a:solidFill>
            <a:ln>
              <a:noFill/>
            </a:ln>
            <a:effectLst/>
          </c:spPr>
          <c:invertIfNegative val="0"/>
          <c:cat>
            <c:strRef>
              <c:f>EXPE!$AH$3:$BW$3</c:f>
              <c:strCache>
                <c:ptCount val="30"/>
                <c:pt idx="0">
                  <c:v> 2019Q1 </c:v>
                </c:pt>
                <c:pt idx="1">
                  <c:v> 2019Q2 </c:v>
                </c:pt>
                <c:pt idx="2">
                  <c:v> 2019Q3 </c:v>
                </c:pt>
                <c:pt idx="3">
                  <c:v> 2019Q4 </c:v>
                </c:pt>
                <c:pt idx="4">
                  <c:v> 2020Q1 </c:v>
                </c:pt>
                <c:pt idx="5">
                  <c:v> 2020Q2 </c:v>
                </c:pt>
                <c:pt idx="6">
                  <c:v> 2020Q3 </c:v>
                </c:pt>
                <c:pt idx="7">
                  <c:v> 2020Q4 </c:v>
                </c:pt>
                <c:pt idx="8">
                  <c:v> 2021Q1 </c:v>
                </c:pt>
                <c:pt idx="9">
                  <c:v> 2021Q2 </c:v>
                </c:pt>
                <c:pt idx="10">
                  <c:v> 2021Q3 </c:v>
                </c:pt>
                <c:pt idx="11">
                  <c:v> 2021Q4 </c:v>
                </c:pt>
                <c:pt idx="12">
                  <c:v> 2022Q1 </c:v>
                </c:pt>
                <c:pt idx="13">
                  <c:v> 2022Q2 </c:v>
                </c:pt>
                <c:pt idx="14">
                  <c:v> 2022Q3 </c:v>
                </c:pt>
                <c:pt idx="15">
                  <c:v> 2022Q4 </c:v>
                </c:pt>
                <c:pt idx="16">
                  <c:v> 2023Q1 </c:v>
                </c:pt>
                <c:pt idx="17">
                  <c:v> 2023Q2 </c:v>
                </c:pt>
                <c:pt idx="18">
                  <c:v> 2023Q3 </c:v>
                </c:pt>
                <c:pt idx="19">
                  <c:v> 2023Q4 </c:v>
                </c:pt>
                <c:pt idx="20">
                  <c:v> 2024Q1 </c:v>
                </c:pt>
                <c:pt idx="21">
                  <c:v> 2024Q2 </c:v>
                </c:pt>
                <c:pt idx="22">
                  <c:v> 2024Q3 </c:v>
                </c:pt>
                <c:pt idx="23">
                  <c:v> 2024Q4 </c:v>
                </c:pt>
                <c:pt idx="24">
                  <c:v> 2025Q1 </c:v>
                </c:pt>
                <c:pt idx="25">
                  <c:v> 2025Q2 </c:v>
                </c:pt>
                <c:pt idx="26">
                  <c:v> 2025Q3 </c:v>
                </c:pt>
                <c:pt idx="27">
                  <c:v> 2025Q4 </c:v>
                </c:pt>
                <c:pt idx="28">
                  <c:v> 2026Q1 </c:v>
                </c:pt>
                <c:pt idx="29">
                  <c:v> 2026Q2 </c:v>
                </c:pt>
              </c:strCache>
            </c:strRef>
          </c:cat>
          <c:val>
            <c:numRef>
              <c:f>EXPE!$AH$317:$BW$317</c:f>
              <c:numCache>
                <c:formatCode>_(* #,##0_);_(* \(#,##0\);_(* "-"??_);_(@_)</c:formatCode>
                <c:ptCount val="30"/>
                <c:pt idx="0">
                  <c:v>142.84487326339374</c:v>
                </c:pt>
                <c:pt idx="1">
                  <c:v>137.03148967612674</c:v>
                </c:pt>
                <c:pt idx="2">
                  <c:v>146.81555564906392</c:v>
                </c:pt>
                <c:pt idx="3">
                  <c:v>124.35871740114398</c:v>
                </c:pt>
                <c:pt idx="4">
                  <c:v>139.98797579812586</c:v>
                </c:pt>
                <c:pt idx="5">
                  <c:v>138.40180457288801</c:v>
                </c:pt>
                <c:pt idx="6">
                  <c:v>158.56080010098904</c:v>
                </c:pt>
                <c:pt idx="7">
                  <c:v>126.84589174916685</c:v>
                </c:pt>
                <c:pt idx="8">
                  <c:v>151.18701386197594</c:v>
                </c:pt>
                <c:pt idx="9">
                  <c:v>167.46618353319448</c:v>
                </c:pt>
                <c:pt idx="10">
                  <c:v>188.68735212017694</c:v>
                </c:pt>
                <c:pt idx="11">
                  <c:v>156.02044685147521</c:v>
                </c:pt>
                <c:pt idx="12">
                  <c:v>181.42441663437111</c:v>
                </c:pt>
                <c:pt idx="13">
                  <c:v>182.53814005118201</c:v>
                </c:pt>
                <c:pt idx="14">
                  <c:v>196.23484620498402</c:v>
                </c:pt>
                <c:pt idx="15">
                  <c:v>160.70106025701946</c:v>
                </c:pt>
                <c:pt idx="29">
                  <c:v>220.6</c:v>
                </c:pt>
              </c:numCache>
            </c:numRef>
          </c:val>
          <c:extLst>
            <c:ext xmlns:c16="http://schemas.microsoft.com/office/drawing/2014/chart" uri="{C3380CC4-5D6E-409C-BE32-E72D297353CC}">
              <c16:uniqueId val="{00000000-B4E4-4449-B5AC-AC923544D1A9}"/>
            </c:ext>
          </c:extLst>
        </c:ser>
        <c:ser>
          <c:idx val="3"/>
          <c:order val="1"/>
          <c:tx>
            <c:strRef>
              <c:f>EXPE!$A$319</c:f>
              <c:strCache>
                <c:ptCount val="1"/>
                <c:pt idx="0">
                  <c:v> Revenue per night </c:v>
                </c:pt>
              </c:strCache>
            </c:strRef>
          </c:tx>
          <c:spPr>
            <a:solidFill>
              <a:schemeClr val="accent4"/>
            </a:solidFill>
            <a:ln>
              <a:noFill/>
            </a:ln>
            <a:effectLst/>
          </c:spPr>
          <c:invertIfNegative val="0"/>
          <c:cat>
            <c:strRef>
              <c:f>EXPE!$AH$3:$BW$3</c:f>
              <c:strCache>
                <c:ptCount val="30"/>
                <c:pt idx="0">
                  <c:v> 2019Q1 </c:v>
                </c:pt>
                <c:pt idx="1">
                  <c:v> 2019Q2 </c:v>
                </c:pt>
                <c:pt idx="2">
                  <c:v> 2019Q3 </c:v>
                </c:pt>
                <c:pt idx="3">
                  <c:v> 2019Q4 </c:v>
                </c:pt>
                <c:pt idx="4">
                  <c:v> 2020Q1 </c:v>
                </c:pt>
                <c:pt idx="5">
                  <c:v> 2020Q2 </c:v>
                </c:pt>
                <c:pt idx="6">
                  <c:v> 2020Q3 </c:v>
                </c:pt>
                <c:pt idx="7">
                  <c:v> 2020Q4 </c:v>
                </c:pt>
                <c:pt idx="8">
                  <c:v> 2021Q1 </c:v>
                </c:pt>
                <c:pt idx="9">
                  <c:v> 2021Q2 </c:v>
                </c:pt>
                <c:pt idx="10">
                  <c:v> 2021Q3 </c:v>
                </c:pt>
                <c:pt idx="11">
                  <c:v> 2021Q4 </c:v>
                </c:pt>
                <c:pt idx="12">
                  <c:v> 2022Q1 </c:v>
                </c:pt>
                <c:pt idx="13">
                  <c:v> 2022Q2 </c:v>
                </c:pt>
                <c:pt idx="14">
                  <c:v> 2022Q3 </c:v>
                </c:pt>
                <c:pt idx="15">
                  <c:v> 2022Q4 </c:v>
                </c:pt>
                <c:pt idx="16">
                  <c:v> 2023Q1 </c:v>
                </c:pt>
                <c:pt idx="17">
                  <c:v> 2023Q2 </c:v>
                </c:pt>
                <c:pt idx="18">
                  <c:v> 2023Q3 </c:v>
                </c:pt>
                <c:pt idx="19">
                  <c:v> 2023Q4 </c:v>
                </c:pt>
                <c:pt idx="20">
                  <c:v> 2024Q1 </c:v>
                </c:pt>
                <c:pt idx="21">
                  <c:v> 2024Q2 </c:v>
                </c:pt>
                <c:pt idx="22">
                  <c:v> 2024Q3 </c:v>
                </c:pt>
                <c:pt idx="23">
                  <c:v> 2024Q4 </c:v>
                </c:pt>
                <c:pt idx="24">
                  <c:v> 2025Q1 </c:v>
                </c:pt>
                <c:pt idx="25">
                  <c:v> 2025Q2 </c:v>
                </c:pt>
                <c:pt idx="26">
                  <c:v> 2025Q3 </c:v>
                </c:pt>
                <c:pt idx="27">
                  <c:v> 2025Q4 </c:v>
                </c:pt>
                <c:pt idx="28">
                  <c:v> 2026Q1 </c:v>
                </c:pt>
                <c:pt idx="29">
                  <c:v> 2026Q2 </c:v>
                </c:pt>
              </c:strCache>
            </c:strRef>
          </c:cat>
          <c:val>
            <c:numRef>
              <c:f>EXPE!$AH$319:$BW$319</c:f>
              <c:numCache>
                <c:formatCode>_(* #,##0.0_);_(* \(#,##0.0\);_(* "-"??_);_(@_)</c:formatCode>
                <c:ptCount val="30"/>
                <c:pt idx="0">
                  <c:v>20.878712871287128</c:v>
                </c:pt>
                <c:pt idx="1">
                  <c:v>22.017982017982018</c:v>
                </c:pt>
                <c:pt idx="2">
                  <c:v>22.103004291845494</c:v>
                </c:pt>
                <c:pt idx="3">
                  <c:v>20.698689956331879</c:v>
                </c:pt>
                <c:pt idx="4">
                  <c:v>22.131435643564355</c:v>
                </c:pt>
                <c:pt idx="5">
                  <c:v>25.320679320679318</c:v>
                </c:pt>
                <c:pt idx="6">
                  <c:v>25.197424892703864</c:v>
                </c:pt>
                <c:pt idx="7">
                  <c:v>21.940611353711795</c:v>
                </c:pt>
                <c:pt idx="8">
                  <c:v>24.344579207920791</c:v>
                </c:pt>
                <c:pt idx="9">
                  <c:v>27.09312687312687</c:v>
                </c:pt>
                <c:pt idx="10">
                  <c:v>29.480987124463521</c:v>
                </c:pt>
                <c:pt idx="11">
                  <c:v>27.206358078602626</c:v>
                </c:pt>
                <c:pt idx="12">
                  <c:v>28.483157673267325</c:v>
                </c:pt>
                <c:pt idx="13">
                  <c:v>30.344302097902098</c:v>
                </c:pt>
                <c:pt idx="14">
                  <c:v>30.955036480686697</c:v>
                </c:pt>
                <c:pt idx="15">
                  <c:v>26.934294497816602</c:v>
                </c:pt>
              </c:numCache>
            </c:numRef>
          </c:val>
          <c:extLst>
            <c:ext xmlns:c16="http://schemas.microsoft.com/office/drawing/2014/chart" uri="{C3380CC4-5D6E-409C-BE32-E72D297353CC}">
              <c16:uniqueId val="{00000001-B4E4-4449-B5AC-AC923544D1A9}"/>
            </c:ext>
          </c:extLst>
        </c:ser>
        <c:dLbls>
          <c:showLegendKey val="0"/>
          <c:showVal val="0"/>
          <c:showCatName val="0"/>
          <c:showSerName val="0"/>
          <c:showPercent val="0"/>
          <c:showBubbleSize val="0"/>
        </c:dLbls>
        <c:gapWidth val="219"/>
        <c:overlap val="-27"/>
        <c:axId val="894642208"/>
        <c:axId val="894646368"/>
      </c:barChart>
      <c:lineChart>
        <c:grouping val="standard"/>
        <c:varyColors val="0"/>
        <c:ser>
          <c:idx val="5"/>
          <c:order val="2"/>
          <c:tx>
            <c:strRef>
              <c:f>EXPE!$A$321</c:f>
              <c:strCache>
                <c:ptCount val="1"/>
                <c:pt idx="0">
                  <c:v>Lodging take rate(MS estimates)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EXPE!$AH$3:$BW$3</c:f>
              <c:strCache>
                <c:ptCount val="30"/>
                <c:pt idx="0">
                  <c:v> 2019Q1 </c:v>
                </c:pt>
                <c:pt idx="1">
                  <c:v> 2019Q2 </c:v>
                </c:pt>
                <c:pt idx="2">
                  <c:v> 2019Q3 </c:v>
                </c:pt>
                <c:pt idx="3">
                  <c:v> 2019Q4 </c:v>
                </c:pt>
                <c:pt idx="4">
                  <c:v> 2020Q1 </c:v>
                </c:pt>
                <c:pt idx="5">
                  <c:v> 2020Q2 </c:v>
                </c:pt>
                <c:pt idx="6">
                  <c:v> 2020Q3 </c:v>
                </c:pt>
                <c:pt idx="7">
                  <c:v> 2020Q4 </c:v>
                </c:pt>
                <c:pt idx="8">
                  <c:v> 2021Q1 </c:v>
                </c:pt>
                <c:pt idx="9">
                  <c:v> 2021Q2 </c:v>
                </c:pt>
                <c:pt idx="10">
                  <c:v> 2021Q3 </c:v>
                </c:pt>
                <c:pt idx="11">
                  <c:v> 2021Q4 </c:v>
                </c:pt>
                <c:pt idx="12">
                  <c:v> 2022Q1 </c:v>
                </c:pt>
                <c:pt idx="13">
                  <c:v> 2022Q2 </c:v>
                </c:pt>
                <c:pt idx="14">
                  <c:v> 2022Q3 </c:v>
                </c:pt>
                <c:pt idx="15">
                  <c:v> 2022Q4 </c:v>
                </c:pt>
                <c:pt idx="16">
                  <c:v> 2023Q1 </c:v>
                </c:pt>
                <c:pt idx="17">
                  <c:v> 2023Q2 </c:v>
                </c:pt>
                <c:pt idx="18">
                  <c:v> 2023Q3 </c:v>
                </c:pt>
                <c:pt idx="19">
                  <c:v> 2023Q4 </c:v>
                </c:pt>
                <c:pt idx="20">
                  <c:v> 2024Q1 </c:v>
                </c:pt>
                <c:pt idx="21">
                  <c:v> 2024Q2 </c:v>
                </c:pt>
                <c:pt idx="22">
                  <c:v> 2024Q3 </c:v>
                </c:pt>
                <c:pt idx="23">
                  <c:v> 2024Q4 </c:v>
                </c:pt>
                <c:pt idx="24">
                  <c:v> 2025Q1 </c:v>
                </c:pt>
                <c:pt idx="25">
                  <c:v> 2025Q2 </c:v>
                </c:pt>
                <c:pt idx="26">
                  <c:v> 2025Q3 </c:v>
                </c:pt>
                <c:pt idx="27">
                  <c:v> 2025Q4 </c:v>
                </c:pt>
                <c:pt idx="28">
                  <c:v> 2026Q1 </c:v>
                </c:pt>
                <c:pt idx="29">
                  <c:v> 2026Q2 </c:v>
                </c:pt>
              </c:strCache>
            </c:strRef>
          </c:cat>
          <c:val>
            <c:numRef>
              <c:f>EXPE!$AH$321:$BW$321</c:f>
              <c:numCache>
                <c:formatCode>0.0%</c:formatCode>
                <c:ptCount val="30"/>
                <c:pt idx="0">
                  <c:v>0.14616354367012224</c:v>
                </c:pt>
                <c:pt idx="1">
                  <c:v>0.16067826504711735</c:v>
                </c:pt>
                <c:pt idx="2">
                  <c:v>0.15054947136990535</c:v>
                </c:pt>
                <c:pt idx="3">
                  <c:v>0.16644341779084215</c:v>
                </c:pt>
                <c:pt idx="4">
                  <c:v>0.15809526152074446</c:v>
                </c:pt>
                <c:pt idx="5">
                  <c:v>0.18295049980612368</c:v>
                </c:pt>
                <c:pt idx="6">
                  <c:v>0.15891333089045565</c:v>
                </c:pt>
                <c:pt idx="7">
                  <c:v>0.17297061064538502</c:v>
                </c:pt>
                <c:pt idx="8">
                  <c:v>0.16102295154890639</c:v>
                </c:pt>
                <c:pt idx="9">
                  <c:v>0.1617826733822747</c:v>
                </c:pt>
                <c:pt idx="10">
                  <c:v>0.15624251860658245</c:v>
                </c:pt>
                <c:pt idx="11">
                  <c:v>0.17437687577258329</c:v>
                </c:pt>
                <c:pt idx="12">
                  <c:v>0.15699737776018374</c:v>
                </c:pt>
                <c:pt idx="13">
                  <c:v>0.16623540751206206</c:v>
                </c:pt>
                <c:pt idx="14">
                  <c:v>0.15774485051626114</c:v>
                </c:pt>
                <c:pt idx="15">
                  <c:v>0.1676049582668519</c:v>
                </c:pt>
              </c:numCache>
            </c:numRef>
          </c:val>
          <c:smooth val="0"/>
          <c:extLst>
            <c:ext xmlns:c16="http://schemas.microsoft.com/office/drawing/2014/chart" uri="{C3380CC4-5D6E-409C-BE32-E72D297353CC}">
              <c16:uniqueId val="{00000004-B4E4-4449-B5AC-AC923544D1A9}"/>
            </c:ext>
          </c:extLst>
        </c:ser>
        <c:dLbls>
          <c:showLegendKey val="0"/>
          <c:showVal val="0"/>
          <c:showCatName val="0"/>
          <c:showSerName val="0"/>
          <c:showPercent val="0"/>
          <c:showBubbleSize val="0"/>
        </c:dLbls>
        <c:marker val="1"/>
        <c:smooth val="0"/>
        <c:axId val="894659264"/>
        <c:axId val="894654688"/>
      </c:lineChart>
      <c:catAx>
        <c:axId val="89464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94646368"/>
        <c:crosses val="autoZero"/>
        <c:auto val="1"/>
        <c:lblAlgn val="ctr"/>
        <c:lblOffset val="100"/>
        <c:noMultiLvlLbl val="0"/>
      </c:catAx>
      <c:valAx>
        <c:axId val="89464636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94642208"/>
        <c:crosses val="autoZero"/>
        <c:crossBetween val="between"/>
      </c:valAx>
      <c:valAx>
        <c:axId val="89465468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94659264"/>
        <c:crosses val="max"/>
        <c:crossBetween val="between"/>
      </c:valAx>
      <c:catAx>
        <c:axId val="894659264"/>
        <c:scaling>
          <c:orientation val="minMax"/>
        </c:scaling>
        <c:delete val="1"/>
        <c:axPos val="b"/>
        <c:numFmt formatCode="General" sourceLinked="1"/>
        <c:majorTickMark val="out"/>
        <c:minorTickMark val="none"/>
        <c:tickLblPos val="nextTo"/>
        <c:crossAx val="894654688"/>
        <c:crosses val="autoZero"/>
        <c:auto val="1"/>
        <c:lblAlgn val="ctr"/>
        <c:lblOffset val="100"/>
        <c:noMultiLvlLbl val="0"/>
      </c:catAx>
      <c:spPr>
        <a:no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EXPE</a:t>
            </a:r>
            <a:r>
              <a:rPr lang="en-US" altLang="zh-CN" baseline="0"/>
              <a:t> Air Ticket Booked &amp; YoY Growth</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EXPE!$A$323</c:f>
              <c:strCache>
                <c:ptCount val="1"/>
                <c:pt idx="0">
                  <c:v>Air tickets sold  (MS estimates)(mn)</c:v>
                </c:pt>
              </c:strCache>
            </c:strRef>
          </c:tx>
          <c:spPr>
            <a:solidFill>
              <a:schemeClr val="accent1"/>
            </a:solidFill>
            <a:ln>
              <a:noFill/>
            </a:ln>
            <a:effectLst/>
          </c:spPr>
          <c:invertIfNegative val="0"/>
          <c:dLbls>
            <c:dLbl>
              <c:idx val="3"/>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335.8%</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8EE-4BEF-9E67-FCA93C5D9B9D}"/>
                </c:ext>
              </c:extLst>
            </c:dLbl>
            <c:dLbl>
              <c:idx val="7"/>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1339.7%</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8EE-4BEF-9E67-FCA93C5D9B9D}"/>
                </c:ext>
              </c:extLst>
            </c:dLbl>
            <c:dLbl>
              <c:idx val="11"/>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1353.1%</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8EE-4BEF-9E67-FCA93C5D9B9D}"/>
                </c:ext>
              </c:extLst>
            </c:dLbl>
            <c:dLbl>
              <c:idx val="15"/>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1360%</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18EE-4BEF-9E67-FCA93C5D9B9D}"/>
                </c:ext>
              </c:extLst>
            </c:dLbl>
            <c:dLbl>
              <c:idx val="19"/>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1450%</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18EE-4BEF-9E67-FCA93C5D9B9D}"/>
                </c:ext>
              </c:extLst>
            </c:dLbl>
            <c:dLbl>
              <c:idx val="23"/>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1500%</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18EE-4BEF-9E67-FCA93C5D9B9D}"/>
                </c:ext>
              </c:extLst>
            </c:dLbl>
            <c:dLbl>
              <c:idx val="27"/>
              <c:layout>
                <c:manualLayout>
                  <c:x val="-5.0327059842969112E-2"/>
                  <c:y val="-6.0824399820879324E-2"/>
                </c:manualLayout>
              </c:layout>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1420%</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18EE-4BEF-9E67-FCA93C5D9B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EXPE!$AU$3:$BW$3</c15:sqref>
                  </c15:fullRef>
                </c:ext>
              </c:extLst>
              <c:f>EXPE!$AV$3:$BW$3</c:f>
              <c:strCache>
                <c:ptCount val="28"/>
                <c:pt idx="0">
                  <c:v> 2019Q3 </c:v>
                </c:pt>
                <c:pt idx="1">
                  <c:v> 2019Q4 </c:v>
                </c:pt>
                <c:pt idx="2">
                  <c:v> 2020Q1 </c:v>
                </c:pt>
                <c:pt idx="3">
                  <c:v> 2020Q2 </c:v>
                </c:pt>
                <c:pt idx="4">
                  <c:v> 2020Q3 </c:v>
                </c:pt>
                <c:pt idx="5">
                  <c:v> 2020Q4 </c:v>
                </c:pt>
                <c:pt idx="6">
                  <c:v> 2021Q1 </c:v>
                </c:pt>
                <c:pt idx="7">
                  <c:v> 2021Q2 </c:v>
                </c:pt>
                <c:pt idx="8">
                  <c:v> 2021Q3 </c:v>
                </c:pt>
                <c:pt idx="9">
                  <c:v> 2021Q4 </c:v>
                </c:pt>
                <c:pt idx="10">
                  <c:v> 2022Q1 </c:v>
                </c:pt>
                <c:pt idx="11">
                  <c:v> 2022Q2 </c:v>
                </c:pt>
                <c:pt idx="12">
                  <c:v> 2022Q3 </c:v>
                </c:pt>
                <c:pt idx="13">
                  <c:v> 2022Q4 </c:v>
                </c:pt>
                <c:pt idx="14">
                  <c:v> 2023Q1 </c:v>
                </c:pt>
                <c:pt idx="15">
                  <c:v> 2023Q2 </c:v>
                </c:pt>
                <c:pt idx="16">
                  <c:v> 2023Q3 </c:v>
                </c:pt>
                <c:pt idx="17">
                  <c:v> 2023Q4 </c:v>
                </c:pt>
                <c:pt idx="18">
                  <c:v> 2024Q1 </c:v>
                </c:pt>
                <c:pt idx="19">
                  <c:v> 2024Q2 </c:v>
                </c:pt>
                <c:pt idx="20">
                  <c:v> 2024Q3 </c:v>
                </c:pt>
                <c:pt idx="21">
                  <c:v> 2024Q4 </c:v>
                </c:pt>
                <c:pt idx="22">
                  <c:v> 2025Q1 </c:v>
                </c:pt>
                <c:pt idx="23">
                  <c:v> 2025Q2 </c:v>
                </c:pt>
                <c:pt idx="24">
                  <c:v> 2025Q3 </c:v>
                </c:pt>
                <c:pt idx="25">
                  <c:v> 2025Q4 </c:v>
                </c:pt>
                <c:pt idx="26">
                  <c:v> 2026Q1 </c:v>
                </c:pt>
                <c:pt idx="27">
                  <c:v> 2026Q2 </c:v>
                </c:pt>
              </c:strCache>
            </c:strRef>
          </c:cat>
          <c:val>
            <c:numRef>
              <c:extLst>
                <c:ext xmlns:c15="http://schemas.microsoft.com/office/drawing/2012/chart" uri="{02D57815-91ED-43cb-92C2-25804820EDAC}">
                  <c15:fullRef>
                    <c15:sqref>EXPE!$AU$323:$BW$323</c15:sqref>
                  </c15:fullRef>
                </c:ext>
              </c:extLst>
              <c:f>EXPE!$AV$323:$BW$323</c:f>
              <c:numCache>
                <c:formatCode>_(* #,##0.0_);_(* \(#,##0.0\);_(* "-"??_);_(@_)</c:formatCode>
                <c:ptCount val="28"/>
                <c:pt idx="0">
                  <c:v>21.06</c:v>
                </c:pt>
                <c:pt idx="1">
                  <c:v>19</c:v>
                </c:pt>
                <c:pt idx="2">
                  <c:v>17.783309999999997</c:v>
                </c:pt>
                <c:pt idx="3">
                  <c:v>3.3577500000000007</c:v>
                </c:pt>
                <c:pt idx="4">
                  <c:v>5.4756</c:v>
                </c:pt>
                <c:pt idx="5">
                  <c:v>5.8900000000000006</c:v>
                </c:pt>
                <c:pt idx="6">
                  <c:v>8.8916549999999983</c:v>
                </c:pt>
                <c:pt idx="7">
                  <c:v>13.397422500000003</c:v>
                </c:pt>
                <c:pt idx="8">
                  <c:v>12.703392000000001</c:v>
                </c:pt>
                <c:pt idx="9">
                  <c:v>11.308800000000002</c:v>
                </c:pt>
                <c:pt idx="10">
                  <c:v>13.132974434999996</c:v>
                </c:pt>
                <c:pt idx="11">
                  <c:v>13.531396725000002</c:v>
                </c:pt>
                <c:pt idx="12">
                  <c:v>12.19525632</c:v>
                </c:pt>
                <c:pt idx="13">
                  <c:v>11.082624000000001</c:v>
                </c:pt>
                <c:pt idx="14">
                  <c:v>14</c:v>
                </c:pt>
                <c:pt idx="15">
                  <c:v>13.6</c:v>
                </c:pt>
                <c:pt idx="16">
                  <c:v>12.8</c:v>
                </c:pt>
                <c:pt idx="17">
                  <c:v>11.4</c:v>
                </c:pt>
                <c:pt idx="18">
                  <c:v>14.2</c:v>
                </c:pt>
                <c:pt idx="19">
                  <c:v>14.5</c:v>
                </c:pt>
                <c:pt idx="20">
                  <c:v>13.8</c:v>
                </c:pt>
                <c:pt idx="21">
                  <c:v>12.6</c:v>
                </c:pt>
                <c:pt idx="22">
                  <c:v>14.8</c:v>
                </c:pt>
                <c:pt idx="23">
                  <c:v>15</c:v>
                </c:pt>
                <c:pt idx="24">
                  <c:v>14.4</c:v>
                </c:pt>
                <c:pt idx="25">
                  <c:v>12.8</c:v>
                </c:pt>
                <c:pt idx="26">
                  <c:v>15.7</c:v>
                </c:pt>
                <c:pt idx="27">
                  <c:v>14.2</c:v>
                </c:pt>
              </c:numCache>
            </c:numRef>
          </c:val>
          <c:extLst>
            <c:ext xmlns:c16="http://schemas.microsoft.com/office/drawing/2014/chart" uri="{C3380CC4-5D6E-409C-BE32-E72D297353CC}">
              <c16:uniqueId val="{00000000-A282-4D3E-8884-B88F1B9E7F07}"/>
            </c:ext>
          </c:extLst>
        </c:ser>
        <c:dLbls>
          <c:showLegendKey val="0"/>
          <c:showVal val="0"/>
          <c:showCatName val="0"/>
          <c:showSerName val="0"/>
          <c:showPercent val="0"/>
          <c:showBubbleSize val="0"/>
        </c:dLbls>
        <c:gapWidth val="219"/>
        <c:overlap val="-27"/>
        <c:axId val="894660096"/>
        <c:axId val="894645536"/>
      </c:barChart>
      <c:lineChart>
        <c:grouping val="standard"/>
        <c:varyColors val="0"/>
        <c:ser>
          <c:idx val="1"/>
          <c:order val="1"/>
          <c:tx>
            <c:strRef>
              <c:f>EXPE!$A$324</c:f>
              <c:strCache>
                <c:ptCount val="1"/>
                <c:pt idx="0">
                  <c:v>Air tickets YoY growth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3"/>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-85%</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18EE-4BEF-9E67-FCA93C5D9B9D}"/>
                </c:ext>
              </c:extLst>
            </c:dLbl>
            <c:dLbl>
              <c:idx val="7"/>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299%</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18EE-4BEF-9E67-FCA93C5D9B9D}"/>
                </c:ext>
              </c:extLst>
            </c:dLbl>
            <c:dLbl>
              <c:idx val="11"/>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18EE-4BEF-9E67-FCA93C5D9B9D}"/>
                </c:ext>
              </c:extLst>
            </c:dLbl>
            <c:dLbl>
              <c:idx val="15"/>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0.5%</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18EE-4BEF-9E67-FCA93C5D9B9D}"/>
                </c:ext>
              </c:extLst>
            </c:dLbl>
            <c:dLbl>
              <c:idx val="19"/>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6.6%</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18EE-4BEF-9E67-FCA93C5D9B9D}"/>
                </c:ext>
              </c:extLst>
            </c:dLbl>
            <c:dLbl>
              <c:idx val="23"/>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3.4%</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7EA-4139-BD3B-29F45BC44159}"/>
                </c:ext>
              </c:extLst>
            </c:dLbl>
            <c:dLbl>
              <c:idx val="27"/>
              <c:layout>
                <c:manualLayout>
                  <c:x val="-0.10322639163346754"/>
                  <c:y val="-0.11509940068466798"/>
                </c:manualLayout>
              </c:layout>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-5.3%</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3B2-4925-95AF-93F892E764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EXPE!$AU$3:$BW$3</c15:sqref>
                  </c15:fullRef>
                </c:ext>
              </c:extLst>
              <c:f>EXPE!$AV$3:$BW$3</c:f>
              <c:strCache>
                <c:ptCount val="28"/>
                <c:pt idx="0">
                  <c:v> 2019Q3 </c:v>
                </c:pt>
                <c:pt idx="1">
                  <c:v> 2019Q4 </c:v>
                </c:pt>
                <c:pt idx="2">
                  <c:v> 2020Q1 </c:v>
                </c:pt>
                <c:pt idx="3">
                  <c:v> 2020Q2 </c:v>
                </c:pt>
                <c:pt idx="4">
                  <c:v> 2020Q3 </c:v>
                </c:pt>
                <c:pt idx="5">
                  <c:v> 2020Q4 </c:v>
                </c:pt>
                <c:pt idx="6">
                  <c:v> 2021Q1 </c:v>
                </c:pt>
                <c:pt idx="7">
                  <c:v> 2021Q2 </c:v>
                </c:pt>
                <c:pt idx="8">
                  <c:v> 2021Q3 </c:v>
                </c:pt>
                <c:pt idx="9">
                  <c:v> 2021Q4 </c:v>
                </c:pt>
                <c:pt idx="10">
                  <c:v> 2022Q1 </c:v>
                </c:pt>
                <c:pt idx="11">
                  <c:v> 2022Q2 </c:v>
                </c:pt>
                <c:pt idx="12">
                  <c:v> 2022Q3 </c:v>
                </c:pt>
                <c:pt idx="13">
                  <c:v> 2022Q4 </c:v>
                </c:pt>
                <c:pt idx="14">
                  <c:v> 2023Q1 </c:v>
                </c:pt>
                <c:pt idx="15">
                  <c:v> 2023Q2 </c:v>
                </c:pt>
                <c:pt idx="16">
                  <c:v> 2023Q3 </c:v>
                </c:pt>
                <c:pt idx="17">
                  <c:v> 2023Q4 </c:v>
                </c:pt>
                <c:pt idx="18">
                  <c:v> 2024Q1 </c:v>
                </c:pt>
                <c:pt idx="19">
                  <c:v> 2024Q2 </c:v>
                </c:pt>
                <c:pt idx="20">
                  <c:v> 2024Q3 </c:v>
                </c:pt>
                <c:pt idx="21">
                  <c:v> 2024Q4 </c:v>
                </c:pt>
                <c:pt idx="22">
                  <c:v> 2025Q1 </c:v>
                </c:pt>
                <c:pt idx="23">
                  <c:v> 2025Q2 </c:v>
                </c:pt>
                <c:pt idx="24">
                  <c:v> 2025Q3 </c:v>
                </c:pt>
                <c:pt idx="25">
                  <c:v> 2025Q4 </c:v>
                </c:pt>
                <c:pt idx="26">
                  <c:v> 2026Q1 </c:v>
                </c:pt>
                <c:pt idx="27">
                  <c:v> 2026Q2 </c:v>
                </c:pt>
              </c:strCache>
            </c:strRef>
          </c:cat>
          <c:val>
            <c:numRef>
              <c:extLst>
                <c:ext xmlns:c15="http://schemas.microsoft.com/office/drawing/2012/chart" uri="{02D57815-91ED-43cb-92C2-25804820EDAC}">
                  <c15:fullRef>
                    <c15:sqref>EXPE!$AU$324:$BW$324</c15:sqref>
                  </c15:fullRef>
                </c:ext>
              </c:extLst>
              <c:f>EXPE!$AV$324:$BW$324</c:f>
              <c:numCache>
                <c:formatCode>0%</c:formatCode>
                <c:ptCount val="28"/>
                <c:pt idx="0">
                  <c:v>0.08</c:v>
                </c:pt>
                <c:pt idx="1">
                  <c:v>0</c:v>
                </c:pt>
                <c:pt idx="2">
                  <c:v>-0.26</c:v>
                </c:pt>
                <c:pt idx="3">
                  <c:v>-0.85</c:v>
                </c:pt>
                <c:pt idx="4">
                  <c:v>-0.74</c:v>
                </c:pt>
                <c:pt idx="5">
                  <c:v>-0.69</c:v>
                </c:pt>
                <c:pt idx="6">
                  <c:v>-0.5</c:v>
                </c:pt>
                <c:pt idx="7">
                  <c:v>2.99</c:v>
                </c:pt>
                <c:pt idx="8">
                  <c:v>1.32</c:v>
                </c:pt>
                <c:pt idx="9">
                  <c:v>0.92</c:v>
                </c:pt>
                <c:pt idx="10">
                  <c:v>0.47699999999999998</c:v>
                </c:pt>
                <c:pt idx="11">
                  <c:v>0.01</c:v>
                </c:pt>
                <c:pt idx="12">
                  <c:v>-0.04</c:v>
                </c:pt>
                <c:pt idx="13">
                  <c:v>-0.02</c:v>
                </c:pt>
                <c:pt idx="14">
                  <c:v>6.601897911940946E-2</c:v>
                </c:pt>
                <c:pt idx="15">
                  <c:v>5.0699330153589628E-3</c:v>
                </c:pt>
                <c:pt idx="16">
                  <c:v>4.9588435382717844E-2</c:v>
                </c:pt>
                <c:pt idx="17">
                  <c:v>2.8637261356155408E-2</c:v>
                </c:pt>
                <c:pt idx="18">
                  <c:v>1.4285714285714235E-2</c:v>
                </c:pt>
                <c:pt idx="19">
                  <c:v>6.6176470588235281E-2</c:v>
                </c:pt>
                <c:pt idx="20">
                  <c:v>7.8125E-2</c:v>
                </c:pt>
                <c:pt idx="21">
                  <c:v>0.10526315789473673</c:v>
                </c:pt>
                <c:pt idx="22">
                  <c:v>4.2253521126760729E-2</c:v>
                </c:pt>
                <c:pt idx="23">
                  <c:v>3.4482758620689724E-2</c:v>
                </c:pt>
                <c:pt idx="24">
                  <c:v>0.05</c:v>
                </c:pt>
                <c:pt idx="25">
                  <c:v>0.05</c:v>
                </c:pt>
                <c:pt idx="26">
                  <c:v>6.0810810810810745E-2</c:v>
                </c:pt>
                <c:pt idx="27">
                  <c:v>-5.3333333333333344E-2</c:v>
                </c:pt>
              </c:numCache>
            </c:numRef>
          </c:val>
          <c:smooth val="0"/>
          <c:extLst>
            <c:ext xmlns:c16="http://schemas.microsoft.com/office/drawing/2014/chart" uri="{C3380CC4-5D6E-409C-BE32-E72D297353CC}">
              <c16:uniqueId val="{00000001-A282-4D3E-8884-B88F1B9E7F07}"/>
            </c:ext>
          </c:extLst>
        </c:ser>
        <c:dLbls>
          <c:showLegendKey val="0"/>
          <c:showVal val="0"/>
          <c:showCatName val="0"/>
          <c:showSerName val="0"/>
          <c:showPercent val="0"/>
          <c:showBubbleSize val="0"/>
        </c:dLbls>
        <c:marker val="1"/>
        <c:smooth val="0"/>
        <c:axId val="894670496"/>
        <c:axId val="894668832"/>
      </c:lineChart>
      <c:catAx>
        <c:axId val="89466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94645536"/>
        <c:crosses val="autoZero"/>
        <c:auto val="1"/>
        <c:lblAlgn val="ctr"/>
        <c:lblOffset val="100"/>
        <c:noMultiLvlLbl val="0"/>
      </c:catAx>
      <c:valAx>
        <c:axId val="894645536"/>
        <c:scaling>
          <c:orientation val="minMax"/>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94660096"/>
        <c:crosses val="autoZero"/>
        <c:crossBetween val="between"/>
      </c:valAx>
      <c:valAx>
        <c:axId val="89466883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94670496"/>
        <c:crosses val="max"/>
        <c:crossBetween val="between"/>
      </c:valAx>
      <c:catAx>
        <c:axId val="894670496"/>
        <c:scaling>
          <c:orientation val="minMax"/>
        </c:scaling>
        <c:delete val="1"/>
        <c:axPos val="b"/>
        <c:numFmt formatCode="General" sourceLinked="1"/>
        <c:majorTickMark val="out"/>
        <c:minorTickMark val="none"/>
        <c:tickLblPos val="nextTo"/>
        <c:crossAx val="894668832"/>
        <c:crosses val="autoZero"/>
        <c:auto val="1"/>
        <c:lblAlgn val="ctr"/>
        <c:lblOffset val="100"/>
        <c:noMultiLvlLbl val="0"/>
      </c:catAx>
      <c:spPr>
        <a:no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EXPE</a:t>
            </a:r>
            <a:r>
              <a:rPr lang="zh-CN" altLang="en-US"/>
              <a:t>其它机票相关运营数据</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EXPE!$A$325</c:f>
              <c:strCache>
                <c:ptCount val="1"/>
                <c:pt idx="0">
                  <c:v> Air ASP(MS estimates) </c:v>
                </c:pt>
              </c:strCache>
            </c:strRef>
          </c:tx>
          <c:spPr>
            <a:solidFill>
              <a:schemeClr val="accent1"/>
            </a:solidFill>
            <a:ln>
              <a:noFill/>
            </a:ln>
            <a:effectLst/>
          </c:spPr>
          <c:invertIfNegative val="0"/>
          <c:cat>
            <c:strRef>
              <c:f>EXPE!$AH$3:$BW$3</c:f>
              <c:strCache>
                <c:ptCount val="30"/>
                <c:pt idx="0">
                  <c:v> 2019Q1 </c:v>
                </c:pt>
                <c:pt idx="1">
                  <c:v> 2019Q2 </c:v>
                </c:pt>
                <c:pt idx="2">
                  <c:v> 2019Q3 </c:v>
                </c:pt>
                <c:pt idx="3">
                  <c:v> 2019Q4 </c:v>
                </c:pt>
                <c:pt idx="4">
                  <c:v> 2020Q1 </c:v>
                </c:pt>
                <c:pt idx="5">
                  <c:v> 2020Q2 </c:v>
                </c:pt>
                <c:pt idx="6">
                  <c:v> 2020Q3 </c:v>
                </c:pt>
                <c:pt idx="7">
                  <c:v> 2020Q4 </c:v>
                </c:pt>
                <c:pt idx="8">
                  <c:v> 2021Q1 </c:v>
                </c:pt>
                <c:pt idx="9">
                  <c:v> 2021Q2 </c:v>
                </c:pt>
                <c:pt idx="10">
                  <c:v> 2021Q3 </c:v>
                </c:pt>
                <c:pt idx="11">
                  <c:v> 2021Q4 </c:v>
                </c:pt>
                <c:pt idx="12">
                  <c:v> 2022Q1 </c:v>
                </c:pt>
                <c:pt idx="13">
                  <c:v> 2022Q2 </c:v>
                </c:pt>
                <c:pt idx="14">
                  <c:v> 2022Q3 </c:v>
                </c:pt>
                <c:pt idx="15">
                  <c:v> 2022Q4 </c:v>
                </c:pt>
                <c:pt idx="16">
                  <c:v> 2023Q1 </c:v>
                </c:pt>
                <c:pt idx="17">
                  <c:v> 2023Q2 </c:v>
                </c:pt>
                <c:pt idx="18">
                  <c:v> 2023Q3 </c:v>
                </c:pt>
                <c:pt idx="19">
                  <c:v> 2023Q4 </c:v>
                </c:pt>
                <c:pt idx="20">
                  <c:v> 2024Q1 </c:v>
                </c:pt>
                <c:pt idx="21">
                  <c:v> 2024Q2 </c:v>
                </c:pt>
                <c:pt idx="22">
                  <c:v> 2024Q3 </c:v>
                </c:pt>
                <c:pt idx="23">
                  <c:v> 2024Q4 </c:v>
                </c:pt>
                <c:pt idx="24">
                  <c:v> 2025Q1 </c:v>
                </c:pt>
                <c:pt idx="25">
                  <c:v> 2025Q2 </c:v>
                </c:pt>
                <c:pt idx="26">
                  <c:v> 2025Q3 </c:v>
                </c:pt>
                <c:pt idx="27">
                  <c:v> 2025Q4 </c:v>
                </c:pt>
                <c:pt idx="28">
                  <c:v> 2026Q1 </c:v>
                </c:pt>
                <c:pt idx="29">
                  <c:v> 2026Q2 </c:v>
                </c:pt>
              </c:strCache>
            </c:strRef>
          </c:cat>
          <c:val>
            <c:numRef>
              <c:f>EXPE!$AH$325:$BW$325</c:f>
              <c:numCache>
                <c:formatCode>_(* #,##0.0_);_(* \(#,##0.0\);_(* "-"??_);_(@_)</c:formatCode>
                <c:ptCount val="30"/>
                <c:pt idx="0">
                  <c:v>459.7</c:v>
                </c:pt>
                <c:pt idx="1">
                  <c:v>436.9</c:v>
                </c:pt>
                <c:pt idx="2">
                  <c:v>387.3</c:v>
                </c:pt>
                <c:pt idx="3">
                  <c:v>395.1</c:v>
                </c:pt>
                <c:pt idx="4">
                  <c:v>436.71499999999997</c:v>
                </c:pt>
                <c:pt idx="5">
                  <c:v>283.98500000000001</c:v>
                </c:pt>
                <c:pt idx="6">
                  <c:v>247.87200000000001</c:v>
                </c:pt>
                <c:pt idx="7">
                  <c:v>272.61899999999997</c:v>
                </c:pt>
                <c:pt idx="8">
                  <c:v>323.16909999999996</c:v>
                </c:pt>
                <c:pt idx="9">
                  <c:v>369.18050000000005</c:v>
                </c:pt>
                <c:pt idx="10">
                  <c:v>324.71232000000003</c:v>
                </c:pt>
                <c:pt idx="11">
                  <c:v>359.85708</c:v>
                </c:pt>
                <c:pt idx="12">
                  <c:v>449.20504899999997</c:v>
                </c:pt>
                <c:pt idx="13">
                  <c:v>498.39367500000009</c:v>
                </c:pt>
                <c:pt idx="14">
                  <c:v>428.62026240000006</c:v>
                </c:pt>
                <c:pt idx="15">
                  <c:v>439.02563759999998</c:v>
                </c:pt>
              </c:numCache>
            </c:numRef>
          </c:val>
          <c:extLst>
            <c:ext xmlns:c16="http://schemas.microsoft.com/office/drawing/2014/chart" uri="{C3380CC4-5D6E-409C-BE32-E72D297353CC}">
              <c16:uniqueId val="{00000000-32C1-4385-84BE-F275B24DFB17}"/>
            </c:ext>
          </c:extLst>
        </c:ser>
        <c:ser>
          <c:idx val="2"/>
          <c:order val="2"/>
          <c:tx>
            <c:strRef>
              <c:f>EXPE!$A$327</c:f>
              <c:strCache>
                <c:ptCount val="1"/>
                <c:pt idx="0">
                  <c:v> Revenue per ticket (MS estimates) </c:v>
                </c:pt>
              </c:strCache>
            </c:strRef>
          </c:tx>
          <c:spPr>
            <a:solidFill>
              <a:schemeClr val="accent3"/>
            </a:solidFill>
            <a:ln>
              <a:noFill/>
            </a:ln>
            <a:effectLst/>
          </c:spPr>
          <c:invertIfNegative val="0"/>
          <c:cat>
            <c:strRef>
              <c:f>EXPE!$AH$3:$BW$3</c:f>
              <c:strCache>
                <c:ptCount val="30"/>
                <c:pt idx="0">
                  <c:v> 2019Q1 </c:v>
                </c:pt>
                <c:pt idx="1">
                  <c:v> 2019Q2 </c:v>
                </c:pt>
                <c:pt idx="2">
                  <c:v> 2019Q3 </c:v>
                </c:pt>
                <c:pt idx="3">
                  <c:v> 2019Q4 </c:v>
                </c:pt>
                <c:pt idx="4">
                  <c:v> 2020Q1 </c:v>
                </c:pt>
                <c:pt idx="5">
                  <c:v> 2020Q2 </c:v>
                </c:pt>
                <c:pt idx="6">
                  <c:v> 2020Q3 </c:v>
                </c:pt>
                <c:pt idx="7">
                  <c:v> 2020Q4 </c:v>
                </c:pt>
                <c:pt idx="8">
                  <c:v> 2021Q1 </c:v>
                </c:pt>
                <c:pt idx="9">
                  <c:v> 2021Q2 </c:v>
                </c:pt>
                <c:pt idx="10">
                  <c:v> 2021Q3 </c:v>
                </c:pt>
                <c:pt idx="11">
                  <c:v> 2021Q4 </c:v>
                </c:pt>
                <c:pt idx="12">
                  <c:v> 2022Q1 </c:v>
                </c:pt>
                <c:pt idx="13">
                  <c:v> 2022Q2 </c:v>
                </c:pt>
                <c:pt idx="14">
                  <c:v> 2022Q3 </c:v>
                </c:pt>
                <c:pt idx="15">
                  <c:v> 2022Q4 </c:v>
                </c:pt>
                <c:pt idx="16">
                  <c:v> 2023Q1 </c:v>
                </c:pt>
                <c:pt idx="17">
                  <c:v> 2023Q2 </c:v>
                </c:pt>
                <c:pt idx="18">
                  <c:v> 2023Q3 </c:v>
                </c:pt>
                <c:pt idx="19">
                  <c:v> 2023Q4 </c:v>
                </c:pt>
                <c:pt idx="20">
                  <c:v> 2024Q1 </c:v>
                </c:pt>
                <c:pt idx="21">
                  <c:v> 2024Q2 </c:v>
                </c:pt>
                <c:pt idx="22">
                  <c:v> 2024Q3 </c:v>
                </c:pt>
                <c:pt idx="23">
                  <c:v> 2024Q4 </c:v>
                </c:pt>
                <c:pt idx="24">
                  <c:v> 2025Q1 </c:v>
                </c:pt>
                <c:pt idx="25">
                  <c:v> 2025Q2 </c:v>
                </c:pt>
                <c:pt idx="26">
                  <c:v> 2025Q3 </c:v>
                </c:pt>
                <c:pt idx="27">
                  <c:v> 2025Q4 </c:v>
                </c:pt>
                <c:pt idx="28">
                  <c:v> 2026Q1 </c:v>
                </c:pt>
                <c:pt idx="29">
                  <c:v> 2026Q2 </c:v>
                </c:pt>
              </c:strCache>
            </c:strRef>
          </c:cat>
          <c:val>
            <c:numRef>
              <c:f>EXPE!$AH$327:$BW$327</c:f>
              <c:numCache>
                <c:formatCode>_(* #,##0.0_);_(* \(#,##0.0\);_(* "-"??_);_(@_)</c:formatCode>
                <c:ptCount val="30"/>
                <c:pt idx="0">
                  <c:v>10.495500675425513</c:v>
                </c:pt>
                <c:pt idx="1">
                  <c:v>8.9685742737742888</c:v>
                </c:pt>
                <c:pt idx="2">
                  <c:v>8.8428121184002482</c:v>
                </c:pt>
                <c:pt idx="3">
                  <c:v>9.1997431995406682</c:v>
                </c:pt>
                <c:pt idx="4">
                  <c:v>6.192345398501053</c:v>
                </c:pt>
                <c:pt idx="6">
                  <c:v>4.5982623015681288</c:v>
                </c:pt>
                <c:pt idx="7">
                  <c:v>5.979833079701435</c:v>
                </c:pt>
                <c:pt idx="8">
                  <c:v>5.5731108586509475</c:v>
                </c:pt>
              </c:numCache>
            </c:numRef>
          </c:val>
          <c:extLst>
            <c:ext xmlns:c16="http://schemas.microsoft.com/office/drawing/2014/chart" uri="{C3380CC4-5D6E-409C-BE32-E72D297353CC}">
              <c16:uniqueId val="{00000001-32C1-4385-84BE-F275B24DFB17}"/>
            </c:ext>
          </c:extLst>
        </c:ser>
        <c:dLbls>
          <c:showLegendKey val="0"/>
          <c:showVal val="0"/>
          <c:showCatName val="0"/>
          <c:showSerName val="0"/>
          <c:showPercent val="0"/>
          <c:showBubbleSize val="0"/>
        </c:dLbls>
        <c:gapWidth val="100"/>
        <c:overlap val="-27"/>
        <c:axId val="894663840"/>
        <c:axId val="894658016"/>
      </c:barChart>
      <c:lineChart>
        <c:grouping val="standard"/>
        <c:varyColors val="0"/>
        <c:ser>
          <c:idx val="1"/>
          <c:order val="1"/>
          <c:tx>
            <c:strRef>
              <c:f>EXPE!$A$326</c:f>
              <c:strCache>
                <c:ptCount val="1"/>
                <c:pt idx="0">
                  <c:v>Air ASP YoY growth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1"/>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26E-407E-A9CC-CA6EE9FB6381}"/>
                </c:ext>
              </c:extLst>
            </c:dLbl>
            <c:dLbl>
              <c:idx val="5"/>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-35%</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26E-407E-A9CC-CA6EE9FB6381}"/>
                </c:ext>
              </c:extLst>
            </c:dLbl>
            <c:dLbl>
              <c:idx val="9"/>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30%</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26E-407E-A9CC-CA6EE9FB6381}"/>
                </c:ext>
              </c:extLst>
            </c:dLbl>
            <c:dLbl>
              <c:idx val="13"/>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35%</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26E-407E-A9CC-CA6EE9FB63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EXPE!$B$3:$BW$3</c:f>
              <c:strCache>
                <c:ptCount val="30"/>
                <c:pt idx="0">
                  <c:v> 2019Q1 </c:v>
                </c:pt>
                <c:pt idx="1">
                  <c:v> 2019Q2 </c:v>
                </c:pt>
                <c:pt idx="2">
                  <c:v> 2019Q3 </c:v>
                </c:pt>
                <c:pt idx="3">
                  <c:v> 2019Q4 </c:v>
                </c:pt>
                <c:pt idx="4">
                  <c:v> 2020Q1 </c:v>
                </c:pt>
                <c:pt idx="5">
                  <c:v> 2020Q2 </c:v>
                </c:pt>
                <c:pt idx="6">
                  <c:v> 2020Q3 </c:v>
                </c:pt>
                <c:pt idx="7">
                  <c:v> 2020Q4 </c:v>
                </c:pt>
                <c:pt idx="8">
                  <c:v> 2021Q1 </c:v>
                </c:pt>
                <c:pt idx="9">
                  <c:v> 2021Q2 </c:v>
                </c:pt>
                <c:pt idx="10">
                  <c:v> 2021Q3 </c:v>
                </c:pt>
                <c:pt idx="11">
                  <c:v> 2021Q4 </c:v>
                </c:pt>
                <c:pt idx="12">
                  <c:v> 2022Q1 </c:v>
                </c:pt>
                <c:pt idx="13">
                  <c:v> 2022Q2 </c:v>
                </c:pt>
                <c:pt idx="14">
                  <c:v> 2022Q3 </c:v>
                </c:pt>
                <c:pt idx="15">
                  <c:v> 2022Q4 </c:v>
                </c:pt>
                <c:pt idx="16">
                  <c:v> 2023Q1 </c:v>
                </c:pt>
                <c:pt idx="17">
                  <c:v> 2023Q2 </c:v>
                </c:pt>
                <c:pt idx="18">
                  <c:v> 2023Q3 </c:v>
                </c:pt>
                <c:pt idx="19">
                  <c:v> 2023Q4 </c:v>
                </c:pt>
                <c:pt idx="20">
                  <c:v> 2024Q1 </c:v>
                </c:pt>
                <c:pt idx="21">
                  <c:v> 2024Q2 </c:v>
                </c:pt>
                <c:pt idx="22">
                  <c:v> 2024Q3 </c:v>
                </c:pt>
                <c:pt idx="23">
                  <c:v> 2024Q4 </c:v>
                </c:pt>
                <c:pt idx="24">
                  <c:v> 2025Q1 </c:v>
                </c:pt>
                <c:pt idx="25">
                  <c:v> 2025Q2 </c:v>
                </c:pt>
                <c:pt idx="26">
                  <c:v> 2025Q3 </c:v>
                </c:pt>
                <c:pt idx="27">
                  <c:v> 2025Q4 </c:v>
                </c:pt>
                <c:pt idx="28">
                  <c:v> 2026Q1 </c:v>
                </c:pt>
                <c:pt idx="29">
                  <c:v> 2026Q2 </c:v>
                </c:pt>
              </c:strCache>
            </c:strRef>
          </c:cat>
          <c:val>
            <c:numRef>
              <c:f>EXPE!$AH$326:$BW$326</c:f>
              <c:numCache>
                <c:formatCode>0%</c:formatCode>
                <c:ptCount val="30"/>
                <c:pt idx="0">
                  <c:v>-9.9620584663854261E-3</c:v>
                </c:pt>
                <c:pt idx="1">
                  <c:v>9.9783781090545531E-3</c:v>
                </c:pt>
                <c:pt idx="2">
                  <c:v>-1.2256285386924581E-5</c:v>
                </c:pt>
                <c:pt idx="3">
                  <c:v>0.01</c:v>
                </c:pt>
                <c:pt idx="4">
                  <c:v>-0.05</c:v>
                </c:pt>
                <c:pt idx="5">
                  <c:v>-0.35</c:v>
                </c:pt>
                <c:pt idx="6">
                  <c:v>-0.36</c:v>
                </c:pt>
                <c:pt idx="7">
                  <c:v>-0.31</c:v>
                </c:pt>
                <c:pt idx="8">
                  <c:v>-0.26</c:v>
                </c:pt>
                <c:pt idx="9">
                  <c:v>0.3</c:v>
                </c:pt>
                <c:pt idx="10">
                  <c:v>0.31</c:v>
                </c:pt>
                <c:pt idx="11">
                  <c:v>0.32</c:v>
                </c:pt>
                <c:pt idx="12">
                  <c:v>0.39</c:v>
                </c:pt>
                <c:pt idx="13">
                  <c:v>0.35</c:v>
                </c:pt>
                <c:pt idx="14">
                  <c:v>0.32</c:v>
                </c:pt>
                <c:pt idx="15">
                  <c:v>0.22</c:v>
                </c:pt>
              </c:numCache>
            </c:numRef>
          </c:val>
          <c:smooth val="0"/>
          <c:extLst>
            <c:ext xmlns:c16="http://schemas.microsoft.com/office/drawing/2014/chart" uri="{C3380CC4-5D6E-409C-BE32-E72D297353CC}">
              <c16:uniqueId val="{00000002-32C1-4385-84BE-F275B24DFB17}"/>
            </c:ext>
          </c:extLst>
        </c:ser>
        <c:ser>
          <c:idx val="3"/>
          <c:order val="3"/>
          <c:tx>
            <c:strRef>
              <c:f>EXPE!$A$328</c:f>
              <c:strCache>
                <c:ptCount val="1"/>
                <c:pt idx="0">
                  <c:v>Revenue per ticket YoY growth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1"/>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-7%</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26E-407E-A9CC-CA6EE9FB6381}"/>
                </c:ext>
              </c:extLst>
            </c:dLbl>
            <c:dLbl>
              <c:idx val="5"/>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0%</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26E-407E-A9CC-CA6EE9FB6381}"/>
                </c:ext>
              </c:extLst>
            </c:dLbl>
            <c:dLbl>
              <c:idx val="9"/>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0%</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26E-407E-A9CC-CA6EE9FB6381}"/>
                </c:ext>
              </c:extLst>
            </c:dLbl>
            <c:dLbl>
              <c:idx val="13"/>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21%</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D26E-407E-A9CC-CA6EE9FB63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EXPE!$B$3:$BW$3</c:f>
              <c:strCache>
                <c:ptCount val="30"/>
                <c:pt idx="0">
                  <c:v> 2019Q1 </c:v>
                </c:pt>
                <c:pt idx="1">
                  <c:v> 2019Q2 </c:v>
                </c:pt>
                <c:pt idx="2">
                  <c:v> 2019Q3 </c:v>
                </c:pt>
                <c:pt idx="3">
                  <c:v> 2019Q4 </c:v>
                </c:pt>
                <c:pt idx="4">
                  <c:v> 2020Q1 </c:v>
                </c:pt>
                <c:pt idx="5">
                  <c:v> 2020Q2 </c:v>
                </c:pt>
                <c:pt idx="6">
                  <c:v> 2020Q3 </c:v>
                </c:pt>
                <c:pt idx="7">
                  <c:v> 2020Q4 </c:v>
                </c:pt>
                <c:pt idx="8">
                  <c:v> 2021Q1 </c:v>
                </c:pt>
                <c:pt idx="9">
                  <c:v> 2021Q2 </c:v>
                </c:pt>
                <c:pt idx="10">
                  <c:v> 2021Q3 </c:v>
                </c:pt>
                <c:pt idx="11">
                  <c:v> 2021Q4 </c:v>
                </c:pt>
                <c:pt idx="12">
                  <c:v> 2022Q1 </c:v>
                </c:pt>
                <c:pt idx="13">
                  <c:v> 2022Q2 </c:v>
                </c:pt>
                <c:pt idx="14">
                  <c:v> 2022Q3 </c:v>
                </c:pt>
                <c:pt idx="15">
                  <c:v> 2022Q4 </c:v>
                </c:pt>
                <c:pt idx="16">
                  <c:v> 2023Q1 </c:v>
                </c:pt>
                <c:pt idx="17">
                  <c:v> 2023Q2 </c:v>
                </c:pt>
                <c:pt idx="18">
                  <c:v> 2023Q3 </c:v>
                </c:pt>
                <c:pt idx="19">
                  <c:v> 2023Q4 </c:v>
                </c:pt>
                <c:pt idx="20">
                  <c:v> 2024Q1 </c:v>
                </c:pt>
                <c:pt idx="21">
                  <c:v> 2024Q2 </c:v>
                </c:pt>
                <c:pt idx="22">
                  <c:v> 2024Q3 </c:v>
                </c:pt>
                <c:pt idx="23">
                  <c:v> 2024Q4 </c:v>
                </c:pt>
                <c:pt idx="24">
                  <c:v> 2025Q1 </c:v>
                </c:pt>
                <c:pt idx="25">
                  <c:v> 2025Q2 </c:v>
                </c:pt>
                <c:pt idx="26">
                  <c:v> 2025Q3 </c:v>
                </c:pt>
                <c:pt idx="27">
                  <c:v> 2025Q4 </c:v>
                </c:pt>
                <c:pt idx="28">
                  <c:v> 2026Q1 </c:v>
                </c:pt>
                <c:pt idx="29">
                  <c:v> 2026Q2 </c:v>
                </c:pt>
              </c:strCache>
            </c:strRef>
          </c:cat>
          <c:val>
            <c:numRef>
              <c:f>EXPE!$AH$328:$BW$328</c:f>
              <c:numCache>
                <c:formatCode>0%</c:formatCode>
                <c:ptCount val="30"/>
                <c:pt idx="0">
                  <c:v>-7.0000000000000007E-2</c:v>
                </c:pt>
                <c:pt idx="1">
                  <c:v>-7.0000000000000007E-2</c:v>
                </c:pt>
                <c:pt idx="2">
                  <c:v>-7.0000000000000007E-2</c:v>
                </c:pt>
                <c:pt idx="3">
                  <c:v>-7.6999999999999999E-2</c:v>
                </c:pt>
                <c:pt idx="4">
                  <c:v>-0.41</c:v>
                </c:pt>
                <c:pt idx="5">
                  <c:v>0</c:v>
                </c:pt>
                <c:pt idx="6">
                  <c:v>-0.48</c:v>
                </c:pt>
                <c:pt idx="7">
                  <c:v>-0.35</c:v>
                </c:pt>
                <c:pt idx="8">
                  <c:v>-0.1</c:v>
                </c:pt>
                <c:pt idx="9">
                  <c:v>0</c:v>
                </c:pt>
                <c:pt idx="10">
                  <c:v>-0.02</c:v>
                </c:pt>
                <c:pt idx="11">
                  <c:v>-0.12</c:v>
                </c:pt>
                <c:pt idx="12">
                  <c:v>0.01</c:v>
                </c:pt>
                <c:pt idx="13">
                  <c:v>0.21</c:v>
                </c:pt>
                <c:pt idx="14">
                  <c:v>0.69</c:v>
                </c:pt>
                <c:pt idx="15">
                  <c:v>0.47</c:v>
                </c:pt>
              </c:numCache>
            </c:numRef>
          </c:val>
          <c:smooth val="0"/>
          <c:extLst>
            <c:ext xmlns:c16="http://schemas.microsoft.com/office/drawing/2014/chart" uri="{C3380CC4-5D6E-409C-BE32-E72D297353CC}">
              <c16:uniqueId val="{00000003-32C1-4385-84BE-F275B24DFB17}"/>
            </c:ext>
          </c:extLst>
        </c:ser>
        <c:dLbls>
          <c:showLegendKey val="0"/>
          <c:showVal val="0"/>
          <c:showCatName val="0"/>
          <c:showSerName val="0"/>
          <c:showPercent val="0"/>
          <c:showBubbleSize val="0"/>
        </c:dLbls>
        <c:marker val="1"/>
        <c:smooth val="0"/>
        <c:axId val="353145520"/>
        <c:axId val="353153424"/>
      </c:lineChart>
      <c:catAx>
        <c:axId val="89466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94658016"/>
        <c:crosses val="autoZero"/>
        <c:auto val="1"/>
        <c:lblAlgn val="ctr"/>
        <c:lblOffset val="100"/>
        <c:noMultiLvlLbl val="0"/>
      </c:catAx>
      <c:valAx>
        <c:axId val="89465801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94663840"/>
        <c:crosses val="autoZero"/>
        <c:crossBetween val="between"/>
      </c:valAx>
      <c:valAx>
        <c:axId val="353153424"/>
        <c:scaling>
          <c:orientation val="minMax"/>
          <c:max val="0.8"/>
          <c:min val="-0.5"/>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53145520"/>
        <c:crosses val="max"/>
        <c:crossBetween val="between"/>
      </c:valAx>
      <c:catAx>
        <c:axId val="353145520"/>
        <c:scaling>
          <c:orientation val="minMax"/>
        </c:scaling>
        <c:delete val="1"/>
        <c:axPos val="b"/>
        <c:numFmt formatCode="General" sourceLinked="1"/>
        <c:majorTickMark val="out"/>
        <c:minorTickMark val="none"/>
        <c:tickLblPos val="nextTo"/>
        <c:crossAx val="353153424"/>
        <c:crosses val="autoZero"/>
        <c:auto val="1"/>
        <c:lblAlgn val="ctr"/>
        <c:lblOffset val="100"/>
        <c:noMultiLvlLbl val="0"/>
      </c:catAx>
      <c:spPr>
        <a:no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EXPE Core OTA</a:t>
            </a:r>
            <a:r>
              <a:rPr lang="zh-CN" altLang="en-US"/>
              <a:t>主要财务和运营数据</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1"/>
          <c:order val="0"/>
          <c:tx>
            <c:strRef>
              <c:f>EXPE!$A$359</c:f>
              <c:strCache>
                <c:ptCount val="1"/>
                <c:pt idx="0">
                  <c:v>Gross booking YoY growth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EXPE!$AH$3:$AX$3</c:f>
              <c:strCache>
                <c:ptCount val="5"/>
                <c:pt idx="0">
                  <c:v> 2019Q1 </c:v>
                </c:pt>
                <c:pt idx="1">
                  <c:v> 2019Q2 </c:v>
                </c:pt>
                <c:pt idx="2">
                  <c:v> 2019Q3 </c:v>
                </c:pt>
                <c:pt idx="3">
                  <c:v> 2019Q4 </c:v>
                </c:pt>
                <c:pt idx="4">
                  <c:v> 2020Q1 </c:v>
                </c:pt>
              </c:strCache>
            </c:strRef>
          </c:cat>
          <c:val>
            <c:numRef>
              <c:f>EXPE!$AH$359:$AX$359</c:f>
            </c:numRef>
          </c:val>
          <c:smooth val="0"/>
          <c:extLst>
            <c:ext xmlns:c16="http://schemas.microsoft.com/office/drawing/2014/chart" uri="{C3380CC4-5D6E-409C-BE32-E72D297353CC}">
              <c16:uniqueId val="{00000003-CD4F-4034-A0AE-8BB30CCA21CA}"/>
            </c:ext>
          </c:extLst>
        </c:ser>
        <c:ser>
          <c:idx val="3"/>
          <c:order val="1"/>
          <c:tx>
            <c:strRef>
              <c:f>EXPE!$A$361</c:f>
              <c:strCache>
                <c:ptCount val="1"/>
                <c:pt idx="0">
                  <c:v> Revenue YoY growth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EXPE!$AH$3:$AX$3</c:f>
              <c:strCache>
                <c:ptCount val="5"/>
                <c:pt idx="0">
                  <c:v> 2019Q1 </c:v>
                </c:pt>
                <c:pt idx="1">
                  <c:v> 2019Q2 </c:v>
                </c:pt>
                <c:pt idx="2">
                  <c:v> 2019Q3 </c:v>
                </c:pt>
                <c:pt idx="3">
                  <c:v> 2019Q4 </c:v>
                </c:pt>
                <c:pt idx="4">
                  <c:v> 2020Q1 </c:v>
                </c:pt>
              </c:strCache>
            </c:strRef>
          </c:cat>
          <c:val>
            <c:numRef>
              <c:f>EXPE!$AH$361:$AX$361</c:f>
            </c:numRef>
          </c:val>
          <c:smooth val="0"/>
          <c:extLst>
            <c:ext xmlns:c16="http://schemas.microsoft.com/office/drawing/2014/chart" uri="{C3380CC4-5D6E-409C-BE32-E72D297353CC}">
              <c16:uniqueId val="{00000004-CD4F-4034-A0AE-8BB30CCA21CA}"/>
            </c:ext>
          </c:extLst>
        </c:ser>
        <c:ser>
          <c:idx val="4"/>
          <c:order val="2"/>
          <c:tx>
            <c:strRef>
              <c:f>EXPE!$A$362</c:f>
              <c:strCache>
                <c:ptCount val="1"/>
                <c:pt idx="0">
                  <c:v>Take rate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EXPE!$AH$3:$AX$3</c:f>
              <c:strCache>
                <c:ptCount val="5"/>
                <c:pt idx="0">
                  <c:v> 2019Q1 </c:v>
                </c:pt>
                <c:pt idx="1">
                  <c:v> 2019Q2 </c:v>
                </c:pt>
                <c:pt idx="2">
                  <c:v> 2019Q3 </c:v>
                </c:pt>
                <c:pt idx="3">
                  <c:v> 2019Q4 </c:v>
                </c:pt>
                <c:pt idx="4">
                  <c:v> 2020Q1 </c:v>
                </c:pt>
              </c:strCache>
            </c:strRef>
          </c:cat>
          <c:val>
            <c:numRef>
              <c:f>EXPE!$AH$362:$AX$362</c:f>
            </c:numRef>
          </c:val>
          <c:smooth val="0"/>
          <c:extLst>
            <c:ext xmlns:c16="http://schemas.microsoft.com/office/drawing/2014/chart" uri="{C3380CC4-5D6E-409C-BE32-E72D297353CC}">
              <c16:uniqueId val="{00000005-CD4F-4034-A0AE-8BB30CCA21CA}"/>
            </c:ext>
          </c:extLst>
        </c:ser>
        <c:ser>
          <c:idx val="6"/>
          <c:order val="3"/>
          <c:tx>
            <c:strRef>
              <c:f>EXPE!$A$364</c:f>
              <c:strCache>
                <c:ptCount val="1"/>
                <c:pt idx="0">
                  <c:v> Adjusted EBITDA margin</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EXPE!$AH$3:$AX$3</c:f>
              <c:strCache>
                <c:ptCount val="5"/>
                <c:pt idx="0">
                  <c:v> 2019Q1 </c:v>
                </c:pt>
                <c:pt idx="1">
                  <c:v> 2019Q2 </c:v>
                </c:pt>
                <c:pt idx="2">
                  <c:v> 2019Q3 </c:v>
                </c:pt>
                <c:pt idx="3">
                  <c:v> 2019Q4 </c:v>
                </c:pt>
                <c:pt idx="4">
                  <c:v> 2020Q1 </c:v>
                </c:pt>
              </c:strCache>
            </c:strRef>
          </c:cat>
          <c:val>
            <c:numRef>
              <c:f>EXPE!$AH$364:$AX$364</c:f>
            </c:numRef>
          </c:val>
          <c:smooth val="0"/>
          <c:extLst>
            <c:ext xmlns:c16="http://schemas.microsoft.com/office/drawing/2014/chart" uri="{C3380CC4-5D6E-409C-BE32-E72D297353CC}">
              <c16:uniqueId val="{00000006-CD4F-4034-A0AE-8BB30CCA21CA}"/>
            </c:ext>
          </c:extLst>
        </c:ser>
        <c:dLbls>
          <c:showLegendKey val="0"/>
          <c:showVal val="0"/>
          <c:showCatName val="0"/>
          <c:showSerName val="0"/>
          <c:showPercent val="0"/>
          <c:showBubbleSize val="0"/>
        </c:dLbls>
        <c:marker val="1"/>
        <c:smooth val="0"/>
        <c:axId val="894668000"/>
        <c:axId val="894667168"/>
      </c:lineChart>
      <c:catAx>
        <c:axId val="89466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94667168"/>
        <c:crosses val="autoZero"/>
        <c:auto val="1"/>
        <c:lblAlgn val="ctr"/>
        <c:lblOffset val="100"/>
        <c:noMultiLvlLbl val="0"/>
      </c:catAx>
      <c:valAx>
        <c:axId val="8946671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94668000"/>
        <c:crosses val="autoZero"/>
        <c:crossBetween val="between"/>
      </c:valAx>
      <c:spPr>
        <a:no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400" b="0" i="0" u="none" strike="noStrike" baseline="0">
                <a:effectLst/>
              </a:rPr>
              <a:t>Vrbo</a:t>
            </a:r>
            <a:r>
              <a:rPr lang="en-US" altLang="zh-CN"/>
              <a:t>(</a:t>
            </a:r>
            <a:r>
              <a:rPr lang="zh-CN" altLang="en-US"/>
              <a:t>原</a:t>
            </a:r>
            <a:r>
              <a:rPr lang="en-US" altLang="zh-CN" sz="1400" b="0" i="0" u="none" strike="noStrike" baseline="0">
                <a:effectLst/>
              </a:rPr>
              <a:t>HomeAway</a:t>
            </a:r>
            <a:r>
              <a:rPr lang="en-US" altLang="zh-CN"/>
              <a:t>)</a:t>
            </a:r>
            <a:r>
              <a:rPr lang="zh-CN" altLang="en-US"/>
              <a:t>主要财务和运营数据</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EXPE!$A$368</c:f>
              <c:strCache>
                <c:ptCount val="1"/>
                <c:pt idx="0">
                  <c:v> Gross booking YoY growth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EXPE!$AH$3:$AX$3</c:f>
              <c:strCache>
                <c:ptCount val="5"/>
                <c:pt idx="0">
                  <c:v> 2019Q1 </c:v>
                </c:pt>
                <c:pt idx="1">
                  <c:v> 2019Q2 </c:v>
                </c:pt>
                <c:pt idx="2">
                  <c:v> 2019Q3 </c:v>
                </c:pt>
                <c:pt idx="3">
                  <c:v> 2019Q4 </c:v>
                </c:pt>
                <c:pt idx="4">
                  <c:v> 2020Q1 </c:v>
                </c:pt>
              </c:strCache>
            </c:strRef>
          </c:cat>
          <c:val>
            <c:numRef>
              <c:f>EXPE!$AH$368:$AX$368</c:f>
            </c:numRef>
          </c:val>
          <c:smooth val="0"/>
          <c:extLst>
            <c:ext xmlns:c16="http://schemas.microsoft.com/office/drawing/2014/chart" uri="{C3380CC4-5D6E-409C-BE32-E72D297353CC}">
              <c16:uniqueId val="{00000000-A5A8-4BB3-83B3-DA49F9F0755A}"/>
            </c:ext>
          </c:extLst>
        </c:ser>
        <c:ser>
          <c:idx val="1"/>
          <c:order val="1"/>
          <c:tx>
            <c:strRef>
              <c:f>EXPE!$A$370</c:f>
              <c:strCache>
                <c:ptCount val="1"/>
                <c:pt idx="0">
                  <c:v> Revenue YoY growth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EXPE!$AH$3:$AX$3</c:f>
              <c:strCache>
                <c:ptCount val="5"/>
                <c:pt idx="0">
                  <c:v> 2019Q1 </c:v>
                </c:pt>
                <c:pt idx="1">
                  <c:v> 2019Q2 </c:v>
                </c:pt>
                <c:pt idx="2">
                  <c:v> 2019Q3 </c:v>
                </c:pt>
                <c:pt idx="3">
                  <c:v> 2019Q4 </c:v>
                </c:pt>
                <c:pt idx="4">
                  <c:v> 2020Q1 </c:v>
                </c:pt>
              </c:strCache>
            </c:strRef>
          </c:cat>
          <c:val>
            <c:numRef>
              <c:f>EXPE!$AH$370:$AX$370</c:f>
            </c:numRef>
          </c:val>
          <c:smooth val="0"/>
          <c:extLst>
            <c:ext xmlns:c16="http://schemas.microsoft.com/office/drawing/2014/chart" uri="{C3380CC4-5D6E-409C-BE32-E72D297353CC}">
              <c16:uniqueId val="{00000001-A5A8-4BB3-83B3-DA49F9F0755A}"/>
            </c:ext>
          </c:extLst>
        </c:ser>
        <c:ser>
          <c:idx val="2"/>
          <c:order val="2"/>
          <c:tx>
            <c:strRef>
              <c:f>EXPE!$A$371</c:f>
              <c:strCache>
                <c:ptCount val="1"/>
                <c:pt idx="0">
                  <c:v>Take rate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EXPE!$AH$3:$AX$3</c:f>
              <c:strCache>
                <c:ptCount val="5"/>
                <c:pt idx="0">
                  <c:v> 2019Q1 </c:v>
                </c:pt>
                <c:pt idx="1">
                  <c:v> 2019Q2 </c:v>
                </c:pt>
                <c:pt idx="2">
                  <c:v> 2019Q3 </c:v>
                </c:pt>
                <c:pt idx="3">
                  <c:v> 2019Q4 </c:v>
                </c:pt>
                <c:pt idx="4">
                  <c:v> 2020Q1 </c:v>
                </c:pt>
              </c:strCache>
            </c:strRef>
          </c:cat>
          <c:val>
            <c:numRef>
              <c:f>EXPE!$AH$371:$AX$371</c:f>
            </c:numRef>
          </c:val>
          <c:smooth val="0"/>
          <c:extLst>
            <c:ext xmlns:c16="http://schemas.microsoft.com/office/drawing/2014/chart" uri="{C3380CC4-5D6E-409C-BE32-E72D297353CC}">
              <c16:uniqueId val="{00000002-A5A8-4BB3-83B3-DA49F9F0755A}"/>
            </c:ext>
          </c:extLst>
        </c:ser>
        <c:ser>
          <c:idx val="3"/>
          <c:order val="3"/>
          <c:tx>
            <c:strRef>
              <c:f>EXPE!$A$373</c:f>
              <c:strCache>
                <c:ptCount val="1"/>
                <c:pt idx="0">
                  <c:v> Adjusted EBITDA margin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EXPE!$AH$3:$AX$3</c:f>
              <c:strCache>
                <c:ptCount val="5"/>
                <c:pt idx="0">
                  <c:v> 2019Q1 </c:v>
                </c:pt>
                <c:pt idx="1">
                  <c:v> 2019Q2 </c:v>
                </c:pt>
                <c:pt idx="2">
                  <c:v> 2019Q3 </c:v>
                </c:pt>
                <c:pt idx="3">
                  <c:v> 2019Q4 </c:v>
                </c:pt>
                <c:pt idx="4">
                  <c:v> 2020Q1 </c:v>
                </c:pt>
              </c:strCache>
            </c:strRef>
          </c:cat>
          <c:val>
            <c:numRef>
              <c:f>EXPE!$AH$373:$AX$373</c:f>
            </c:numRef>
          </c:val>
          <c:smooth val="0"/>
          <c:extLst>
            <c:ext xmlns:c16="http://schemas.microsoft.com/office/drawing/2014/chart" uri="{C3380CC4-5D6E-409C-BE32-E72D297353CC}">
              <c16:uniqueId val="{00000003-A5A8-4BB3-83B3-DA49F9F0755A}"/>
            </c:ext>
          </c:extLst>
        </c:ser>
        <c:dLbls>
          <c:showLegendKey val="0"/>
          <c:showVal val="0"/>
          <c:showCatName val="0"/>
          <c:showSerName val="0"/>
          <c:showPercent val="0"/>
          <c:showBubbleSize val="0"/>
        </c:dLbls>
        <c:marker val="1"/>
        <c:smooth val="0"/>
        <c:axId val="353152592"/>
        <c:axId val="353142192"/>
      </c:lineChart>
      <c:catAx>
        <c:axId val="353152592"/>
        <c:scaling>
          <c:orientation val="minMax"/>
        </c:scaling>
        <c:delete val="0"/>
        <c:axPos val="b"/>
        <c:numFmt formatCode="General" sourceLinked="1"/>
        <c:majorTickMark val="none"/>
        <c:minorTickMark val="none"/>
        <c:tickLblPos val="low"/>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53142192"/>
        <c:crosses val="autoZero"/>
        <c:auto val="1"/>
        <c:lblAlgn val="ctr"/>
        <c:lblOffset val="100"/>
        <c:noMultiLvlLbl val="0"/>
      </c:catAx>
      <c:valAx>
        <c:axId val="3531421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53152592"/>
        <c:crosses val="autoZero"/>
        <c:crossBetween val="between"/>
      </c:valAx>
      <c:spPr>
        <a:no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Egencia</a:t>
            </a:r>
            <a:r>
              <a:rPr lang="zh-CN" altLang="en-US"/>
              <a:t>主要财务和运营数据</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EXPE!$A$377</c:f>
              <c:strCache>
                <c:ptCount val="1"/>
                <c:pt idx="0">
                  <c:v> Gross booking YoY growth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EXPE!$AH$3:$AX$3</c:f>
              <c:strCache>
                <c:ptCount val="5"/>
                <c:pt idx="0">
                  <c:v> 2019Q1 </c:v>
                </c:pt>
                <c:pt idx="1">
                  <c:v> 2019Q2 </c:v>
                </c:pt>
                <c:pt idx="2">
                  <c:v> 2019Q3 </c:v>
                </c:pt>
                <c:pt idx="3">
                  <c:v> 2019Q4 </c:v>
                </c:pt>
                <c:pt idx="4">
                  <c:v> 2020Q1 </c:v>
                </c:pt>
              </c:strCache>
            </c:strRef>
          </c:cat>
          <c:val>
            <c:numRef>
              <c:f>EXPE!$AH$377:$AX$377</c:f>
            </c:numRef>
          </c:val>
          <c:smooth val="0"/>
          <c:extLst>
            <c:ext xmlns:c16="http://schemas.microsoft.com/office/drawing/2014/chart" uri="{C3380CC4-5D6E-409C-BE32-E72D297353CC}">
              <c16:uniqueId val="{00000000-AB24-4AA3-BC52-C62EF0DCFE65}"/>
            </c:ext>
          </c:extLst>
        </c:ser>
        <c:ser>
          <c:idx val="1"/>
          <c:order val="1"/>
          <c:tx>
            <c:strRef>
              <c:f>EXPE!$A$379</c:f>
              <c:strCache>
                <c:ptCount val="1"/>
                <c:pt idx="0">
                  <c:v> Revenue YoY growth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EXPE!$AH$3:$AX$3</c:f>
              <c:strCache>
                <c:ptCount val="5"/>
                <c:pt idx="0">
                  <c:v> 2019Q1 </c:v>
                </c:pt>
                <c:pt idx="1">
                  <c:v> 2019Q2 </c:v>
                </c:pt>
                <c:pt idx="2">
                  <c:v> 2019Q3 </c:v>
                </c:pt>
                <c:pt idx="3">
                  <c:v> 2019Q4 </c:v>
                </c:pt>
                <c:pt idx="4">
                  <c:v> 2020Q1 </c:v>
                </c:pt>
              </c:strCache>
            </c:strRef>
          </c:cat>
          <c:val>
            <c:numRef>
              <c:f>EXPE!$AH$379:$AX$379</c:f>
            </c:numRef>
          </c:val>
          <c:smooth val="0"/>
          <c:extLst>
            <c:ext xmlns:c16="http://schemas.microsoft.com/office/drawing/2014/chart" uri="{C3380CC4-5D6E-409C-BE32-E72D297353CC}">
              <c16:uniqueId val="{00000001-AB24-4AA3-BC52-C62EF0DCFE65}"/>
            </c:ext>
          </c:extLst>
        </c:ser>
        <c:ser>
          <c:idx val="2"/>
          <c:order val="2"/>
          <c:tx>
            <c:strRef>
              <c:f>EXPE!$A$380</c:f>
              <c:strCache>
                <c:ptCount val="1"/>
                <c:pt idx="0">
                  <c:v>Take rate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EXPE!$AH$3:$AX$3</c:f>
              <c:strCache>
                <c:ptCount val="5"/>
                <c:pt idx="0">
                  <c:v> 2019Q1 </c:v>
                </c:pt>
                <c:pt idx="1">
                  <c:v> 2019Q2 </c:v>
                </c:pt>
                <c:pt idx="2">
                  <c:v> 2019Q3 </c:v>
                </c:pt>
                <c:pt idx="3">
                  <c:v> 2019Q4 </c:v>
                </c:pt>
                <c:pt idx="4">
                  <c:v> 2020Q1 </c:v>
                </c:pt>
              </c:strCache>
            </c:strRef>
          </c:cat>
          <c:val>
            <c:numRef>
              <c:f>EXPE!$AH$380:$AX$380</c:f>
            </c:numRef>
          </c:val>
          <c:smooth val="0"/>
          <c:extLst>
            <c:ext xmlns:c16="http://schemas.microsoft.com/office/drawing/2014/chart" uri="{C3380CC4-5D6E-409C-BE32-E72D297353CC}">
              <c16:uniqueId val="{00000002-AB24-4AA3-BC52-C62EF0DCFE65}"/>
            </c:ext>
          </c:extLst>
        </c:ser>
        <c:ser>
          <c:idx val="3"/>
          <c:order val="3"/>
          <c:tx>
            <c:strRef>
              <c:f>EXPE!$A$382</c:f>
              <c:strCache>
                <c:ptCount val="1"/>
                <c:pt idx="0">
                  <c:v> Adjusted EBITDA margin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EXPE!$AH$3:$AX$3</c:f>
              <c:strCache>
                <c:ptCount val="5"/>
                <c:pt idx="0">
                  <c:v> 2019Q1 </c:v>
                </c:pt>
                <c:pt idx="1">
                  <c:v> 2019Q2 </c:v>
                </c:pt>
                <c:pt idx="2">
                  <c:v> 2019Q3 </c:v>
                </c:pt>
                <c:pt idx="3">
                  <c:v> 2019Q4 </c:v>
                </c:pt>
                <c:pt idx="4">
                  <c:v> 2020Q1 </c:v>
                </c:pt>
              </c:strCache>
            </c:strRef>
          </c:cat>
          <c:val>
            <c:numRef>
              <c:f>EXPE!$AH$382:$AX$382</c:f>
            </c:numRef>
          </c:val>
          <c:smooth val="0"/>
          <c:extLst>
            <c:ext xmlns:c16="http://schemas.microsoft.com/office/drawing/2014/chart" uri="{C3380CC4-5D6E-409C-BE32-E72D297353CC}">
              <c16:uniqueId val="{00000003-AB24-4AA3-BC52-C62EF0DCFE65}"/>
            </c:ext>
          </c:extLst>
        </c:ser>
        <c:dLbls>
          <c:showLegendKey val="0"/>
          <c:showVal val="0"/>
          <c:showCatName val="0"/>
          <c:showSerName val="0"/>
          <c:showPercent val="0"/>
          <c:showBubbleSize val="0"/>
        </c:dLbls>
        <c:marker val="1"/>
        <c:smooth val="0"/>
        <c:axId val="894661344"/>
        <c:axId val="894667584"/>
      </c:lineChart>
      <c:catAx>
        <c:axId val="89466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94667584"/>
        <c:crosses val="autoZero"/>
        <c:auto val="1"/>
        <c:lblAlgn val="ctr"/>
        <c:lblOffset val="100"/>
        <c:noMultiLvlLbl val="0"/>
      </c:catAx>
      <c:valAx>
        <c:axId val="8946675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94661344"/>
        <c:crosses val="autoZero"/>
        <c:crossBetween val="between"/>
      </c:valAx>
      <c:spPr>
        <a:no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400" b="0" i="0" baseline="0">
                <a:effectLst/>
              </a:rPr>
              <a:t>EXPE</a:t>
            </a:r>
            <a:r>
              <a:rPr lang="zh-CN" altLang="zh-CN" sz="1400" b="0" i="0" baseline="0">
                <a:effectLst/>
              </a:rPr>
              <a:t>总</a:t>
            </a:r>
            <a:r>
              <a:rPr lang="zh-CN" altLang="en-US" sz="1400" b="0" i="0" baseline="0">
                <a:effectLst/>
              </a:rPr>
              <a:t>收入</a:t>
            </a:r>
            <a:r>
              <a:rPr lang="zh-CN" altLang="zh-CN" sz="1400" b="0" i="0" baseline="0">
                <a:effectLst/>
              </a:rPr>
              <a:t>按照业务模式分布</a:t>
            </a:r>
            <a:endParaRPr lang="zh-CN" altLang="zh-CN"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9.4468936377729087E-2"/>
          <c:y val="0.15685987951464422"/>
          <c:w val="0.80904686784858093"/>
          <c:h val="0.46813961323770009"/>
        </c:manualLayout>
      </c:layout>
      <c:barChart>
        <c:barDir val="col"/>
        <c:grouping val="stacked"/>
        <c:varyColors val="0"/>
        <c:ser>
          <c:idx val="1"/>
          <c:order val="1"/>
          <c:tx>
            <c:strRef>
              <c:f>EXPE!$A$93</c:f>
              <c:strCache>
                <c:ptCount val="1"/>
                <c:pt idx="0">
                  <c:v>Agency contribution</c:v>
                </c:pt>
              </c:strCache>
            </c:strRef>
          </c:tx>
          <c:spPr>
            <a:solidFill>
              <a:schemeClr val="accent2"/>
            </a:solidFill>
            <a:ln>
              <a:noFill/>
            </a:ln>
            <a:effectLst/>
          </c:spPr>
          <c:invertIfNegative val="0"/>
          <c:cat>
            <c:strRef>
              <c:f>EXPE!$AP$3:$BW$3</c:f>
              <c:strCache>
                <c:ptCount val="30"/>
                <c:pt idx="0">
                  <c:v> 2019Q1 </c:v>
                </c:pt>
                <c:pt idx="1">
                  <c:v> 2019Q2 </c:v>
                </c:pt>
                <c:pt idx="2">
                  <c:v> 2019Q3 </c:v>
                </c:pt>
                <c:pt idx="3">
                  <c:v> 2019Q4 </c:v>
                </c:pt>
                <c:pt idx="4">
                  <c:v> 2020Q1 </c:v>
                </c:pt>
                <c:pt idx="5">
                  <c:v> 2020Q2 </c:v>
                </c:pt>
                <c:pt idx="6">
                  <c:v> 2020Q3 </c:v>
                </c:pt>
                <c:pt idx="7">
                  <c:v> 2020Q4 </c:v>
                </c:pt>
                <c:pt idx="8">
                  <c:v> 2021Q1 </c:v>
                </c:pt>
                <c:pt idx="9">
                  <c:v> 2021Q2 </c:v>
                </c:pt>
                <c:pt idx="10">
                  <c:v> 2021Q3 </c:v>
                </c:pt>
                <c:pt idx="11">
                  <c:v> 2021Q4 </c:v>
                </c:pt>
                <c:pt idx="12">
                  <c:v> 2022Q1 </c:v>
                </c:pt>
                <c:pt idx="13">
                  <c:v> 2022Q2 </c:v>
                </c:pt>
                <c:pt idx="14">
                  <c:v> 2022Q3 </c:v>
                </c:pt>
                <c:pt idx="15">
                  <c:v> 2022Q4 </c:v>
                </c:pt>
                <c:pt idx="16">
                  <c:v> 2023Q1 </c:v>
                </c:pt>
                <c:pt idx="17">
                  <c:v> 2023Q2 </c:v>
                </c:pt>
                <c:pt idx="18">
                  <c:v> 2023Q3 </c:v>
                </c:pt>
                <c:pt idx="19">
                  <c:v> 2023Q4 </c:v>
                </c:pt>
                <c:pt idx="20">
                  <c:v> 2024Q1 </c:v>
                </c:pt>
                <c:pt idx="21">
                  <c:v> 2024Q2 </c:v>
                </c:pt>
                <c:pt idx="22">
                  <c:v> 2024Q3 </c:v>
                </c:pt>
                <c:pt idx="23">
                  <c:v> 2024Q4 </c:v>
                </c:pt>
                <c:pt idx="24">
                  <c:v> 2025Q1 </c:v>
                </c:pt>
                <c:pt idx="25">
                  <c:v> 2025Q2 </c:v>
                </c:pt>
                <c:pt idx="26">
                  <c:v> 2025Q3 </c:v>
                </c:pt>
                <c:pt idx="27">
                  <c:v> 2025Q4 </c:v>
                </c:pt>
                <c:pt idx="28">
                  <c:v> 2026Q1 </c:v>
                </c:pt>
                <c:pt idx="29">
                  <c:v> 2026Q2 </c:v>
                </c:pt>
              </c:strCache>
            </c:strRef>
          </c:cat>
          <c:val>
            <c:numRef>
              <c:f>EXPE!$AP$93:$BW$93</c:f>
              <c:numCache>
                <c:formatCode>0.0%</c:formatCode>
                <c:ptCount val="30"/>
                <c:pt idx="0">
                  <c:v>0.32272901494825601</c:v>
                </c:pt>
                <c:pt idx="1">
                  <c:v>0.33206470028544244</c:v>
                </c:pt>
                <c:pt idx="2">
                  <c:v>0.33080382237211919</c:v>
                </c:pt>
                <c:pt idx="3">
                  <c:v>0.29705132872224244</c:v>
                </c:pt>
                <c:pt idx="4">
                  <c:v>0.25441376188320508</c:v>
                </c:pt>
                <c:pt idx="5">
                  <c:v>0.18551236749116609</c:v>
                </c:pt>
                <c:pt idx="6">
                  <c:v>0.21875</c:v>
                </c:pt>
                <c:pt idx="7">
                  <c:v>0.29456521739130437</c:v>
                </c:pt>
                <c:pt idx="8">
                  <c:v>0.2592295345104334</c:v>
                </c:pt>
                <c:pt idx="9">
                  <c:v>0.27143533870203695</c:v>
                </c:pt>
                <c:pt idx="10">
                  <c:v>0.27008777852802163</c:v>
                </c:pt>
                <c:pt idx="11">
                  <c:v>0.26810004387889425</c:v>
                </c:pt>
                <c:pt idx="12">
                  <c:v>0.25166740773677188</c:v>
                </c:pt>
                <c:pt idx="13">
                  <c:v>0.25400817353033639</c:v>
                </c:pt>
                <c:pt idx="14">
                  <c:v>0.25835866261398177</c:v>
                </c:pt>
                <c:pt idx="15">
                  <c:v>0.26165011459129106</c:v>
                </c:pt>
                <c:pt idx="16">
                  <c:v>0</c:v>
                </c:pt>
              </c:numCache>
            </c:numRef>
          </c:val>
          <c:extLst>
            <c:ext xmlns:c16="http://schemas.microsoft.com/office/drawing/2014/chart" uri="{C3380CC4-5D6E-409C-BE32-E72D297353CC}">
              <c16:uniqueId val="{00000000-5740-4581-B91D-13652FFADE3B}"/>
            </c:ext>
          </c:extLst>
        </c:ser>
        <c:ser>
          <c:idx val="3"/>
          <c:order val="3"/>
          <c:tx>
            <c:strRef>
              <c:f>EXPE!$A$96</c:f>
              <c:strCache>
                <c:ptCount val="1"/>
                <c:pt idx="0">
                  <c:v>Merchant contribution</c:v>
                </c:pt>
              </c:strCache>
            </c:strRef>
          </c:tx>
          <c:spPr>
            <a:solidFill>
              <a:schemeClr val="accent4"/>
            </a:solidFill>
            <a:ln>
              <a:noFill/>
            </a:ln>
            <a:effectLst/>
          </c:spPr>
          <c:invertIfNegative val="0"/>
          <c:cat>
            <c:strRef>
              <c:f>EXPE!$AP$3:$BW$3</c:f>
              <c:strCache>
                <c:ptCount val="30"/>
                <c:pt idx="0">
                  <c:v> 2019Q1 </c:v>
                </c:pt>
                <c:pt idx="1">
                  <c:v> 2019Q2 </c:v>
                </c:pt>
                <c:pt idx="2">
                  <c:v> 2019Q3 </c:v>
                </c:pt>
                <c:pt idx="3">
                  <c:v> 2019Q4 </c:v>
                </c:pt>
                <c:pt idx="4">
                  <c:v> 2020Q1 </c:v>
                </c:pt>
                <c:pt idx="5">
                  <c:v> 2020Q2 </c:v>
                </c:pt>
                <c:pt idx="6">
                  <c:v> 2020Q3 </c:v>
                </c:pt>
                <c:pt idx="7">
                  <c:v> 2020Q4 </c:v>
                </c:pt>
                <c:pt idx="8">
                  <c:v> 2021Q1 </c:v>
                </c:pt>
                <c:pt idx="9">
                  <c:v> 2021Q2 </c:v>
                </c:pt>
                <c:pt idx="10">
                  <c:v> 2021Q3 </c:v>
                </c:pt>
                <c:pt idx="11">
                  <c:v> 2021Q4 </c:v>
                </c:pt>
                <c:pt idx="12">
                  <c:v> 2022Q1 </c:v>
                </c:pt>
                <c:pt idx="13">
                  <c:v> 2022Q2 </c:v>
                </c:pt>
                <c:pt idx="14">
                  <c:v> 2022Q3 </c:v>
                </c:pt>
                <c:pt idx="15">
                  <c:v> 2022Q4 </c:v>
                </c:pt>
                <c:pt idx="16">
                  <c:v> 2023Q1 </c:v>
                </c:pt>
                <c:pt idx="17">
                  <c:v> 2023Q2 </c:v>
                </c:pt>
                <c:pt idx="18">
                  <c:v> 2023Q3 </c:v>
                </c:pt>
                <c:pt idx="19">
                  <c:v> 2023Q4 </c:v>
                </c:pt>
                <c:pt idx="20">
                  <c:v> 2024Q1 </c:v>
                </c:pt>
                <c:pt idx="21">
                  <c:v> 2024Q2 </c:v>
                </c:pt>
                <c:pt idx="22">
                  <c:v> 2024Q3 </c:v>
                </c:pt>
                <c:pt idx="23">
                  <c:v> 2024Q4 </c:v>
                </c:pt>
                <c:pt idx="24">
                  <c:v> 2025Q1 </c:v>
                </c:pt>
                <c:pt idx="25">
                  <c:v> 2025Q2 </c:v>
                </c:pt>
                <c:pt idx="26">
                  <c:v> 2025Q3 </c:v>
                </c:pt>
                <c:pt idx="27">
                  <c:v> 2025Q4 </c:v>
                </c:pt>
                <c:pt idx="28">
                  <c:v> 2026Q1 </c:v>
                </c:pt>
                <c:pt idx="29">
                  <c:v> 2026Q2 </c:v>
                </c:pt>
              </c:strCache>
            </c:strRef>
          </c:cat>
          <c:val>
            <c:numRef>
              <c:f>EXPE!$AP$96:$BW$96</c:f>
              <c:numCache>
                <c:formatCode>0.0%</c:formatCode>
                <c:ptCount val="30"/>
                <c:pt idx="0">
                  <c:v>0.55001916443081644</c:v>
                </c:pt>
                <c:pt idx="1">
                  <c:v>0.55756422454804944</c:v>
                </c:pt>
                <c:pt idx="2">
                  <c:v>0.55649241146711637</c:v>
                </c:pt>
                <c:pt idx="3">
                  <c:v>0.57881325081907531</c:v>
                </c:pt>
                <c:pt idx="4">
                  <c:v>0.60660932548664559</c:v>
                </c:pt>
                <c:pt idx="5">
                  <c:v>0.65017667844522964</c:v>
                </c:pt>
                <c:pt idx="6">
                  <c:v>0.68617021276595747</c:v>
                </c:pt>
                <c:pt idx="7">
                  <c:v>0.56630434782608696</c:v>
                </c:pt>
                <c:pt idx="8">
                  <c:v>0.6388443017656501</c:v>
                </c:pt>
                <c:pt idx="9">
                  <c:v>0.63382283278067264</c:v>
                </c:pt>
                <c:pt idx="10">
                  <c:v>0.64922349763673193</c:v>
                </c:pt>
                <c:pt idx="11">
                  <c:v>0.64940763492759979</c:v>
                </c:pt>
                <c:pt idx="12">
                  <c:v>0.66029346376167186</c:v>
                </c:pt>
                <c:pt idx="13">
                  <c:v>0.66802892172272865</c:v>
                </c:pt>
                <c:pt idx="14">
                  <c:v>0.67062724509533023</c:v>
                </c:pt>
                <c:pt idx="15">
                  <c:v>0.65889992360580596</c:v>
                </c:pt>
                <c:pt idx="16">
                  <c:v>0</c:v>
                </c:pt>
              </c:numCache>
            </c:numRef>
          </c:val>
          <c:extLst>
            <c:ext xmlns:c16="http://schemas.microsoft.com/office/drawing/2014/chart" uri="{C3380CC4-5D6E-409C-BE32-E72D297353CC}">
              <c16:uniqueId val="{00000001-5740-4581-B91D-13652FFADE3B}"/>
            </c:ext>
          </c:extLst>
        </c:ser>
        <c:ser>
          <c:idx val="5"/>
          <c:order val="5"/>
          <c:tx>
            <c:strRef>
              <c:f>EXPE!$A$99</c:f>
              <c:strCache>
                <c:ptCount val="1"/>
                <c:pt idx="0">
                  <c:v>Advertising&amp;media contribution</c:v>
                </c:pt>
              </c:strCache>
            </c:strRef>
          </c:tx>
          <c:spPr>
            <a:solidFill>
              <a:schemeClr val="accent6"/>
            </a:solidFill>
            <a:ln>
              <a:noFill/>
            </a:ln>
            <a:effectLst/>
          </c:spPr>
          <c:invertIfNegative val="0"/>
          <c:cat>
            <c:strRef>
              <c:f>EXPE!$AP$3:$BW$3</c:f>
              <c:strCache>
                <c:ptCount val="30"/>
                <c:pt idx="0">
                  <c:v> 2019Q1 </c:v>
                </c:pt>
                <c:pt idx="1">
                  <c:v> 2019Q2 </c:v>
                </c:pt>
                <c:pt idx="2">
                  <c:v> 2019Q3 </c:v>
                </c:pt>
                <c:pt idx="3">
                  <c:v> 2019Q4 </c:v>
                </c:pt>
                <c:pt idx="4">
                  <c:v> 2020Q1 </c:v>
                </c:pt>
                <c:pt idx="5">
                  <c:v> 2020Q2 </c:v>
                </c:pt>
                <c:pt idx="6">
                  <c:v> 2020Q3 </c:v>
                </c:pt>
                <c:pt idx="7">
                  <c:v> 2020Q4 </c:v>
                </c:pt>
                <c:pt idx="8">
                  <c:v> 2021Q1 </c:v>
                </c:pt>
                <c:pt idx="9">
                  <c:v> 2021Q2 </c:v>
                </c:pt>
                <c:pt idx="10">
                  <c:v> 2021Q3 </c:v>
                </c:pt>
                <c:pt idx="11">
                  <c:v> 2021Q4 </c:v>
                </c:pt>
                <c:pt idx="12">
                  <c:v> 2022Q1 </c:v>
                </c:pt>
                <c:pt idx="13">
                  <c:v> 2022Q2 </c:v>
                </c:pt>
                <c:pt idx="14">
                  <c:v> 2022Q3 </c:v>
                </c:pt>
                <c:pt idx="15">
                  <c:v> 2022Q4 </c:v>
                </c:pt>
                <c:pt idx="16">
                  <c:v> 2023Q1 </c:v>
                </c:pt>
                <c:pt idx="17">
                  <c:v> 2023Q2 </c:v>
                </c:pt>
                <c:pt idx="18">
                  <c:v> 2023Q3 </c:v>
                </c:pt>
                <c:pt idx="19">
                  <c:v> 2023Q4 </c:v>
                </c:pt>
                <c:pt idx="20">
                  <c:v> 2024Q1 </c:v>
                </c:pt>
                <c:pt idx="21">
                  <c:v> 2024Q2 </c:v>
                </c:pt>
                <c:pt idx="22">
                  <c:v> 2024Q3 </c:v>
                </c:pt>
                <c:pt idx="23">
                  <c:v> 2024Q4 </c:v>
                </c:pt>
                <c:pt idx="24">
                  <c:v> 2025Q1 </c:v>
                </c:pt>
                <c:pt idx="25">
                  <c:v> 2025Q2 </c:v>
                </c:pt>
                <c:pt idx="26">
                  <c:v> 2025Q3 </c:v>
                </c:pt>
                <c:pt idx="27">
                  <c:v> 2025Q4 </c:v>
                </c:pt>
                <c:pt idx="28">
                  <c:v> 2026Q1 </c:v>
                </c:pt>
                <c:pt idx="29">
                  <c:v> 2026Q2 </c:v>
                </c:pt>
              </c:strCache>
            </c:strRef>
          </c:cat>
          <c:val>
            <c:numRef>
              <c:f>EXPE!$AP$99:$BW$99</c:f>
              <c:numCache>
                <c:formatCode>0.0%</c:formatCode>
                <c:ptCount val="30"/>
                <c:pt idx="0">
                  <c:v>0.12725182062092755</c:v>
                </c:pt>
                <c:pt idx="1">
                  <c:v>0.11037107516650808</c:v>
                </c:pt>
                <c:pt idx="2">
                  <c:v>0.11270376616076447</c:v>
                </c:pt>
                <c:pt idx="3">
                  <c:v>0.1241354204586822</c:v>
                </c:pt>
                <c:pt idx="4">
                  <c:v>0.13897691263014939</c:v>
                </c:pt>
                <c:pt idx="5">
                  <c:v>0.16431095406360424</c:v>
                </c:pt>
                <c:pt idx="6">
                  <c:v>9.5079787234042548E-2</c:v>
                </c:pt>
                <c:pt idx="7">
                  <c:v>0.1391304347826087</c:v>
                </c:pt>
                <c:pt idx="8">
                  <c:v>0.10192616372391654</c:v>
                </c:pt>
                <c:pt idx="9">
                  <c:v>9.4741828517290377E-2</c:v>
                </c:pt>
                <c:pt idx="10">
                  <c:v>8.0688723835246459E-2</c:v>
                </c:pt>
                <c:pt idx="11">
                  <c:v>8.2492321193505927E-2</c:v>
                </c:pt>
                <c:pt idx="12">
                  <c:v>8.8039128501556249E-2</c:v>
                </c:pt>
                <c:pt idx="13">
                  <c:v>7.796290474693493E-2</c:v>
                </c:pt>
                <c:pt idx="14">
                  <c:v>7.101409229068803E-2</c:v>
                </c:pt>
                <c:pt idx="15">
                  <c:v>7.944996180290298E-2</c:v>
                </c:pt>
                <c:pt idx="16">
                  <c:v>0</c:v>
                </c:pt>
              </c:numCache>
            </c:numRef>
          </c:val>
          <c:extLst>
            <c:ext xmlns:c16="http://schemas.microsoft.com/office/drawing/2014/chart" uri="{C3380CC4-5D6E-409C-BE32-E72D297353CC}">
              <c16:uniqueId val="{00000002-5740-4581-B91D-13652FFADE3B}"/>
            </c:ext>
          </c:extLst>
        </c:ser>
        <c:dLbls>
          <c:showLegendKey val="0"/>
          <c:showVal val="0"/>
          <c:showCatName val="0"/>
          <c:showSerName val="0"/>
          <c:showPercent val="0"/>
          <c:showBubbleSize val="0"/>
        </c:dLbls>
        <c:gapWidth val="150"/>
        <c:overlap val="100"/>
        <c:axId val="353153840"/>
        <c:axId val="353142192"/>
      </c:barChart>
      <c:lineChart>
        <c:grouping val="standard"/>
        <c:varyColors val="0"/>
        <c:ser>
          <c:idx val="0"/>
          <c:order val="0"/>
          <c:tx>
            <c:strRef>
              <c:f>EXPE!$A$92</c:f>
              <c:strCache>
                <c:ptCount val="1"/>
                <c:pt idx="0">
                  <c:v>Agency YoY growth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9.6%</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423-45C2-9081-0AA1F6EE1902}"/>
                </c:ext>
              </c:extLst>
            </c:dLbl>
            <c:dLbl>
              <c:idx val="5"/>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-90%</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423-45C2-9081-0AA1F6EE1902}"/>
                </c:ext>
              </c:extLst>
            </c:dLbl>
            <c:dLbl>
              <c:idx val="9"/>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445.7%</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423-45C2-9081-0AA1F6EE1902}"/>
                </c:ext>
              </c:extLst>
            </c:dLbl>
            <c:dLbl>
              <c:idx val="13"/>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41%</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423-45C2-9081-0AA1F6EE19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EXPE!$AH$3:$BW$3</c:f>
              <c:strCache>
                <c:ptCount val="30"/>
                <c:pt idx="0">
                  <c:v> 2019Q1 </c:v>
                </c:pt>
                <c:pt idx="1">
                  <c:v> 2019Q2 </c:v>
                </c:pt>
                <c:pt idx="2">
                  <c:v> 2019Q3 </c:v>
                </c:pt>
                <c:pt idx="3">
                  <c:v> 2019Q4 </c:v>
                </c:pt>
                <c:pt idx="4">
                  <c:v> 2020Q1 </c:v>
                </c:pt>
                <c:pt idx="5">
                  <c:v> 2020Q2 </c:v>
                </c:pt>
                <c:pt idx="6">
                  <c:v> 2020Q3 </c:v>
                </c:pt>
                <c:pt idx="7">
                  <c:v> 2020Q4 </c:v>
                </c:pt>
                <c:pt idx="8">
                  <c:v> 2021Q1 </c:v>
                </c:pt>
                <c:pt idx="9">
                  <c:v> 2021Q2 </c:v>
                </c:pt>
                <c:pt idx="10">
                  <c:v> 2021Q3 </c:v>
                </c:pt>
                <c:pt idx="11">
                  <c:v> 2021Q4 </c:v>
                </c:pt>
                <c:pt idx="12">
                  <c:v> 2022Q1 </c:v>
                </c:pt>
                <c:pt idx="13">
                  <c:v> 2022Q2 </c:v>
                </c:pt>
                <c:pt idx="14">
                  <c:v> 2022Q3 </c:v>
                </c:pt>
                <c:pt idx="15">
                  <c:v> 2022Q4 </c:v>
                </c:pt>
                <c:pt idx="16">
                  <c:v> 2023Q1 </c:v>
                </c:pt>
                <c:pt idx="17">
                  <c:v> 2023Q2 </c:v>
                </c:pt>
                <c:pt idx="18">
                  <c:v> 2023Q3 </c:v>
                </c:pt>
                <c:pt idx="19">
                  <c:v> 2023Q4 </c:v>
                </c:pt>
                <c:pt idx="20">
                  <c:v> 2024Q1 </c:v>
                </c:pt>
                <c:pt idx="21">
                  <c:v> 2024Q2 </c:v>
                </c:pt>
                <c:pt idx="22">
                  <c:v> 2024Q3 </c:v>
                </c:pt>
                <c:pt idx="23">
                  <c:v> 2024Q4 </c:v>
                </c:pt>
                <c:pt idx="24">
                  <c:v> 2025Q1 </c:v>
                </c:pt>
                <c:pt idx="25">
                  <c:v> 2025Q2 </c:v>
                </c:pt>
                <c:pt idx="26">
                  <c:v> 2025Q3 </c:v>
                </c:pt>
                <c:pt idx="27">
                  <c:v> 2025Q4 </c:v>
                </c:pt>
                <c:pt idx="28">
                  <c:v> 2026Q1 </c:v>
                </c:pt>
                <c:pt idx="29">
                  <c:v> 2026Q2 </c:v>
                </c:pt>
              </c:strCache>
            </c:strRef>
          </c:cat>
          <c:val>
            <c:numRef>
              <c:f>EXPE!$AP$92:$BW$92</c:f>
              <c:numCache>
                <c:formatCode>0.0%</c:formatCode>
                <c:ptCount val="30"/>
                <c:pt idx="0">
                  <c:v>6.1790668348045363E-2</c:v>
                </c:pt>
                <c:pt idx="1">
                  <c:v>9.6335078534031338E-2</c:v>
                </c:pt>
                <c:pt idx="2">
                  <c:v>4.3439716312056786E-2</c:v>
                </c:pt>
                <c:pt idx="3">
                  <c:v>-1.0909090909090868E-2</c:v>
                </c:pt>
                <c:pt idx="4">
                  <c:v>-0.33254156769596199</c:v>
                </c:pt>
                <c:pt idx="5">
                  <c:v>-0.89971346704871058</c:v>
                </c:pt>
                <c:pt idx="6">
                  <c:v>-0.72047578589634664</c:v>
                </c:pt>
                <c:pt idx="7">
                  <c:v>-0.66789215686274517</c:v>
                </c:pt>
                <c:pt idx="8">
                  <c:v>-0.42526690391459077</c:v>
                </c:pt>
                <c:pt idx="9">
                  <c:v>4.4571428571428573</c:v>
                </c:pt>
                <c:pt idx="10">
                  <c:v>1.43</c:v>
                </c:pt>
                <c:pt idx="11">
                  <c:v>1.25</c:v>
                </c:pt>
                <c:pt idx="12">
                  <c:v>0.75</c:v>
                </c:pt>
                <c:pt idx="13" formatCode="0%">
                  <c:v>0.41</c:v>
                </c:pt>
                <c:pt idx="14" formatCode="0%">
                  <c:v>0.17</c:v>
                </c:pt>
                <c:pt idx="15" formatCode="0%">
                  <c:v>0.12111292962356801</c:v>
                </c:pt>
                <c:pt idx="16" formatCode="0%">
                  <c:v>-1</c:v>
                </c:pt>
              </c:numCache>
            </c:numRef>
          </c:val>
          <c:smooth val="0"/>
          <c:extLst>
            <c:ext xmlns:c16="http://schemas.microsoft.com/office/drawing/2014/chart" uri="{C3380CC4-5D6E-409C-BE32-E72D297353CC}">
              <c16:uniqueId val="{00000004-5740-4581-B91D-13652FFADE3B}"/>
            </c:ext>
          </c:extLst>
        </c:ser>
        <c:ser>
          <c:idx val="2"/>
          <c:order val="2"/>
          <c:tx>
            <c:strRef>
              <c:f>EXPE!$A$95</c:f>
              <c:strCache>
                <c:ptCount val="1"/>
                <c:pt idx="0">
                  <c:v>Merchant YoY growth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Lbl>
              <c:idx val="1"/>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11.5%</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6423-45C2-9081-0AA1F6EE1902}"/>
                </c:ext>
              </c:extLst>
            </c:dLbl>
            <c:dLbl>
              <c:idx val="5"/>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-79.1%</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6423-45C2-9081-0AA1F6EE1902}"/>
                </c:ext>
              </c:extLst>
            </c:dLbl>
            <c:dLbl>
              <c:idx val="9"/>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263.6%</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6423-45C2-9081-0AA1F6EE1902}"/>
                </c:ext>
              </c:extLst>
            </c:dLbl>
            <c:dLbl>
              <c:idx val="13"/>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59%</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6423-45C2-9081-0AA1F6EE19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EXPE!$AH$3:$BW$3</c:f>
              <c:strCache>
                <c:ptCount val="30"/>
                <c:pt idx="0">
                  <c:v> 2019Q1 </c:v>
                </c:pt>
                <c:pt idx="1">
                  <c:v> 2019Q2 </c:v>
                </c:pt>
                <c:pt idx="2">
                  <c:v> 2019Q3 </c:v>
                </c:pt>
                <c:pt idx="3">
                  <c:v> 2019Q4 </c:v>
                </c:pt>
                <c:pt idx="4">
                  <c:v> 2020Q1 </c:v>
                </c:pt>
                <c:pt idx="5">
                  <c:v> 2020Q2 </c:v>
                </c:pt>
                <c:pt idx="6">
                  <c:v> 2020Q3 </c:v>
                </c:pt>
                <c:pt idx="7">
                  <c:v> 2020Q4 </c:v>
                </c:pt>
                <c:pt idx="8">
                  <c:v> 2021Q1 </c:v>
                </c:pt>
                <c:pt idx="9">
                  <c:v> 2021Q2 </c:v>
                </c:pt>
                <c:pt idx="10">
                  <c:v> 2021Q3 </c:v>
                </c:pt>
                <c:pt idx="11">
                  <c:v> 2021Q4 </c:v>
                </c:pt>
                <c:pt idx="12">
                  <c:v> 2022Q1 </c:v>
                </c:pt>
                <c:pt idx="13">
                  <c:v> 2022Q2 </c:v>
                </c:pt>
                <c:pt idx="14">
                  <c:v> 2022Q3 </c:v>
                </c:pt>
                <c:pt idx="15">
                  <c:v> 2022Q4 </c:v>
                </c:pt>
                <c:pt idx="16">
                  <c:v> 2023Q1 </c:v>
                </c:pt>
                <c:pt idx="17">
                  <c:v> 2023Q2 </c:v>
                </c:pt>
                <c:pt idx="18">
                  <c:v> 2023Q3 </c:v>
                </c:pt>
                <c:pt idx="19">
                  <c:v> 2023Q4 </c:v>
                </c:pt>
                <c:pt idx="20">
                  <c:v> 2024Q1 </c:v>
                </c:pt>
                <c:pt idx="21">
                  <c:v> 2024Q2 </c:v>
                </c:pt>
                <c:pt idx="22">
                  <c:v> 2024Q3 </c:v>
                </c:pt>
                <c:pt idx="23">
                  <c:v> 2024Q4 </c:v>
                </c:pt>
                <c:pt idx="24">
                  <c:v> 2025Q1 </c:v>
                </c:pt>
                <c:pt idx="25">
                  <c:v> 2025Q2 </c:v>
                </c:pt>
                <c:pt idx="26">
                  <c:v> 2025Q3 </c:v>
                </c:pt>
                <c:pt idx="27">
                  <c:v> 2025Q4 </c:v>
                </c:pt>
                <c:pt idx="28">
                  <c:v> 2026Q1 </c:v>
                </c:pt>
                <c:pt idx="29">
                  <c:v> 2026Q2 </c:v>
                </c:pt>
              </c:strCache>
            </c:strRef>
          </c:cat>
          <c:val>
            <c:numRef>
              <c:f>EXPE!$AP$95:$BW$95</c:f>
              <c:numCache>
                <c:formatCode>0.0%</c:formatCode>
                <c:ptCount val="30"/>
                <c:pt idx="0">
                  <c:v>6.2962962962962887E-2</c:v>
                </c:pt>
                <c:pt idx="1">
                  <c:v>0.11548223350253806</c:v>
                </c:pt>
                <c:pt idx="2">
                  <c:v>0.11864406779661008</c:v>
                </c:pt>
                <c:pt idx="3">
                  <c:v>0.11266620013995809</c:v>
                </c:pt>
                <c:pt idx="4">
                  <c:v>-6.6202090592334506E-2</c:v>
                </c:pt>
                <c:pt idx="5">
                  <c:v>-0.79067121729237777</c:v>
                </c:pt>
                <c:pt idx="6">
                  <c:v>-0.47878787878787876</c:v>
                </c:pt>
                <c:pt idx="7">
                  <c:v>-0.67232704402515719</c:v>
                </c:pt>
                <c:pt idx="8">
                  <c:v>-0.40597014925373132</c:v>
                </c:pt>
                <c:pt idx="9">
                  <c:v>2.6358695652173911</c:v>
                </c:pt>
                <c:pt idx="10">
                  <c:v>0.86</c:v>
                </c:pt>
                <c:pt idx="11">
                  <c:v>1.84</c:v>
                </c:pt>
                <c:pt idx="12">
                  <c:v>0.86</c:v>
                </c:pt>
                <c:pt idx="13" formatCode="0%">
                  <c:v>0.59</c:v>
                </c:pt>
                <c:pt idx="14" formatCode="0%">
                  <c:v>0.26</c:v>
                </c:pt>
                <c:pt idx="15" formatCode="0%">
                  <c:v>0.16554054054054057</c:v>
                </c:pt>
                <c:pt idx="16" formatCode="0%">
                  <c:v>-1</c:v>
                </c:pt>
              </c:numCache>
            </c:numRef>
          </c:val>
          <c:smooth val="0"/>
          <c:extLst>
            <c:ext xmlns:c16="http://schemas.microsoft.com/office/drawing/2014/chart" uri="{C3380CC4-5D6E-409C-BE32-E72D297353CC}">
              <c16:uniqueId val="{00000005-5740-4581-B91D-13652FFADE3B}"/>
            </c:ext>
          </c:extLst>
        </c:ser>
        <c:ser>
          <c:idx val="4"/>
          <c:order val="4"/>
          <c:tx>
            <c:strRef>
              <c:f>EXPE!$A$98</c:f>
              <c:strCache>
                <c:ptCount val="1"/>
                <c:pt idx="0">
                  <c:v>Advertising&amp;media YoY growth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dLbl>
              <c:idx val="1"/>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-0.3%</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6423-45C2-9081-0AA1F6EE1902}"/>
                </c:ext>
              </c:extLst>
            </c:dLbl>
            <c:dLbl>
              <c:idx val="5"/>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-73.3%</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6423-45C2-9081-0AA1F6EE1902}"/>
                </c:ext>
              </c:extLst>
            </c:dLbl>
            <c:dLbl>
              <c:idx val="9"/>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115.1%</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6423-45C2-9081-0AA1F6EE1902}"/>
                </c:ext>
              </c:extLst>
            </c:dLbl>
            <c:dLbl>
              <c:idx val="13"/>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24%</a:t>
                    </a:r>
                  </a:p>
                </c:rich>
              </c:tx>
              <c:numFmt formatCode="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6423-45C2-9081-0AA1F6EE19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EXPE!$AH$3:$BW$3</c:f>
              <c:strCache>
                <c:ptCount val="30"/>
                <c:pt idx="0">
                  <c:v> 2019Q1 </c:v>
                </c:pt>
                <c:pt idx="1">
                  <c:v> 2019Q2 </c:v>
                </c:pt>
                <c:pt idx="2">
                  <c:v> 2019Q3 </c:v>
                </c:pt>
                <c:pt idx="3">
                  <c:v> 2019Q4 </c:v>
                </c:pt>
                <c:pt idx="4">
                  <c:v> 2020Q1 </c:v>
                </c:pt>
                <c:pt idx="5">
                  <c:v> 2020Q2 </c:v>
                </c:pt>
                <c:pt idx="6">
                  <c:v> 2020Q3 </c:v>
                </c:pt>
                <c:pt idx="7">
                  <c:v> 2020Q4 </c:v>
                </c:pt>
                <c:pt idx="8">
                  <c:v> 2021Q1 </c:v>
                </c:pt>
                <c:pt idx="9">
                  <c:v> 2021Q2 </c:v>
                </c:pt>
                <c:pt idx="10">
                  <c:v> 2021Q3 </c:v>
                </c:pt>
                <c:pt idx="11">
                  <c:v> 2021Q4 </c:v>
                </c:pt>
                <c:pt idx="12">
                  <c:v> 2022Q1 </c:v>
                </c:pt>
                <c:pt idx="13">
                  <c:v> 2022Q2 </c:v>
                </c:pt>
                <c:pt idx="14">
                  <c:v> 2022Q3 </c:v>
                </c:pt>
                <c:pt idx="15">
                  <c:v> 2022Q4 </c:v>
                </c:pt>
                <c:pt idx="16">
                  <c:v> 2023Q1 </c:v>
                </c:pt>
                <c:pt idx="17">
                  <c:v> 2023Q2 </c:v>
                </c:pt>
                <c:pt idx="18">
                  <c:v> 2023Q3 </c:v>
                </c:pt>
                <c:pt idx="19">
                  <c:v> 2023Q4 </c:v>
                </c:pt>
                <c:pt idx="20">
                  <c:v> 2024Q1 </c:v>
                </c:pt>
                <c:pt idx="21">
                  <c:v> 2024Q2 </c:v>
                </c:pt>
                <c:pt idx="22">
                  <c:v> 2024Q3 </c:v>
                </c:pt>
                <c:pt idx="23">
                  <c:v> 2024Q4 </c:v>
                </c:pt>
                <c:pt idx="24">
                  <c:v> 2025Q1 </c:v>
                </c:pt>
                <c:pt idx="25">
                  <c:v> 2025Q2 </c:v>
                </c:pt>
                <c:pt idx="26">
                  <c:v> 2025Q3 </c:v>
                </c:pt>
                <c:pt idx="27">
                  <c:v> 2025Q4 </c:v>
                </c:pt>
                <c:pt idx="28">
                  <c:v> 2026Q1 </c:v>
                </c:pt>
                <c:pt idx="29">
                  <c:v> 2026Q2 </c:v>
                </c:pt>
              </c:strCache>
            </c:strRef>
          </c:cat>
          <c:val>
            <c:numRef>
              <c:f>EXPE!$AP$98:$BW$98</c:f>
              <c:numCache>
                <c:formatCode>0.0%</c:formatCode>
                <c:ptCount val="30"/>
                <c:pt idx="0">
                  <c:v>-9.0410958904109551E-2</c:v>
                </c:pt>
                <c:pt idx="1">
                  <c:v>-2.8653295128939771E-3</c:v>
                </c:pt>
                <c:pt idx="2">
                  <c:v>6.0846560846560926E-2</c:v>
                </c:pt>
                <c:pt idx="3">
                  <c:v>0.11803278688524599</c:v>
                </c:pt>
                <c:pt idx="4">
                  <c:v>-7.5301204819277157E-2</c:v>
                </c:pt>
                <c:pt idx="5">
                  <c:v>-0.73275862068965525</c:v>
                </c:pt>
                <c:pt idx="6">
                  <c:v>-0.64339152119700749</c:v>
                </c:pt>
                <c:pt idx="7">
                  <c:v>-0.62463343108504399</c:v>
                </c:pt>
                <c:pt idx="8">
                  <c:v>-0.58631921824104238</c:v>
                </c:pt>
                <c:pt idx="9">
                  <c:v>1.150537634408602</c:v>
                </c:pt>
                <c:pt idx="10">
                  <c:v>0.67</c:v>
                </c:pt>
                <c:pt idx="11">
                  <c:v>0.47</c:v>
                </c:pt>
                <c:pt idx="12">
                  <c:v>0.56999999999999995</c:v>
                </c:pt>
                <c:pt idx="13" formatCode="0%">
                  <c:v>0.24</c:v>
                </c:pt>
                <c:pt idx="14" formatCode="0%">
                  <c:v>7.0000000000000007E-2</c:v>
                </c:pt>
                <c:pt idx="15" formatCode="0%">
                  <c:v>0.1063829787234043</c:v>
                </c:pt>
                <c:pt idx="16" formatCode="0%">
                  <c:v>-1</c:v>
                </c:pt>
              </c:numCache>
            </c:numRef>
          </c:val>
          <c:smooth val="0"/>
          <c:extLst>
            <c:ext xmlns:c16="http://schemas.microsoft.com/office/drawing/2014/chart" uri="{C3380CC4-5D6E-409C-BE32-E72D297353CC}">
              <c16:uniqueId val="{00000006-5740-4581-B91D-13652FFADE3B}"/>
            </c:ext>
          </c:extLst>
        </c:ser>
        <c:dLbls>
          <c:showLegendKey val="0"/>
          <c:showVal val="0"/>
          <c:showCatName val="0"/>
          <c:showSerName val="0"/>
          <c:showPercent val="0"/>
          <c:showBubbleSize val="0"/>
        </c:dLbls>
        <c:marker val="1"/>
        <c:smooth val="0"/>
        <c:axId val="905261664"/>
        <c:axId val="353153424"/>
      </c:lineChart>
      <c:catAx>
        <c:axId val="35315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53142192"/>
        <c:crosses val="autoZero"/>
        <c:auto val="1"/>
        <c:lblAlgn val="ctr"/>
        <c:lblOffset val="100"/>
        <c:noMultiLvlLbl val="0"/>
      </c:catAx>
      <c:valAx>
        <c:axId val="35314219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53153840"/>
        <c:crosses val="autoZero"/>
        <c:crossBetween val="between"/>
      </c:valAx>
      <c:valAx>
        <c:axId val="353153424"/>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05261664"/>
        <c:crosses val="max"/>
        <c:crossBetween val="between"/>
      </c:valAx>
      <c:catAx>
        <c:axId val="905261664"/>
        <c:scaling>
          <c:orientation val="minMax"/>
        </c:scaling>
        <c:delete val="1"/>
        <c:axPos val="b"/>
        <c:numFmt formatCode="General" sourceLinked="1"/>
        <c:majorTickMark val="out"/>
        <c:minorTickMark val="none"/>
        <c:tickLblPos val="nextTo"/>
        <c:crossAx val="353153424"/>
        <c:crosses val="autoZero"/>
        <c:auto val="1"/>
        <c:lblAlgn val="ctr"/>
        <c:lblOffset val="100"/>
        <c:noMultiLvlLbl val="0"/>
      </c:catAx>
      <c:spPr>
        <a:noFill/>
        <a:ln>
          <a:solidFill>
            <a:schemeClr val="bg1">
              <a:lumMod val="65000"/>
            </a:schemeClr>
          </a:solidFill>
        </a:ln>
        <a:effectLst/>
      </c:spPr>
    </c:plotArea>
    <c:legend>
      <c:legendPos val="b"/>
      <c:layout>
        <c:manualLayout>
          <c:xMode val="edge"/>
          <c:yMode val="edge"/>
          <c:x val="3.5002126852987293E-2"/>
          <c:y val="0.81110919987687624"/>
          <c:w val="0.90287169648117072"/>
          <c:h val="0.1642531227124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400" b="0" i="0" baseline="0">
                <a:effectLst/>
              </a:rPr>
              <a:t>EXPE Gross Bookings by Business</a:t>
            </a:r>
            <a:endParaRPr lang="zh-CN" altLang="zh-CN"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stacked"/>
        <c:varyColors val="0"/>
        <c:ser>
          <c:idx val="1"/>
          <c:order val="1"/>
          <c:tx>
            <c:strRef>
              <c:f>EXPE!$A$35</c:f>
              <c:strCache>
                <c:ptCount val="1"/>
                <c:pt idx="0">
                  <c:v>Agency contribution</c:v>
                </c:pt>
              </c:strCache>
            </c:strRef>
          </c:tx>
          <c:spPr>
            <a:solidFill>
              <a:schemeClr val="accent2"/>
            </a:solidFill>
            <a:ln>
              <a:noFill/>
            </a:ln>
            <a:effectLst/>
          </c:spPr>
          <c:invertIfNegative val="0"/>
          <c:cat>
            <c:strRef>
              <c:extLst>
                <c:ext xmlns:c15="http://schemas.microsoft.com/office/drawing/2012/chart" uri="{02D57815-91ED-43cb-92C2-25804820EDAC}">
                  <c15:fullRef>
                    <c15:sqref>EXPE!$AU$3:$BW$3</c15:sqref>
                  </c15:fullRef>
                </c:ext>
              </c:extLst>
              <c:f>(EXPE!$AU$3:$AW$3,EXPE!$BJ$3:$BW$3)</c:f>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xmlns:c15="http://schemas.microsoft.com/office/drawing/2012/chart" uri="{02D57815-91ED-43cb-92C2-25804820EDAC}">
                  <c15:fullRef>
                    <c15:sqref>EXPE!$AU$35:$BW$35</c15:sqref>
                  </c15:fullRef>
                </c:ext>
              </c:extLst>
              <c:f>(EXPE!$AU$35:$AW$35,EXPE!$BJ$35:$BW$35)</c:f>
              <c:numCache>
                <c:formatCode>0%</c:formatCode>
                <c:ptCount val="17"/>
                <c:pt idx="0">
                  <c:v>0.56948960836985718</c:v>
                </c:pt>
                <c:pt idx="1">
                  <c:v>0.54164964533739368</c:v>
                </c:pt>
                <c:pt idx="2">
                  <c:v>0.5143471714347172</c:v>
                </c:pt>
                <c:pt idx="3">
                  <c:v>0.45661712186660319</c:v>
                </c:pt>
                <c:pt idx="4">
                  <c:v>0.45276527213498774</c:v>
                </c:pt>
                <c:pt idx="5">
                  <c:v>0.42542339887093633</c:v>
                </c:pt>
                <c:pt idx="6">
                  <c:v>0.43553894425987449</c:v>
                </c:pt>
                <c:pt idx="7">
                  <c:v>0.4409561066171595</c:v>
                </c:pt>
                <c:pt idx="8">
                  <c:v>0.43617574643686929</c:v>
                </c:pt>
                <c:pt idx="9">
                  <c:v>0.41381191359371589</c:v>
                </c:pt>
                <c:pt idx="10">
                  <c:v>0.42486282859716651</c:v>
                </c:pt>
                <c:pt idx="11">
                  <c:v>0.42094051063559185</c:v>
                </c:pt>
                <c:pt idx="12">
                  <c:v>0.40698477424446711</c:v>
                </c:pt>
                <c:pt idx="13">
                  <c:v>0.38646792723012335</c:v>
                </c:pt>
                <c:pt idx="14">
                  <c:v>0.3894752434914639</c:v>
                </c:pt>
                <c:pt idx="15">
                  <c:v>0.40408105826062485</c:v>
                </c:pt>
                <c:pt idx="16">
                  <c:v>0.39250766328696063</c:v>
                </c:pt>
              </c:numCache>
            </c:numRef>
          </c:val>
          <c:extLst>
            <c:ext xmlns:c16="http://schemas.microsoft.com/office/drawing/2014/chart" uri="{C3380CC4-5D6E-409C-BE32-E72D297353CC}">
              <c16:uniqueId val="{00000000-192D-4582-ACE9-36EBE2EBF84D}"/>
            </c:ext>
          </c:extLst>
        </c:ser>
        <c:ser>
          <c:idx val="3"/>
          <c:order val="3"/>
          <c:tx>
            <c:strRef>
              <c:f>EXPE!$A$39</c:f>
              <c:strCache>
                <c:ptCount val="1"/>
                <c:pt idx="0">
                  <c:v>Merchant contribution</c:v>
                </c:pt>
              </c:strCache>
            </c:strRef>
          </c:tx>
          <c:spPr>
            <a:solidFill>
              <a:schemeClr val="accent4"/>
            </a:solidFill>
            <a:ln>
              <a:noFill/>
            </a:ln>
            <a:effectLst/>
          </c:spPr>
          <c:invertIfNegative val="0"/>
          <c:cat>
            <c:strRef>
              <c:extLst>
                <c:ext xmlns:c15="http://schemas.microsoft.com/office/drawing/2012/chart" uri="{02D57815-91ED-43cb-92C2-25804820EDAC}">
                  <c15:fullRef>
                    <c15:sqref>EXPE!$AU$3:$BW$3</c15:sqref>
                  </c15:fullRef>
                </c:ext>
              </c:extLst>
              <c:f>(EXPE!$AU$3:$AW$3,EXPE!$BJ$3:$BW$3)</c:f>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xmlns:c15="http://schemas.microsoft.com/office/drawing/2012/chart" uri="{02D57815-91ED-43cb-92C2-25804820EDAC}">
                  <c15:fullRef>
                    <c15:sqref>EXPE!$AU$39:$BW$39</c15:sqref>
                  </c15:fullRef>
                </c:ext>
              </c:extLst>
              <c:f>(EXPE!$AU$39:$AW$39,EXPE!$BJ$39:$BW$39)</c:f>
              <c:numCache>
                <c:formatCode>0%</c:formatCode>
                <c:ptCount val="17"/>
                <c:pt idx="0">
                  <c:v>0.43051039163014282</c:v>
                </c:pt>
                <c:pt idx="1">
                  <c:v>0.45835035466260632</c:v>
                </c:pt>
                <c:pt idx="2">
                  <c:v>0.48565282856528286</c:v>
                </c:pt>
                <c:pt idx="3">
                  <c:v>0.54338287813339681</c:v>
                </c:pt>
                <c:pt idx="4">
                  <c:v>0.54723472786501226</c:v>
                </c:pt>
                <c:pt idx="5">
                  <c:v>0.57457660112906361</c:v>
                </c:pt>
                <c:pt idx="6">
                  <c:v>0.56446105574012551</c:v>
                </c:pt>
                <c:pt idx="7">
                  <c:v>0.55904389338284044</c:v>
                </c:pt>
                <c:pt idx="8">
                  <c:v>0.56382425356313071</c:v>
                </c:pt>
                <c:pt idx="9">
                  <c:v>0.58618808640628406</c:v>
                </c:pt>
                <c:pt idx="10">
                  <c:v>0.57513717140283349</c:v>
                </c:pt>
                <c:pt idx="11">
                  <c:v>0.5790594893644081</c:v>
                </c:pt>
                <c:pt idx="12">
                  <c:v>0.59301522575553289</c:v>
                </c:pt>
                <c:pt idx="13">
                  <c:v>0.61353207276987665</c:v>
                </c:pt>
                <c:pt idx="14">
                  <c:v>0.6105247565085361</c:v>
                </c:pt>
                <c:pt idx="15">
                  <c:v>0.59591894173937521</c:v>
                </c:pt>
                <c:pt idx="16">
                  <c:v>0.60749233671303937</c:v>
                </c:pt>
              </c:numCache>
            </c:numRef>
          </c:val>
          <c:extLst>
            <c:ext xmlns:c16="http://schemas.microsoft.com/office/drawing/2014/chart" uri="{C3380CC4-5D6E-409C-BE32-E72D297353CC}">
              <c16:uniqueId val="{00000001-192D-4582-ACE9-36EBE2EBF84D}"/>
            </c:ext>
          </c:extLst>
        </c:ser>
        <c:dLbls>
          <c:showLegendKey val="0"/>
          <c:showVal val="0"/>
          <c:showCatName val="0"/>
          <c:showSerName val="0"/>
          <c:showPercent val="0"/>
          <c:showBubbleSize val="0"/>
        </c:dLbls>
        <c:gapWidth val="70"/>
        <c:overlap val="100"/>
        <c:axId val="905268736"/>
        <c:axId val="905264160"/>
      </c:barChart>
      <c:lineChart>
        <c:grouping val="standard"/>
        <c:varyColors val="0"/>
        <c:ser>
          <c:idx val="0"/>
          <c:order val="0"/>
          <c:tx>
            <c:strRef>
              <c:f>EXPE!$A$34</c:f>
              <c:strCache>
                <c:ptCount val="1"/>
                <c:pt idx="0">
                  <c:v>Agency YoY growth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3.7579754550257291E-2"/>
                  <c:y val="7.3311911955219203E-2"/>
                </c:manualLayout>
              </c:layout>
              <c:numFmt formatCode="0%" sourceLinked="0"/>
              <c:spPr>
                <a:solidFill>
                  <a:schemeClr val="bg1"/>
                </a:solidFill>
                <a:ln>
                  <a:noFill/>
                </a:ln>
                <a:effectLst/>
              </c:spPr>
              <c:txPr>
                <a:bodyPr rot="0" spcFirstLastPara="1" vertOverflow="ellipsis" vert="horz" wrap="square" lIns="38100" tIns="19050" rIns="38100" bIns="19050" anchor="ctr" anchorCtr="0">
                  <a:spAutoFit/>
                </a:bodyPr>
                <a:lstStyle/>
                <a:p>
                  <a:pPr algn="ctr" rtl="0">
                    <a:defRPr lang="en-US" altLang="zh-CN" sz="900" b="1" i="0" u="none" strike="noStrike" kern="1200" baseline="0">
                      <a:solidFill>
                        <a:srgbClr val="000000"/>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68B-45C0-B211-50386D8C70D4}"/>
                </c:ext>
              </c:extLst>
            </c:dLbl>
            <c:dLbl>
              <c:idx val="4"/>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-3%</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56F-4A2D-9B83-6636661776D8}"/>
                </c:ext>
              </c:extLst>
            </c:dLbl>
            <c:dLbl>
              <c:idx val="8"/>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2%</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56F-4A2D-9B83-6636661776D8}"/>
                </c:ext>
              </c:extLst>
            </c:dLbl>
            <c:dLbl>
              <c:idx val="12"/>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-2%</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56F-4A2D-9B83-6636661776D8}"/>
                </c:ext>
              </c:extLst>
            </c:dLbl>
            <c:dLbl>
              <c:idx val="16"/>
              <c:layout>
                <c:manualLayout>
                  <c:x val="-5.559816402277868E-2"/>
                  <c:y val="-6.3636744793122479E-2"/>
                </c:manualLayout>
              </c:layout>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8%</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CEE-4A09-A8AA-EAAABC5360AC}"/>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EXPE!$AU$3:$BW$3</c15:sqref>
                  </c15:fullRef>
                </c:ext>
              </c:extLst>
              <c:f>(EXPE!$AU$3:$AW$3,EXPE!$BJ$3:$BW$3)</c:f>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xmlns:c15="http://schemas.microsoft.com/office/drawing/2012/chart" uri="{02D57815-91ED-43cb-92C2-25804820EDAC}">
                  <c15:fullRef>
                    <c15:sqref>EXPE!$AU$34:$BW$34</c15:sqref>
                  </c15:fullRef>
                </c:ext>
              </c:extLst>
              <c:f>(EXPE!$AU$34:$AW$34,EXPE!$BJ$34:$BW$34)</c:f>
              <c:numCache>
                <c:formatCode>0.0%</c:formatCode>
                <c:ptCount val="17"/>
                <c:pt idx="0">
                  <c:v>8.710613318939342E-2</c:v>
                </c:pt>
                <c:pt idx="1">
                  <c:v>6.7481519432042836E-2</c:v>
                </c:pt>
                <c:pt idx="2">
                  <c:v>-5.126170449135059E-2</c:v>
                </c:pt>
                <c:pt idx="3">
                  <c:v>0.18323638286620825</c:v>
                </c:pt>
                <c:pt idx="4">
                  <c:v>-3.1550927738197787E-2</c:v>
                </c:pt>
                <c:pt idx="5">
                  <c:v>2.1093176815847325E-3</c:v>
                </c:pt>
                <c:pt idx="6">
                  <c:v>-3.1682331819622433E-3</c:v>
                </c:pt>
                <c:pt idx="7">
                  <c:v>-9.2364990689013382E-3</c:v>
                </c:pt>
                <c:pt idx="8">
                  <c:v>1.6814874696847282E-2</c:v>
                </c:pt>
                <c:pt idx="9">
                  <c:v>4.1365425093804253E-2</c:v>
                </c:pt>
                <c:pt idx="10">
                  <c:v>9.9268990359148157E-2</c:v>
                </c:pt>
                <c:pt idx="11">
                  <c:v>-4.6613036613788461E-3</c:v>
                </c:pt>
                <c:pt idx="12">
                  <c:v>-1.6059786929559561E-2</c:v>
                </c:pt>
                <c:pt idx="13">
                  <c:v>4.3589067580630969E-2</c:v>
                </c:pt>
                <c:pt idx="14">
                  <c:v>1.3589051657671547E-2</c:v>
                </c:pt>
                <c:pt idx="15">
                  <c:v>8.44474658206813E-2</c:v>
                </c:pt>
                <c:pt idx="16">
                  <c:v>7.6034259857789221E-2</c:v>
                </c:pt>
              </c:numCache>
            </c:numRef>
          </c:val>
          <c:smooth val="0"/>
          <c:extLst>
            <c:ext xmlns:c15="http://schemas.microsoft.com/office/drawing/2012/chart" uri="{02D57815-91ED-43cb-92C2-25804820EDAC}">
              <c15:categoryFilterExceptions>
                <c15:categoryFilterException>
                  <c15:sqref>EXPE!$AY$34</c15:sqref>
                  <c15:dLbl>
                    <c:idx val="2"/>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-92%</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uri="{CE6537A1-D6FC-4f65-9D91-7224C49458BB}">
                        <c15:showDataLabelsRange val="0"/>
                      </c:ext>
                      <c:ext xmlns:c16="http://schemas.microsoft.com/office/drawing/2014/chart" uri="{C3380CC4-5D6E-409C-BE32-E72D297353CC}">
                        <c16:uniqueId val="{00000000-5481-4FD6-8DD8-C8CB52359073}"/>
                      </c:ext>
                    </c:extLst>
                  </c15:dLbl>
                </c15:categoryFilterException>
                <c15:categoryFilterException>
                  <c15:sqref>EXPE!$BG$34</c15:sqref>
                  <c15:dLbl>
                    <c:idx val="2"/>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23%</a:t>
                          </a:r>
                          <a:endParaRPr lang="en-US"/>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uri="{CE6537A1-D6FC-4f65-9D91-7224C49458BB}">
                        <c15:showDataLabelsRange val="0"/>
                      </c:ext>
                      <c:ext xmlns:c16="http://schemas.microsoft.com/office/drawing/2014/chart" uri="{C3380CC4-5D6E-409C-BE32-E72D297353CC}">
                        <c16:uniqueId val="{00000001-5481-4FD6-8DD8-C8CB52359073}"/>
                      </c:ext>
                    </c:extLst>
                  </c15:dLbl>
                </c15:categoryFilterException>
              </c15:categoryFilterExceptions>
            </c:ext>
            <c:ext xmlns:c16="http://schemas.microsoft.com/office/drawing/2014/chart" uri="{C3380CC4-5D6E-409C-BE32-E72D297353CC}">
              <c16:uniqueId val="{00000003-192D-4582-ACE9-36EBE2EBF84D}"/>
            </c:ext>
          </c:extLst>
        </c:ser>
        <c:ser>
          <c:idx val="2"/>
          <c:order val="2"/>
          <c:tx>
            <c:strRef>
              <c:f>EXPE!$A$38</c:f>
              <c:strCache>
                <c:ptCount val="1"/>
                <c:pt idx="0">
                  <c:v>Merchant YoY growth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Lbl>
              <c:idx val="0"/>
              <c:layout>
                <c:manualLayout>
                  <c:x val="-3.7579754550257291E-2"/>
                  <c:y val="-7.3311911955219314E-2"/>
                </c:manualLayout>
              </c:layout>
              <c:tx>
                <c:rich>
                  <a:bodyPr rot="0" spcFirstLastPara="1" vertOverflow="ellipsis" vert="horz" wrap="square" lIns="38100" tIns="19050" rIns="38100" bIns="19050" anchor="ctr" anchorCtr="0">
                    <a:spAutoFit/>
                  </a:bodyPr>
                  <a:lstStyle/>
                  <a:p>
                    <a:pPr algn="ctr" rtl="0">
                      <a:defRPr lang="en-US" altLang="zh-CN" sz="900" b="1" i="0" u="none" strike="noStrike" kern="1200" baseline="0">
                        <a:solidFill>
                          <a:srgbClr val="000000"/>
                        </a:solidFill>
                        <a:latin typeface="+mn-lt"/>
                        <a:ea typeface="+mn-ea"/>
                        <a:cs typeface="+mn-cs"/>
                      </a:defRPr>
                    </a:pPr>
                    <a:fld id="{90385812-1436-4FDB-A3F2-30342C175EA2}" type="VALUE">
                      <a:rPr lang="en-US" altLang="zh-CN" sz="900" b="1" i="0" u="none" strike="noStrike" kern="1200" baseline="0">
                        <a:solidFill>
                          <a:srgbClr val="000000"/>
                        </a:solidFill>
                        <a:latin typeface="+mn-lt"/>
                        <a:ea typeface="+mn-ea"/>
                        <a:cs typeface="+mn-cs"/>
                      </a:rPr>
                      <a:pPr algn="ctr" rtl="0">
                        <a:defRPr lang="en-US" altLang="zh-CN" b="1">
                          <a:solidFill>
                            <a:srgbClr val="000000"/>
                          </a:solidFill>
                        </a:defRPr>
                      </a:pPr>
                      <a:t>[值]</a:t>
                    </a:fld>
                    <a:endParaRPr lang="zh-CN" altLang="en-US"/>
                  </a:p>
                </c:rich>
              </c:tx>
              <c:numFmt formatCode="0%" sourceLinked="0"/>
              <c:spPr>
                <a:solidFill>
                  <a:schemeClr val="bg1"/>
                </a:solidFill>
                <a:ln>
                  <a:noFill/>
                </a:ln>
                <a:effectLst/>
              </c:spPr>
              <c:txPr>
                <a:bodyPr rot="0" spcFirstLastPara="1" vertOverflow="ellipsis" vert="horz" wrap="square" lIns="38100" tIns="19050" rIns="38100" bIns="19050" anchor="ctr" anchorCtr="0">
                  <a:spAutoFit/>
                </a:bodyPr>
                <a:lstStyle/>
                <a:p>
                  <a:pPr algn="ctr" rtl="0">
                    <a:defRPr lang="en-US" altLang="zh-CN" sz="900" b="1" i="0" u="none" strike="noStrike" kern="1200" baseline="0">
                      <a:solidFill>
                        <a:srgbClr val="000000"/>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68B-45C0-B211-50386D8C70D4}"/>
                </c:ext>
              </c:extLst>
            </c:dLbl>
            <c:dLbl>
              <c:idx val="4"/>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12%</a:t>
                    </a:r>
                    <a:endParaRPr lang="en-US"/>
                  </a:p>
                </c:rich>
              </c:tx>
              <c:numFmt formatCode="#,##0.00_);[Red]\(#,##0.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56F-4A2D-9B83-6636661776D8}"/>
                </c:ext>
              </c:extLst>
            </c:dLbl>
            <c:dLbl>
              <c:idx val="8"/>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9%</a:t>
                    </a:r>
                    <a:endParaRPr lang="en-US"/>
                  </a:p>
                </c:rich>
              </c:tx>
              <c:numFmt formatCode="#,##0.00_);[Red]\(#,##0.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56F-4A2D-9B83-6636661776D8}"/>
                </c:ext>
              </c:extLst>
            </c:dLbl>
            <c:dLbl>
              <c:idx val="12"/>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11%</a:t>
                    </a:r>
                    <a:endParaRPr lang="en-US"/>
                  </a:p>
                </c:rich>
              </c:tx>
              <c:numFmt formatCode="#,##0.00_);[Red]\(#,##0.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56F-4A2D-9B83-6636661776D8}"/>
                </c:ext>
              </c:extLst>
            </c:dLbl>
            <c:dLbl>
              <c:idx val="16"/>
              <c:layout>
                <c:manualLayout>
                  <c:x val="-6.7959951864002333E-2"/>
                  <c:y val="-9.4504918247951639E-2"/>
                </c:manualLayout>
              </c:layout>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14%</a:t>
                    </a:r>
                    <a:endParaRPr lang="en-US"/>
                  </a:p>
                </c:rich>
              </c:tx>
              <c:numFmt formatCode="#,##0.00_);[Red]\(#,##0.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CEE-4A09-A8AA-EAAABC5360AC}"/>
                </c:ext>
              </c:extLst>
            </c:dLbl>
            <c:numFmt formatCode="#,##0.00_);[Red]\(#,##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EXPE!$AU$3:$BW$3</c15:sqref>
                  </c15:fullRef>
                </c:ext>
              </c:extLst>
              <c:f>(EXPE!$AU$3:$AW$3,EXPE!$BJ$3:$BW$3)</c:f>
              <c:strCache>
                <c:ptCount val="17"/>
                <c:pt idx="0">
                  <c:v> 2019Q2 </c:v>
                </c:pt>
                <c:pt idx="1">
                  <c:v> 2019Q3 </c:v>
                </c:pt>
                <c:pt idx="2">
                  <c:v> 2019Q4 </c:v>
                </c:pt>
                <c:pt idx="3">
                  <c:v> 2023Q1 </c:v>
                </c:pt>
                <c:pt idx="4">
                  <c:v> 2023Q2 </c:v>
                </c:pt>
                <c:pt idx="5">
                  <c:v> 2023Q3 </c:v>
                </c:pt>
                <c:pt idx="6">
                  <c:v> 2023Q4 </c:v>
                </c:pt>
                <c:pt idx="7">
                  <c:v> 2024Q1 </c:v>
                </c:pt>
                <c:pt idx="8">
                  <c:v> 2024Q2 </c:v>
                </c:pt>
                <c:pt idx="9">
                  <c:v> 2024Q3 </c:v>
                </c:pt>
                <c:pt idx="10">
                  <c:v> 2024Q4 </c:v>
                </c:pt>
                <c:pt idx="11">
                  <c:v> 2025Q1 </c:v>
                </c:pt>
                <c:pt idx="12">
                  <c:v> 2025Q2 </c:v>
                </c:pt>
                <c:pt idx="13">
                  <c:v> 2025Q3 </c:v>
                </c:pt>
                <c:pt idx="14">
                  <c:v> 2025Q4 </c:v>
                </c:pt>
                <c:pt idx="15">
                  <c:v> 2026Q1 </c:v>
                </c:pt>
                <c:pt idx="16">
                  <c:v> 2026Q2 </c:v>
                </c:pt>
              </c:strCache>
            </c:strRef>
          </c:cat>
          <c:val>
            <c:numRef>
              <c:extLst>
                <c:ext xmlns:c15="http://schemas.microsoft.com/office/drawing/2012/chart" uri="{02D57815-91ED-43cb-92C2-25804820EDAC}">
                  <c15:fullRef>
                    <c15:sqref>EXPE!$AU$38:$BW$38</c15:sqref>
                  </c15:fullRef>
                </c:ext>
              </c:extLst>
              <c:f>(EXPE!$AU$38:$AW$38,EXPE!$BJ$38:$BW$38)</c:f>
              <c:numCache>
                <c:formatCode>0.0%</c:formatCode>
                <c:ptCount val="17"/>
                <c:pt idx="0">
                  <c:v>9.9575697390990259E-2</c:v>
                </c:pt>
                <c:pt idx="1">
                  <c:v>0.1206755652410787</c:v>
                </c:pt>
                <c:pt idx="2">
                  <c:v>0.20673436664885081</c:v>
                </c:pt>
                <c:pt idx="3">
                  <c:v>0.22271544466554416</c:v>
                </c:pt>
                <c:pt idx="4">
                  <c:v>0.1185844680532695</c:v>
                </c:pt>
                <c:pt idx="5">
                  <c:v>0.12802873958572203</c:v>
                </c:pt>
                <c:pt idx="6">
                  <c:v>0.10786089476544114</c:v>
                </c:pt>
                <c:pt idx="7">
                  <c:v>5.5520781171757738E-2</c:v>
                </c:pt>
                <c:pt idx="8">
                  <c:v>8.7485786903886087E-2</c:v>
                </c:pt>
                <c:pt idx="9">
                  <c:v>9.2221168179970281E-2</c:v>
                </c:pt>
                <c:pt idx="10">
                  <c:v>0.14820567317910571</c:v>
                </c:pt>
                <c:pt idx="11">
                  <c:v>7.9997627942833383E-2</c:v>
                </c:pt>
                <c:pt idx="12">
                  <c:v>0.10910880127929157</c:v>
                </c:pt>
                <c:pt idx="13">
                  <c:v>0.16955146100874741</c:v>
                </c:pt>
                <c:pt idx="14">
                  <c:v>0.17371493663676496</c:v>
                </c:pt>
                <c:pt idx="15">
                  <c:v>0.16258510871952558</c:v>
                </c:pt>
                <c:pt idx="16">
                  <c:v>0.1429601286530251</c:v>
                </c:pt>
              </c:numCache>
            </c:numRef>
          </c:val>
          <c:smooth val="0"/>
          <c:extLst>
            <c:ext xmlns:c15="http://schemas.microsoft.com/office/drawing/2012/chart" uri="{02D57815-91ED-43cb-92C2-25804820EDAC}">
              <c15:categoryFilterExceptions>
                <c15:categoryFilterException>
                  <c15:sqref>EXPE!$AY$38</c15:sqref>
                  <c15:dLbl>
                    <c:idx val="2"/>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-89%</a:t>
                          </a:r>
                          <a:endParaRPr lang="en-US"/>
                        </a:p>
                      </c:rich>
                    </c:tx>
                    <c:numFmt formatCode="#,##0.00_);[Red]\(#,##0.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uri="{CE6537A1-D6FC-4f65-9D91-7224C49458BB}">
                        <c15:showDataLabelsRange val="0"/>
                      </c:ext>
                      <c:ext xmlns:c16="http://schemas.microsoft.com/office/drawing/2014/chart" uri="{C3380CC4-5D6E-409C-BE32-E72D297353CC}">
                        <c16:uniqueId val="{00000002-5481-4FD6-8DD8-C8CB52359073}"/>
                      </c:ext>
                    </c:extLst>
                  </c15:dLbl>
                </c15:categoryFilterException>
                <c15:categoryFilterException>
                  <c15:sqref>EXPE!$BG$38</c15:sqref>
                  <c15:dLbl>
                    <c:idx val="2"/>
                    <c:tx>
                      <c:rich>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r>
                            <a:rPr lang="en-US" altLang="zh-CN"/>
                            <a:t>28%</a:t>
                          </a:r>
                          <a:endParaRPr lang="en-US"/>
                        </a:p>
                      </c:rich>
                    </c:tx>
                    <c:numFmt formatCode="#,##0.00_);[Red]\(#,##0.0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zh-CN"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uri="{CE6537A1-D6FC-4f65-9D91-7224C49458BB}">
                        <c15:showDataLabelsRange val="0"/>
                      </c:ext>
                      <c:ext xmlns:c16="http://schemas.microsoft.com/office/drawing/2014/chart" uri="{C3380CC4-5D6E-409C-BE32-E72D297353CC}">
                        <c16:uniqueId val="{00000003-5481-4FD6-8DD8-C8CB52359073}"/>
                      </c:ext>
                    </c:extLst>
                  </c15:dLbl>
                </c15:categoryFilterException>
              </c15:categoryFilterExceptions>
            </c:ext>
            <c:ext xmlns:c16="http://schemas.microsoft.com/office/drawing/2014/chart" uri="{C3380CC4-5D6E-409C-BE32-E72D297353CC}">
              <c16:uniqueId val="{00000004-192D-4582-ACE9-36EBE2EBF84D}"/>
            </c:ext>
          </c:extLst>
        </c:ser>
        <c:dLbls>
          <c:showLegendKey val="0"/>
          <c:showVal val="0"/>
          <c:showCatName val="0"/>
          <c:showSerName val="0"/>
          <c:showPercent val="0"/>
          <c:showBubbleSize val="0"/>
        </c:dLbls>
        <c:marker val="1"/>
        <c:smooth val="0"/>
        <c:axId val="905541040"/>
        <c:axId val="905544368"/>
      </c:lineChart>
      <c:catAx>
        <c:axId val="90526873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05264160"/>
        <c:crosses val="autoZero"/>
        <c:auto val="1"/>
        <c:lblAlgn val="ctr"/>
        <c:lblOffset val="100"/>
        <c:noMultiLvlLbl val="0"/>
      </c:catAx>
      <c:valAx>
        <c:axId val="90526416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05268736"/>
        <c:crosses val="autoZero"/>
        <c:crossBetween val="between"/>
      </c:valAx>
      <c:valAx>
        <c:axId val="905544368"/>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05541040"/>
        <c:crosses val="max"/>
        <c:crossBetween val="between"/>
      </c:valAx>
      <c:catAx>
        <c:axId val="905541040"/>
        <c:scaling>
          <c:orientation val="minMax"/>
        </c:scaling>
        <c:delete val="1"/>
        <c:axPos val="b"/>
        <c:numFmt formatCode="General" sourceLinked="1"/>
        <c:majorTickMark val="out"/>
        <c:minorTickMark val="none"/>
        <c:tickLblPos val="nextTo"/>
        <c:crossAx val="905544368"/>
        <c:crosses val="autoZero"/>
        <c:auto val="1"/>
        <c:lblAlgn val="ctr"/>
        <c:lblOffset val="100"/>
        <c:noMultiLvlLbl val="0"/>
      </c:catAx>
      <c:spPr>
        <a:no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ABNB</a:t>
            </a:r>
            <a:r>
              <a:rPr lang="zh-CN" altLang="en-US"/>
              <a:t> </a:t>
            </a:r>
            <a:r>
              <a:rPr lang="en-US" altLang="zh-CN"/>
              <a:t>Revenue &amp; YoY Growth</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ABNB!$A$15</c:f>
              <c:strCache>
                <c:ptCount val="1"/>
                <c:pt idx="0">
                  <c:v> Revenue </c:v>
                </c:pt>
              </c:strCache>
            </c:strRef>
          </c:tx>
          <c:spPr>
            <a:solidFill>
              <a:schemeClr val="accent1"/>
            </a:solidFill>
            <a:ln>
              <a:noFill/>
            </a:ln>
            <a:effectLst/>
          </c:spPr>
          <c:invertIfNegative val="0"/>
          <c:cat>
            <c:strRef>
              <c:extLst>
                <c:ext xmlns:c15="http://schemas.microsoft.com/office/drawing/2012/chart" uri="{02D57815-91ED-43cb-92C2-25804820EDAC}">
                  <c15:fullRef>
                    <c15:sqref>ABNB!$B$1:$AI$1</c15:sqref>
                  </c15:fullRef>
                </c:ext>
              </c:extLst>
              <c:f>(ABNB!$B$1:$E$1,ABNB!$G$1:$Q$1,ABNB!$V$1:$AI$1)</c:f>
              <c:strCache>
                <c:ptCount val="17"/>
                <c:pt idx="0">
                  <c:v>19Q2</c:v>
                </c:pt>
                <c:pt idx="1">
                  <c:v>19Q3</c:v>
                </c:pt>
                <c:pt idx="2">
                  <c:v>19Q4</c:v>
                </c:pt>
                <c:pt idx="3">
                  <c:v>23Q1</c:v>
                </c:pt>
                <c:pt idx="4">
                  <c:v>23Q2</c:v>
                </c:pt>
                <c:pt idx="5">
                  <c:v>23Q3</c:v>
                </c:pt>
                <c:pt idx="6">
                  <c:v>23Q4</c:v>
                </c:pt>
                <c:pt idx="7">
                  <c:v>24Q1</c:v>
                </c:pt>
                <c:pt idx="8">
                  <c:v>24Q2</c:v>
                </c:pt>
                <c:pt idx="9">
                  <c:v>24Q3</c:v>
                </c:pt>
                <c:pt idx="10">
                  <c:v>24Q4</c:v>
                </c:pt>
                <c:pt idx="11">
                  <c:v>25Q1</c:v>
                </c:pt>
                <c:pt idx="12">
                  <c:v>25Q2</c:v>
                </c:pt>
                <c:pt idx="13">
                  <c:v>25Q3</c:v>
                </c:pt>
                <c:pt idx="14">
                  <c:v>25Q4</c:v>
                </c:pt>
                <c:pt idx="15">
                  <c:v>26Q1</c:v>
                </c:pt>
                <c:pt idx="16">
                  <c:v>26Q2</c:v>
                </c:pt>
              </c:strCache>
            </c:strRef>
          </c:cat>
          <c:val>
            <c:numRef>
              <c:extLst>
                <c:ext xmlns:c15="http://schemas.microsoft.com/office/drawing/2012/chart" uri="{02D57815-91ED-43cb-92C2-25804820EDAC}">
                  <c15:fullRef>
                    <c15:sqref>ABNB!$B$15:$AI$15</c15:sqref>
                  </c15:fullRef>
                </c:ext>
              </c:extLst>
              <c:f>(ABNB!$B$15:$E$15,ABNB!$G$15:$Q$15,ABNB!$V$15:$AI$15)</c:f>
              <c:numCache>
                <c:formatCode>_(* #,##0_);_(* \(#,##0\);_(* "-"??_);_(@_)</c:formatCode>
                <c:ptCount val="17"/>
                <c:pt idx="0">
                  <c:v>1213.6780000000001</c:v>
                </c:pt>
                <c:pt idx="1">
                  <c:v>1645.761</c:v>
                </c:pt>
                <c:pt idx="2">
                  <c:v>1106.796</c:v>
                </c:pt>
                <c:pt idx="3">
                  <c:v>1818</c:v>
                </c:pt>
                <c:pt idx="4">
                  <c:v>2484</c:v>
                </c:pt>
                <c:pt idx="5">
                  <c:v>3397</c:v>
                </c:pt>
                <c:pt idx="6">
                  <c:v>2218</c:v>
                </c:pt>
                <c:pt idx="7" formatCode="_(* #,##0.0_);_(* \(#,##0.0\);_(* &quot;-&quot;??_);_(@_)">
                  <c:v>2142</c:v>
                </c:pt>
                <c:pt idx="8" formatCode="_(* #,##0.0_);_(* \(#,##0.0\);_(* &quot;-&quot;??_);_(@_)">
                  <c:v>2748</c:v>
                </c:pt>
                <c:pt idx="9" formatCode="_(* #,##0.0_);_(* \(#,##0.0\);_(* &quot;-&quot;??_);_(@_)">
                  <c:v>3732</c:v>
                </c:pt>
                <c:pt idx="10" formatCode="_(* #,##0.0_);_(* \(#,##0.0\);_(* &quot;-&quot;??_);_(@_)">
                  <c:v>2480</c:v>
                </c:pt>
                <c:pt idx="11" formatCode="_(* #,##0.0_);_(* \(#,##0.0\);_(* &quot;-&quot;??_);_(@_)">
                  <c:v>2272</c:v>
                </c:pt>
                <c:pt idx="12" formatCode="_(* #,##0.0_);_(* \(#,##0.0\);_(* &quot;-&quot;??_);_(@_)">
                  <c:v>3096</c:v>
                </c:pt>
                <c:pt idx="13" formatCode="_(* #,##0.0_);_(* \(#,##0.0\);_(* &quot;-&quot;??_);_(@_)">
                  <c:v>4095</c:v>
                </c:pt>
                <c:pt idx="14" formatCode="_(* #,##0.0_);_(* \(#,##0.0\);_(* &quot;-&quot;??_);_(@_)">
                  <c:v>2778</c:v>
                </c:pt>
                <c:pt idx="15" formatCode="_(* #,##0.0_);_(* \(#,##0.0\);_(* &quot;-&quot;??_);_(@_)">
                  <c:v>2678</c:v>
                </c:pt>
                <c:pt idx="16" formatCode="_(* #,##0.0_);_(* \(#,##0.0\);_(* &quot;-&quot;??_);_(@_)">
                  <c:v>3608</c:v>
                </c:pt>
              </c:numCache>
            </c:numRef>
          </c:val>
          <c:extLst>
            <c:ext xmlns:c16="http://schemas.microsoft.com/office/drawing/2014/chart" uri="{C3380CC4-5D6E-409C-BE32-E72D297353CC}">
              <c16:uniqueId val="{00000000-F294-48EB-B554-FC7AC495ABAD}"/>
            </c:ext>
          </c:extLst>
        </c:ser>
        <c:dLbls>
          <c:showLegendKey val="0"/>
          <c:showVal val="0"/>
          <c:showCatName val="0"/>
          <c:showSerName val="0"/>
          <c:showPercent val="0"/>
          <c:showBubbleSize val="0"/>
        </c:dLbls>
        <c:gapWidth val="219"/>
        <c:axId val="523856120"/>
        <c:axId val="523858088"/>
      </c:barChart>
      <c:lineChart>
        <c:grouping val="standard"/>
        <c:varyColors val="0"/>
        <c:ser>
          <c:idx val="1"/>
          <c:order val="1"/>
          <c:tx>
            <c:strRef>
              <c:f>ABNB!$A$84</c:f>
              <c:strCache>
                <c:ptCount val="1"/>
                <c:pt idx="0">
                  <c:v> YoY Growth  </c:v>
                </c:pt>
              </c:strCache>
            </c:strRef>
          </c:tx>
          <c:spPr>
            <a:ln w="28575" cap="rnd">
              <a:solidFill>
                <a:schemeClr val="accent2"/>
              </a:solidFill>
              <a:round/>
            </a:ln>
            <a:effectLst/>
          </c:spPr>
          <c:marker>
            <c:symbol val="none"/>
          </c:marker>
          <c:dLbls>
            <c:dLbl>
              <c:idx val="0"/>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34%</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1BE-4742-9BF7-019698E25F62}"/>
                </c:ext>
              </c:extLst>
            </c:dLbl>
            <c:dLbl>
              <c:idx val="4"/>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18%</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1BE-4742-9BF7-019698E25F62}"/>
                </c:ext>
              </c:extLst>
            </c:dLbl>
            <c:dLbl>
              <c:idx val="8"/>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11%</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1BE-4742-9BF7-019698E25F62}"/>
                </c:ext>
              </c:extLst>
            </c:dLbl>
            <c:dLbl>
              <c:idx val="12"/>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13%</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1BE-4742-9BF7-019698E25F62}"/>
                </c:ext>
              </c:extLst>
            </c:dLbl>
            <c:dLbl>
              <c:idx val="16"/>
              <c:layout>
                <c:manualLayout>
                  <c:x val="-5.0173298879275019E-2"/>
                  <c:y val="-7.9062235864584718E-2"/>
                </c:manualLayout>
              </c:layout>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17%</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1BE-4742-9BF7-019698E25F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ABNB!$B$1:$AI$1</c15:sqref>
                  </c15:fullRef>
                </c:ext>
              </c:extLst>
              <c:f>(ABNB!$B$1:$E$1,ABNB!$G$1:$Q$1,ABNB!$V$1:$AI$1)</c:f>
              <c:strCache>
                <c:ptCount val="17"/>
                <c:pt idx="0">
                  <c:v>19Q2</c:v>
                </c:pt>
                <c:pt idx="1">
                  <c:v>19Q3</c:v>
                </c:pt>
                <c:pt idx="2">
                  <c:v>19Q4</c:v>
                </c:pt>
                <c:pt idx="3">
                  <c:v>23Q1</c:v>
                </c:pt>
                <c:pt idx="4">
                  <c:v>23Q2</c:v>
                </c:pt>
                <c:pt idx="5">
                  <c:v>23Q3</c:v>
                </c:pt>
                <c:pt idx="6">
                  <c:v>23Q4</c:v>
                </c:pt>
                <c:pt idx="7">
                  <c:v>24Q1</c:v>
                </c:pt>
                <c:pt idx="8">
                  <c:v>24Q2</c:v>
                </c:pt>
                <c:pt idx="9">
                  <c:v>24Q3</c:v>
                </c:pt>
                <c:pt idx="10">
                  <c:v>24Q4</c:v>
                </c:pt>
                <c:pt idx="11">
                  <c:v>25Q1</c:v>
                </c:pt>
                <c:pt idx="12">
                  <c:v>25Q2</c:v>
                </c:pt>
                <c:pt idx="13">
                  <c:v>25Q3</c:v>
                </c:pt>
                <c:pt idx="14">
                  <c:v>25Q4</c:v>
                </c:pt>
                <c:pt idx="15">
                  <c:v>26Q1</c:v>
                </c:pt>
                <c:pt idx="16">
                  <c:v>26Q2</c:v>
                </c:pt>
              </c:strCache>
            </c:strRef>
          </c:cat>
          <c:val>
            <c:numRef>
              <c:extLst>
                <c:ext xmlns:c15="http://schemas.microsoft.com/office/drawing/2012/chart" uri="{02D57815-91ED-43cb-92C2-25804820EDAC}">
                  <c15:fullRef>
                    <c15:sqref>ABNB!$B$85:$AI$85</c15:sqref>
                  </c15:fullRef>
                </c:ext>
              </c:extLst>
              <c:f>(ABNB!$B$85:$E$85,ABNB!$G$85:$Q$85,ABNB!$V$85:$AI$85)</c:f>
              <c:numCache>
                <c:formatCode>0%</c:formatCode>
                <c:ptCount val="17"/>
                <c:pt idx="0">
                  <c:v>0.3434097346670637</c:v>
                </c:pt>
                <c:pt idx="1">
                  <c:v>0.30086623714457117</c:v>
                </c:pt>
                <c:pt idx="2">
                  <c:v>0.31669416729023903</c:v>
                </c:pt>
                <c:pt idx="3">
                  <c:v>0.20482167247539174</c:v>
                </c:pt>
                <c:pt idx="4">
                  <c:v>0.18054832762782502</c:v>
                </c:pt>
                <c:pt idx="5">
                  <c:v>0.17771051965566631</c:v>
                </c:pt>
                <c:pt idx="6">
                  <c:v>0.16614090431125139</c:v>
                </c:pt>
                <c:pt idx="7">
                  <c:v>0.17821782178217815</c:v>
                </c:pt>
                <c:pt idx="8">
                  <c:v>0.106280193236715</c:v>
                </c:pt>
                <c:pt idx="9">
                  <c:v>9.8616426258463452E-2</c:v>
                </c:pt>
                <c:pt idx="10">
                  <c:v>0.11812443642921555</c:v>
                </c:pt>
                <c:pt idx="11">
                  <c:v>6.0690943043884227E-2</c:v>
                </c:pt>
                <c:pt idx="12">
                  <c:v>0.1266375545851528</c:v>
                </c:pt>
                <c:pt idx="13">
                  <c:v>9.726688102893899E-2</c:v>
                </c:pt>
                <c:pt idx="14">
                  <c:v>0.12016129032258061</c:v>
                </c:pt>
                <c:pt idx="15">
                  <c:v>0.17869718309859151</c:v>
                </c:pt>
                <c:pt idx="16">
                  <c:v>0.1653746770025839</c:v>
                </c:pt>
              </c:numCache>
            </c:numRef>
          </c:val>
          <c:smooth val="0"/>
          <c:extLst>
            <c:ext xmlns:c16="http://schemas.microsoft.com/office/drawing/2014/chart" uri="{C3380CC4-5D6E-409C-BE32-E72D297353CC}">
              <c16:uniqueId val="{00000000-7E72-4596-B351-A07E45E6173E}"/>
            </c:ext>
          </c:extLst>
        </c:ser>
        <c:dLbls>
          <c:showLegendKey val="0"/>
          <c:showVal val="0"/>
          <c:showCatName val="0"/>
          <c:showSerName val="0"/>
          <c:showPercent val="0"/>
          <c:showBubbleSize val="0"/>
        </c:dLbls>
        <c:marker val="1"/>
        <c:smooth val="0"/>
        <c:axId val="1128295392"/>
        <c:axId val="1248327248"/>
      </c:lineChart>
      <c:catAx>
        <c:axId val="523856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23858088"/>
        <c:crosses val="autoZero"/>
        <c:auto val="1"/>
        <c:lblAlgn val="ctr"/>
        <c:lblOffset val="100"/>
        <c:noMultiLvlLbl val="0"/>
      </c:catAx>
      <c:valAx>
        <c:axId val="523858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23856120"/>
        <c:crosses val="autoZero"/>
        <c:crossBetween val="between"/>
      </c:valAx>
      <c:valAx>
        <c:axId val="124832724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8295392"/>
        <c:crosses val="max"/>
        <c:crossBetween val="between"/>
      </c:valAx>
      <c:catAx>
        <c:axId val="1128295392"/>
        <c:scaling>
          <c:orientation val="minMax"/>
        </c:scaling>
        <c:delete val="1"/>
        <c:axPos val="b"/>
        <c:numFmt formatCode="General" sourceLinked="1"/>
        <c:majorTickMark val="out"/>
        <c:minorTickMark val="none"/>
        <c:tickLblPos val="nextTo"/>
        <c:crossAx val="12483272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ABNB</a:t>
            </a:r>
            <a:r>
              <a:rPr lang="zh-CN" altLang="en-US"/>
              <a:t> </a:t>
            </a:r>
            <a:r>
              <a:rPr lang="en-US" altLang="zh-CN"/>
              <a:t>Gross Booking &amp; YoY Growth</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ABNB!$A$6</c:f>
              <c:strCache>
                <c:ptCount val="1"/>
                <c:pt idx="0">
                  <c:v> Gross Booking Value </c:v>
                </c:pt>
              </c:strCache>
            </c:strRef>
          </c:tx>
          <c:spPr>
            <a:solidFill>
              <a:schemeClr val="accent1"/>
            </a:solidFill>
            <a:ln>
              <a:noFill/>
            </a:ln>
            <a:effectLst/>
          </c:spPr>
          <c:invertIfNegative val="0"/>
          <c:cat>
            <c:strRef>
              <c:extLst>
                <c:ext xmlns:c15="http://schemas.microsoft.com/office/drawing/2012/chart" uri="{02D57815-91ED-43cb-92C2-25804820EDAC}">
                  <c15:fullRef>
                    <c15:sqref>ABNB!$B$1:$AI$1</c15:sqref>
                  </c15:fullRef>
                </c:ext>
              </c:extLst>
              <c:f>(ABNB!$B$1:$E$1,ABNB!$G$1:$Q$1,ABNB!$V$1:$AI$1)</c:f>
              <c:strCache>
                <c:ptCount val="17"/>
                <c:pt idx="0">
                  <c:v>19Q2</c:v>
                </c:pt>
                <c:pt idx="1">
                  <c:v>19Q3</c:v>
                </c:pt>
                <c:pt idx="2">
                  <c:v>19Q4</c:v>
                </c:pt>
                <c:pt idx="3">
                  <c:v>23Q1</c:v>
                </c:pt>
                <c:pt idx="4">
                  <c:v>23Q2</c:v>
                </c:pt>
                <c:pt idx="5">
                  <c:v>23Q3</c:v>
                </c:pt>
                <c:pt idx="6">
                  <c:v>23Q4</c:v>
                </c:pt>
                <c:pt idx="7">
                  <c:v>24Q1</c:v>
                </c:pt>
                <c:pt idx="8">
                  <c:v>24Q2</c:v>
                </c:pt>
                <c:pt idx="9">
                  <c:v>24Q3</c:v>
                </c:pt>
                <c:pt idx="10">
                  <c:v>24Q4</c:v>
                </c:pt>
                <c:pt idx="11">
                  <c:v>25Q1</c:v>
                </c:pt>
                <c:pt idx="12">
                  <c:v>25Q2</c:v>
                </c:pt>
                <c:pt idx="13">
                  <c:v>25Q3</c:v>
                </c:pt>
                <c:pt idx="14">
                  <c:v>25Q4</c:v>
                </c:pt>
                <c:pt idx="15">
                  <c:v>26Q1</c:v>
                </c:pt>
                <c:pt idx="16">
                  <c:v>26Q2</c:v>
                </c:pt>
              </c:strCache>
            </c:strRef>
          </c:cat>
          <c:val>
            <c:numRef>
              <c:extLst>
                <c:ext xmlns:c15="http://schemas.microsoft.com/office/drawing/2012/chart" uri="{02D57815-91ED-43cb-92C2-25804820EDAC}">
                  <c15:fullRef>
                    <c15:sqref>ABNB!$B$6:$AI$6</c15:sqref>
                  </c15:fullRef>
                </c:ext>
              </c:extLst>
              <c:f>(ABNB!$B$6:$E$6,ABNB!$G$6:$Q$6,ABNB!$V$6:$AI$6)</c:f>
              <c:numCache>
                <c:formatCode>_(* #,##0_);_(* \(#,##0\);_(* "-"??_);_(@_)</c:formatCode>
                <c:ptCount val="17"/>
                <c:pt idx="0">
                  <c:v>9827.7999999999993</c:v>
                </c:pt>
                <c:pt idx="1">
                  <c:v>9651.2000000000007</c:v>
                </c:pt>
                <c:pt idx="2">
                  <c:v>8538.3999999999978</c:v>
                </c:pt>
                <c:pt idx="3">
                  <c:v>20400</c:v>
                </c:pt>
                <c:pt idx="4">
                  <c:v>19100</c:v>
                </c:pt>
                <c:pt idx="5">
                  <c:v>18300</c:v>
                </c:pt>
                <c:pt idx="6">
                  <c:v>15500</c:v>
                </c:pt>
                <c:pt idx="7">
                  <c:v>22900</c:v>
                </c:pt>
                <c:pt idx="8">
                  <c:v>21200</c:v>
                </c:pt>
                <c:pt idx="9">
                  <c:v>20085</c:v>
                </c:pt>
                <c:pt idx="10">
                  <c:v>17600</c:v>
                </c:pt>
                <c:pt idx="11">
                  <c:v>24515</c:v>
                </c:pt>
                <c:pt idx="12">
                  <c:v>23447</c:v>
                </c:pt>
                <c:pt idx="13">
                  <c:v>22892</c:v>
                </c:pt>
                <c:pt idx="14">
                  <c:v>20434</c:v>
                </c:pt>
                <c:pt idx="15">
                  <c:v>29187</c:v>
                </c:pt>
                <c:pt idx="16">
                  <c:v>27200</c:v>
                </c:pt>
              </c:numCache>
            </c:numRef>
          </c:val>
          <c:extLst>
            <c:ext xmlns:c16="http://schemas.microsoft.com/office/drawing/2014/chart" uri="{C3380CC4-5D6E-409C-BE32-E72D297353CC}">
              <c16:uniqueId val="{00000000-84CA-4829-B987-2515137F790D}"/>
            </c:ext>
          </c:extLst>
        </c:ser>
        <c:dLbls>
          <c:showLegendKey val="0"/>
          <c:showVal val="0"/>
          <c:showCatName val="0"/>
          <c:showSerName val="0"/>
          <c:showPercent val="0"/>
          <c:showBubbleSize val="0"/>
        </c:dLbls>
        <c:gapWidth val="219"/>
        <c:overlap val="-27"/>
        <c:axId val="523856120"/>
        <c:axId val="523858088"/>
      </c:barChart>
      <c:lineChart>
        <c:grouping val="standard"/>
        <c:varyColors val="0"/>
        <c:ser>
          <c:idx val="1"/>
          <c:order val="1"/>
          <c:tx>
            <c:strRef>
              <c:f>ABNB!$A$7</c:f>
              <c:strCache>
                <c:ptCount val="1"/>
                <c:pt idx="0">
                  <c:v> YoY </c:v>
                </c:pt>
              </c:strCache>
            </c:strRef>
          </c:tx>
          <c:spPr>
            <a:ln w="28575" cap="rnd">
              <a:solidFill>
                <a:schemeClr val="accent2"/>
              </a:solidFill>
              <a:round/>
            </a:ln>
            <a:effectLst/>
          </c:spPr>
          <c:marker>
            <c:symbol val="none"/>
          </c:marker>
          <c:dLbls>
            <c:dLbl>
              <c:idx val="0"/>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27%</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829-44A9-90C1-1E78376302FA}"/>
                </c:ext>
              </c:extLst>
            </c:dLbl>
            <c:dLbl>
              <c:idx val="4"/>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13%</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829-44A9-90C1-1E78376302FA}"/>
                </c:ext>
              </c:extLst>
            </c:dLbl>
            <c:dLbl>
              <c:idx val="8"/>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11%</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23C-438F-B6BC-E9C08DECE3A1}"/>
                </c:ext>
              </c:extLst>
            </c:dLbl>
            <c:dLbl>
              <c:idx val="12"/>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11%</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829-44A9-90C1-1E78376302FA}"/>
                </c:ext>
              </c:extLst>
            </c:dLbl>
            <c:dLbl>
              <c:idx val="16"/>
              <c:layout>
                <c:manualLayout>
                  <c:x val="-5.5225725509077402E-2"/>
                  <c:y val="-0.10284163028517739"/>
                </c:manualLayout>
              </c:layout>
              <c:tx>
                <c:rich>
                  <a:bodyPr rot="0" spcFirstLastPara="1" vertOverflow="ellipsis" vert="horz" wrap="square" lIns="38100" tIns="19050" rIns="38100" bIns="19050" anchor="ctr" anchorCtr="1">
                    <a:noAutofit/>
                  </a:bodyPr>
                  <a:lstStyle/>
                  <a:p>
                    <a:pPr>
                      <a:defRPr altLang="en-US" sz="900" b="1" i="0" u="none" strike="noStrike" kern="1200" baseline="0">
                        <a:solidFill>
                          <a:srgbClr val="000000"/>
                        </a:solidFill>
                        <a:latin typeface="+mn-lt"/>
                        <a:ea typeface="+mn-ea"/>
                        <a:cs typeface="+mn-cs"/>
                      </a:defRPr>
                    </a:pPr>
                    <a:r>
                      <a:rPr lang="en-US" altLang="zh-CN"/>
                      <a:t>16%</a:t>
                    </a:r>
                  </a:p>
                </c:rich>
              </c:tx>
              <c:numFmt formatCode="0%" sourceLinked="0"/>
              <c:spPr>
                <a:solidFill>
                  <a:srgbClr val="FFFFFF"/>
                </a:solidFill>
                <a:ln>
                  <a:noFill/>
                </a:ln>
                <a:effectLst/>
              </c:spPr>
              <c:txPr>
                <a:bodyPr rot="0" spcFirstLastPara="1" vertOverflow="ellipsis" vert="horz" wrap="square" lIns="38100" tIns="19050" rIns="38100" bIns="19050" anchor="ctr" anchorCtr="1">
                  <a:noAutofit/>
                </a:bodyPr>
                <a:lstStyle/>
                <a:p>
                  <a:pPr>
                    <a:defRPr altLang="en-US"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layout>
                    <c:manualLayout>
                      <c:w val="6.652299615515489E-2"/>
                      <c:h val="4.9134381176576661E-2"/>
                    </c:manualLayout>
                  </c15:layout>
                  <c15:showDataLabelsRange val="0"/>
                </c:ext>
                <c:ext xmlns:c16="http://schemas.microsoft.com/office/drawing/2014/chart" uri="{C3380CC4-5D6E-409C-BE32-E72D297353CC}">
                  <c16:uniqueId val="{00000000-16CE-4B92-BC47-34D4227864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ABNB!$B$1:$AI$1</c15:sqref>
                  </c15:fullRef>
                </c:ext>
              </c:extLst>
              <c:f>(ABNB!$B$1:$E$1,ABNB!$G$1:$Q$1,ABNB!$V$1:$AI$1)</c:f>
              <c:strCache>
                <c:ptCount val="17"/>
                <c:pt idx="0">
                  <c:v>19Q2</c:v>
                </c:pt>
                <c:pt idx="1">
                  <c:v>19Q3</c:v>
                </c:pt>
                <c:pt idx="2">
                  <c:v>19Q4</c:v>
                </c:pt>
                <c:pt idx="3">
                  <c:v>23Q1</c:v>
                </c:pt>
                <c:pt idx="4">
                  <c:v>23Q2</c:v>
                </c:pt>
                <c:pt idx="5">
                  <c:v>23Q3</c:v>
                </c:pt>
                <c:pt idx="6">
                  <c:v>23Q4</c:v>
                </c:pt>
                <c:pt idx="7">
                  <c:v>24Q1</c:v>
                </c:pt>
                <c:pt idx="8">
                  <c:v>24Q2</c:v>
                </c:pt>
                <c:pt idx="9">
                  <c:v>24Q3</c:v>
                </c:pt>
                <c:pt idx="10">
                  <c:v>24Q4</c:v>
                </c:pt>
                <c:pt idx="11">
                  <c:v>25Q1</c:v>
                </c:pt>
                <c:pt idx="12">
                  <c:v>25Q2</c:v>
                </c:pt>
                <c:pt idx="13">
                  <c:v>25Q3</c:v>
                </c:pt>
                <c:pt idx="14">
                  <c:v>25Q4</c:v>
                </c:pt>
                <c:pt idx="15">
                  <c:v>26Q1</c:v>
                </c:pt>
                <c:pt idx="16">
                  <c:v>26Q2</c:v>
                </c:pt>
              </c:strCache>
            </c:strRef>
          </c:cat>
          <c:val>
            <c:numRef>
              <c:extLst>
                <c:ext xmlns:c15="http://schemas.microsoft.com/office/drawing/2012/chart" uri="{02D57815-91ED-43cb-92C2-25804820EDAC}">
                  <c15:fullRef>
                    <c15:sqref>ABNB!$B$7:$AI$7</c15:sqref>
                  </c15:fullRef>
                </c:ext>
              </c:extLst>
              <c:f>(ABNB!$B$7:$E$7,ABNB!$G$7:$Q$7,ABNB!$V$7:$AI$7)</c:f>
              <c:numCache>
                <c:formatCode>0%</c:formatCode>
                <c:ptCount val="17"/>
                <c:pt idx="0">
                  <c:v>0.27485121892940945</c:v>
                </c:pt>
                <c:pt idx="1">
                  <c:v>0.28804589656446411</c:v>
                </c:pt>
                <c:pt idx="2">
                  <c:v>0.30965706584329089</c:v>
                </c:pt>
                <c:pt idx="3">
                  <c:v>0.19</c:v>
                </c:pt>
                <c:pt idx="4">
                  <c:v>0.13</c:v>
                </c:pt>
                <c:pt idx="5">
                  <c:v>0.17</c:v>
                </c:pt>
                <c:pt idx="6">
                  <c:v>0.14814814814814814</c:v>
                </c:pt>
                <c:pt idx="7">
                  <c:v>0.12254901960784315</c:v>
                </c:pt>
                <c:pt idx="8">
                  <c:v>0.10994764397905765</c:v>
                </c:pt>
                <c:pt idx="9">
                  <c:v>9.7540983606557274E-2</c:v>
                </c:pt>
                <c:pt idx="10">
                  <c:v>0.13</c:v>
                </c:pt>
                <c:pt idx="11">
                  <c:v>7.0000000000000007E-2</c:v>
                </c:pt>
                <c:pt idx="12">
                  <c:v>0.11</c:v>
                </c:pt>
                <c:pt idx="13">
                  <c:v>0.13975603684341542</c:v>
                </c:pt>
                <c:pt idx="14">
                  <c:v>0.16102272727272737</c:v>
                </c:pt>
                <c:pt idx="15">
                  <c:v>0.19057719763410153</c:v>
                </c:pt>
                <c:pt idx="16">
                  <c:v>0.16006312108158816</c:v>
                </c:pt>
              </c:numCache>
            </c:numRef>
          </c:val>
          <c:smooth val="0"/>
          <c:extLst>
            <c:ext xmlns:c16="http://schemas.microsoft.com/office/drawing/2014/chart" uri="{C3380CC4-5D6E-409C-BE32-E72D297353CC}">
              <c16:uniqueId val="{00000003-84CA-4829-B987-2515137F790D}"/>
            </c:ext>
          </c:extLst>
        </c:ser>
        <c:dLbls>
          <c:showLegendKey val="0"/>
          <c:showVal val="0"/>
          <c:showCatName val="0"/>
          <c:showSerName val="0"/>
          <c:showPercent val="0"/>
          <c:showBubbleSize val="0"/>
        </c:dLbls>
        <c:marker val="1"/>
        <c:smooth val="0"/>
        <c:axId val="523863008"/>
        <c:axId val="523858416"/>
      </c:lineChart>
      <c:catAx>
        <c:axId val="523856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23858088"/>
        <c:crosses val="autoZero"/>
        <c:auto val="1"/>
        <c:lblAlgn val="ctr"/>
        <c:lblOffset val="100"/>
        <c:noMultiLvlLbl val="0"/>
      </c:catAx>
      <c:valAx>
        <c:axId val="523858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23856120"/>
        <c:crosses val="autoZero"/>
        <c:crossBetween val="between"/>
      </c:valAx>
      <c:valAx>
        <c:axId val="523858416"/>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23863008"/>
        <c:crosses val="max"/>
        <c:crossBetween val="between"/>
      </c:valAx>
      <c:catAx>
        <c:axId val="523863008"/>
        <c:scaling>
          <c:orientation val="minMax"/>
        </c:scaling>
        <c:delete val="1"/>
        <c:axPos val="b"/>
        <c:numFmt formatCode="General" sourceLinked="1"/>
        <c:majorTickMark val="none"/>
        <c:minorTickMark val="none"/>
        <c:tickLblPos val="nextTo"/>
        <c:crossAx val="5238584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400" b="0" i="0" baseline="0">
                <a:effectLst/>
              </a:rPr>
              <a:t>ABNB Opex as % of Rev(Non-GAAP)</a:t>
            </a:r>
            <a:endParaRPr lang="zh-CN" altLang="zh-CN"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8.6040864989473803E-2"/>
          <c:y val="0.12369044104968945"/>
          <c:w val="0.89275954334432206"/>
          <c:h val="0.56303028362457685"/>
        </c:manualLayout>
      </c:layout>
      <c:lineChart>
        <c:grouping val="standard"/>
        <c:varyColors val="0"/>
        <c:ser>
          <c:idx val="0"/>
          <c:order val="0"/>
          <c:tx>
            <c:strRef>
              <c:f>ABNB!$A$79</c:f>
              <c:strCache>
                <c:ptCount val="1"/>
                <c:pt idx="0">
                  <c:v> Operations and support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20"/>
              <c:layout>
                <c:manualLayout>
                  <c:x val="-8.0152780223740755E-2"/>
                  <c:y val="-9.2413912200241186E-2"/>
                </c:manualLayout>
              </c:layout>
              <c:tx>
                <c:rich>
                  <a:bodyPr rot="0" spcFirstLastPara="1" vertOverflow="ellipsis" vert="horz" wrap="square" lIns="38100" tIns="19050" rIns="38100" bIns="19050" anchor="ctr" anchorCtr="1">
                    <a:spAutoFit/>
                  </a:bodyPr>
                  <a:lstStyle/>
                  <a:p>
                    <a:pPr>
                      <a:defRPr altLang="en-US" sz="800" b="1" i="0" u="none" strike="noStrike" kern="1200" baseline="0">
                        <a:solidFill>
                          <a:srgbClr val="000000"/>
                        </a:solidFill>
                        <a:latin typeface="+mn-lt"/>
                        <a:ea typeface="+mn-ea"/>
                        <a:cs typeface="+mn-cs"/>
                      </a:defRPr>
                    </a:pPr>
                    <a:r>
                      <a:rPr lang="en-US" altLang="zh-CN"/>
                      <a:t>Ops 9%</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8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02C-4B73-8CEC-4DF7B14A50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ABNB!$B$1:$AI$1</c15:sqref>
                  </c15:fullRef>
                </c:ext>
              </c:extLst>
              <c:f>(ABNB!$B$1:$E$1,ABNB!$G$1:$AI$1)</c:f>
              <c:strCache>
                <c:ptCount val="21"/>
                <c:pt idx="0">
                  <c:v>19Q2</c:v>
                </c:pt>
                <c:pt idx="1">
                  <c:v>19Q3</c:v>
                </c:pt>
                <c:pt idx="2">
                  <c:v>19Q4</c:v>
                </c:pt>
                <c:pt idx="3">
                  <c:v>22Q1</c:v>
                </c:pt>
                <c:pt idx="4">
                  <c:v>22Q2</c:v>
                </c:pt>
                <c:pt idx="5">
                  <c:v>22Q3</c:v>
                </c:pt>
                <c:pt idx="6">
                  <c:v>22Q4</c:v>
                </c:pt>
                <c:pt idx="7">
                  <c:v>23Q1</c:v>
                </c:pt>
                <c:pt idx="8">
                  <c:v>23Q2</c:v>
                </c:pt>
                <c:pt idx="9">
                  <c:v>23Q3</c:v>
                </c:pt>
                <c:pt idx="10">
                  <c:v>23Q4</c:v>
                </c:pt>
                <c:pt idx="11">
                  <c:v>24Q1</c:v>
                </c:pt>
                <c:pt idx="12">
                  <c:v>24Q2</c:v>
                </c:pt>
                <c:pt idx="13">
                  <c:v>24Q3</c:v>
                </c:pt>
                <c:pt idx="14">
                  <c:v>24Q4</c:v>
                </c:pt>
                <c:pt idx="15">
                  <c:v>25Q1</c:v>
                </c:pt>
                <c:pt idx="16">
                  <c:v>25Q2</c:v>
                </c:pt>
                <c:pt idx="17">
                  <c:v>25Q3</c:v>
                </c:pt>
                <c:pt idx="18">
                  <c:v>25Q4</c:v>
                </c:pt>
                <c:pt idx="19">
                  <c:v>26Q1</c:v>
                </c:pt>
                <c:pt idx="20">
                  <c:v>26Q2</c:v>
                </c:pt>
              </c:strCache>
            </c:strRef>
          </c:cat>
          <c:val>
            <c:numRef>
              <c:extLst>
                <c:ext xmlns:c15="http://schemas.microsoft.com/office/drawing/2012/chart" uri="{02D57815-91ED-43cb-92C2-25804820EDAC}">
                  <c15:fullRef>
                    <c15:sqref>ABNB!$B$79:$AI$79</c15:sqref>
                  </c15:fullRef>
                </c:ext>
              </c:extLst>
              <c:f>(ABNB!$B$79:$E$79,ABNB!$G$79:$AI$79)</c:f>
              <c:numCache>
                <c:formatCode>0%</c:formatCode>
                <c:ptCount val="21"/>
                <c:pt idx="0">
                  <c:v>0.17339442586913495</c:v>
                </c:pt>
                <c:pt idx="1">
                  <c:v>0.13570378688035506</c:v>
                </c:pt>
                <c:pt idx="2">
                  <c:v>0.19312682734668357</c:v>
                </c:pt>
                <c:pt idx="3" formatCode="0.0%">
                  <c:v>0.14667080202818278</c:v>
                </c:pt>
                <c:pt idx="4">
                  <c:v>0.114699965353473</c:v>
                </c:pt>
                <c:pt idx="5">
                  <c:v>9.4299700805364026E-2</c:v>
                </c:pt>
                <c:pt idx="6">
                  <c:v>0.12828601472134596</c:v>
                </c:pt>
                <c:pt idx="7" formatCode="0.0%">
                  <c:v>0.14686468646864687</c:v>
                </c:pt>
                <c:pt idx="8">
                  <c:v>0.11996779388083736</c:v>
                </c:pt>
                <c:pt idx="9">
                  <c:v>8.8018840153076247E-2</c:v>
                </c:pt>
                <c:pt idx="10">
                  <c:v>0.11451758340847611</c:v>
                </c:pt>
                <c:pt idx="11">
                  <c:v>0.12418300653594772</c:v>
                </c:pt>
                <c:pt idx="12">
                  <c:v>0.11426491994177583</c:v>
                </c:pt>
                <c:pt idx="13">
                  <c:v>9.2979635584137188E-2</c:v>
                </c:pt>
                <c:pt idx="14">
                  <c:v>0.10685483870967742</c:v>
                </c:pt>
                <c:pt idx="15">
                  <c:v>0.12411971830985916</c:v>
                </c:pt>
                <c:pt idx="16">
                  <c:v>9.9806201550387594E-2</c:v>
                </c:pt>
                <c:pt idx="17">
                  <c:v>8.3760683760683755E-2</c:v>
                </c:pt>
                <c:pt idx="18">
                  <c:v>0.10907127429805616</c:v>
                </c:pt>
                <c:pt idx="19">
                  <c:v>0.11239731142643763</c:v>
                </c:pt>
                <c:pt idx="20">
                  <c:v>8.9523281596452328E-2</c:v>
                </c:pt>
              </c:numCache>
            </c:numRef>
          </c:val>
          <c:smooth val="0"/>
          <c:extLst>
            <c:ext xmlns:c16="http://schemas.microsoft.com/office/drawing/2014/chart" uri="{C3380CC4-5D6E-409C-BE32-E72D297353CC}">
              <c16:uniqueId val="{00000000-E440-4586-B1C7-DED79C242B20}"/>
            </c:ext>
          </c:extLst>
        </c:ser>
        <c:ser>
          <c:idx val="1"/>
          <c:order val="1"/>
          <c:tx>
            <c:strRef>
              <c:f>ABNB!$A$80</c:f>
              <c:strCache>
                <c:ptCount val="1"/>
                <c:pt idx="0">
                  <c:v> Product Development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20"/>
              <c:layout>
                <c:manualLayout>
                  <c:x val="-7.0352446864715645E-2"/>
                  <c:y val="-0.19730470215896145"/>
                </c:manualLayout>
              </c:layout>
              <c:tx>
                <c:rich>
                  <a:bodyPr rot="0" spcFirstLastPara="1" vertOverflow="ellipsis" vert="horz" wrap="square" lIns="38100" tIns="19050" rIns="38100" bIns="19050" anchor="ctr" anchorCtr="1">
                    <a:spAutoFit/>
                  </a:bodyPr>
                  <a:lstStyle/>
                  <a:p>
                    <a:pPr>
                      <a:defRPr altLang="en-US" sz="800" b="1" i="0" u="none" strike="noStrike" kern="1200" baseline="0">
                        <a:solidFill>
                          <a:srgbClr val="000000"/>
                        </a:solidFill>
                        <a:latin typeface="+mn-lt"/>
                        <a:ea typeface="+mn-ea"/>
                        <a:cs typeface="+mn-cs"/>
                      </a:defRPr>
                    </a:pPr>
                    <a:r>
                      <a:rPr lang="en-US" altLang="zh-CN"/>
                      <a:t>P&amp;D 10%</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8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02C-4B73-8CEC-4DF7B14A50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ABNB!$B$1:$AI$1</c15:sqref>
                  </c15:fullRef>
                </c:ext>
              </c:extLst>
              <c:f>(ABNB!$B$1:$E$1,ABNB!$G$1:$AI$1)</c:f>
              <c:strCache>
                <c:ptCount val="21"/>
                <c:pt idx="0">
                  <c:v>19Q2</c:v>
                </c:pt>
                <c:pt idx="1">
                  <c:v>19Q3</c:v>
                </c:pt>
                <c:pt idx="2">
                  <c:v>19Q4</c:v>
                </c:pt>
                <c:pt idx="3">
                  <c:v>22Q1</c:v>
                </c:pt>
                <c:pt idx="4">
                  <c:v>22Q2</c:v>
                </c:pt>
                <c:pt idx="5">
                  <c:v>22Q3</c:v>
                </c:pt>
                <c:pt idx="6">
                  <c:v>22Q4</c:v>
                </c:pt>
                <c:pt idx="7">
                  <c:v>23Q1</c:v>
                </c:pt>
                <c:pt idx="8">
                  <c:v>23Q2</c:v>
                </c:pt>
                <c:pt idx="9">
                  <c:v>23Q3</c:v>
                </c:pt>
                <c:pt idx="10">
                  <c:v>23Q4</c:v>
                </c:pt>
                <c:pt idx="11">
                  <c:v>24Q1</c:v>
                </c:pt>
                <c:pt idx="12">
                  <c:v>24Q2</c:v>
                </c:pt>
                <c:pt idx="13">
                  <c:v>24Q3</c:v>
                </c:pt>
                <c:pt idx="14">
                  <c:v>24Q4</c:v>
                </c:pt>
                <c:pt idx="15">
                  <c:v>25Q1</c:v>
                </c:pt>
                <c:pt idx="16">
                  <c:v>25Q2</c:v>
                </c:pt>
                <c:pt idx="17">
                  <c:v>25Q3</c:v>
                </c:pt>
                <c:pt idx="18">
                  <c:v>25Q4</c:v>
                </c:pt>
                <c:pt idx="19">
                  <c:v>26Q1</c:v>
                </c:pt>
                <c:pt idx="20">
                  <c:v>26Q2</c:v>
                </c:pt>
              </c:strCache>
            </c:strRef>
          </c:cat>
          <c:val>
            <c:numRef>
              <c:extLst>
                <c:ext xmlns:c15="http://schemas.microsoft.com/office/drawing/2012/chart" uri="{02D57815-91ED-43cb-92C2-25804820EDAC}">
                  <c15:fullRef>
                    <c15:sqref>ABNB!$B$80:$AI$80</c15:sqref>
                  </c15:fullRef>
                </c:ext>
              </c:extLst>
              <c:f>(ABNB!$B$80:$E$80,ABNB!$G$80:$AI$80)</c:f>
              <c:numCache>
                <c:formatCode>0%</c:formatCode>
                <c:ptCount val="21"/>
                <c:pt idx="0">
                  <c:v>0.18483650523450204</c:v>
                </c:pt>
                <c:pt idx="1">
                  <c:v>0.14952535635490208</c:v>
                </c:pt>
                <c:pt idx="2">
                  <c:v>0.24508400825445698</c:v>
                </c:pt>
                <c:pt idx="3" formatCode="0.0%">
                  <c:v>0.16239975558953093</c:v>
                </c:pt>
                <c:pt idx="4">
                  <c:v>0.10936611113408207</c:v>
                </c:pt>
                <c:pt idx="5">
                  <c:v>8.0148799927888204E-2</c:v>
                </c:pt>
                <c:pt idx="6">
                  <c:v>0.13038906414300735</c:v>
                </c:pt>
                <c:pt idx="7" formatCode="0.0%">
                  <c:v>0.14906490649064907</c:v>
                </c:pt>
                <c:pt idx="8">
                  <c:v>0.10466988727858294</c:v>
                </c:pt>
                <c:pt idx="9">
                  <c:v>7.1828083603179271E-2</c:v>
                </c:pt>
                <c:pt idx="10">
                  <c:v>0.11406672678088368</c:v>
                </c:pt>
                <c:pt idx="11">
                  <c:v>0.13538748832866479</c:v>
                </c:pt>
                <c:pt idx="12">
                  <c:v>0.10189228529839883</c:v>
                </c:pt>
                <c:pt idx="13">
                  <c:v>7.8778135048231515E-2</c:v>
                </c:pt>
                <c:pt idx="14">
                  <c:v>0.12338709677419354</c:v>
                </c:pt>
                <c:pt idx="15">
                  <c:v>0.14876760563380281</c:v>
                </c:pt>
                <c:pt idx="16">
                  <c:v>0.10691214470284238</c:v>
                </c:pt>
                <c:pt idx="17">
                  <c:v>8.1318681318681321E-2</c:v>
                </c:pt>
                <c:pt idx="18">
                  <c:v>0.12059035277177826</c:v>
                </c:pt>
                <c:pt idx="19">
                  <c:v>0.14002987303958178</c:v>
                </c:pt>
                <c:pt idx="20">
                  <c:v>0.10365853658536585</c:v>
                </c:pt>
              </c:numCache>
            </c:numRef>
          </c:val>
          <c:smooth val="0"/>
          <c:extLst>
            <c:ext xmlns:c16="http://schemas.microsoft.com/office/drawing/2014/chart" uri="{C3380CC4-5D6E-409C-BE32-E72D297353CC}">
              <c16:uniqueId val="{00000000-A21C-4B59-BFD2-50C392D7E82D}"/>
            </c:ext>
          </c:extLst>
        </c:ser>
        <c:ser>
          <c:idx val="2"/>
          <c:order val="2"/>
          <c:tx>
            <c:strRef>
              <c:f>ABNB!$A$81</c:f>
              <c:strCache>
                <c:ptCount val="1"/>
                <c:pt idx="0">
                  <c:v> Sales and Marketing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Lbl>
              <c:idx val="20"/>
              <c:layout>
                <c:manualLayout>
                  <c:x val="-6.8355392928328013E-2"/>
                  <c:y val="-0.20262356492659003"/>
                </c:manualLayout>
              </c:layout>
              <c:tx>
                <c:rich>
                  <a:bodyPr rot="0" spcFirstLastPara="1" vertOverflow="ellipsis" vert="horz" wrap="square" lIns="38100" tIns="19050" rIns="38100" bIns="19050" anchor="ctr" anchorCtr="1">
                    <a:spAutoFit/>
                  </a:bodyPr>
                  <a:lstStyle/>
                  <a:p>
                    <a:pPr>
                      <a:defRPr altLang="en-US" sz="800" b="1" i="0" u="none" strike="noStrike" kern="1200" baseline="0">
                        <a:solidFill>
                          <a:srgbClr val="000000"/>
                        </a:solidFill>
                        <a:latin typeface="+mn-lt"/>
                        <a:ea typeface="+mn-ea"/>
                        <a:cs typeface="+mn-cs"/>
                      </a:defRPr>
                    </a:pPr>
                    <a:r>
                      <a:rPr lang="en-US" altLang="zh-CN"/>
                      <a:t>S&amp;M 22%</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8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02C-4B73-8CEC-4DF7B14A50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ABNB!$B$1:$AI$1</c15:sqref>
                  </c15:fullRef>
                </c:ext>
              </c:extLst>
              <c:f>(ABNB!$B$1:$E$1,ABNB!$G$1:$AI$1)</c:f>
              <c:strCache>
                <c:ptCount val="21"/>
                <c:pt idx="0">
                  <c:v>19Q2</c:v>
                </c:pt>
                <c:pt idx="1">
                  <c:v>19Q3</c:v>
                </c:pt>
                <c:pt idx="2">
                  <c:v>19Q4</c:v>
                </c:pt>
                <c:pt idx="3">
                  <c:v>22Q1</c:v>
                </c:pt>
                <c:pt idx="4">
                  <c:v>22Q2</c:v>
                </c:pt>
                <c:pt idx="5">
                  <c:v>22Q3</c:v>
                </c:pt>
                <c:pt idx="6">
                  <c:v>22Q4</c:v>
                </c:pt>
                <c:pt idx="7">
                  <c:v>23Q1</c:v>
                </c:pt>
                <c:pt idx="8">
                  <c:v>23Q2</c:v>
                </c:pt>
                <c:pt idx="9">
                  <c:v>23Q3</c:v>
                </c:pt>
                <c:pt idx="10">
                  <c:v>23Q4</c:v>
                </c:pt>
                <c:pt idx="11">
                  <c:v>24Q1</c:v>
                </c:pt>
                <c:pt idx="12">
                  <c:v>24Q2</c:v>
                </c:pt>
                <c:pt idx="13">
                  <c:v>24Q3</c:v>
                </c:pt>
                <c:pt idx="14">
                  <c:v>24Q4</c:v>
                </c:pt>
                <c:pt idx="15">
                  <c:v>25Q1</c:v>
                </c:pt>
                <c:pt idx="16">
                  <c:v>25Q2</c:v>
                </c:pt>
                <c:pt idx="17">
                  <c:v>25Q3</c:v>
                </c:pt>
                <c:pt idx="18">
                  <c:v>25Q4</c:v>
                </c:pt>
                <c:pt idx="19">
                  <c:v>26Q1</c:v>
                </c:pt>
                <c:pt idx="20">
                  <c:v>26Q2</c:v>
                </c:pt>
              </c:strCache>
            </c:strRef>
          </c:cat>
          <c:val>
            <c:numRef>
              <c:extLst>
                <c:ext xmlns:c15="http://schemas.microsoft.com/office/drawing/2012/chart" uri="{02D57815-91ED-43cb-92C2-25804820EDAC}">
                  <c15:fullRef>
                    <c15:sqref>ABNB!$B$81:$AI$81</c15:sqref>
                  </c15:fullRef>
                </c:ext>
              </c:extLst>
              <c:f>(ABNB!$B$81:$E$81,ABNB!$G$81:$AI$81)</c:f>
              <c:numCache>
                <c:formatCode>0%</c:formatCode>
                <c:ptCount val="21"/>
                <c:pt idx="0">
                  <c:v>0.31478612943466056</c:v>
                </c:pt>
                <c:pt idx="1">
                  <c:v>0.25740675590198092</c:v>
                </c:pt>
                <c:pt idx="2">
                  <c:v>0.38866060231515104</c:v>
                </c:pt>
                <c:pt idx="3" formatCode="0.0%">
                  <c:v>0.2067740402680828</c:v>
                </c:pt>
                <c:pt idx="4">
                  <c:v>0.16670112308927257</c:v>
                </c:pt>
                <c:pt idx="5">
                  <c:v>0.12313263371018685</c:v>
                </c:pt>
                <c:pt idx="6">
                  <c:v>0.19558359621451105</c:v>
                </c:pt>
                <c:pt idx="7" formatCode="0.0%">
                  <c:v>0.23212321232123212</c:v>
                </c:pt>
                <c:pt idx="8">
                  <c:v>0.18115942028985507</c:v>
                </c:pt>
                <c:pt idx="9">
                  <c:v>0.10891963497203415</c:v>
                </c:pt>
                <c:pt idx="10">
                  <c:v>0.1762849413886384</c:v>
                </c:pt>
                <c:pt idx="11">
                  <c:v>0.22362278244631187</c:v>
                </c:pt>
                <c:pt idx="12">
                  <c:v>0.19177583697234352</c:v>
                </c:pt>
                <c:pt idx="13">
                  <c:v>0.12620578778135047</c:v>
                </c:pt>
                <c:pt idx="14">
                  <c:v>0.20201612903225807</c:v>
                </c:pt>
                <c:pt idx="15">
                  <c:v>0.22843309859154928</c:v>
                </c:pt>
                <c:pt idx="16">
                  <c:v>0.20639534883720931</c:v>
                </c:pt>
                <c:pt idx="17">
                  <c:v>0.14285714285714285</c:v>
                </c:pt>
                <c:pt idx="18">
                  <c:v>0.22786177105831534</c:v>
                </c:pt>
                <c:pt idx="19">
                  <c:v>0.25989544436146378</c:v>
                </c:pt>
                <c:pt idx="20">
                  <c:v>0.22394678492239467</c:v>
                </c:pt>
              </c:numCache>
            </c:numRef>
          </c:val>
          <c:smooth val="0"/>
          <c:extLst>
            <c:ext xmlns:c16="http://schemas.microsoft.com/office/drawing/2014/chart" uri="{C3380CC4-5D6E-409C-BE32-E72D297353CC}">
              <c16:uniqueId val="{00000001-A21C-4B59-BFD2-50C392D7E82D}"/>
            </c:ext>
          </c:extLst>
        </c:ser>
        <c:ser>
          <c:idx val="3"/>
          <c:order val="3"/>
          <c:tx>
            <c:strRef>
              <c:f>ABNB!$A$82</c:f>
              <c:strCache>
                <c:ptCount val="1"/>
                <c:pt idx="0">
                  <c:v> General and administrative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dLbl>
              <c:idx val="20"/>
              <c:layout>
                <c:manualLayout>
                  <c:x val="-6.6481486345499038E-2"/>
                  <c:y val="2.5305778152678194E-2"/>
                </c:manualLayout>
              </c:layout>
              <c:tx>
                <c:rich>
                  <a:bodyPr rot="0" spcFirstLastPara="1" vertOverflow="ellipsis" vert="horz" wrap="square" lIns="38100" tIns="19050" rIns="38100" bIns="19050" anchor="ctr" anchorCtr="1">
                    <a:spAutoFit/>
                  </a:bodyPr>
                  <a:lstStyle/>
                  <a:p>
                    <a:pPr>
                      <a:defRPr altLang="en-US" sz="800" b="1" i="0" u="none" strike="noStrike" kern="1200" baseline="0">
                        <a:solidFill>
                          <a:srgbClr val="000000"/>
                        </a:solidFill>
                        <a:latin typeface="+mn-lt"/>
                        <a:ea typeface="+mn-ea"/>
                        <a:cs typeface="+mn-cs"/>
                      </a:defRPr>
                    </a:pPr>
                    <a:r>
                      <a:rPr lang="en-US" altLang="zh-CN"/>
                      <a:t>G&amp;A 6%</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8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02C-4B73-8CEC-4DF7B14A50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ABNB!$B$1:$AI$1</c15:sqref>
                  </c15:fullRef>
                </c:ext>
              </c:extLst>
              <c:f>(ABNB!$B$1:$E$1,ABNB!$G$1:$AI$1)</c:f>
              <c:strCache>
                <c:ptCount val="21"/>
                <c:pt idx="0">
                  <c:v>19Q2</c:v>
                </c:pt>
                <c:pt idx="1">
                  <c:v>19Q3</c:v>
                </c:pt>
                <c:pt idx="2">
                  <c:v>19Q4</c:v>
                </c:pt>
                <c:pt idx="3">
                  <c:v>22Q1</c:v>
                </c:pt>
                <c:pt idx="4">
                  <c:v>22Q2</c:v>
                </c:pt>
                <c:pt idx="5">
                  <c:v>22Q3</c:v>
                </c:pt>
                <c:pt idx="6">
                  <c:v>22Q4</c:v>
                </c:pt>
                <c:pt idx="7">
                  <c:v>23Q1</c:v>
                </c:pt>
                <c:pt idx="8">
                  <c:v>23Q2</c:v>
                </c:pt>
                <c:pt idx="9">
                  <c:v>23Q3</c:v>
                </c:pt>
                <c:pt idx="10">
                  <c:v>23Q4</c:v>
                </c:pt>
                <c:pt idx="11">
                  <c:v>24Q1</c:v>
                </c:pt>
                <c:pt idx="12">
                  <c:v>24Q2</c:v>
                </c:pt>
                <c:pt idx="13">
                  <c:v>24Q3</c:v>
                </c:pt>
                <c:pt idx="14">
                  <c:v>24Q4</c:v>
                </c:pt>
                <c:pt idx="15">
                  <c:v>25Q1</c:v>
                </c:pt>
                <c:pt idx="16">
                  <c:v>25Q2</c:v>
                </c:pt>
                <c:pt idx="17">
                  <c:v>25Q3</c:v>
                </c:pt>
                <c:pt idx="18">
                  <c:v>25Q4</c:v>
                </c:pt>
                <c:pt idx="19">
                  <c:v>26Q1</c:v>
                </c:pt>
                <c:pt idx="20">
                  <c:v>26Q2</c:v>
                </c:pt>
              </c:strCache>
            </c:strRef>
          </c:cat>
          <c:val>
            <c:numRef>
              <c:extLst>
                <c:ext xmlns:c15="http://schemas.microsoft.com/office/drawing/2012/chart" uri="{02D57815-91ED-43cb-92C2-25804820EDAC}">
                  <c15:fullRef>
                    <c15:sqref>ABNB!$B$82:$AI$82</c15:sqref>
                  </c15:fullRef>
                </c:ext>
              </c:extLst>
              <c:f>(ABNB!$B$82:$E$82,ABNB!$G$82:$AI$82)</c:f>
              <c:numCache>
                <c:formatCode>0%</c:formatCode>
                <c:ptCount val="21"/>
                <c:pt idx="0">
                  <c:v>0.13636071511554135</c:v>
                </c:pt>
                <c:pt idx="1">
                  <c:v>0.10409591672180833</c:v>
                </c:pt>
                <c:pt idx="2">
                  <c:v>0.18133603663186348</c:v>
                </c:pt>
                <c:pt idx="3" formatCode="0.0%">
                  <c:v>0.10993566994513357</c:v>
                </c:pt>
                <c:pt idx="4">
                  <c:v>8.8916580763240646E-2</c:v>
                </c:pt>
                <c:pt idx="5">
                  <c:v>6.495921176254417E-2</c:v>
                </c:pt>
                <c:pt idx="6">
                  <c:v>0.10725552050473186</c:v>
                </c:pt>
                <c:pt idx="7" formatCode="0.0%">
                  <c:v>0.10726072607260725</c:v>
                </c:pt>
                <c:pt idx="8">
                  <c:v>8.7359098228663445E-2</c:v>
                </c:pt>
                <c:pt idx="9">
                  <c:v>7.1533706211362971E-2</c:v>
                </c:pt>
                <c:pt idx="10">
                  <c:v>9.3327321911632108E-2</c:v>
                </c:pt>
                <c:pt idx="11">
                  <c:v>0.10784313725490197</c:v>
                </c:pt>
                <c:pt idx="12">
                  <c:v>8.8064046579330424E-2</c:v>
                </c:pt>
                <c:pt idx="13">
                  <c:v>7.1811361200428719E-2</c:v>
                </c:pt>
                <c:pt idx="14">
                  <c:v>7.3790322580645162E-2</c:v>
                </c:pt>
                <c:pt idx="15">
                  <c:v>0.10167253521126761</c:v>
                </c:pt>
                <c:pt idx="16">
                  <c:v>7.6550387596899222E-2</c:v>
                </c:pt>
                <c:pt idx="17">
                  <c:v>6.3736263736263732E-2</c:v>
                </c:pt>
                <c:pt idx="18">
                  <c:v>0.12239020878329733</c:v>
                </c:pt>
                <c:pt idx="19">
                  <c:v>8.5511575802837941E-2</c:v>
                </c:pt>
                <c:pt idx="20">
                  <c:v>6.2361419068736143E-2</c:v>
                </c:pt>
              </c:numCache>
            </c:numRef>
          </c:val>
          <c:smooth val="0"/>
          <c:extLst>
            <c:ext xmlns:c16="http://schemas.microsoft.com/office/drawing/2014/chart" uri="{C3380CC4-5D6E-409C-BE32-E72D297353CC}">
              <c16:uniqueId val="{00000002-A21C-4B59-BFD2-50C392D7E82D}"/>
            </c:ext>
          </c:extLst>
        </c:ser>
        <c:dLbls>
          <c:showLegendKey val="0"/>
          <c:showVal val="0"/>
          <c:showCatName val="0"/>
          <c:showSerName val="0"/>
          <c:showPercent val="0"/>
          <c:showBubbleSize val="0"/>
        </c:dLbls>
        <c:marker val="1"/>
        <c:smooth val="0"/>
        <c:axId val="841370896"/>
        <c:axId val="841368400"/>
      </c:lineChart>
      <c:catAx>
        <c:axId val="841370896"/>
        <c:scaling>
          <c:orientation val="minMax"/>
        </c:scaling>
        <c:delete val="0"/>
        <c:axPos val="b"/>
        <c:numFmt formatCode="General" sourceLinked="1"/>
        <c:majorTickMark val="none"/>
        <c:minorTickMark val="none"/>
        <c:tickLblPos val="nextTo"/>
        <c:spPr>
          <a:noFill/>
          <a:ln w="9525" cap="flat" cmpd="sng" algn="ctr">
            <a:solidFill>
              <a:schemeClr val="accent1">
                <a:alpha val="99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1368400"/>
        <c:crosses val="autoZero"/>
        <c:auto val="1"/>
        <c:lblAlgn val="ctr"/>
        <c:lblOffset val="100"/>
        <c:noMultiLvlLbl val="0"/>
      </c:catAx>
      <c:valAx>
        <c:axId val="841368400"/>
        <c:scaling>
          <c:orientation val="minMax"/>
          <c:max val="0.55000000000000004"/>
          <c:min val="0"/>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1370896"/>
        <c:crosses val="autoZero"/>
        <c:crossBetween val="between"/>
      </c:valAx>
      <c:spPr>
        <a:noFill/>
        <a:ln w="25400">
          <a:noFill/>
        </a:ln>
        <a:effectLst/>
      </c:spPr>
    </c:plotArea>
    <c:legend>
      <c:legendPos val="b"/>
      <c:layout>
        <c:manualLayout>
          <c:xMode val="edge"/>
          <c:yMode val="edge"/>
          <c:x val="6.2681487484836318E-2"/>
          <c:y val="0.83047908509528656"/>
          <c:w val="0.80747110968429536"/>
          <c:h val="0.140847678295220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400" b="0" i="0" baseline="0">
                <a:effectLst/>
              </a:rPr>
              <a:t>ABNB Nights Booked  &amp; YoY Growth</a:t>
            </a:r>
            <a:endParaRPr lang="zh-CN" altLang="zh-CN"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ABNB!$A$3</c:f>
              <c:strCache>
                <c:ptCount val="1"/>
                <c:pt idx="0">
                  <c:v> Nights and Experiences Booked </c:v>
                </c:pt>
              </c:strCache>
            </c:strRef>
          </c:tx>
          <c:spPr>
            <a:solidFill>
              <a:schemeClr val="accent1"/>
            </a:solidFill>
            <a:ln>
              <a:noFill/>
            </a:ln>
            <a:effectLst/>
          </c:spPr>
          <c:invertIfNegative val="0"/>
          <c:cat>
            <c:strRef>
              <c:extLst>
                <c:ext xmlns:c15="http://schemas.microsoft.com/office/drawing/2012/chart" uri="{02D57815-91ED-43cb-92C2-25804820EDAC}">
                  <c15:fullRef>
                    <c15:sqref>ABNB!$B$1:$AI$1</c15:sqref>
                  </c15:fullRef>
                </c:ext>
              </c:extLst>
              <c:f>(ABNB!$B$1:$E$1,ABNB!$G$1:$Q$1,ABNB!$V$1:$AI$1)</c:f>
              <c:strCache>
                <c:ptCount val="17"/>
                <c:pt idx="0">
                  <c:v>19Q2</c:v>
                </c:pt>
                <c:pt idx="1">
                  <c:v>19Q3</c:v>
                </c:pt>
                <c:pt idx="2">
                  <c:v>19Q4</c:v>
                </c:pt>
                <c:pt idx="3">
                  <c:v>23Q1</c:v>
                </c:pt>
                <c:pt idx="4">
                  <c:v>23Q2</c:v>
                </c:pt>
                <c:pt idx="5">
                  <c:v>23Q3</c:v>
                </c:pt>
                <c:pt idx="6">
                  <c:v>23Q4</c:v>
                </c:pt>
                <c:pt idx="7">
                  <c:v>24Q1</c:v>
                </c:pt>
                <c:pt idx="8">
                  <c:v>24Q2</c:v>
                </c:pt>
                <c:pt idx="9">
                  <c:v>24Q3</c:v>
                </c:pt>
                <c:pt idx="10">
                  <c:v>24Q4</c:v>
                </c:pt>
                <c:pt idx="11">
                  <c:v>25Q1</c:v>
                </c:pt>
                <c:pt idx="12">
                  <c:v>25Q2</c:v>
                </c:pt>
                <c:pt idx="13">
                  <c:v>25Q3</c:v>
                </c:pt>
                <c:pt idx="14">
                  <c:v>25Q4</c:v>
                </c:pt>
                <c:pt idx="15">
                  <c:v>26Q1</c:v>
                </c:pt>
                <c:pt idx="16">
                  <c:v>26Q2</c:v>
                </c:pt>
              </c:strCache>
            </c:strRef>
          </c:cat>
          <c:val>
            <c:numRef>
              <c:extLst>
                <c:ext xmlns:c15="http://schemas.microsoft.com/office/drawing/2012/chart" uri="{02D57815-91ED-43cb-92C2-25804820EDAC}">
                  <c15:fullRef>
                    <c15:sqref>ABNB!$B$3:$AI$3</c15:sqref>
                  </c15:fullRef>
                </c:ext>
              </c:extLst>
              <c:f>(ABNB!$B$3:$E$3,ABNB!$G$3:$Q$3,ABNB!$V$3:$AI$3)</c:f>
              <c:numCache>
                <c:formatCode>0.0</c:formatCode>
                <c:ptCount val="17"/>
                <c:pt idx="0">
                  <c:v>84</c:v>
                </c:pt>
                <c:pt idx="1">
                  <c:v>85.833333333333343</c:v>
                </c:pt>
                <c:pt idx="2">
                  <c:v>75.8</c:v>
                </c:pt>
                <c:pt idx="3">
                  <c:v>121.1</c:v>
                </c:pt>
                <c:pt idx="4">
                  <c:v>115.1</c:v>
                </c:pt>
                <c:pt idx="5">
                  <c:v>113.2</c:v>
                </c:pt>
                <c:pt idx="6">
                  <c:v>98.8</c:v>
                </c:pt>
                <c:pt idx="7" formatCode="_(* #,##0.0_);_(* \(#,##0.0\);_(* &quot;-&quot;??_);_(@_)">
                  <c:v>132.6</c:v>
                </c:pt>
                <c:pt idx="8" formatCode="_(* #,##0.0_);_(* \(#,##0.0\);_(* &quot;-&quot;??_);_(@_)">
                  <c:v>125.1</c:v>
                </c:pt>
                <c:pt idx="9" formatCode="_(* #,##0.0_);_(* \(#,##0.0\);_(* &quot;-&quot;??_);_(@_)">
                  <c:v>122.8</c:v>
                </c:pt>
                <c:pt idx="10" formatCode="_(* #,##0.0_);_(* \(#,##0.0\);_(* &quot;-&quot;??_);_(@_)">
                  <c:v>111</c:v>
                </c:pt>
                <c:pt idx="11" formatCode="_(* #,##0.0_);_(* \(#,##0.0\);_(* &quot;-&quot;??_);_(@_)">
                  <c:v>143.1</c:v>
                </c:pt>
                <c:pt idx="12" formatCode="_(* #,##0.0_);_(* \(#,##0.0\);_(* &quot;-&quot;??_);_(@_)">
                  <c:v>134.4</c:v>
                </c:pt>
                <c:pt idx="13" formatCode="_(* #,##0.0_);_(* \(#,##0.0\);_(* &quot;-&quot;??_);_(@_)">
                  <c:v>133.6</c:v>
                </c:pt>
                <c:pt idx="14" formatCode="_(* #,##0.0_);_(* \(#,##0.0\);_(* &quot;-&quot;??_);_(@_)">
                  <c:v>121.9</c:v>
                </c:pt>
                <c:pt idx="15" formatCode="_(* #,##0.0_);_(* \(#,##0.0\);_(* &quot;-&quot;??_);_(@_)">
                  <c:v>156.19999999999999</c:v>
                </c:pt>
                <c:pt idx="16" formatCode="_(* #,##0.0_);_(* \(#,##0.0\);_(* &quot;-&quot;??_);_(@_)">
                  <c:v>148.30000000000001</c:v>
                </c:pt>
              </c:numCache>
            </c:numRef>
          </c:val>
          <c:extLst>
            <c:ext xmlns:c16="http://schemas.microsoft.com/office/drawing/2014/chart" uri="{C3380CC4-5D6E-409C-BE32-E72D297353CC}">
              <c16:uniqueId val="{00000000-4D88-404F-A8E1-2954C1BCA4FF}"/>
            </c:ext>
          </c:extLst>
        </c:ser>
        <c:dLbls>
          <c:showLegendKey val="0"/>
          <c:showVal val="0"/>
          <c:showCatName val="0"/>
          <c:showSerName val="0"/>
          <c:showPercent val="0"/>
          <c:showBubbleSize val="0"/>
        </c:dLbls>
        <c:gapWidth val="219"/>
        <c:overlap val="-27"/>
        <c:axId val="842806544"/>
        <c:axId val="842798224"/>
      </c:barChart>
      <c:lineChart>
        <c:grouping val="standard"/>
        <c:varyColors val="0"/>
        <c:ser>
          <c:idx val="1"/>
          <c:order val="1"/>
          <c:tx>
            <c:strRef>
              <c:f>ABNB!$A$4</c:f>
              <c:strCache>
                <c:ptCount val="1"/>
                <c:pt idx="0">
                  <c:v> YoY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30%</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3A3-4881-82AC-9D72FC405FD8}"/>
                </c:ext>
              </c:extLst>
            </c:dLbl>
            <c:dLbl>
              <c:idx val="4"/>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11%</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3A3-4881-82AC-9D72FC405FD8}"/>
                </c:ext>
              </c:extLst>
            </c:dLbl>
            <c:dLbl>
              <c:idx val="8"/>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9%</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3A3-4881-82AC-9D72FC405FD8}"/>
                </c:ext>
              </c:extLst>
            </c:dLbl>
            <c:dLbl>
              <c:idx val="12"/>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7%</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3A3-4881-82AC-9D72FC405FD8}"/>
                </c:ext>
              </c:extLst>
            </c:dLbl>
            <c:dLbl>
              <c:idx val="16"/>
              <c:layout>
                <c:manualLayout>
                  <c:x val="-6.4543905519871117E-2"/>
                  <c:y val="-8.1734893635533129E-2"/>
                </c:manualLayout>
              </c:layout>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10%</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63A3-4881-82AC-9D72FC405F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ABNB!$B$1:$AI$1</c15:sqref>
                  </c15:fullRef>
                </c:ext>
              </c:extLst>
              <c:f>(ABNB!$B$1:$E$1,ABNB!$G$1:$Q$1,ABNB!$V$1:$AI$1)</c:f>
              <c:strCache>
                <c:ptCount val="17"/>
                <c:pt idx="0">
                  <c:v>19Q2</c:v>
                </c:pt>
                <c:pt idx="1">
                  <c:v>19Q3</c:v>
                </c:pt>
                <c:pt idx="2">
                  <c:v>19Q4</c:v>
                </c:pt>
                <c:pt idx="3">
                  <c:v>23Q1</c:v>
                </c:pt>
                <c:pt idx="4">
                  <c:v>23Q2</c:v>
                </c:pt>
                <c:pt idx="5">
                  <c:v>23Q3</c:v>
                </c:pt>
                <c:pt idx="6">
                  <c:v>23Q4</c:v>
                </c:pt>
                <c:pt idx="7">
                  <c:v>24Q1</c:v>
                </c:pt>
                <c:pt idx="8">
                  <c:v>24Q2</c:v>
                </c:pt>
                <c:pt idx="9">
                  <c:v>24Q3</c:v>
                </c:pt>
                <c:pt idx="10">
                  <c:v>24Q4</c:v>
                </c:pt>
                <c:pt idx="11">
                  <c:v>25Q1</c:v>
                </c:pt>
                <c:pt idx="12">
                  <c:v>25Q2</c:v>
                </c:pt>
                <c:pt idx="13">
                  <c:v>25Q3</c:v>
                </c:pt>
                <c:pt idx="14">
                  <c:v>25Q4</c:v>
                </c:pt>
                <c:pt idx="15">
                  <c:v>26Q1</c:v>
                </c:pt>
                <c:pt idx="16">
                  <c:v>26Q2</c:v>
                </c:pt>
              </c:strCache>
            </c:strRef>
          </c:cat>
          <c:val>
            <c:numRef>
              <c:extLst>
                <c:ext xmlns:c15="http://schemas.microsoft.com/office/drawing/2012/chart" uri="{02D57815-91ED-43cb-92C2-25804820EDAC}">
                  <c15:fullRef>
                    <c15:sqref>ABNB!$B$4:$AI$4</c15:sqref>
                  </c15:fullRef>
                </c:ext>
              </c:extLst>
              <c:f>(ABNB!$B$4:$E$4,ABNB!$G$4:$Q$4,ABNB!$V$4:$AI$4)</c:f>
              <c:numCache>
                <c:formatCode>0%</c:formatCode>
                <c:ptCount val="17"/>
                <c:pt idx="0">
                  <c:v>0.29623196478396996</c:v>
                </c:pt>
                <c:pt idx="1">
                  <c:v>0.3039266132074987</c:v>
                </c:pt>
                <c:pt idx="2">
                  <c:v>0.31749356131510753</c:v>
                </c:pt>
                <c:pt idx="3">
                  <c:v>0.19</c:v>
                </c:pt>
                <c:pt idx="4">
                  <c:v>0.10993249758919954</c:v>
                </c:pt>
                <c:pt idx="5">
                  <c:v>0.13540621865596791</c:v>
                </c:pt>
                <c:pt idx="6">
                  <c:v>0.1201814058956916</c:v>
                </c:pt>
                <c:pt idx="7">
                  <c:v>9.4962840627580425E-2</c:v>
                </c:pt>
                <c:pt idx="8">
                  <c:v>8.6880973066898459E-2</c:v>
                </c:pt>
                <c:pt idx="9">
                  <c:v>8.4805653710247286E-2</c:v>
                </c:pt>
                <c:pt idx="10">
                  <c:v>0.12348178137651833</c:v>
                </c:pt>
                <c:pt idx="11">
                  <c:v>7.9185520361990891E-2</c:v>
                </c:pt>
                <c:pt idx="12" formatCode="0.0%">
                  <c:v>7.4340527577937854E-2</c:v>
                </c:pt>
                <c:pt idx="13" formatCode="0.0%">
                  <c:v>8.7947882736156391E-2</c:v>
                </c:pt>
                <c:pt idx="14">
                  <c:v>9.8198198198198305E-2</c:v>
                </c:pt>
                <c:pt idx="15">
                  <c:v>9.1544374563242492E-2</c:v>
                </c:pt>
                <c:pt idx="16">
                  <c:v>0.10342261904761907</c:v>
                </c:pt>
              </c:numCache>
            </c:numRef>
          </c:val>
          <c:smooth val="0"/>
          <c:extLst>
            <c:ext xmlns:c16="http://schemas.microsoft.com/office/drawing/2014/chart" uri="{C3380CC4-5D6E-409C-BE32-E72D297353CC}">
              <c16:uniqueId val="{00000001-4D88-404F-A8E1-2954C1BCA4FF}"/>
            </c:ext>
          </c:extLst>
        </c:ser>
        <c:dLbls>
          <c:showLegendKey val="0"/>
          <c:showVal val="0"/>
          <c:showCatName val="0"/>
          <c:showSerName val="0"/>
          <c:showPercent val="0"/>
          <c:showBubbleSize val="0"/>
        </c:dLbls>
        <c:marker val="1"/>
        <c:smooth val="0"/>
        <c:axId val="446162223"/>
        <c:axId val="446161391"/>
      </c:lineChart>
      <c:catAx>
        <c:axId val="84280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2798224"/>
        <c:crosses val="autoZero"/>
        <c:auto val="1"/>
        <c:lblAlgn val="ctr"/>
        <c:lblOffset val="100"/>
        <c:noMultiLvlLbl val="0"/>
      </c:catAx>
      <c:valAx>
        <c:axId val="8427982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42806544"/>
        <c:crosses val="autoZero"/>
        <c:crossBetween val="between"/>
      </c:valAx>
      <c:valAx>
        <c:axId val="44616139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46162223"/>
        <c:crosses val="max"/>
        <c:crossBetween val="between"/>
      </c:valAx>
      <c:catAx>
        <c:axId val="446162223"/>
        <c:scaling>
          <c:orientation val="minMax"/>
        </c:scaling>
        <c:delete val="1"/>
        <c:axPos val="b"/>
        <c:numFmt formatCode="General" sourceLinked="1"/>
        <c:majorTickMark val="out"/>
        <c:minorTickMark val="none"/>
        <c:tickLblPos val="nextTo"/>
        <c:crossAx val="446161391"/>
        <c:crosses val="autoZero"/>
        <c:auto val="1"/>
        <c:lblAlgn val="ctr"/>
        <c:lblOffset val="100"/>
        <c:noMultiLvlLbl val="0"/>
      </c:catAx>
      <c:spPr>
        <a:noFill/>
        <a:ln>
          <a:solidFill>
            <a:schemeClr val="bg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ABNB Take Rate</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strRef>
              <c:f>ABNB!$A$9</c:f>
              <c:strCache>
                <c:ptCount val="1"/>
                <c:pt idx="0">
                  <c:v>Blended Take Rate-Quarterly </c:v>
                </c:pt>
              </c:strCache>
            </c:strRef>
          </c:tx>
          <c:spPr>
            <a:ln w="28575" cap="rnd">
              <a:solidFill>
                <a:schemeClr val="accent1"/>
              </a:solidFill>
              <a:round/>
            </a:ln>
            <a:effectLst/>
          </c:spPr>
          <c:marker>
            <c:symbol val="none"/>
          </c:marker>
          <c:dLbls>
            <c:dLbl>
              <c:idx val="0"/>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12%</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F22-4BEA-9720-3A969EBA8A46}"/>
                </c:ext>
              </c:extLst>
            </c:dLbl>
            <c:dLbl>
              <c:idx val="8"/>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13%</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F22-4BEA-9720-3A969EBA8A46}"/>
                </c:ext>
              </c:extLst>
            </c:dLbl>
            <c:dLbl>
              <c:idx val="12"/>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13%</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F22-4BEA-9720-3A969EBA8A46}"/>
                </c:ext>
              </c:extLst>
            </c:dLbl>
            <c:dLbl>
              <c:idx val="16"/>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13%</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F22-4BEA-9720-3A969EBA8A46}"/>
                </c:ext>
              </c:extLst>
            </c:dLbl>
            <c:dLbl>
              <c:idx val="20"/>
              <c:layout>
                <c:manualLayout>
                  <c:x val="-4.6447857232676235E-2"/>
                  <c:y val="-5.617849947922645E-2"/>
                </c:manualLayout>
              </c:layout>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13%</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F22-4BEA-9720-3A969EBA8A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ABNB!$B$1:$AI$1</c15:sqref>
                  </c15:fullRef>
                </c:ext>
              </c:extLst>
              <c:f>(ABNB!$B$1:$E$1,ABNB!$G$1:$AI$1)</c:f>
              <c:strCache>
                <c:ptCount val="21"/>
                <c:pt idx="0">
                  <c:v>19Q2</c:v>
                </c:pt>
                <c:pt idx="1">
                  <c:v>19Q3</c:v>
                </c:pt>
                <c:pt idx="2">
                  <c:v>19Q4</c:v>
                </c:pt>
                <c:pt idx="3">
                  <c:v>22Q1</c:v>
                </c:pt>
                <c:pt idx="4">
                  <c:v>22Q2</c:v>
                </c:pt>
                <c:pt idx="5">
                  <c:v>22Q3</c:v>
                </c:pt>
                <c:pt idx="6">
                  <c:v>22Q4</c:v>
                </c:pt>
                <c:pt idx="7">
                  <c:v>23Q1</c:v>
                </c:pt>
                <c:pt idx="8">
                  <c:v>23Q2</c:v>
                </c:pt>
                <c:pt idx="9">
                  <c:v>23Q3</c:v>
                </c:pt>
                <c:pt idx="10">
                  <c:v>23Q4</c:v>
                </c:pt>
                <c:pt idx="11">
                  <c:v>24Q1</c:v>
                </c:pt>
                <c:pt idx="12">
                  <c:v>24Q2</c:v>
                </c:pt>
                <c:pt idx="13">
                  <c:v>24Q3</c:v>
                </c:pt>
                <c:pt idx="14">
                  <c:v>24Q4</c:v>
                </c:pt>
                <c:pt idx="15">
                  <c:v>25Q1</c:v>
                </c:pt>
                <c:pt idx="16">
                  <c:v>25Q2</c:v>
                </c:pt>
                <c:pt idx="17">
                  <c:v>25Q3</c:v>
                </c:pt>
                <c:pt idx="18">
                  <c:v>25Q4</c:v>
                </c:pt>
                <c:pt idx="19">
                  <c:v>26Q1</c:v>
                </c:pt>
                <c:pt idx="20">
                  <c:v>26Q2</c:v>
                </c:pt>
              </c:strCache>
            </c:strRef>
          </c:cat>
          <c:val>
            <c:numRef>
              <c:extLst>
                <c:ext xmlns:c15="http://schemas.microsoft.com/office/drawing/2012/chart" uri="{02D57815-91ED-43cb-92C2-25804820EDAC}">
                  <c15:fullRef>
                    <c15:sqref>ABNB!$B$9:$AI$9</c15:sqref>
                  </c15:fullRef>
                </c:ext>
              </c:extLst>
              <c:f>(ABNB!$B$9:$E$9,ABNB!$G$9:$AI$9)</c:f>
              <c:numCache>
                <c:formatCode>0.0%</c:formatCode>
                <c:ptCount val="21"/>
                <c:pt idx="0">
                  <c:v>0.12349437310486581</c:v>
                </c:pt>
                <c:pt idx="1">
                  <c:v>0.17052397629310342</c:v>
                </c:pt>
                <c:pt idx="2">
                  <c:v>0.12962569099597118</c:v>
                </c:pt>
                <c:pt idx="3">
                  <c:v>8.7908801733780753E-2</c:v>
                </c:pt>
                <c:pt idx="4">
                  <c:v>0.12391678445229681</c:v>
                </c:pt>
                <c:pt idx="5">
                  <c:v>0.18489807692307692</c:v>
                </c:pt>
                <c:pt idx="6">
                  <c:v>0.1408888888888889</c:v>
                </c:pt>
                <c:pt idx="7">
                  <c:v>8.9117647058823524E-2</c:v>
                </c:pt>
                <c:pt idx="8">
                  <c:v>0.13005235602094239</c:v>
                </c:pt>
                <c:pt idx="9">
                  <c:v>0.18562841530054644</c:v>
                </c:pt>
                <c:pt idx="10">
                  <c:v>0.14309677419354838</c:v>
                </c:pt>
                <c:pt idx="11">
                  <c:v>9.3537117903930128E-2</c:v>
                </c:pt>
                <c:pt idx="12">
                  <c:v>0.12962264150943395</c:v>
                </c:pt>
                <c:pt idx="13">
                  <c:v>0.18581030619865571</c:v>
                </c:pt>
                <c:pt idx="14">
                  <c:v>0.1409090909090909</c:v>
                </c:pt>
                <c:pt idx="15">
                  <c:v>9.2677952274117889E-2</c:v>
                </c:pt>
                <c:pt idx="16">
                  <c:v>0.13204247878193373</c:v>
                </c:pt>
                <c:pt idx="17">
                  <c:v>0.17888345273457976</c:v>
                </c:pt>
                <c:pt idx="18">
                  <c:v>0.13594988744249781</c:v>
                </c:pt>
                <c:pt idx="19">
                  <c:v>9.1753177784630144E-2</c:v>
                </c:pt>
                <c:pt idx="20">
                  <c:v>0.13264705882352942</c:v>
                </c:pt>
              </c:numCache>
            </c:numRef>
          </c:val>
          <c:smooth val="0"/>
          <c:extLst>
            <c:ext xmlns:c16="http://schemas.microsoft.com/office/drawing/2014/chart" uri="{C3380CC4-5D6E-409C-BE32-E72D297353CC}">
              <c16:uniqueId val="{00000000-665F-4181-9CDE-03AC9739450F}"/>
            </c:ext>
          </c:extLst>
        </c:ser>
        <c:ser>
          <c:idx val="1"/>
          <c:order val="1"/>
          <c:tx>
            <c:strRef>
              <c:f>ABNB!$A$10</c:f>
              <c:strCache>
                <c:ptCount val="1"/>
                <c:pt idx="0">
                  <c:v>Blended Take Rate-TTM</c:v>
                </c:pt>
              </c:strCache>
            </c:strRef>
          </c:tx>
          <c:spPr>
            <a:ln w="28575" cap="rnd">
              <a:solidFill>
                <a:schemeClr val="accent2"/>
              </a:solidFill>
              <a:round/>
            </a:ln>
            <a:effectLst/>
          </c:spPr>
          <c:marker>
            <c:symbol val="none"/>
          </c:marker>
          <c:dLbls>
            <c:dLbl>
              <c:idx val="20"/>
              <c:layout>
                <c:manualLayout>
                  <c:x val="-4.1772204102379598E-2"/>
                  <c:y val="5.3196656887567473E-2"/>
                </c:manualLayout>
              </c:layout>
              <c:tx>
                <c:rich>
                  <a:bodyPr rot="0" spcFirstLastPara="1" vertOverflow="ellipsis" vert="horz" wrap="square" lIns="38100" tIns="19050" rIns="38100" bIns="19050" anchor="ctr" anchorCtr="1">
                    <a:spAutoFit/>
                  </a:bodyPr>
                  <a:lstStyle/>
                  <a:p>
                    <a:pPr>
                      <a:defRPr altLang="en-US" sz="800" b="1" i="0" u="none" strike="noStrike" kern="1200" baseline="0">
                        <a:solidFill>
                          <a:srgbClr val="000000"/>
                        </a:solidFill>
                        <a:latin typeface="+mn-lt"/>
                        <a:ea typeface="+mn-ea"/>
                        <a:cs typeface="+mn-cs"/>
                      </a:defRPr>
                    </a:pPr>
                    <a:r>
                      <a:rPr lang="en-US" altLang="zh-CN"/>
                      <a:t>TTM 13%</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8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F22-4BEA-9720-3A969EBA8A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ABNB!$B$1:$AI$1</c15:sqref>
                  </c15:fullRef>
                </c:ext>
              </c:extLst>
              <c:f>(ABNB!$B$1:$E$1,ABNB!$G$1:$AI$1)</c:f>
              <c:strCache>
                <c:ptCount val="21"/>
                <c:pt idx="0">
                  <c:v>19Q2</c:v>
                </c:pt>
                <c:pt idx="1">
                  <c:v>19Q3</c:v>
                </c:pt>
                <c:pt idx="2">
                  <c:v>19Q4</c:v>
                </c:pt>
                <c:pt idx="3">
                  <c:v>22Q1</c:v>
                </c:pt>
                <c:pt idx="4">
                  <c:v>22Q2</c:v>
                </c:pt>
                <c:pt idx="5">
                  <c:v>22Q3</c:v>
                </c:pt>
                <c:pt idx="6">
                  <c:v>22Q4</c:v>
                </c:pt>
                <c:pt idx="7">
                  <c:v>23Q1</c:v>
                </c:pt>
                <c:pt idx="8">
                  <c:v>23Q2</c:v>
                </c:pt>
                <c:pt idx="9">
                  <c:v>23Q3</c:v>
                </c:pt>
                <c:pt idx="10">
                  <c:v>23Q4</c:v>
                </c:pt>
                <c:pt idx="11">
                  <c:v>24Q1</c:v>
                </c:pt>
                <c:pt idx="12">
                  <c:v>24Q2</c:v>
                </c:pt>
                <c:pt idx="13">
                  <c:v>24Q3</c:v>
                </c:pt>
                <c:pt idx="14">
                  <c:v>24Q4</c:v>
                </c:pt>
                <c:pt idx="15">
                  <c:v>25Q1</c:v>
                </c:pt>
                <c:pt idx="16">
                  <c:v>25Q2</c:v>
                </c:pt>
                <c:pt idx="17">
                  <c:v>25Q3</c:v>
                </c:pt>
                <c:pt idx="18">
                  <c:v>25Q4</c:v>
                </c:pt>
                <c:pt idx="19">
                  <c:v>26Q1</c:v>
                </c:pt>
                <c:pt idx="20">
                  <c:v>26Q2</c:v>
                </c:pt>
              </c:strCache>
            </c:strRef>
          </c:cat>
          <c:val>
            <c:numRef>
              <c:extLst>
                <c:ext xmlns:c15="http://schemas.microsoft.com/office/drawing/2012/chart" uri="{02D57815-91ED-43cb-92C2-25804820EDAC}">
                  <c15:fullRef>
                    <c15:sqref>ABNB!$B$10:$AI$10</c15:sqref>
                  </c15:fullRef>
                </c:ext>
              </c:extLst>
              <c:f>(ABNB!$B$10:$E$10,ABNB!$G$10:$AI$10)</c:f>
              <c:numCache>
                <c:formatCode>0.0%</c:formatCode>
                <c:ptCount val="21"/>
                <c:pt idx="0">
                  <c:v>0.12308274261906856</c:v>
                </c:pt>
                <c:pt idx="1">
                  <c:v>0.12628176500611196</c:v>
                </c:pt>
                <c:pt idx="2">
                  <c:v>0.12657857095818242</c:v>
                </c:pt>
                <c:pt idx="3">
                  <c:v>0.12304305360212531</c:v>
                </c:pt>
                <c:pt idx="4">
                  <c:v>0.12881951205893541</c:v>
                </c:pt>
                <c:pt idx="5">
                  <c:v>0.13159348133192175</c:v>
                </c:pt>
                <c:pt idx="6">
                  <c:v>0.13280861035215544</c:v>
                </c:pt>
                <c:pt idx="7">
                  <c:v>0.13099453971119132</c:v>
                </c:pt>
                <c:pt idx="8">
                  <c:v>0.13248411078717201</c:v>
                </c:pt>
                <c:pt idx="9">
                  <c:v>0.13465638148667602</c:v>
                </c:pt>
                <c:pt idx="10">
                  <c:v>0.13529331514324694</c:v>
                </c:pt>
                <c:pt idx="11">
                  <c:v>0.13510554089709761</c:v>
                </c:pt>
                <c:pt idx="12">
                  <c:v>0.13485237483953788</c:v>
                </c:pt>
                <c:pt idx="13">
                  <c:v>0.13603564033381441</c:v>
                </c:pt>
                <c:pt idx="14">
                  <c:v>0.13574616372195392</c:v>
                </c:pt>
                <c:pt idx="15">
                  <c:v>0.13467625899280575</c:v>
                </c:pt>
                <c:pt idx="16">
                  <c:v>0.13520613681740165</c:v>
                </c:pt>
                <c:pt idx="17">
                  <c:v>0.13501933208221223</c:v>
                </c:pt>
                <c:pt idx="18">
                  <c:v>0.13409210411006922</c:v>
                </c:pt>
                <c:pt idx="19">
                  <c:v>0.13179449770737808</c:v>
                </c:pt>
                <c:pt idx="20">
                  <c:v>0.13196875031339947</c:v>
                </c:pt>
              </c:numCache>
            </c:numRef>
          </c:val>
          <c:smooth val="0"/>
          <c:extLst>
            <c:ext xmlns:c16="http://schemas.microsoft.com/office/drawing/2014/chart" uri="{C3380CC4-5D6E-409C-BE32-E72D297353CC}">
              <c16:uniqueId val="{00000000-71DE-451A-B404-C1E2A976C7A9}"/>
            </c:ext>
          </c:extLst>
        </c:ser>
        <c:dLbls>
          <c:showLegendKey val="0"/>
          <c:showVal val="0"/>
          <c:showCatName val="0"/>
          <c:showSerName val="0"/>
          <c:showPercent val="0"/>
          <c:showBubbleSize val="0"/>
        </c:dLbls>
        <c:smooth val="0"/>
        <c:axId val="1011932864"/>
        <c:axId val="1011929584"/>
      </c:lineChart>
      <c:catAx>
        <c:axId val="101193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11929584"/>
        <c:crosses val="autoZero"/>
        <c:auto val="1"/>
        <c:lblAlgn val="ctr"/>
        <c:lblOffset val="100"/>
        <c:noMultiLvlLbl val="0"/>
      </c:catAx>
      <c:valAx>
        <c:axId val="1011929584"/>
        <c:scaling>
          <c:orientation val="minMax"/>
          <c:min val="5.000000000000001E-2"/>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11932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400" b="0" i="0" baseline="0">
                <a:effectLst/>
              </a:rPr>
              <a:t>ABNB Adjusted EBITDA &amp; Adjusted </a:t>
            </a:r>
            <a:r>
              <a:rPr lang="en-US" altLang="zh-CN" sz="1200" b="0" i="0" baseline="0">
                <a:effectLst/>
              </a:rPr>
              <a:t>EBITDA</a:t>
            </a:r>
            <a:r>
              <a:rPr lang="en-US" altLang="zh-CN" sz="1400" b="0" i="0" baseline="0">
                <a:effectLst/>
              </a:rPr>
              <a:t> Margin</a:t>
            </a:r>
            <a:endParaRPr lang="zh-CN" altLang="zh-CN"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0.109844579601948"/>
          <c:y val="0.17171296296296296"/>
          <c:w val="0.76705575726260622"/>
          <c:h val="0.6714577865266842"/>
        </c:manualLayout>
      </c:layout>
      <c:barChart>
        <c:barDir val="col"/>
        <c:grouping val="clustered"/>
        <c:varyColors val="0"/>
        <c:ser>
          <c:idx val="0"/>
          <c:order val="0"/>
          <c:tx>
            <c:strRef>
              <c:f>ABNB!$A$55</c:f>
              <c:strCache>
                <c:ptCount val="1"/>
                <c:pt idx="0">
                  <c:v> Adjusted EBITDA (Reported) </c:v>
                </c:pt>
              </c:strCache>
            </c:strRef>
          </c:tx>
          <c:spPr>
            <a:solidFill>
              <a:schemeClr val="accent1"/>
            </a:solidFill>
            <a:ln>
              <a:noFill/>
            </a:ln>
            <a:effectLst/>
          </c:spPr>
          <c:invertIfNegative val="0"/>
          <c:cat>
            <c:strRef>
              <c:extLst>
                <c:ext xmlns:c15="http://schemas.microsoft.com/office/drawing/2012/chart" uri="{02D57815-91ED-43cb-92C2-25804820EDAC}">
                  <c15:fullRef>
                    <c15:sqref>ABNB!$B$1:$AI$1</c15:sqref>
                  </c15:fullRef>
                </c:ext>
              </c:extLst>
              <c:f>(ABNB!$B$1:$E$1,ABNB!$G$1:$AI$1)</c:f>
              <c:strCache>
                <c:ptCount val="21"/>
                <c:pt idx="0">
                  <c:v>19Q2</c:v>
                </c:pt>
                <c:pt idx="1">
                  <c:v>19Q3</c:v>
                </c:pt>
                <c:pt idx="2">
                  <c:v>19Q4</c:v>
                </c:pt>
                <c:pt idx="3">
                  <c:v>22Q1</c:v>
                </c:pt>
                <c:pt idx="4">
                  <c:v>22Q2</c:v>
                </c:pt>
                <c:pt idx="5">
                  <c:v>22Q3</c:v>
                </c:pt>
                <c:pt idx="6">
                  <c:v>22Q4</c:v>
                </c:pt>
                <c:pt idx="7">
                  <c:v>23Q1</c:v>
                </c:pt>
                <c:pt idx="8">
                  <c:v>23Q2</c:v>
                </c:pt>
                <c:pt idx="9">
                  <c:v>23Q3</c:v>
                </c:pt>
                <c:pt idx="10">
                  <c:v>23Q4</c:v>
                </c:pt>
                <c:pt idx="11">
                  <c:v>24Q1</c:v>
                </c:pt>
                <c:pt idx="12">
                  <c:v>24Q2</c:v>
                </c:pt>
                <c:pt idx="13">
                  <c:v>24Q3</c:v>
                </c:pt>
                <c:pt idx="14">
                  <c:v>24Q4</c:v>
                </c:pt>
                <c:pt idx="15">
                  <c:v>25Q1</c:v>
                </c:pt>
                <c:pt idx="16">
                  <c:v>25Q2</c:v>
                </c:pt>
                <c:pt idx="17">
                  <c:v>25Q3</c:v>
                </c:pt>
                <c:pt idx="18">
                  <c:v>25Q4</c:v>
                </c:pt>
                <c:pt idx="19">
                  <c:v>26Q1</c:v>
                </c:pt>
                <c:pt idx="20">
                  <c:v>26Q2</c:v>
                </c:pt>
              </c:strCache>
            </c:strRef>
          </c:cat>
          <c:val>
            <c:numRef>
              <c:extLst>
                <c:ext xmlns:c15="http://schemas.microsoft.com/office/drawing/2012/chart" uri="{02D57815-91ED-43cb-92C2-25804820EDAC}">
                  <c15:fullRef>
                    <c15:sqref>ABNB!$B$55:$AI$55</c15:sqref>
                  </c15:fullRef>
                </c:ext>
              </c:extLst>
              <c:f>(ABNB!$B$55:$E$55,ABNB!$G$55:$AI$55)</c:f>
              <c:numCache>
                <c:formatCode>_(* #,##0_);_(* \(#,##0\);_(* "-"??_);_(@_)</c:formatCode>
                <c:ptCount val="21"/>
                <c:pt idx="0">
                  <c:v>-42.591999999999999</c:v>
                </c:pt>
                <c:pt idx="1">
                  <c:v>313.58300000000003</c:v>
                </c:pt>
                <c:pt idx="2">
                  <c:v>-276.38600000000002</c:v>
                </c:pt>
                <c:pt idx="3">
                  <c:v>229.1</c:v>
                </c:pt>
                <c:pt idx="4">
                  <c:v>711</c:v>
                </c:pt>
                <c:pt idx="5">
                  <c:v>1457</c:v>
                </c:pt>
                <c:pt idx="6">
                  <c:v>506</c:v>
                </c:pt>
                <c:pt idx="7">
                  <c:v>262</c:v>
                </c:pt>
                <c:pt idx="8">
                  <c:v>819</c:v>
                </c:pt>
                <c:pt idx="9">
                  <c:v>1834</c:v>
                </c:pt>
                <c:pt idx="10">
                  <c:v>738</c:v>
                </c:pt>
                <c:pt idx="11">
                  <c:v>424</c:v>
                </c:pt>
                <c:pt idx="12">
                  <c:v>894</c:v>
                </c:pt>
                <c:pt idx="13">
                  <c:v>1958</c:v>
                </c:pt>
                <c:pt idx="14">
                  <c:v>765</c:v>
                </c:pt>
                <c:pt idx="15">
                  <c:v>417</c:v>
                </c:pt>
                <c:pt idx="16">
                  <c:v>1043</c:v>
                </c:pt>
                <c:pt idx="17">
                  <c:v>2051</c:v>
                </c:pt>
                <c:pt idx="18">
                  <c:v>786</c:v>
                </c:pt>
                <c:pt idx="19">
                  <c:v>519</c:v>
                </c:pt>
                <c:pt idx="20">
                  <c:v>1261</c:v>
                </c:pt>
              </c:numCache>
            </c:numRef>
          </c:val>
          <c:extLst>
            <c:ext xmlns:c16="http://schemas.microsoft.com/office/drawing/2014/chart" uri="{C3380CC4-5D6E-409C-BE32-E72D297353CC}">
              <c16:uniqueId val="{00000000-5F21-43F9-889E-1790B433618D}"/>
            </c:ext>
          </c:extLst>
        </c:ser>
        <c:dLbls>
          <c:showLegendKey val="0"/>
          <c:showVal val="0"/>
          <c:showCatName val="0"/>
          <c:showSerName val="0"/>
          <c:showPercent val="0"/>
          <c:showBubbleSize val="0"/>
        </c:dLbls>
        <c:gapWidth val="219"/>
        <c:overlap val="-27"/>
        <c:axId val="761956928"/>
        <c:axId val="761957912"/>
      </c:barChart>
      <c:lineChart>
        <c:grouping val="standard"/>
        <c:varyColors val="0"/>
        <c:ser>
          <c:idx val="1"/>
          <c:order val="1"/>
          <c:tx>
            <c:strRef>
              <c:f>ABNB!$A$56</c:f>
              <c:strCache>
                <c:ptCount val="1"/>
                <c:pt idx="0">
                  <c:v> Adjusted EBITDA Margin </c:v>
                </c:pt>
              </c:strCache>
            </c:strRef>
          </c:tx>
          <c:spPr>
            <a:ln w="28575" cap="rnd">
              <a:solidFill>
                <a:schemeClr val="accent2"/>
              </a:solidFill>
              <a:round/>
            </a:ln>
            <a:effectLst/>
          </c:spPr>
          <c:marker>
            <c:symbol val="none"/>
          </c:marker>
          <c:dLbls>
            <c:dLbl>
              <c:idx val="0"/>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-4%</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0A43-4255-A63C-3A07BA197551}"/>
                </c:ext>
              </c:extLst>
            </c:dLbl>
            <c:dLbl>
              <c:idx val="8"/>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33%</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A43-4255-A63C-3A07BA197551}"/>
                </c:ext>
              </c:extLst>
            </c:dLbl>
            <c:dLbl>
              <c:idx val="12"/>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33%</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A43-4255-A63C-3A07BA197551}"/>
                </c:ext>
              </c:extLst>
            </c:dLbl>
            <c:dLbl>
              <c:idx val="16"/>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34%</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A43-4255-A63C-3A07BA197551}"/>
                </c:ext>
              </c:extLst>
            </c:dLbl>
            <c:dLbl>
              <c:idx val="20"/>
              <c:layout>
                <c:manualLayout>
                  <c:x val="-5.6716720311006157E-2"/>
                  <c:y val="-6.7094998541848971E-2"/>
                </c:manualLayout>
              </c:layout>
              <c:tx>
                <c:rich>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r>
                      <a:rPr lang="en-US" altLang="zh-CN"/>
                      <a:t>35%</a:t>
                    </a:r>
                  </a:p>
                </c:rich>
              </c:tx>
              <c:numFmt formatCode="0%" sourceLinked="0"/>
              <c:spPr>
                <a:solidFill>
                  <a:srgbClr val="FFFFFF"/>
                </a:solidFill>
                <a:ln>
                  <a:noFill/>
                </a:ln>
                <a:effectLst/>
              </c:spPr>
              <c:txPr>
                <a:bodyPr rot="0" spcFirstLastPara="1" vertOverflow="ellipsis" vert="horz" wrap="square" lIns="38100" tIns="19050" rIns="38100" bIns="19050" anchor="ctr" anchorCtr="1">
                  <a:spAutoFit/>
                </a:bodyPr>
                <a:lstStyle/>
                <a:p>
                  <a:pPr>
                    <a:defRPr altLang="en-US" sz="900" b="1" i="0" u="none" strike="noStrike" kern="1200" baseline="0">
                      <a:solidFill>
                        <a:srgbClr val="000000"/>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A43-4255-A63C-3A07BA1975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ABNB!$B$1:$AI$1</c15:sqref>
                  </c15:fullRef>
                </c:ext>
              </c:extLst>
              <c:f>(ABNB!$B$1:$E$1,ABNB!$G$1:$AI$1)</c:f>
              <c:strCache>
                <c:ptCount val="21"/>
                <c:pt idx="0">
                  <c:v>19Q2</c:v>
                </c:pt>
                <c:pt idx="1">
                  <c:v>19Q3</c:v>
                </c:pt>
                <c:pt idx="2">
                  <c:v>19Q4</c:v>
                </c:pt>
                <c:pt idx="3">
                  <c:v>22Q1</c:v>
                </c:pt>
                <c:pt idx="4">
                  <c:v>22Q2</c:v>
                </c:pt>
                <c:pt idx="5">
                  <c:v>22Q3</c:v>
                </c:pt>
                <c:pt idx="6">
                  <c:v>22Q4</c:v>
                </c:pt>
                <c:pt idx="7">
                  <c:v>23Q1</c:v>
                </c:pt>
                <c:pt idx="8">
                  <c:v>23Q2</c:v>
                </c:pt>
                <c:pt idx="9">
                  <c:v>23Q3</c:v>
                </c:pt>
                <c:pt idx="10">
                  <c:v>23Q4</c:v>
                </c:pt>
                <c:pt idx="11">
                  <c:v>24Q1</c:v>
                </c:pt>
                <c:pt idx="12">
                  <c:v>24Q2</c:v>
                </c:pt>
                <c:pt idx="13">
                  <c:v>24Q3</c:v>
                </c:pt>
                <c:pt idx="14">
                  <c:v>24Q4</c:v>
                </c:pt>
                <c:pt idx="15">
                  <c:v>25Q1</c:v>
                </c:pt>
                <c:pt idx="16">
                  <c:v>25Q2</c:v>
                </c:pt>
                <c:pt idx="17">
                  <c:v>25Q3</c:v>
                </c:pt>
                <c:pt idx="18">
                  <c:v>25Q4</c:v>
                </c:pt>
                <c:pt idx="19">
                  <c:v>26Q1</c:v>
                </c:pt>
                <c:pt idx="20">
                  <c:v>26Q2</c:v>
                </c:pt>
              </c:strCache>
            </c:strRef>
          </c:cat>
          <c:val>
            <c:numRef>
              <c:extLst>
                <c:ext xmlns:c15="http://schemas.microsoft.com/office/drawing/2012/chart" uri="{02D57815-91ED-43cb-92C2-25804820EDAC}">
                  <c15:fullRef>
                    <c15:sqref>ABNB!$B$56:$AI$56</c15:sqref>
                  </c15:fullRef>
                </c:ext>
              </c:extLst>
              <c:f>(ABNB!$B$56:$E$56,ABNB!$G$56:$AI$56)</c:f>
              <c:numCache>
                <c:formatCode>0%</c:formatCode>
                <c:ptCount val="21"/>
                <c:pt idx="0">
                  <c:v>-3.5093327884331754E-2</c:v>
                </c:pt>
                <c:pt idx="1">
                  <c:v>0.19053981714234328</c:v>
                </c:pt>
                <c:pt idx="2">
                  <c:v>-0.24971720172461773</c:v>
                </c:pt>
                <c:pt idx="3">
                  <c:v>0.15182873771403313</c:v>
                </c:pt>
                <c:pt idx="4">
                  <c:v>0.33791057203839919</c:v>
                </c:pt>
                <c:pt idx="5">
                  <c:v>0.50512929853938937</c:v>
                </c:pt>
                <c:pt idx="6">
                  <c:v>0.26603575184016826</c:v>
                </c:pt>
                <c:pt idx="7">
                  <c:v>0.14411441144114412</c:v>
                </c:pt>
                <c:pt idx="8" formatCode="0.0%">
                  <c:v>0.32971014492753625</c:v>
                </c:pt>
                <c:pt idx="9">
                  <c:v>0.53988813659110979</c:v>
                </c:pt>
                <c:pt idx="10">
                  <c:v>0.33273219116321012</c:v>
                </c:pt>
                <c:pt idx="11">
                  <c:v>0.19794584500466852</c:v>
                </c:pt>
                <c:pt idx="12" formatCode="0.0%">
                  <c:v>0.32532751091703055</c:v>
                </c:pt>
                <c:pt idx="13" formatCode="0.0%">
                  <c:v>0.52465166130760987</c:v>
                </c:pt>
                <c:pt idx="14" formatCode="0.0%">
                  <c:v>0.30846774193548387</c:v>
                </c:pt>
                <c:pt idx="15">
                  <c:v>0.18353873239436619</c:v>
                </c:pt>
                <c:pt idx="16">
                  <c:v>0.33688630490956073</c:v>
                </c:pt>
                <c:pt idx="17" formatCode="0.0%">
                  <c:v>0.50085470085470085</c:v>
                </c:pt>
                <c:pt idx="18" formatCode="0.0%">
                  <c:v>0.28293736501079914</c:v>
                </c:pt>
                <c:pt idx="19" formatCode="0.0%">
                  <c:v>0.19380134428678117</c:v>
                </c:pt>
                <c:pt idx="20" formatCode="0.0%">
                  <c:v>0.3495011086474501</c:v>
                </c:pt>
              </c:numCache>
            </c:numRef>
          </c:val>
          <c:smooth val="0"/>
          <c:extLst>
            <c:ext xmlns:c16="http://schemas.microsoft.com/office/drawing/2014/chart" uri="{C3380CC4-5D6E-409C-BE32-E72D297353CC}">
              <c16:uniqueId val="{00000001-5F21-43F9-889E-1790B433618D}"/>
            </c:ext>
          </c:extLst>
        </c:ser>
        <c:dLbls>
          <c:showLegendKey val="0"/>
          <c:showVal val="0"/>
          <c:showCatName val="0"/>
          <c:showSerName val="0"/>
          <c:showPercent val="0"/>
          <c:showBubbleSize val="0"/>
        </c:dLbls>
        <c:marker val="1"/>
        <c:smooth val="0"/>
        <c:axId val="723292376"/>
        <c:axId val="723291064"/>
      </c:lineChart>
      <c:catAx>
        <c:axId val="76195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61957912"/>
        <c:crosses val="autoZero"/>
        <c:auto val="1"/>
        <c:lblAlgn val="ctr"/>
        <c:lblOffset val="100"/>
        <c:noMultiLvlLbl val="0"/>
      </c:catAx>
      <c:valAx>
        <c:axId val="7619579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61956928"/>
        <c:crosses val="autoZero"/>
        <c:crossBetween val="between"/>
      </c:valAx>
      <c:valAx>
        <c:axId val="72329106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zh-CN"/>
          </a:p>
        </c:txPr>
        <c:crossAx val="723292376"/>
        <c:crosses val="max"/>
        <c:crossBetween val="between"/>
      </c:valAx>
      <c:catAx>
        <c:axId val="723292376"/>
        <c:scaling>
          <c:orientation val="minMax"/>
        </c:scaling>
        <c:delete val="1"/>
        <c:axPos val="b"/>
        <c:numFmt formatCode="General" sourceLinked="1"/>
        <c:majorTickMark val="none"/>
        <c:minorTickMark val="none"/>
        <c:tickLblPos val="nextTo"/>
        <c:crossAx val="7232910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zh-CN" baseline="0"/>
              <a:t>BKNG Gross Profit/EXPE Revenue YoY Growth</a:t>
            </a:r>
            <a:endParaRPr lang="zh-CN" altLang="en-US"/>
          </a:p>
        </c:rich>
      </c:tx>
      <c:layout>
        <c:manualLayout>
          <c:xMode val="edge"/>
          <c:yMode val="edge"/>
          <c:x val="0.19022852959853637"/>
          <c:y val="2.4643810825764147E-2"/>
        </c:manualLayout>
      </c:layout>
      <c:overlay val="0"/>
    </c:title>
    <c:autoTitleDeleted val="0"/>
    <c:plotArea>
      <c:layout/>
      <c:lineChart>
        <c:grouping val="standard"/>
        <c:varyColors val="0"/>
        <c:ser>
          <c:idx val="1"/>
          <c:order val="0"/>
          <c:tx>
            <c:strRef>
              <c:f>'Quarterly Charts '!$A$8</c:f>
              <c:strCache>
                <c:ptCount val="1"/>
                <c:pt idx="0">
                  <c:v> BKNG Revenue YoY Growth on a non-constant currency basis </c:v>
                </c:pt>
              </c:strCache>
            </c:strRef>
          </c:tx>
          <c:spPr>
            <a:ln>
              <a:solidFill>
                <a:schemeClr val="accent1">
                  <a:lumMod val="60000"/>
                  <a:lumOff val="40000"/>
                </a:schemeClr>
              </a:solidFill>
            </a:ln>
          </c:spPr>
          <c:marker>
            <c:symbol val="none"/>
          </c:marker>
          <c:cat>
            <c:strRef>
              <c:f>'Quarterly Charts '!$B$2:$P$2</c:f>
              <c:strCache>
                <c:ptCount val="3"/>
                <c:pt idx="0">
                  <c:v> 2018Q1 </c:v>
                </c:pt>
                <c:pt idx="1">
                  <c:v> 2018Q2 </c:v>
                </c:pt>
                <c:pt idx="2">
                  <c:v> 2018Q3 </c:v>
                </c:pt>
              </c:strCache>
            </c:strRef>
          </c:cat>
          <c:val>
            <c:numRef>
              <c:f>'Quarterly Charts '!$B$8:$P$8</c:f>
              <c:numCache>
                <c:formatCode>0.0%</c:formatCode>
                <c:ptCount val="3"/>
                <c:pt idx="0">
                  <c:v>0.252</c:v>
                </c:pt>
                <c:pt idx="1">
                  <c:v>0.2</c:v>
                </c:pt>
                <c:pt idx="2">
                  <c:v>0.11</c:v>
                </c:pt>
              </c:numCache>
            </c:numRef>
          </c:val>
          <c:smooth val="0"/>
          <c:extLst>
            <c:ext xmlns:c16="http://schemas.microsoft.com/office/drawing/2014/chart" uri="{C3380CC4-5D6E-409C-BE32-E72D297353CC}">
              <c16:uniqueId val="{00000000-5410-4314-896E-D9A35098700E}"/>
            </c:ext>
          </c:extLst>
        </c:ser>
        <c:ser>
          <c:idx val="2"/>
          <c:order val="1"/>
          <c:tx>
            <c:strRef>
              <c:f>'Quarterly Charts '!$A$9</c:f>
              <c:strCache>
                <c:ptCount val="1"/>
                <c:pt idx="0">
                  <c:v> BKNG Revenue YoY Growth on a constant currency basis </c:v>
                </c:pt>
              </c:strCache>
            </c:strRef>
          </c:tx>
          <c:spPr>
            <a:ln w="38100">
              <a:solidFill>
                <a:schemeClr val="tx2">
                  <a:lumMod val="75000"/>
                </a:schemeClr>
              </a:solidFill>
            </a:ln>
          </c:spPr>
          <c:marker>
            <c:symbol val="triangle"/>
            <c:size val="5"/>
            <c:spPr>
              <a:solidFill>
                <a:schemeClr val="tx2">
                  <a:lumMod val="75000"/>
                </a:schemeClr>
              </a:solidFill>
              <a:ln>
                <a:solidFill>
                  <a:schemeClr val="bg1">
                    <a:lumMod val="50000"/>
                  </a:schemeClr>
                </a:solidFill>
              </a:ln>
            </c:spPr>
          </c:marker>
          <c:cat>
            <c:strRef>
              <c:f>'Quarterly Charts '!$B$2:$P$2</c:f>
              <c:strCache>
                <c:ptCount val="3"/>
                <c:pt idx="0">
                  <c:v> 2018Q1 </c:v>
                </c:pt>
                <c:pt idx="1">
                  <c:v> 2018Q2 </c:v>
                </c:pt>
                <c:pt idx="2">
                  <c:v> 2018Q3 </c:v>
                </c:pt>
              </c:strCache>
            </c:strRef>
          </c:cat>
          <c:val>
            <c:numRef>
              <c:f>'Quarterly Charts '!$B$9:$P$9</c:f>
              <c:numCache>
                <c:formatCode>0.0%</c:formatCode>
                <c:ptCount val="3"/>
                <c:pt idx="0">
                  <c:v>0.18</c:v>
                </c:pt>
                <c:pt idx="1">
                  <c:v>0.16</c:v>
                </c:pt>
                <c:pt idx="2">
                  <c:v>0.13</c:v>
                </c:pt>
              </c:numCache>
            </c:numRef>
          </c:val>
          <c:smooth val="0"/>
          <c:extLst>
            <c:ext xmlns:c16="http://schemas.microsoft.com/office/drawing/2014/chart" uri="{C3380CC4-5D6E-409C-BE32-E72D297353CC}">
              <c16:uniqueId val="{00000001-5410-4314-896E-D9A35098700E}"/>
            </c:ext>
          </c:extLst>
        </c:ser>
        <c:ser>
          <c:idx val="4"/>
          <c:order val="2"/>
          <c:tx>
            <c:strRef>
              <c:f>'Quarterly Charts '!$A$21</c:f>
              <c:strCache>
                <c:ptCount val="1"/>
                <c:pt idx="0">
                  <c:v> EXPE Revenue YoY Growth on a non-constant currency basis </c:v>
                </c:pt>
              </c:strCache>
            </c:strRef>
          </c:tx>
          <c:spPr>
            <a:ln>
              <a:solidFill>
                <a:srgbClr val="E0A9A8"/>
              </a:solidFill>
            </a:ln>
          </c:spPr>
          <c:marker>
            <c:symbol val="none"/>
          </c:marker>
          <c:cat>
            <c:strRef>
              <c:f>'Quarterly Charts '!$B$2:$P$2</c:f>
              <c:strCache>
                <c:ptCount val="3"/>
                <c:pt idx="0">
                  <c:v> 2018Q1 </c:v>
                </c:pt>
                <c:pt idx="1">
                  <c:v> 2018Q2 </c:v>
                </c:pt>
                <c:pt idx="2">
                  <c:v> 2018Q3 </c:v>
                </c:pt>
              </c:strCache>
            </c:strRef>
          </c:cat>
          <c:val>
            <c:numRef>
              <c:f>'Quarterly Charts '!$B$21:$P$21</c:f>
              <c:numCache>
                <c:formatCode>0.0%</c:formatCode>
                <c:ptCount val="3"/>
                <c:pt idx="0">
                  <c:v>0.11</c:v>
                </c:pt>
                <c:pt idx="1">
                  <c:v>0.11</c:v>
                </c:pt>
                <c:pt idx="2">
                  <c:v>0.1</c:v>
                </c:pt>
              </c:numCache>
            </c:numRef>
          </c:val>
          <c:smooth val="0"/>
          <c:extLst>
            <c:ext xmlns:c16="http://schemas.microsoft.com/office/drawing/2014/chart" uri="{C3380CC4-5D6E-409C-BE32-E72D297353CC}">
              <c16:uniqueId val="{00000002-5410-4314-896E-D9A35098700E}"/>
            </c:ext>
          </c:extLst>
        </c:ser>
        <c:ser>
          <c:idx val="5"/>
          <c:order val="3"/>
          <c:tx>
            <c:strRef>
              <c:f>'Quarterly Charts '!$A$22</c:f>
              <c:strCache>
                <c:ptCount val="1"/>
                <c:pt idx="0">
                  <c:v> EXPE Revenue YoY Growth on a constant currency basis </c:v>
                </c:pt>
              </c:strCache>
            </c:strRef>
          </c:tx>
          <c:spPr>
            <a:ln w="38100">
              <a:solidFill>
                <a:srgbClr val="C00000"/>
              </a:solidFill>
            </a:ln>
          </c:spPr>
          <c:marker>
            <c:symbol val="circle"/>
            <c:size val="5"/>
            <c:spPr>
              <a:solidFill>
                <a:srgbClr val="C00000"/>
              </a:solidFill>
            </c:spPr>
          </c:marker>
          <c:cat>
            <c:strRef>
              <c:f>'Quarterly Charts '!$B$2:$P$2</c:f>
              <c:strCache>
                <c:ptCount val="3"/>
                <c:pt idx="0">
                  <c:v> 2018Q1 </c:v>
                </c:pt>
                <c:pt idx="1">
                  <c:v> 2018Q2 </c:v>
                </c:pt>
                <c:pt idx="2">
                  <c:v> 2018Q3 </c:v>
                </c:pt>
              </c:strCache>
            </c:strRef>
          </c:cat>
          <c:val>
            <c:numRef>
              <c:f>'Quarterly Charts '!$B$22:$P$22</c:f>
              <c:numCache>
                <c:formatCode>0.0%</c:formatCode>
                <c:ptCount val="3"/>
                <c:pt idx="0">
                  <c:v>0.15</c:v>
                </c:pt>
                <c:pt idx="1">
                  <c:v>0.08</c:v>
                </c:pt>
                <c:pt idx="2">
                  <c:v>0.11</c:v>
                </c:pt>
              </c:numCache>
            </c:numRef>
          </c:val>
          <c:smooth val="0"/>
          <c:extLst>
            <c:ext xmlns:c16="http://schemas.microsoft.com/office/drawing/2014/chart" uri="{C3380CC4-5D6E-409C-BE32-E72D297353CC}">
              <c16:uniqueId val="{00000003-5410-4314-896E-D9A35098700E}"/>
            </c:ext>
          </c:extLst>
        </c:ser>
        <c:dLbls>
          <c:showLegendKey val="0"/>
          <c:showVal val="0"/>
          <c:showCatName val="0"/>
          <c:showSerName val="0"/>
          <c:showPercent val="0"/>
          <c:showBubbleSize val="0"/>
        </c:dLbls>
        <c:smooth val="0"/>
        <c:axId val="-670663664"/>
        <c:axId val="-983579872"/>
      </c:lineChart>
      <c:catAx>
        <c:axId val="-670663664"/>
        <c:scaling>
          <c:orientation val="minMax"/>
        </c:scaling>
        <c:delete val="0"/>
        <c:axPos val="b"/>
        <c:numFmt formatCode="General" sourceLinked="0"/>
        <c:majorTickMark val="out"/>
        <c:minorTickMark val="none"/>
        <c:tickLblPos val="nextTo"/>
        <c:crossAx val="-983579872"/>
        <c:crosses val="autoZero"/>
        <c:auto val="1"/>
        <c:lblAlgn val="ctr"/>
        <c:lblOffset val="100"/>
        <c:noMultiLvlLbl val="0"/>
      </c:catAx>
      <c:valAx>
        <c:axId val="-983579872"/>
        <c:scaling>
          <c:orientation val="minMax"/>
        </c:scaling>
        <c:delete val="0"/>
        <c:axPos val="l"/>
        <c:majorGridlines/>
        <c:numFmt formatCode="0.0%" sourceLinked="1"/>
        <c:majorTickMark val="out"/>
        <c:minorTickMark val="none"/>
        <c:tickLblPos val="nextTo"/>
        <c:crossAx val="-670663664"/>
        <c:crosses val="autoZero"/>
        <c:crossBetween val="between"/>
      </c:valAx>
    </c:plotArea>
    <c:legend>
      <c:legendPos val="b"/>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zh-CN"/>
              <a:t>BKNG/EXPE Room Nights &amp;</a:t>
            </a:r>
            <a:r>
              <a:rPr lang="en-US" altLang="zh-CN" baseline="0"/>
              <a:t> YoY Growth</a:t>
            </a:r>
            <a:endParaRPr lang="zh-CN" altLang="en-US"/>
          </a:p>
        </c:rich>
      </c:tx>
      <c:overlay val="0"/>
    </c:title>
    <c:autoTitleDeleted val="0"/>
    <c:plotArea>
      <c:layout/>
      <c:barChart>
        <c:barDir val="col"/>
        <c:grouping val="clustered"/>
        <c:varyColors val="0"/>
        <c:ser>
          <c:idx val="0"/>
          <c:order val="0"/>
          <c:tx>
            <c:strRef>
              <c:f>'Quarterly Charts '!$A$11</c:f>
              <c:strCache>
                <c:ptCount val="1"/>
                <c:pt idx="0">
                  <c:v> BKNG Room Nights </c:v>
                </c:pt>
              </c:strCache>
            </c:strRef>
          </c:tx>
          <c:invertIfNegative val="0"/>
          <c:cat>
            <c:strRef>
              <c:f>'Quarterly Charts '!$B$2:$P$2</c:f>
              <c:strCache>
                <c:ptCount val="3"/>
                <c:pt idx="0">
                  <c:v> 2018Q1 </c:v>
                </c:pt>
                <c:pt idx="1">
                  <c:v> 2018Q2 </c:v>
                </c:pt>
                <c:pt idx="2">
                  <c:v> 2018Q3 </c:v>
                </c:pt>
              </c:strCache>
            </c:strRef>
          </c:cat>
          <c:val>
            <c:numRef>
              <c:f>'Quarterly Charts '!$B$11:$P$11</c:f>
              <c:numCache>
                <c:formatCode>0.0</c:formatCode>
                <c:ptCount val="3"/>
                <c:pt idx="0">
                  <c:v>196.8</c:v>
                </c:pt>
                <c:pt idx="1">
                  <c:v>190.5</c:v>
                </c:pt>
                <c:pt idx="2">
                  <c:v>201.3</c:v>
                </c:pt>
              </c:numCache>
            </c:numRef>
          </c:val>
          <c:extLst>
            <c:ext xmlns:c16="http://schemas.microsoft.com/office/drawing/2014/chart" uri="{C3380CC4-5D6E-409C-BE32-E72D297353CC}">
              <c16:uniqueId val="{00000000-AA8D-49C2-A7B0-681BD26319FE}"/>
            </c:ext>
          </c:extLst>
        </c:ser>
        <c:ser>
          <c:idx val="2"/>
          <c:order val="2"/>
          <c:tx>
            <c:strRef>
              <c:f>'Quarterly Charts '!$A$26</c:f>
              <c:strCache>
                <c:ptCount val="1"/>
                <c:pt idx="0">
                  <c:v> EXPE Room Nights </c:v>
                </c:pt>
              </c:strCache>
            </c:strRef>
          </c:tx>
          <c:spPr>
            <a:solidFill>
              <a:schemeClr val="accent2">
                <a:lumMod val="75000"/>
              </a:schemeClr>
            </a:solidFill>
            <a:ln>
              <a:noFill/>
            </a:ln>
          </c:spPr>
          <c:invertIfNegative val="0"/>
          <c:cat>
            <c:strRef>
              <c:f>'Quarterly Charts '!$B$2:$P$2</c:f>
              <c:strCache>
                <c:ptCount val="3"/>
                <c:pt idx="0">
                  <c:v> 2018Q1 </c:v>
                </c:pt>
                <c:pt idx="1">
                  <c:v> 2018Q2 </c:v>
                </c:pt>
                <c:pt idx="2">
                  <c:v> 2018Q3 </c:v>
                </c:pt>
              </c:strCache>
            </c:strRef>
          </c:cat>
          <c:val>
            <c:numRef>
              <c:f>'Quarterly Charts '!$B$26:$P$26</c:f>
              <c:numCache>
                <c:formatCode>General</c:formatCode>
                <c:ptCount val="3"/>
              </c:numCache>
            </c:numRef>
          </c:val>
          <c:extLst>
            <c:ext xmlns:c16="http://schemas.microsoft.com/office/drawing/2014/chart" uri="{C3380CC4-5D6E-409C-BE32-E72D297353CC}">
              <c16:uniqueId val="{00000001-AA8D-49C2-A7B0-681BD26319FE}"/>
            </c:ext>
          </c:extLst>
        </c:ser>
        <c:dLbls>
          <c:showLegendKey val="0"/>
          <c:showVal val="0"/>
          <c:showCatName val="0"/>
          <c:showSerName val="0"/>
          <c:showPercent val="0"/>
          <c:showBubbleSize val="0"/>
        </c:dLbls>
        <c:gapWidth val="150"/>
        <c:axId val="-983582592"/>
        <c:axId val="-983579328"/>
      </c:barChart>
      <c:lineChart>
        <c:grouping val="standard"/>
        <c:varyColors val="0"/>
        <c:ser>
          <c:idx val="1"/>
          <c:order val="1"/>
          <c:tx>
            <c:strRef>
              <c:f>'Quarterly Charts '!$A$12</c:f>
              <c:strCache>
                <c:ptCount val="1"/>
                <c:pt idx="0">
                  <c:v> BKNG Room Nights YoY Growth </c:v>
                </c:pt>
              </c:strCache>
            </c:strRef>
          </c:tx>
          <c:spPr>
            <a:ln w="31750">
              <a:solidFill>
                <a:schemeClr val="tx2">
                  <a:lumMod val="60000"/>
                  <a:lumOff val="40000"/>
                </a:schemeClr>
              </a:solidFill>
            </a:ln>
          </c:spPr>
          <c:marker>
            <c:symbol val="triangle"/>
            <c:size val="5"/>
            <c:spPr>
              <a:solidFill>
                <a:schemeClr val="accent1"/>
              </a:solidFill>
            </c:spPr>
          </c:marker>
          <c:cat>
            <c:strRef>
              <c:f>'Quarterly Charts '!$B$2:$O$2</c:f>
              <c:strCache>
                <c:ptCount val="2"/>
                <c:pt idx="0">
                  <c:v> 2018Q1 </c:v>
                </c:pt>
                <c:pt idx="1">
                  <c:v> 2018Q2 </c:v>
                </c:pt>
              </c:strCache>
            </c:strRef>
          </c:cat>
          <c:val>
            <c:numRef>
              <c:f>'Quarterly Charts '!$B$12:$P$12</c:f>
              <c:numCache>
                <c:formatCode>0.0%</c:formatCode>
                <c:ptCount val="3"/>
                <c:pt idx="0">
                  <c:v>0.13200000000000001</c:v>
                </c:pt>
                <c:pt idx="1">
                  <c:v>0.12</c:v>
                </c:pt>
                <c:pt idx="2">
                  <c:v>0.13400000000000001</c:v>
                </c:pt>
              </c:numCache>
            </c:numRef>
          </c:val>
          <c:smooth val="0"/>
          <c:extLst>
            <c:ext xmlns:c16="http://schemas.microsoft.com/office/drawing/2014/chart" uri="{C3380CC4-5D6E-409C-BE32-E72D297353CC}">
              <c16:uniqueId val="{00000002-AA8D-49C2-A7B0-681BD26319FE}"/>
            </c:ext>
          </c:extLst>
        </c:ser>
        <c:ser>
          <c:idx val="3"/>
          <c:order val="3"/>
          <c:tx>
            <c:strRef>
              <c:f>'Quarterly Charts '!$A$27</c:f>
              <c:strCache>
                <c:ptCount val="1"/>
                <c:pt idx="0">
                  <c:v> EXPE Room Nights YoY Growth </c:v>
                </c:pt>
              </c:strCache>
            </c:strRef>
          </c:tx>
          <c:spPr>
            <a:ln>
              <a:solidFill>
                <a:srgbClr val="E0A9A8"/>
              </a:solidFill>
            </a:ln>
          </c:spPr>
          <c:marker>
            <c:symbol val="none"/>
          </c:marker>
          <c:cat>
            <c:strRef>
              <c:f>'Quarterly Charts '!$B$2:$O$2</c:f>
              <c:strCache>
                <c:ptCount val="2"/>
                <c:pt idx="0">
                  <c:v> 2018Q1 </c:v>
                </c:pt>
                <c:pt idx="1">
                  <c:v> 2018Q2 </c:v>
                </c:pt>
              </c:strCache>
            </c:strRef>
          </c:cat>
          <c:val>
            <c:numRef>
              <c:f>'Quarterly Charts '!$B$27:$P$27</c:f>
              <c:numCache>
                <c:formatCode>0.0%</c:formatCode>
                <c:ptCount val="3"/>
                <c:pt idx="0">
                  <c:v>0.15</c:v>
                </c:pt>
                <c:pt idx="1">
                  <c:v>0.12</c:v>
                </c:pt>
                <c:pt idx="2">
                  <c:v>0.13</c:v>
                </c:pt>
              </c:numCache>
            </c:numRef>
          </c:val>
          <c:smooth val="0"/>
          <c:extLst>
            <c:ext xmlns:c16="http://schemas.microsoft.com/office/drawing/2014/chart" uri="{C3380CC4-5D6E-409C-BE32-E72D297353CC}">
              <c16:uniqueId val="{00000003-AA8D-49C2-A7B0-681BD26319FE}"/>
            </c:ext>
          </c:extLst>
        </c:ser>
        <c:ser>
          <c:idx val="4"/>
          <c:order val="4"/>
          <c:tx>
            <c:strRef>
              <c:f>'Quarterly Charts '!$A$28</c:f>
              <c:strCache>
                <c:ptCount val="1"/>
                <c:pt idx="0">
                  <c:v> EXPE Organic Room Nights YoY Growth </c:v>
                </c:pt>
              </c:strCache>
            </c:strRef>
          </c:tx>
          <c:spPr>
            <a:ln w="31750">
              <a:solidFill>
                <a:schemeClr val="accent2"/>
              </a:solidFill>
            </a:ln>
          </c:spPr>
          <c:marker>
            <c:symbol val="circle"/>
            <c:size val="5"/>
            <c:spPr>
              <a:solidFill>
                <a:schemeClr val="accent2"/>
              </a:solidFill>
            </c:spPr>
          </c:marker>
          <c:cat>
            <c:strRef>
              <c:f>'Quarterly Charts '!$B$2:$O$2</c:f>
              <c:strCache>
                <c:ptCount val="2"/>
                <c:pt idx="0">
                  <c:v> 2018Q1 </c:v>
                </c:pt>
                <c:pt idx="1">
                  <c:v> 2018Q2 </c:v>
                </c:pt>
              </c:strCache>
            </c:strRef>
          </c:cat>
          <c:val>
            <c:numRef>
              <c:f>'Quarterly Charts '!$B$28:$O$28</c:f>
              <c:numCache>
                <c:formatCode>0.0%</c:formatCode>
                <c:ptCount val="2"/>
              </c:numCache>
            </c:numRef>
          </c:val>
          <c:smooth val="0"/>
          <c:extLst>
            <c:ext xmlns:c16="http://schemas.microsoft.com/office/drawing/2014/chart" uri="{C3380CC4-5D6E-409C-BE32-E72D297353CC}">
              <c16:uniqueId val="{00000004-AA8D-49C2-A7B0-681BD26319FE}"/>
            </c:ext>
          </c:extLst>
        </c:ser>
        <c:dLbls>
          <c:showLegendKey val="0"/>
          <c:showVal val="0"/>
          <c:showCatName val="0"/>
          <c:showSerName val="0"/>
          <c:showPercent val="0"/>
          <c:showBubbleSize val="0"/>
        </c:dLbls>
        <c:marker val="1"/>
        <c:smooth val="0"/>
        <c:axId val="-950989264"/>
        <c:axId val="-950991984"/>
      </c:lineChart>
      <c:catAx>
        <c:axId val="-983582592"/>
        <c:scaling>
          <c:orientation val="minMax"/>
        </c:scaling>
        <c:delete val="0"/>
        <c:axPos val="b"/>
        <c:numFmt formatCode="General" sourceLinked="0"/>
        <c:majorTickMark val="out"/>
        <c:minorTickMark val="none"/>
        <c:tickLblPos val="nextTo"/>
        <c:crossAx val="-983579328"/>
        <c:crosses val="autoZero"/>
        <c:auto val="1"/>
        <c:lblAlgn val="ctr"/>
        <c:lblOffset val="100"/>
        <c:noMultiLvlLbl val="0"/>
      </c:catAx>
      <c:valAx>
        <c:axId val="-983579328"/>
        <c:scaling>
          <c:orientation val="minMax"/>
        </c:scaling>
        <c:delete val="0"/>
        <c:axPos val="l"/>
        <c:majorGridlines/>
        <c:numFmt formatCode="#,##0_);[Red]\(#,##0\)" sourceLinked="0"/>
        <c:majorTickMark val="out"/>
        <c:minorTickMark val="none"/>
        <c:tickLblPos val="nextTo"/>
        <c:crossAx val="-983582592"/>
        <c:crosses val="autoZero"/>
        <c:crossBetween val="between"/>
      </c:valAx>
      <c:valAx>
        <c:axId val="-950991984"/>
        <c:scaling>
          <c:orientation val="minMax"/>
        </c:scaling>
        <c:delete val="0"/>
        <c:axPos val="r"/>
        <c:numFmt formatCode="0.0%" sourceLinked="1"/>
        <c:majorTickMark val="out"/>
        <c:minorTickMark val="none"/>
        <c:tickLblPos val="nextTo"/>
        <c:crossAx val="-950989264"/>
        <c:crosses val="max"/>
        <c:crossBetween val="between"/>
      </c:valAx>
      <c:catAx>
        <c:axId val="-950989264"/>
        <c:scaling>
          <c:orientation val="minMax"/>
        </c:scaling>
        <c:delete val="1"/>
        <c:axPos val="b"/>
        <c:numFmt formatCode="General" sourceLinked="1"/>
        <c:majorTickMark val="out"/>
        <c:minorTickMark val="none"/>
        <c:tickLblPos val="none"/>
        <c:crossAx val="-950991984"/>
        <c:crosses val="autoZero"/>
        <c:auto val="1"/>
        <c:lblAlgn val="ctr"/>
        <c:lblOffset val="100"/>
        <c:noMultiLvlLbl val="0"/>
      </c:catAx>
    </c:plotArea>
    <c:legend>
      <c:legendPos val="b"/>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zh-CN" sz="1800" b="1" i="0" baseline="0">
                <a:effectLst/>
              </a:rPr>
              <a:t>EXPE Revenue YoY Growths</a:t>
            </a:r>
            <a:endParaRPr lang="zh-CN" altLang="zh-CN">
              <a:effectLst/>
            </a:endParaRPr>
          </a:p>
        </c:rich>
      </c:tx>
      <c:overlay val="0"/>
    </c:title>
    <c:autoTitleDeleted val="0"/>
    <c:plotArea>
      <c:layout/>
      <c:lineChart>
        <c:grouping val="standard"/>
        <c:varyColors val="0"/>
        <c:ser>
          <c:idx val="0"/>
          <c:order val="0"/>
          <c:tx>
            <c:strRef>
              <c:f>'Quarterly Charts '!$A$21</c:f>
              <c:strCache>
                <c:ptCount val="1"/>
                <c:pt idx="0">
                  <c:v> EXPE Revenue YoY Growth on a non-constant currency basis </c:v>
                </c:pt>
              </c:strCache>
            </c:strRef>
          </c:tx>
          <c:spPr>
            <a:ln w="38100">
              <a:solidFill>
                <a:srgbClr val="E0A9A8"/>
              </a:solidFill>
            </a:ln>
          </c:spPr>
          <c:marker>
            <c:symbol val="circle"/>
            <c:size val="5"/>
            <c:spPr>
              <a:solidFill>
                <a:srgbClr val="E0A9A8"/>
              </a:solidFill>
            </c:spPr>
          </c:marker>
          <c:cat>
            <c:strRef>
              <c:f>'Quarterly Charts '!$B$2:$P$2</c:f>
              <c:strCache>
                <c:ptCount val="3"/>
                <c:pt idx="0">
                  <c:v> 2018Q1 </c:v>
                </c:pt>
                <c:pt idx="1">
                  <c:v> 2018Q2 </c:v>
                </c:pt>
                <c:pt idx="2">
                  <c:v> 2018Q3 </c:v>
                </c:pt>
              </c:strCache>
            </c:strRef>
          </c:cat>
          <c:val>
            <c:numRef>
              <c:f>'Quarterly Charts '!$B$21:$P$21</c:f>
              <c:numCache>
                <c:formatCode>0.0%</c:formatCode>
                <c:ptCount val="3"/>
                <c:pt idx="0">
                  <c:v>0.11</c:v>
                </c:pt>
                <c:pt idx="1">
                  <c:v>0.11</c:v>
                </c:pt>
                <c:pt idx="2">
                  <c:v>0.1</c:v>
                </c:pt>
              </c:numCache>
            </c:numRef>
          </c:val>
          <c:smooth val="0"/>
          <c:extLst>
            <c:ext xmlns:c16="http://schemas.microsoft.com/office/drawing/2014/chart" uri="{C3380CC4-5D6E-409C-BE32-E72D297353CC}">
              <c16:uniqueId val="{00000000-53B0-4D0D-8D7A-9080FFB4ACDA}"/>
            </c:ext>
          </c:extLst>
        </c:ser>
        <c:ser>
          <c:idx val="1"/>
          <c:order val="1"/>
          <c:tx>
            <c:strRef>
              <c:f>'Quarterly Charts '!$A$22</c:f>
              <c:strCache>
                <c:ptCount val="1"/>
                <c:pt idx="0">
                  <c:v> EXPE Revenue YoY Growth on a constant currency basis </c:v>
                </c:pt>
              </c:strCache>
            </c:strRef>
          </c:tx>
          <c:spPr>
            <a:ln w="38100"/>
          </c:spPr>
          <c:marker>
            <c:symbol val="circle"/>
            <c:size val="5"/>
            <c:spPr>
              <a:solidFill>
                <a:srgbClr val="E0A9A8"/>
              </a:solidFill>
            </c:spPr>
          </c:marker>
          <c:cat>
            <c:strRef>
              <c:f>'Quarterly Charts '!$B$2:$P$2</c:f>
              <c:strCache>
                <c:ptCount val="3"/>
                <c:pt idx="0">
                  <c:v> 2018Q1 </c:v>
                </c:pt>
                <c:pt idx="1">
                  <c:v> 2018Q2 </c:v>
                </c:pt>
                <c:pt idx="2">
                  <c:v> 2018Q3 </c:v>
                </c:pt>
              </c:strCache>
            </c:strRef>
          </c:cat>
          <c:val>
            <c:numRef>
              <c:f>'Quarterly Charts '!$B$22:$P$22</c:f>
              <c:numCache>
                <c:formatCode>0.0%</c:formatCode>
                <c:ptCount val="3"/>
                <c:pt idx="0">
                  <c:v>0.15</c:v>
                </c:pt>
                <c:pt idx="1">
                  <c:v>0.08</c:v>
                </c:pt>
                <c:pt idx="2">
                  <c:v>0.11</c:v>
                </c:pt>
              </c:numCache>
            </c:numRef>
          </c:val>
          <c:smooth val="0"/>
          <c:extLst>
            <c:ext xmlns:c16="http://schemas.microsoft.com/office/drawing/2014/chart" uri="{C3380CC4-5D6E-409C-BE32-E72D297353CC}">
              <c16:uniqueId val="{00000001-53B0-4D0D-8D7A-9080FFB4ACDA}"/>
            </c:ext>
          </c:extLst>
        </c:ser>
        <c:dLbls>
          <c:showLegendKey val="0"/>
          <c:showVal val="0"/>
          <c:showCatName val="0"/>
          <c:showSerName val="0"/>
          <c:showPercent val="0"/>
          <c:showBubbleSize val="0"/>
        </c:dLbls>
        <c:marker val="1"/>
        <c:smooth val="0"/>
        <c:axId val="-530912880"/>
        <c:axId val="-530927568"/>
      </c:lineChart>
      <c:catAx>
        <c:axId val="-530912880"/>
        <c:scaling>
          <c:orientation val="minMax"/>
        </c:scaling>
        <c:delete val="0"/>
        <c:axPos val="b"/>
        <c:numFmt formatCode="General" sourceLinked="0"/>
        <c:majorTickMark val="out"/>
        <c:minorTickMark val="none"/>
        <c:tickLblPos val="nextTo"/>
        <c:crossAx val="-530927568"/>
        <c:crosses val="autoZero"/>
        <c:auto val="1"/>
        <c:lblAlgn val="ctr"/>
        <c:lblOffset val="100"/>
        <c:noMultiLvlLbl val="0"/>
      </c:catAx>
      <c:valAx>
        <c:axId val="-530927568"/>
        <c:scaling>
          <c:orientation val="minMax"/>
        </c:scaling>
        <c:delete val="0"/>
        <c:axPos val="l"/>
        <c:majorGridlines/>
        <c:numFmt formatCode="0.0%" sourceLinked="1"/>
        <c:majorTickMark val="out"/>
        <c:minorTickMark val="none"/>
        <c:tickLblPos val="nextTo"/>
        <c:crossAx val="-530912880"/>
        <c:crosses val="autoZero"/>
        <c:crossBetween val="between"/>
      </c:valAx>
    </c:plotArea>
    <c:legend>
      <c:legendPos val="b"/>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zh-CN" sz="1800" b="1" i="0" baseline="0">
                <a:effectLst/>
              </a:rPr>
              <a:t>EXPE Adjusted EBITDA &amp; Adjusted EBITDA Margins</a:t>
            </a:r>
            <a:endParaRPr lang="zh-CN" altLang="zh-CN">
              <a:effectLst/>
            </a:endParaRPr>
          </a:p>
        </c:rich>
      </c:tx>
      <c:overlay val="0"/>
    </c:title>
    <c:autoTitleDeleted val="0"/>
    <c:plotArea>
      <c:layout/>
      <c:barChart>
        <c:barDir val="col"/>
        <c:grouping val="clustered"/>
        <c:varyColors val="0"/>
        <c:ser>
          <c:idx val="0"/>
          <c:order val="0"/>
          <c:tx>
            <c:strRef>
              <c:f>'Quarterly Charts '!#REF!</c:f>
              <c:strCache>
                <c:ptCount val="1"/>
                <c:pt idx="0">
                  <c:v>#REF!</c:v>
                </c:pt>
              </c:strCache>
            </c:strRef>
          </c:tx>
          <c:spPr>
            <a:solidFill>
              <a:schemeClr val="accent2">
                <a:lumMod val="75000"/>
              </a:schemeClr>
            </a:solidFill>
          </c:spPr>
          <c:invertIfNegative val="0"/>
          <c:cat>
            <c:strRef>
              <c:f>'Quarterly Charts '!$B$2:$P$2</c:f>
              <c:strCache>
                <c:ptCount val="3"/>
                <c:pt idx="0">
                  <c:v> 2018Q1 </c:v>
                </c:pt>
                <c:pt idx="1">
                  <c:v> 2018Q2 </c:v>
                </c:pt>
                <c:pt idx="2">
                  <c:v> 2018Q3 </c:v>
                </c:pt>
              </c:strCache>
            </c:strRef>
          </c:cat>
          <c:val>
            <c:numRef>
              <c:f>'Quarterly Charts '!#REF!</c:f>
              <c:numCache>
                <c:formatCode>General</c:formatCode>
                <c:ptCount val="1"/>
                <c:pt idx="0">
                  <c:v>1</c:v>
                </c:pt>
              </c:numCache>
            </c:numRef>
          </c:val>
          <c:extLst>
            <c:ext xmlns:c16="http://schemas.microsoft.com/office/drawing/2014/chart" uri="{C3380CC4-5D6E-409C-BE32-E72D297353CC}">
              <c16:uniqueId val="{00000000-28B9-4130-9236-C80C565F707C}"/>
            </c:ext>
          </c:extLst>
        </c:ser>
        <c:dLbls>
          <c:showLegendKey val="0"/>
          <c:showVal val="0"/>
          <c:showCatName val="0"/>
          <c:showSerName val="0"/>
          <c:showPercent val="0"/>
          <c:showBubbleSize val="0"/>
        </c:dLbls>
        <c:gapWidth val="150"/>
        <c:axId val="-530922672"/>
        <c:axId val="-530913968"/>
      </c:barChart>
      <c:lineChart>
        <c:grouping val="standard"/>
        <c:varyColors val="0"/>
        <c:ser>
          <c:idx val="1"/>
          <c:order val="1"/>
          <c:tx>
            <c:strRef>
              <c:f>'Quarterly Charts '!$A$23</c:f>
              <c:strCache>
                <c:ptCount val="1"/>
                <c:pt idx="0">
                  <c:v> EXPE Adj. EBITDA margin </c:v>
                </c:pt>
              </c:strCache>
            </c:strRef>
          </c:tx>
          <c:spPr>
            <a:ln>
              <a:solidFill>
                <a:srgbClr val="E0A9A8"/>
              </a:solidFill>
            </a:ln>
          </c:spPr>
          <c:marker>
            <c:symbol val="circle"/>
            <c:size val="7"/>
            <c:spPr>
              <a:solidFill>
                <a:srgbClr val="E0A9A8"/>
              </a:solidFill>
            </c:spPr>
          </c:marker>
          <c:dLbls>
            <c:dLbl>
              <c:idx val="0"/>
              <c:delete val="1"/>
              <c:extLst>
                <c:ext xmlns:c15="http://schemas.microsoft.com/office/drawing/2012/chart" uri="{CE6537A1-D6FC-4f65-9D91-7224C49458BB}"/>
                <c:ext xmlns:c16="http://schemas.microsoft.com/office/drawing/2014/chart" uri="{C3380CC4-5D6E-409C-BE32-E72D297353CC}">
                  <c16:uniqueId val="{00000001-28B9-4130-9236-C80C565F707C}"/>
                </c:ext>
              </c:extLst>
            </c:dLbl>
            <c:dLbl>
              <c:idx val="1"/>
              <c:delete val="1"/>
              <c:extLst>
                <c:ext xmlns:c15="http://schemas.microsoft.com/office/drawing/2012/chart" uri="{CE6537A1-D6FC-4f65-9D91-7224C49458BB}"/>
                <c:ext xmlns:c16="http://schemas.microsoft.com/office/drawing/2014/chart" uri="{C3380CC4-5D6E-409C-BE32-E72D297353CC}">
                  <c16:uniqueId val="{00000002-28B9-4130-9236-C80C565F707C}"/>
                </c:ext>
              </c:extLst>
            </c:dLbl>
            <c:dLbl>
              <c:idx val="2"/>
              <c:delete val="1"/>
              <c:extLst>
                <c:ext xmlns:c15="http://schemas.microsoft.com/office/drawing/2012/chart" uri="{CE6537A1-D6FC-4f65-9D91-7224C49458BB}"/>
                <c:ext xmlns:c16="http://schemas.microsoft.com/office/drawing/2014/chart" uri="{C3380CC4-5D6E-409C-BE32-E72D297353CC}">
                  <c16:uniqueId val="{00000003-28B9-4130-9236-C80C565F707C}"/>
                </c:ext>
              </c:extLst>
            </c:dLbl>
            <c:dLbl>
              <c:idx val="3"/>
              <c:delete val="1"/>
              <c:extLst>
                <c:ext xmlns:c15="http://schemas.microsoft.com/office/drawing/2012/chart" uri="{CE6537A1-D6FC-4f65-9D91-7224C49458BB}"/>
                <c:ext xmlns:c16="http://schemas.microsoft.com/office/drawing/2014/chart" uri="{C3380CC4-5D6E-409C-BE32-E72D297353CC}">
                  <c16:uniqueId val="{00000004-28B9-4130-9236-C80C565F707C}"/>
                </c:ext>
              </c:extLst>
            </c:dLbl>
            <c:dLbl>
              <c:idx val="4"/>
              <c:delete val="1"/>
              <c:extLst>
                <c:ext xmlns:c15="http://schemas.microsoft.com/office/drawing/2012/chart" uri="{CE6537A1-D6FC-4f65-9D91-7224C49458BB}"/>
                <c:ext xmlns:c16="http://schemas.microsoft.com/office/drawing/2014/chart" uri="{C3380CC4-5D6E-409C-BE32-E72D297353CC}">
                  <c16:uniqueId val="{00000005-28B9-4130-9236-C80C565F707C}"/>
                </c:ext>
              </c:extLst>
            </c:dLbl>
            <c:dLbl>
              <c:idx val="5"/>
              <c:delete val="1"/>
              <c:extLst>
                <c:ext xmlns:c15="http://schemas.microsoft.com/office/drawing/2012/chart" uri="{CE6537A1-D6FC-4f65-9D91-7224C49458BB}"/>
                <c:ext xmlns:c16="http://schemas.microsoft.com/office/drawing/2014/chart" uri="{C3380CC4-5D6E-409C-BE32-E72D297353CC}">
                  <c16:uniqueId val="{00000006-28B9-4130-9236-C80C565F707C}"/>
                </c:ext>
              </c:extLst>
            </c:dLbl>
            <c:dLbl>
              <c:idx val="6"/>
              <c:delete val="1"/>
              <c:extLst>
                <c:ext xmlns:c15="http://schemas.microsoft.com/office/drawing/2012/chart" uri="{CE6537A1-D6FC-4f65-9D91-7224C49458BB}"/>
                <c:ext xmlns:c16="http://schemas.microsoft.com/office/drawing/2014/chart" uri="{C3380CC4-5D6E-409C-BE32-E72D297353CC}">
                  <c16:uniqueId val="{00000007-28B9-4130-9236-C80C565F707C}"/>
                </c:ext>
              </c:extLst>
            </c:dLbl>
            <c:dLbl>
              <c:idx val="7"/>
              <c:delete val="1"/>
              <c:extLst>
                <c:ext xmlns:c15="http://schemas.microsoft.com/office/drawing/2012/chart" uri="{CE6537A1-D6FC-4f65-9D91-7224C49458BB}"/>
                <c:ext xmlns:c16="http://schemas.microsoft.com/office/drawing/2014/chart" uri="{C3380CC4-5D6E-409C-BE32-E72D297353CC}">
                  <c16:uniqueId val="{00000008-28B9-4130-9236-C80C565F707C}"/>
                </c:ext>
              </c:extLst>
            </c:dLbl>
            <c:dLbl>
              <c:idx val="8"/>
              <c:delete val="1"/>
              <c:extLst>
                <c:ext xmlns:c15="http://schemas.microsoft.com/office/drawing/2012/chart" uri="{CE6537A1-D6FC-4f65-9D91-7224C49458BB}"/>
                <c:ext xmlns:c16="http://schemas.microsoft.com/office/drawing/2014/chart" uri="{C3380CC4-5D6E-409C-BE32-E72D297353CC}">
                  <c16:uniqueId val="{00000009-28B9-4130-9236-C80C565F707C}"/>
                </c:ext>
              </c:extLst>
            </c:dLbl>
            <c:dLbl>
              <c:idx val="9"/>
              <c:delete val="1"/>
              <c:extLst>
                <c:ext xmlns:c15="http://schemas.microsoft.com/office/drawing/2012/chart" uri="{CE6537A1-D6FC-4f65-9D91-7224C49458BB}"/>
                <c:ext xmlns:c16="http://schemas.microsoft.com/office/drawing/2014/chart" uri="{C3380CC4-5D6E-409C-BE32-E72D297353CC}">
                  <c16:uniqueId val="{0000000A-28B9-4130-9236-C80C565F707C}"/>
                </c:ext>
              </c:extLst>
            </c:dLbl>
            <c:dLbl>
              <c:idx val="10"/>
              <c:delete val="1"/>
              <c:extLst>
                <c:ext xmlns:c15="http://schemas.microsoft.com/office/drawing/2012/chart" uri="{CE6537A1-D6FC-4f65-9D91-7224C49458BB}"/>
                <c:ext xmlns:c16="http://schemas.microsoft.com/office/drawing/2014/chart" uri="{C3380CC4-5D6E-409C-BE32-E72D297353CC}">
                  <c16:uniqueId val="{0000000B-28B9-4130-9236-C80C565F707C}"/>
                </c:ext>
              </c:extLst>
            </c:dLbl>
            <c:dLbl>
              <c:idx val="11"/>
              <c:delete val="1"/>
              <c:extLst>
                <c:ext xmlns:c15="http://schemas.microsoft.com/office/drawing/2012/chart" uri="{CE6537A1-D6FC-4f65-9D91-7224C49458BB}"/>
                <c:ext xmlns:c16="http://schemas.microsoft.com/office/drawing/2014/chart" uri="{C3380CC4-5D6E-409C-BE32-E72D297353CC}">
                  <c16:uniqueId val="{0000000C-28B9-4130-9236-C80C565F707C}"/>
                </c:ext>
              </c:extLst>
            </c:dLbl>
            <c:dLbl>
              <c:idx val="12"/>
              <c:delete val="1"/>
              <c:extLst>
                <c:ext xmlns:c15="http://schemas.microsoft.com/office/drawing/2012/chart" uri="{CE6537A1-D6FC-4f65-9D91-7224C49458BB}"/>
                <c:ext xmlns:c16="http://schemas.microsoft.com/office/drawing/2014/chart" uri="{C3380CC4-5D6E-409C-BE32-E72D297353CC}">
                  <c16:uniqueId val="{0000000D-28B9-4130-9236-C80C565F707C}"/>
                </c:ext>
              </c:extLst>
            </c:dLbl>
            <c:dLbl>
              <c:idx val="13"/>
              <c:delete val="1"/>
              <c:extLst>
                <c:ext xmlns:c15="http://schemas.microsoft.com/office/drawing/2012/chart" uri="{CE6537A1-D6FC-4f65-9D91-7224C49458BB}"/>
                <c:ext xmlns:c16="http://schemas.microsoft.com/office/drawing/2014/chart" uri="{C3380CC4-5D6E-409C-BE32-E72D297353CC}">
                  <c16:uniqueId val="{0000000E-28B9-4130-9236-C80C565F707C}"/>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'Quarterly Charts '!$B$2:$O$2</c:f>
              <c:strCache>
                <c:ptCount val="2"/>
                <c:pt idx="0">
                  <c:v> 2018Q1 </c:v>
                </c:pt>
                <c:pt idx="1">
                  <c:v> 2018Q2 </c:v>
                </c:pt>
              </c:strCache>
            </c:strRef>
          </c:cat>
          <c:val>
            <c:numRef>
              <c:f>'Quarterly Charts '!$B$23:$P$23</c:f>
              <c:numCache>
                <c:formatCode>0.0%</c:formatCode>
                <c:ptCount val="3"/>
                <c:pt idx="0">
                  <c:v>4.9441786283891544E-2</c:v>
                </c:pt>
                <c:pt idx="1">
                  <c:v>0.1607638888888889</c:v>
                </c:pt>
                <c:pt idx="2">
                  <c:v>0.2783882783882784</c:v>
                </c:pt>
              </c:numCache>
            </c:numRef>
          </c:val>
          <c:smooth val="0"/>
          <c:extLst>
            <c:ext xmlns:c16="http://schemas.microsoft.com/office/drawing/2014/chart" uri="{C3380CC4-5D6E-409C-BE32-E72D297353CC}">
              <c16:uniqueId val="{0000000F-28B9-4130-9236-C80C565F707C}"/>
            </c:ext>
          </c:extLst>
        </c:ser>
        <c:dLbls>
          <c:showLegendKey val="0"/>
          <c:showVal val="0"/>
          <c:showCatName val="0"/>
          <c:showSerName val="0"/>
          <c:showPercent val="0"/>
          <c:showBubbleSize val="0"/>
        </c:dLbls>
        <c:marker val="1"/>
        <c:smooth val="0"/>
        <c:axId val="-530915056"/>
        <c:axId val="-530923216"/>
      </c:lineChart>
      <c:catAx>
        <c:axId val="-530922672"/>
        <c:scaling>
          <c:orientation val="minMax"/>
        </c:scaling>
        <c:delete val="0"/>
        <c:axPos val="b"/>
        <c:numFmt formatCode="General" sourceLinked="0"/>
        <c:majorTickMark val="out"/>
        <c:minorTickMark val="none"/>
        <c:tickLblPos val="nextTo"/>
        <c:crossAx val="-530913968"/>
        <c:crosses val="autoZero"/>
        <c:auto val="1"/>
        <c:lblAlgn val="ctr"/>
        <c:lblOffset val="100"/>
        <c:noMultiLvlLbl val="0"/>
      </c:catAx>
      <c:valAx>
        <c:axId val="-530913968"/>
        <c:scaling>
          <c:orientation val="minMax"/>
        </c:scaling>
        <c:delete val="0"/>
        <c:axPos val="l"/>
        <c:majorGridlines/>
        <c:numFmt formatCode="General" sourceLinked="1"/>
        <c:majorTickMark val="out"/>
        <c:minorTickMark val="none"/>
        <c:tickLblPos val="nextTo"/>
        <c:crossAx val="-530922672"/>
        <c:crosses val="autoZero"/>
        <c:crossBetween val="between"/>
      </c:valAx>
      <c:valAx>
        <c:axId val="-530923216"/>
        <c:scaling>
          <c:orientation val="minMax"/>
        </c:scaling>
        <c:delete val="0"/>
        <c:axPos val="r"/>
        <c:numFmt formatCode="0.0%" sourceLinked="1"/>
        <c:majorTickMark val="out"/>
        <c:minorTickMark val="none"/>
        <c:tickLblPos val="nextTo"/>
        <c:crossAx val="-530915056"/>
        <c:crosses val="max"/>
        <c:crossBetween val="between"/>
      </c:valAx>
      <c:catAx>
        <c:axId val="-530915056"/>
        <c:scaling>
          <c:orientation val="minMax"/>
        </c:scaling>
        <c:delete val="1"/>
        <c:axPos val="b"/>
        <c:numFmt formatCode="General" sourceLinked="1"/>
        <c:majorTickMark val="out"/>
        <c:minorTickMark val="none"/>
        <c:tickLblPos val="none"/>
        <c:crossAx val="-530923216"/>
        <c:crosses val="autoZero"/>
        <c:auto val="1"/>
        <c:lblAlgn val="ctr"/>
        <c:lblOffset val="100"/>
        <c:noMultiLvlLbl val="0"/>
      </c:catAx>
    </c:plotArea>
    <c:legend>
      <c:legendPos val="b"/>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zh-CN" sz="1800" b="1" i="0" baseline="0">
                <a:effectLst/>
              </a:rPr>
              <a:t>EXPE Room Nights &amp; YoY Growths</a:t>
            </a:r>
            <a:endParaRPr lang="zh-CN" altLang="zh-CN">
              <a:effectLst/>
            </a:endParaRPr>
          </a:p>
        </c:rich>
      </c:tx>
      <c:overlay val="0"/>
    </c:title>
    <c:autoTitleDeleted val="0"/>
    <c:plotArea>
      <c:layout/>
      <c:barChart>
        <c:barDir val="col"/>
        <c:grouping val="clustered"/>
        <c:varyColors val="0"/>
        <c:ser>
          <c:idx val="0"/>
          <c:order val="0"/>
          <c:tx>
            <c:strRef>
              <c:f>'Quarterly Charts '!$A$26</c:f>
              <c:strCache>
                <c:ptCount val="1"/>
                <c:pt idx="0">
                  <c:v> EXPE Room Nights </c:v>
                </c:pt>
              </c:strCache>
            </c:strRef>
          </c:tx>
          <c:spPr>
            <a:solidFill>
              <a:schemeClr val="accent2">
                <a:lumMod val="75000"/>
              </a:schemeClr>
            </a:solidFill>
          </c:spPr>
          <c:invertIfNegative val="0"/>
          <c:cat>
            <c:strRef>
              <c:f>'Quarterly Charts '!$B$2:$P$2</c:f>
              <c:strCache>
                <c:ptCount val="3"/>
                <c:pt idx="0">
                  <c:v> 2018Q1 </c:v>
                </c:pt>
                <c:pt idx="1">
                  <c:v> 2018Q2 </c:v>
                </c:pt>
                <c:pt idx="2">
                  <c:v> 2018Q3 </c:v>
                </c:pt>
              </c:strCache>
            </c:strRef>
          </c:cat>
          <c:val>
            <c:numRef>
              <c:f>'Quarterly Charts '!$B$26:$P$26</c:f>
              <c:numCache>
                <c:formatCode>General</c:formatCode>
                <c:ptCount val="3"/>
              </c:numCache>
            </c:numRef>
          </c:val>
          <c:extLst>
            <c:ext xmlns:c16="http://schemas.microsoft.com/office/drawing/2014/chart" uri="{C3380CC4-5D6E-409C-BE32-E72D297353CC}">
              <c16:uniqueId val="{00000000-D4AB-45EB-95BD-77377557FF9A}"/>
            </c:ext>
          </c:extLst>
        </c:ser>
        <c:dLbls>
          <c:showLegendKey val="0"/>
          <c:showVal val="0"/>
          <c:showCatName val="0"/>
          <c:showSerName val="0"/>
          <c:showPercent val="0"/>
          <c:showBubbleSize val="0"/>
        </c:dLbls>
        <c:gapWidth val="150"/>
        <c:axId val="-530920496"/>
        <c:axId val="-530919952"/>
      </c:barChart>
      <c:lineChart>
        <c:grouping val="standard"/>
        <c:varyColors val="0"/>
        <c:ser>
          <c:idx val="1"/>
          <c:order val="1"/>
          <c:tx>
            <c:strRef>
              <c:f>'Quarterly Charts '!$A$27</c:f>
              <c:strCache>
                <c:ptCount val="1"/>
                <c:pt idx="0">
                  <c:v> EXPE Room Nights YoY Growth </c:v>
                </c:pt>
              </c:strCache>
            </c:strRef>
          </c:tx>
          <c:spPr>
            <a:ln>
              <a:solidFill>
                <a:srgbClr val="FF0000"/>
              </a:solidFill>
            </a:ln>
          </c:spPr>
          <c:marker>
            <c:symbol val="circle"/>
            <c:size val="5"/>
            <c:spPr>
              <a:solidFill>
                <a:srgbClr val="FF0000"/>
              </a:solidFill>
            </c:spPr>
          </c:marker>
          <c:dLbls>
            <c:dLbl>
              <c:idx val="0"/>
              <c:delete val="1"/>
              <c:extLst>
                <c:ext xmlns:c15="http://schemas.microsoft.com/office/drawing/2012/chart" uri="{CE6537A1-D6FC-4f65-9D91-7224C49458BB}"/>
                <c:ext xmlns:c16="http://schemas.microsoft.com/office/drawing/2014/chart" uri="{C3380CC4-5D6E-409C-BE32-E72D297353CC}">
                  <c16:uniqueId val="{00000001-D4AB-45EB-95BD-77377557FF9A}"/>
                </c:ext>
              </c:extLst>
            </c:dLbl>
            <c:dLbl>
              <c:idx val="1"/>
              <c:delete val="1"/>
              <c:extLst>
                <c:ext xmlns:c15="http://schemas.microsoft.com/office/drawing/2012/chart" uri="{CE6537A1-D6FC-4f65-9D91-7224C49458BB}"/>
                <c:ext xmlns:c16="http://schemas.microsoft.com/office/drawing/2014/chart" uri="{C3380CC4-5D6E-409C-BE32-E72D297353CC}">
                  <c16:uniqueId val="{00000002-D4AB-45EB-95BD-77377557FF9A}"/>
                </c:ext>
              </c:extLst>
            </c:dLbl>
            <c:dLbl>
              <c:idx val="2"/>
              <c:delete val="1"/>
              <c:extLst>
                <c:ext xmlns:c15="http://schemas.microsoft.com/office/drawing/2012/chart" uri="{CE6537A1-D6FC-4f65-9D91-7224C49458BB}"/>
                <c:ext xmlns:c16="http://schemas.microsoft.com/office/drawing/2014/chart" uri="{C3380CC4-5D6E-409C-BE32-E72D297353CC}">
                  <c16:uniqueId val="{00000003-D4AB-45EB-95BD-77377557FF9A}"/>
                </c:ext>
              </c:extLst>
            </c:dLbl>
            <c:dLbl>
              <c:idx val="3"/>
              <c:delete val="1"/>
              <c:extLst>
                <c:ext xmlns:c15="http://schemas.microsoft.com/office/drawing/2012/chart" uri="{CE6537A1-D6FC-4f65-9D91-7224C49458BB}"/>
                <c:ext xmlns:c16="http://schemas.microsoft.com/office/drawing/2014/chart" uri="{C3380CC4-5D6E-409C-BE32-E72D297353CC}">
                  <c16:uniqueId val="{00000004-D4AB-45EB-95BD-77377557FF9A}"/>
                </c:ext>
              </c:extLst>
            </c:dLbl>
            <c:dLbl>
              <c:idx val="4"/>
              <c:delete val="1"/>
              <c:extLst>
                <c:ext xmlns:c15="http://schemas.microsoft.com/office/drawing/2012/chart" uri="{CE6537A1-D6FC-4f65-9D91-7224C49458BB}"/>
                <c:ext xmlns:c16="http://schemas.microsoft.com/office/drawing/2014/chart" uri="{C3380CC4-5D6E-409C-BE32-E72D297353CC}">
                  <c16:uniqueId val="{00000005-D4AB-45EB-95BD-77377557FF9A}"/>
                </c:ext>
              </c:extLst>
            </c:dLbl>
            <c:dLbl>
              <c:idx val="5"/>
              <c:delete val="1"/>
              <c:extLst>
                <c:ext xmlns:c15="http://schemas.microsoft.com/office/drawing/2012/chart" uri="{CE6537A1-D6FC-4f65-9D91-7224C49458BB}"/>
                <c:ext xmlns:c16="http://schemas.microsoft.com/office/drawing/2014/chart" uri="{C3380CC4-5D6E-409C-BE32-E72D297353CC}">
                  <c16:uniqueId val="{00000006-D4AB-45EB-95BD-77377557FF9A}"/>
                </c:ext>
              </c:extLst>
            </c:dLbl>
            <c:dLbl>
              <c:idx val="6"/>
              <c:delete val="1"/>
              <c:extLst>
                <c:ext xmlns:c15="http://schemas.microsoft.com/office/drawing/2012/chart" uri="{CE6537A1-D6FC-4f65-9D91-7224C49458BB}"/>
                <c:ext xmlns:c16="http://schemas.microsoft.com/office/drawing/2014/chart" uri="{C3380CC4-5D6E-409C-BE32-E72D297353CC}">
                  <c16:uniqueId val="{00000007-D4AB-45EB-95BD-77377557FF9A}"/>
                </c:ext>
              </c:extLst>
            </c:dLbl>
            <c:dLbl>
              <c:idx val="7"/>
              <c:delete val="1"/>
              <c:extLst>
                <c:ext xmlns:c15="http://schemas.microsoft.com/office/drawing/2012/chart" uri="{CE6537A1-D6FC-4f65-9D91-7224C49458BB}"/>
                <c:ext xmlns:c16="http://schemas.microsoft.com/office/drawing/2014/chart" uri="{C3380CC4-5D6E-409C-BE32-E72D297353CC}">
                  <c16:uniqueId val="{00000008-D4AB-45EB-95BD-77377557FF9A}"/>
                </c:ext>
              </c:extLst>
            </c:dLbl>
            <c:dLbl>
              <c:idx val="8"/>
              <c:delete val="1"/>
              <c:extLst>
                <c:ext xmlns:c15="http://schemas.microsoft.com/office/drawing/2012/chart" uri="{CE6537A1-D6FC-4f65-9D91-7224C49458BB}"/>
                <c:ext xmlns:c16="http://schemas.microsoft.com/office/drawing/2014/chart" uri="{C3380CC4-5D6E-409C-BE32-E72D297353CC}">
                  <c16:uniqueId val="{00000009-D4AB-45EB-95BD-77377557FF9A}"/>
                </c:ext>
              </c:extLst>
            </c:dLbl>
            <c:dLbl>
              <c:idx val="9"/>
              <c:delete val="1"/>
              <c:extLst>
                <c:ext xmlns:c15="http://schemas.microsoft.com/office/drawing/2012/chart" uri="{CE6537A1-D6FC-4f65-9D91-7224C49458BB}"/>
                <c:ext xmlns:c16="http://schemas.microsoft.com/office/drawing/2014/chart" uri="{C3380CC4-5D6E-409C-BE32-E72D297353CC}">
                  <c16:uniqueId val="{0000000A-D4AB-45EB-95BD-77377557FF9A}"/>
                </c:ext>
              </c:extLst>
            </c:dLbl>
            <c:dLbl>
              <c:idx val="10"/>
              <c:delete val="1"/>
              <c:extLst>
                <c:ext xmlns:c15="http://schemas.microsoft.com/office/drawing/2012/chart" uri="{CE6537A1-D6FC-4f65-9D91-7224C49458BB}"/>
                <c:ext xmlns:c16="http://schemas.microsoft.com/office/drawing/2014/chart" uri="{C3380CC4-5D6E-409C-BE32-E72D297353CC}">
                  <c16:uniqueId val="{0000000B-D4AB-45EB-95BD-77377557FF9A}"/>
                </c:ext>
              </c:extLst>
            </c:dLbl>
            <c:dLbl>
              <c:idx val="11"/>
              <c:delete val="1"/>
              <c:extLst>
                <c:ext xmlns:c15="http://schemas.microsoft.com/office/drawing/2012/chart" uri="{CE6537A1-D6FC-4f65-9D91-7224C49458BB}"/>
                <c:ext xmlns:c16="http://schemas.microsoft.com/office/drawing/2014/chart" uri="{C3380CC4-5D6E-409C-BE32-E72D297353CC}">
                  <c16:uniqueId val="{0000000C-D4AB-45EB-95BD-77377557FF9A}"/>
                </c:ext>
              </c:extLst>
            </c:dLbl>
            <c:dLbl>
              <c:idx val="12"/>
              <c:delete val="1"/>
              <c:extLst>
                <c:ext xmlns:c15="http://schemas.microsoft.com/office/drawing/2012/chart" uri="{CE6537A1-D6FC-4f65-9D91-7224C49458BB}"/>
                <c:ext xmlns:c16="http://schemas.microsoft.com/office/drawing/2014/chart" uri="{C3380CC4-5D6E-409C-BE32-E72D297353CC}">
                  <c16:uniqueId val="{0000000D-D4AB-45EB-95BD-77377557FF9A}"/>
                </c:ext>
              </c:extLst>
            </c:dLbl>
            <c:dLbl>
              <c:idx val="13"/>
              <c:delete val="1"/>
              <c:extLst>
                <c:ext xmlns:c15="http://schemas.microsoft.com/office/drawing/2012/chart" uri="{CE6537A1-D6FC-4f65-9D91-7224C49458BB}"/>
                <c:ext xmlns:c16="http://schemas.microsoft.com/office/drawing/2014/chart" uri="{C3380CC4-5D6E-409C-BE32-E72D297353CC}">
                  <c16:uniqueId val="{0000000E-D4AB-45EB-95BD-77377557FF9A}"/>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'Quarterly Charts '!$B$2:$O$2</c:f>
              <c:strCache>
                <c:ptCount val="2"/>
                <c:pt idx="0">
                  <c:v> 2018Q1 </c:v>
                </c:pt>
                <c:pt idx="1">
                  <c:v> 2018Q2 </c:v>
                </c:pt>
              </c:strCache>
            </c:strRef>
          </c:cat>
          <c:val>
            <c:numRef>
              <c:f>'Quarterly Charts '!$B$27:$P$27</c:f>
              <c:numCache>
                <c:formatCode>0.0%</c:formatCode>
                <c:ptCount val="3"/>
                <c:pt idx="0">
                  <c:v>0.15</c:v>
                </c:pt>
                <c:pt idx="1">
                  <c:v>0.12</c:v>
                </c:pt>
                <c:pt idx="2">
                  <c:v>0.13</c:v>
                </c:pt>
              </c:numCache>
            </c:numRef>
          </c:val>
          <c:smooth val="0"/>
          <c:extLst>
            <c:ext xmlns:c16="http://schemas.microsoft.com/office/drawing/2014/chart" uri="{C3380CC4-5D6E-409C-BE32-E72D297353CC}">
              <c16:uniqueId val="{0000000F-D4AB-45EB-95BD-77377557FF9A}"/>
            </c:ext>
          </c:extLst>
        </c:ser>
        <c:ser>
          <c:idx val="2"/>
          <c:order val="2"/>
          <c:tx>
            <c:strRef>
              <c:f>'Quarterly Charts '!$A$28</c:f>
              <c:strCache>
                <c:ptCount val="1"/>
                <c:pt idx="0">
                  <c:v> EXPE Organic Room Nights YoY Growth </c:v>
                </c:pt>
              </c:strCache>
            </c:strRef>
          </c:tx>
          <c:spPr>
            <a:ln>
              <a:solidFill>
                <a:srgbClr val="E0A9A8"/>
              </a:solidFill>
            </a:ln>
          </c:spPr>
          <c:marker>
            <c:symbol val="circle"/>
            <c:size val="5"/>
            <c:spPr>
              <a:solidFill>
                <a:srgbClr val="E0A9A8"/>
              </a:solidFill>
            </c:spPr>
          </c:marker>
          <c:cat>
            <c:strRef>
              <c:f>'Quarterly Charts '!$B$2:$O$2</c:f>
              <c:strCache>
                <c:ptCount val="2"/>
                <c:pt idx="0">
                  <c:v> 2018Q1 </c:v>
                </c:pt>
                <c:pt idx="1">
                  <c:v> 2018Q2 </c:v>
                </c:pt>
              </c:strCache>
            </c:strRef>
          </c:cat>
          <c:val>
            <c:numRef>
              <c:f>'Quarterly Charts '!$B$28:$O$28</c:f>
              <c:numCache>
                <c:formatCode>0.0%</c:formatCode>
                <c:ptCount val="2"/>
              </c:numCache>
            </c:numRef>
          </c:val>
          <c:smooth val="0"/>
          <c:extLst>
            <c:ext xmlns:c16="http://schemas.microsoft.com/office/drawing/2014/chart" uri="{C3380CC4-5D6E-409C-BE32-E72D297353CC}">
              <c16:uniqueId val="{00000010-D4AB-45EB-95BD-77377557FF9A}"/>
            </c:ext>
          </c:extLst>
        </c:ser>
        <c:dLbls>
          <c:showLegendKey val="0"/>
          <c:showVal val="0"/>
          <c:showCatName val="0"/>
          <c:showSerName val="0"/>
          <c:showPercent val="0"/>
          <c:showBubbleSize val="0"/>
        </c:dLbls>
        <c:marker val="1"/>
        <c:smooth val="0"/>
        <c:axId val="-530916688"/>
        <c:axId val="-530922128"/>
      </c:lineChart>
      <c:catAx>
        <c:axId val="-530920496"/>
        <c:scaling>
          <c:orientation val="minMax"/>
        </c:scaling>
        <c:delete val="0"/>
        <c:axPos val="b"/>
        <c:numFmt formatCode="General" sourceLinked="0"/>
        <c:majorTickMark val="out"/>
        <c:minorTickMark val="none"/>
        <c:tickLblPos val="nextTo"/>
        <c:crossAx val="-530919952"/>
        <c:crosses val="autoZero"/>
        <c:auto val="1"/>
        <c:lblAlgn val="ctr"/>
        <c:lblOffset val="100"/>
        <c:noMultiLvlLbl val="0"/>
      </c:catAx>
      <c:valAx>
        <c:axId val="-530919952"/>
        <c:scaling>
          <c:orientation val="minMax"/>
        </c:scaling>
        <c:delete val="0"/>
        <c:axPos val="l"/>
        <c:majorGridlines/>
        <c:numFmt formatCode="General" sourceLinked="1"/>
        <c:majorTickMark val="out"/>
        <c:minorTickMark val="none"/>
        <c:tickLblPos val="nextTo"/>
        <c:crossAx val="-530920496"/>
        <c:crosses val="autoZero"/>
        <c:crossBetween val="between"/>
      </c:valAx>
      <c:valAx>
        <c:axId val="-530922128"/>
        <c:scaling>
          <c:orientation val="minMax"/>
        </c:scaling>
        <c:delete val="0"/>
        <c:axPos val="r"/>
        <c:numFmt formatCode="0.0%" sourceLinked="1"/>
        <c:majorTickMark val="out"/>
        <c:minorTickMark val="none"/>
        <c:tickLblPos val="nextTo"/>
        <c:crossAx val="-530916688"/>
        <c:crosses val="max"/>
        <c:crossBetween val="between"/>
      </c:valAx>
      <c:catAx>
        <c:axId val="-530916688"/>
        <c:scaling>
          <c:orientation val="minMax"/>
        </c:scaling>
        <c:delete val="1"/>
        <c:axPos val="b"/>
        <c:numFmt formatCode="General" sourceLinked="1"/>
        <c:majorTickMark val="out"/>
        <c:minorTickMark val="none"/>
        <c:tickLblPos val="none"/>
        <c:crossAx val="-530922128"/>
        <c:crosses val="autoZero"/>
        <c:auto val="1"/>
        <c:lblAlgn val="ctr"/>
        <c:lblOffset val="100"/>
        <c:noMultiLvlLbl val="0"/>
      </c:catAx>
    </c:plotArea>
    <c:legend>
      <c:legendPos val="b"/>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a:pPr>
            <a:r>
              <a:rPr lang="en-US"/>
              <a:t>BKNG/EXPE</a:t>
            </a:r>
            <a:r>
              <a:rPr lang="en-US" baseline="0"/>
              <a:t> Adjusted EBIT &amp; Adjusted EBIT margin</a:t>
            </a:r>
            <a:endParaRPr lang="en-US"/>
          </a:p>
        </c:rich>
      </c:tx>
      <c:layout>
        <c:manualLayout>
          <c:xMode val="edge"/>
          <c:yMode val="edge"/>
          <c:x val="0.13305422295889213"/>
          <c:y val="3.0098138411156501E-2"/>
        </c:manualLayout>
      </c:layout>
      <c:overlay val="0"/>
    </c:title>
    <c:autoTitleDeleted val="0"/>
    <c:plotArea>
      <c:layout/>
      <c:barChart>
        <c:barDir val="col"/>
        <c:grouping val="clustered"/>
        <c:varyColors val="0"/>
        <c:ser>
          <c:idx val="0"/>
          <c:order val="0"/>
          <c:tx>
            <c:strRef>
              <c:f>'Quarterly Charts '!#REF!</c:f>
              <c:strCache>
                <c:ptCount val="1"/>
                <c:pt idx="0">
                  <c:v>#REF!</c:v>
                </c:pt>
              </c:strCache>
            </c:strRef>
          </c:tx>
          <c:invertIfNegative val="0"/>
          <c:cat>
            <c:strRef>
              <c:f>'Quarterly Charts '!$B$2:$P$2</c:f>
              <c:strCache>
                <c:ptCount val="3"/>
                <c:pt idx="0">
                  <c:v> 2018Q1 </c:v>
                </c:pt>
                <c:pt idx="1">
                  <c:v> 2018Q2 </c:v>
                </c:pt>
                <c:pt idx="2">
                  <c:v> 2018Q3 </c:v>
                </c:pt>
              </c:strCache>
            </c:strRef>
          </c:cat>
          <c:val>
            <c:numRef>
              <c:f>'Quarterly Charts '!#REF!</c:f>
              <c:numCache>
                <c:formatCode>General</c:formatCode>
                <c:ptCount val="1"/>
                <c:pt idx="0">
                  <c:v>1</c:v>
                </c:pt>
              </c:numCache>
            </c:numRef>
          </c:val>
          <c:extLst>
            <c:ext xmlns:c16="http://schemas.microsoft.com/office/drawing/2014/chart" uri="{C3380CC4-5D6E-409C-BE32-E72D297353CC}">
              <c16:uniqueId val="{00000000-301C-4F1C-8289-B2D1DE8B657E}"/>
            </c:ext>
          </c:extLst>
        </c:ser>
        <c:ser>
          <c:idx val="3"/>
          <c:order val="2"/>
          <c:tx>
            <c:strRef>
              <c:f>'Quarterly Charts '!#REF!</c:f>
              <c:strCache>
                <c:ptCount val="1"/>
                <c:pt idx="0">
                  <c:v>#REF!</c:v>
                </c:pt>
              </c:strCache>
            </c:strRef>
          </c:tx>
          <c:spPr>
            <a:solidFill>
              <a:schemeClr val="accent2"/>
            </a:solidFill>
          </c:spPr>
          <c:invertIfNegative val="0"/>
          <c:cat>
            <c:strRef>
              <c:f>'Quarterly Charts '!$B$2:$P$2</c:f>
              <c:strCache>
                <c:ptCount val="3"/>
                <c:pt idx="0">
                  <c:v> 2018Q1 </c:v>
                </c:pt>
                <c:pt idx="1">
                  <c:v> 2018Q2 </c:v>
                </c:pt>
                <c:pt idx="2">
                  <c:v> 2018Q3 </c:v>
                </c:pt>
              </c:strCache>
            </c:strRef>
          </c:cat>
          <c:val>
            <c:numRef>
              <c:f>'Quarterly Charts '!#REF!</c:f>
              <c:numCache>
                <c:formatCode>General</c:formatCode>
                <c:ptCount val="1"/>
                <c:pt idx="0">
                  <c:v>1</c:v>
                </c:pt>
              </c:numCache>
            </c:numRef>
          </c:val>
          <c:extLst>
            <c:ext xmlns:c16="http://schemas.microsoft.com/office/drawing/2014/chart" uri="{C3380CC4-5D6E-409C-BE32-E72D297353CC}">
              <c16:uniqueId val="{00000001-301C-4F1C-8289-B2D1DE8B657E}"/>
            </c:ext>
          </c:extLst>
        </c:ser>
        <c:dLbls>
          <c:showLegendKey val="0"/>
          <c:showVal val="0"/>
          <c:showCatName val="0"/>
          <c:showSerName val="0"/>
          <c:showPercent val="0"/>
          <c:showBubbleSize val="0"/>
        </c:dLbls>
        <c:gapWidth val="150"/>
        <c:axId val="-530916144"/>
        <c:axId val="-530912336"/>
      </c:barChart>
      <c:lineChart>
        <c:grouping val="standard"/>
        <c:varyColors val="0"/>
        <c:ser>
          <c:idx val="1"/>
          <c:order val="1"/>
          <c:tx>
            <c:strRef>
              <c:f>'Quarterly Charts '!$A$10</c:f>
              <c:strCache>
                <c:ptCount val="1"/>
                <c:pt idx="0">
                  <c:v> BKNG Adj. EBITDA margin </c:v>
                </c:pt>
              </c:strCache>
            </c:strRef>
          </c:tx>
          <c:spPr>
            <a:ln>
              <a:solidFill>
                <a:schemeClr val="accent1">
                  <a:lumMod val="60000"/>
                  <a:lumOff val="40000"/>
                </a:schemeClr>
              </a:solidFill>
            </a:ln>
          </c:spPr>
          <c:marker>
            <c:symbol val="triangle"/>
            <c:size val="5"/>
            <c:spPr>
              <a:solidFill>
                <a:schemeClr val="accent5"/>
              </a:solidFill>
            </c:spPr>
          </c:marker>
          <c:cat>
            <c:strRef>
              <c:f>'Quarterly Charts '!$B$2:$O$2</c:f>
              <c:strCache>
                <c:ptCount val="2"/>
                <c:pt idx="0">
                  <c:v> 2018Q1 </c:v>
                </c:pt>
                <c:pt idx="1">
                  <c:v> 2018Q2 </c:v>
                </c:pt>
              </c:strCache>
            </c:strRef>
          </c:cat>
          <c:val>
            <c:numRef>
              <c:f>'Quarterly Charts '!$B$10:$P$10</c:f>
              <c:numCache>
                <c:formatCode>0.0%</c:formatCode>
                <c:ptCount val="3"/>
                <c:pt idx="0">
                  <c:v>0.27259228447773909</c:v>
                </c:pt>
                <c:pt idx="1">
                  <c:v>0.37117334173194155</c:v>
                </c:pt>
                <c:pt idx="2">
                  <c:v>0.48675500103114044</c:v>
                </c:pt>
              </c:numCache>
            </c:numRef>
          </c:val>
          <c:smooth val="0"/>
          <c:extLst>
            <c:ext xmlns:c16="http://schemas.microsoft.com/office/drawing/2014/chart" uri="{C3380CC4-5D6E-409C-BE32-E72D297353CC}">
              <c16:uniqueId val="{00000002-301C-4F1C-8289-B2D1DE8B657E}"/>
            </c:ext>
          </c:extLst>
        </c:ser>
        <c:ser>
          <c:idx val="4"/>
          <c:order val="3"/>
          <c:tx>
            <c:strRef>
              <c:f>'Quarterly Charts '!#REF!</c:f>
              <c:strCache>
                <c:ptCount val="1"/>
                <c:pt idx="0">
                  <c:v>#REF!</c:v>
                </c:pt>
              </c:strCache>
            </c:strRef>
          </c:tx>
          <c:spPr>
            <a:ln>
              <a:solidFill>
                <a:schemeClr val="accent2">
                  <a:lumMod val="60000"/>
                  <a:lumOff val="40000"/>
                </a:schemeClr>
              </a:solidFill>
            </a:ln>
          </c:spPr>
          <c:marker>
            <c:symbol val="none"/>
          </c:marker>
          <c:dPt>
            <c:idx val="7"/>
            <c:marker>
              <c:symbol val="circle"/>
              <c:size val="5"/>
              <c:spPr>
                <a:solidFill>
                  <a:srgbClr val="E0A9A8"/>
                </a:solidFill>
              </c:spPr>
            </c:marker>
            <c:bubble3D val="0"/>
            <c:extLst>
              <c:ext xmlns:c16="http://schemas.microsoft.com/office/drawing/2014/chart" uri="{C3380CC4-5D6E-409C-BE32-E72D297353CC}">
                <c16:uniqueId val="{00000003-301C-4F1C-8289-B2D1DE8B657E}"/>
              </c:ext>
            </c:extLst>
          </c:dPt>
          <c:cat>
            <c:strRef>
              <c:f>'Quarterly Charts '!$B$2:$O$2</c:f>
              <c:strCache>
                <c:ptCount val="2"/>
                <c:pt idx="0">
                  <c:v> 2018Q1 </c:v>
                </c:pt>
                <c:pt idx="1">
                  <c:v> 2018Q2 </c:v>
                </c:pt>
              </c:strCache>
            </c:strRef>
          </c:cat>
          <c:val>
            <c:numRef>
              <c:f>'Quarterly Charts '!#REF!</c:f>
              <c:numCache>
                <c:formatCode>General</c:formatCode>
                <c:ptCount val="1"/>
                <c:pt idx="0">
                  <c:v>1</c:v>
                </c:pt>
              </c:numCache>
            </c:numRef>
          </c:val>
          <c:smooth val="0"/>
          <c:extLst>
            <c:ext xmlns:c16="http://schemas.microsoft.com/office/drawing/2014/chart" uri="{C3380CC4-5D6E-409C-BE32-E72D297353CC}">
              <c16:uniqueId val="{00000004-301C-4F1C-8289-B2D1DE8B657E}"/>
            </c:ext>
          </c:extLst>
        </c:ser>
        <c:dLbls>
          <c:showLegendKey val="0"/>
          <c:showVal val="0"/>
          <c:showCatName val="0"/>
          <c:showSerName val="0"/>
          <c:showPercent val="0"/>
          <c:showBubbleSize val="0"/>
        </c:dLbls>
        <c:marker val="1"/>
        <c:smooth val="0"/>
        <c:axId val="-530917776"/>
        <c:axId val="-530921584"/>
      </c:lineChart>
      <c:catAx>
        <c:axId val="-530916144"/>
        <c:scaling>
          <c:orientation val="minMax"/>
        </c:scaling>
        <c:delete val="0"/>
        <c:axPos val="b"/>
        <c:numFmt formatCode="General" sourceLinked="1"/>
        <c:majorTickMark val="out"/>
        <c:minorTickMark val="none"/>
        <c:tickLblPos val="nextTo"/>
        <c:crossAx val="-530912336"/>
        <c:crosses val="autoZero"/>
        <c:auto val="1"/>
        <c:lblAlgn val="ctr"/>
        <c:lblOffset val="100"/>
        <c:noMultiLvlLbl val="0"/>
      </c:catAx>
      <c:valAx>
        <c:axId val="-530912336"/>
        <c:scaling>
          <c:orientation val="minMax"/>
        </c:scaling>
        <c:delete val="0"/>
        <c:axPos val="l"/>
        <c:majorGridlines/>
        <c:numFmt formatCode="#,##0_);[Red]\(#,##0\)" sourceLinked="0"/>
        <c:majorTickMark val="out"/>
        <c:minorTickMark val="none"/>
        <c:tickLblPos val="nextTo"/>
        <c:crossAx val="-530916144"/>
        <c:crosses val="autoZero"/>
        <c:crossBetween val="between"/>
      </c:valAx>
      <c:valAx>
        <c:axId val="-530921584"/>
        <c:scaling>
          <c:orientation val="minMax"/>
          <c:max val="0.60000000000000009"/>
          <c:min val="-0.1"/>
        </c:scaling>
        <c:delete val="0"/>
        <c:axPos val="r"/>
        <c:numFmt formatCode="0.0%" sourceLinked="1"/>
        <c:majorTickMark val="out"/>
        <c:minorTickMark val="none"/>
        <c:tickLblPos val="nextTo"/>
        <c:crossAx val="-530917776"/>
        <c:crosses val="max"/>
        <c:crossBetween val="between"/>
        <c:majorUnit val="0.1"/>
        <c:minorUnit val="2.0000000000000007E-2"/>
      </c:valAx>
      <c:catAx>
        <c:axId val="-530917776"/>
        <c:scaling>
          <c:orientation val="minMax"/>
        </c:scaling>
        <c:delete val="1"/>
        <c:axPos val="b"/>
        <c:numFmt formatCode="General" sourceLinked="1"/>
        <c:majorTickMark val="out"/>
        <c:minorTickMark val="none"/>
        <c:tickLblPos val="none"/>
        <c:crossAx val="-530921584"/>
        <c:crossesAt val="0"/>
        <c:auto val="1"/>
        <c:lblAlgn val="ctr"/>
        <c:lblOffset val="100"/>
        <c:noMultiLvlLbl val="0"/>
      </c:catAx>
    </c:plotArea>
    <c:legend>
      <c:legendPos val="b"/>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zh-CN"/>
              <a:t>ABNB/BKNG/EXPE/TCOM Room Nights &amp;</a:t>
            </a:r>
            <a:r>
              <a:rPr lang="en-US" altLang="zh-CN" baseline="0"/>
              <a:t> Growth </a:t>
            </a:r>
            <a:endParaRPr lang="zh-CN" altLang="en-US"/>
          </a:p>
        </c:rich>
      </c:tx>
      <c:overlay val="0"/>
    </c:title>
    <c:autoTitleDeleted val="0"/>
    <c:plotArea>
      <c:layout>
        <c:manualLayout>
          <c:layoutTarget val="inner"/>
          <c:xMode val="edge"/>
          <c:yMode val="edge"/>
          <c:x val="5.8817489740426498E-2"/>
          <c:y val="0.11278831912737518"/>
          <c:w val="0.85076687164832954"/>
          <c:h val="0.68150745852138306"/>
        </c:manualLayout>
      </c:layout>
      <c:barChart>
        <c:barDir val="col"/>
        <c:grouping val="clustered"/>
        <c:varyColors val="0"/>
        <c:ser>
          <c:idx val="5"/>
          <c:order val="0"/>
          <c:tx>
            <c:strRef>
              <c:f>'Quarterly Charts '!$A$36</c:f>
              <c:strCache>
                <c:ptCount val="1"/>
                <c:pt idx="0">
                  <c:v>TCOM Room Nights(C group incl. Corp)</c:v>
                </c:pt>
              </c:strCache>
            </c:strRef>
          </c:tx>
          <c:spPr>
            <a:solidFill>
              <a:schemeClr val="accent5"/>
            </a:solidFill>
          </c:spPr>
          <c:invertIfNegative val="0"/>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'!$R$36:$AQ$36</c15:sqref>
                  </c15:fullRef>
                </c:ext>
              </c:extLst>
              <c:f>'Quarterly Charts '!$S$36:$AQ$36</c:f>
              <c:numCache>
                <c:formatCode>#,##0.0_);[Red]\(#,##0.0\)</c:formatCode>
                <c:ptCount val="9"/>
                <c:pt idx="0">
                  <c:v>79.2</c:v>
                </c:pt>
                <c:pt idx="1">
                  <c:v>95.5</c:v>
                </c:pt>
                <c:pt idx="2">
                  <c:v>82.7</c:v>
                </c:pt>
                <c:pt idx="3">
                  <c:v>149.79148300006497</c:v>
                </c:pt>
                <c:pt idx="4">
                  <c:v>161.13272159998627</c:v>
                </c:pt>
                <c:pt idx="5">
                  <c:v>200.65034486617725</c:v>
                </c:pt>
                <c:pt idx="6">
                  <c:v>168.25291189291548</c:v>
                </c:pt>
                <c:pt idx="7">
                  <c:v>176.79715131799702</c:v>
                </c:pt>
                <c:pt idx="8">
                  <c:v>194.81730386199914</c:v>
                </c:pt>
              </c:numCache>
            </c:numRef>
          </c:val>
          <c:extLst>
            <c:ext xmlns:c16="http://schemas.microsoft.com/office/drawing/2014/chart" uri="{C3380CC4-5D6E-409C-BE32-E72D297353CC}">
              <c16:uniqueId val="{00000002-B3DF-47AF-89BF-CD241E251DDD}"/>
            </c:ext>
          </c:extLst>
        </c:ser>
        <c:ser>
          <c:idx val="0"/>
          <c:order val="2"/>
          <c:tx>
            <c:strRef>
              <c:f>'Quarterly Charts '!$A$11</c:f>
              <c:strCache>
                <c:ptCount val="1"/>
                <c:pt idx="0">
                  <c:v> BKNG Room Nights </c:v>
                </c:pt>
              </c:strCache>
            </c:strRef>
          </c:tx>
          <c:spPr>
            <a:solidFill>
              <a:schemeClr val="tx2"/>
            </a:solidFill>
          </c:spPr>
          <c:invertIfNegative val="0"/>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'!$R$11:$AQ$11</c15:sqref>
                  </c15:fullRef>
                </c:ext>
              </c:extLst>
              <c:f>'Quarterly Charts '!$S$11:$AQ$11</c:f>
              <c:numCache>
                <c:formatCode>0.0</c:formatCode>
                <c:ptCount val="9"/>
                <c:pt idx="0">
                  <c:v>213</c:v>
                </c:pt>
                <c:pt idx="1">
                  <c:v>223</c:v>
                </c:pt>
                <c:pt idx="2">
                  <c:v>191</c:v>
                </c:pt>
                <c:pt idx="3">
                  <c:v>297</c:v>
                </c:pt>
                <c:pt idx="4">
                  <c:v>287</c:v>
                </c:pt>
                <c:pt idx="5">
                  <c:v>299</c:v>
                </c:pt>
                <c:pt idx="6">
                  <c:v>261</c:v>
                </c:pt>
                <c:pt idx="7">
                  <c:v>319</c:v>
                </c:pt>
                <c:pt idx="8">
                  <c:v>309</c:v>
                </c:pt>
              </c:numCache>
            </c:numRef>
          </c:val>
          <c:extLst>
            <c:ext xmlns:c16="http://schemas.microsoft.com/office/drawing/2014/chart" uri="{C3380CC4-5D6E-409C-BE32-E72D297353CC}">
              <c16:uniqueId val="{00000000-B3DF-47AF-89BF-CD241E251DDD}"/>
            </c:ext>
          </c:extLst>
        </c:ser>
        <c:ser>
          <c:idx val="2"/>
          <c:order val="4"/>
          <c:tx>
            <c:strRef>
              <c:f>'Quarterly Charts '!$A$26</c:f>
              <c:strCache>
                <c:ptCount val="1"/>
                <c:pt idx="0">
                  <c:v> EXPE Room Nights </c:v>
                </c:pt>
              </c:strCache>
            </c:strRef>
          </c:tx>
          <c:spPr>
            <a:solidFill>
              <a:schemeClr val="accent6"/>
            </a:solidFill>
            <a:ln>
              <a:noFill/>
            </a:ln>
          </c:spPr>
          <c:invertIfNegative val="0"/>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'!$R$26:$AQ$26</c15:sqref>
                  </c15:fullRef>
                </c:ext>
              </c:extLst>
              <c:f>'Quarterly Charts '!$S$26:$AQ$26</c:f>
              <c:numCache>
                <c:formatCode>General</c:formatCode>
                <c:ptCount val="9"/>
                <c:pt idx="0">
                  <c:v>100.8</c:v>
                </c:pt>
                <c:pt idx="1">
                  <c:v>101.3</c:v>
                </c:pt>
                <c:pt idx="2">
                  <c:v>86.3</c:v>
                </c:pt>
                <c:pt idx="3">
                  <c:v>101.2</c:v>
                </c:pt>
                <c:pt idx="4">
                  <c:v>98.9</c:v>
                </c:pt>
                <c:pt idx="5">
                  <c:v>97.4</c:v>
                </c:pt>
                <c:pt idx="6">
                  <c:v>86.4</c:v>
                </c:pt>
                <c:pt idx="7">
                  <c:v>107.7</c:v>
                </c:pt>
                <c:pt idx="8">
                  <c:v>105.5</c:v>
                </c:pt>
              </c:numCache>
            </c:numRef>
          </c:val>
          <c:extLst>
            <c:ext xmlns:c16="http://schemas.microsoft.com/office/drawing/2014/chart" uri="{C3380CC4-5D6E-409C-BE32-E72D297353CC}">
              <c16:uniqueId val="{00000001-B3DF-47AF-89BF-CD241E251DDD}"/>
            </c:ext>
          </c:extLst>
        </c:ser>
        <c:ser>
          <c:idx val="8"/>
          <c:order val="8"/>
          <c:tx>
            <c:strRef>
              <c:f>'Quarterly Charts '!$A$48</c:f>
              <c:strCache>
                <c:ptCount val="1"/>
                <c:pt idx="0">
                  <c:v>ABNB Room Nights</c:v>
                </c:pt>
              </c:strCache>
            </c:strRef>
          </c:tx>
          <c:spPr>
            <a:solidFill>
              <a:schemeClr val="accent2"/>
            </a:solidFill>
          </c:spPr>
          <c:invertIfNegative val="0"/>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'!$R$48:$AQ$48</c15:sqref>
                  </c15:fullRef>
                </c:ext>
              </c:extLst>
              <c:f>'Quarterly Charts '!$S$48:$AQ$48</c:f>
              <c:numCache>
                <c:formatCode>#,##0.0_);[Red]\(#,##0.0\)</c:formatCode>
                <c:ptCount val="9"/>
                <c:pt idx="0">
                  <c:v>84</c:v>
                </c:pt>
                <c:pt idx="1">
                  <c:v>85.833333333333343</c:v>
                </c:pt>
                <c:pt idx="2">
                  <c:v>75.8</c:v>
                </c:pt>
                <c:pt idx="3">
                  <c:v>132.6</c:v>
                </c:pt>
                <c:pt idx="4">
                  <c:v>125.1</c:v>
                </c:pt>
                <c:pt idx="5">
                  <c:v>122.8</c:v>
                </c:pt>
                <c:pt idx="6">
                  <c:v>111</c:v>
                </c:pt>
                <c:pt idx="7">
                  <c:v>143.1</c:v>
                </c:pt>
                <c:pt idx="8">
                  <c:v>134.4</c:v>
                </c:pt>
              </c:numCache>
            </c:numRef>
          </c:val>
          <c:extLst>
            <c:ext xmlns:c16="http://schemas.microsoft.com/office/drawing/2014/chart" uri="{C3380CC4-5D6E-409C-BE32-E72D297353CC}">
              <c16:uniqueId val="{00000000-3B2C-41FA-8D2D-25E41B5B6B1A}"/>
            </c:ext>
          </c:extLst>
        </c:ser>
        <c:dLbls>
          <c:showLegendKey val="0"/>
          <c:showVal val="0"/>
          <c:showCatName val="0"/>
          <c:showSerName val="0"/>
          <c:showPercent val="0"/>
          <c:showBubbleSize val="0"/>
        </c:dLbls>
        <c:gapWidth val="150"/>
        <c:axId val="-530914512"/>
        <c:axId val="-530926480"/>
        <c:extLst>
          <c:ext xmlns:c15="http://schemas.microsoft.com/office/drawing/2012/chart" uri="{02D57815-91ED-43cb-92C2-25804820EDAC}">
            <c15:filteredBarSeries>
              <c15:ser>
                <c:idx val="7"/>
                <c:order val="7"/>
                <c:tx>
                  <c:strRef>
                    <c:extLst>
                      <c:ext uri="{02D57815-91ED-43cb-92C2-25804820EDAC}">
                        <c15:formulaRef>
                          <c15:sqref>'Quarterly Charts '!$A$39</c15:sqref>
                        </c15:formulaRef>
                      </c:ext>
                    </c:extLst>
                    <c:strCache>
                      <c:ptCount val="1"/>
                      <c:pt idx="0">
                        <c:v>TCOM + CQ2E Room Nights</c:v>
                      </c:pt>
                    </c:strCache>
                  </c:strRef>
                </c:tx>
                <c:spPr>
                  <a:solidFill>
                    <a:srgbClr val="FFC000"/>
                  </a:solidFill>
                  <a:ln>
                    <a:solidFill>
                      <a:srgbClr val="FFC000"/>
                    </a:solidFill>
                  </a:ln>
                </c:spPr>
                <c:invertIfNegative val="0"/>
                <c:cat>
                  <c:strRef>
                    <c:extLst>
                      <c:ext uri="{02D57815-91ED-43cb-92C2-25804820EDAC}">
                        <c15:fullRef>
                          <c15:sqref>'Quarterly Charts '!$R$2:$AQ$2</c15:sqref>
                        </c15:fullRef>
                        <c15:formulaRef>
                          <c15:sqref>'Quarterly Charts '!$S$2:$AQ$2</c15:sqref>
                        </c15:formulaRef>
                      </c:ext>
                    </c:extLst>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uri="{02D57815-91ED-43cb-92C2-25804820EDAC}">
                        <c15:fullRef>
                          <c15:sqref>'Quarterly Charts '!$N$39:$Y$39</c15:sqref>
                        </c15:fullRef>
                        <c15:formulaRef>
                          <c15:sqref>'Quarterly Charts '!$O$39:$Y$39</c15:sqref>
                        </c15:formulaRef>
                      </c:ext>
                    </c:extLst>
                    <c:numCache>
                      <c:formatCode>#,##0.0_);[Red]\(#,##0.0\)</c:formatCode>
                      <c:ptCount val="7"/>
                      <c:pt idx="0">
                        <c:v>73.040041799999997</c:v>
                      </c:pt>
                      <c:pt idx="1">
                        <c:v>95.999596619999977</c:v>
                      </c:pt>
                      <c:pt idx="2">
                        <c:v>81.228835759999981</c:v>
                      </c:pt>
                      <c:pt idx="3">
                        <c:v>84.201676999999989</c:v>
                      </c:pt>
                      <c:pt idx="4">
                        <c:v>96.04</c:v>
                      </c:pt>
                      <c:pt idx="5">
                        <c:v>117.355</c:v>
                      </c:pt>
                      <c:pt idx="6">
                        <c:v>104.146085</c:v>
                      </c:pt>
                    </c:numCache>
                  </c:numRef>
                </c:val>
                <c:extLst>
                  <c:ext xmlns:c16="http://schemas.microsoft.com/office/drawing/2014/chart" uri="{C3380CC4-5D6E-409C-BE32-E72D297353CC}">
                    <c16:uniqueId val="{00000003-B3DF-47AF-89BF-CD241E251DDD}"/>
                  </c:ext>
                </c:extLst>
              </c15:ser>
            </c15:filteredBarSeries>
          </c:ext>
        </c:extLst>
      </c:barChart>
      <c:lineChart>
        <c:grouping val="standard"/>
        <c:varyColors val="0"/>
        <c:ser>
          <c:idx val="6"/>
          <c:order val="1"/>
          <c:tx>
            <c:strRef>
              <c:f>'Quarterly Charts '!$A$38</c:f>
              <c:strCache>
                <c:ptCount val="1"/>
                <c:pt idx="0">
                  <c:v>TCOM Room Nights YoY Growth</c:v>
                </c:pt>
              </c:strCache>
            </c:strRef>
          </c:tx>
          <c:spPr>
            <a:ln>
              <a:solidFill>
                <a:schemeClr val="accent5"/>
              </a:solidFill>
            </a:ln>
          </c:spPr>
          <c:marker>
            <c:symbol val="diamond"/>
            <c:size val="5"/>
            <c:spPr>
              <a:solidFill>
                <a:schemeClr val="accent5"/>
              </a:solidFill>
              <a:ln>
                <a:solidFill>
                  <a:schemeClr val="accent5"/>
                </a:solidFill>
              </a:ln>
            </c:spPr>
          </c:marker>
          <c:dLbls>
            <c:dLbl>
              <c:idx val="8"/>
              <c:layout>
                <c:manualLayout>
                  <c:x val="-8.3449242359727831E-3"/>
                  <c:y val="-4.9991598360806924E-2"/>
                </c:manualLayout>
              </c:layout>
              <c:tx>
                <c:rich>
                  <a:bodyPr wrap="square" lIns="38100" tIns="19050" rIns="38100" bIns="19050" anchor="ctr">
                    <a:spAutoFit/>
                  </a:bodyPr>
                  <a:lstStyle/>
                  <a:p>
                    <a:pPr>
                      <a:defRPr b="1"/>
                    </a:pPr>
                    <a:r>
                      <a:rPr lang="en-US" b="1" baseline="0"/>
                      <a:t>TCOM, </a:t>
                    </a:r>
                    <a:fld id="{16A0DD52-3515-4524-BC95-799C608BDA2B}" type="VALUE">
                      <a:rPr lang="en-US" altLang="zh-CN" b="1" baseline="0"/>
                      <a:pPr>
                        <a:defRPr b="1"/>
                      </a:pPr>
                      <a:t>[值]</a:t>
                    </a:fld>
                    <a:endParaRPr lang="en-US" b="1" baseline="0"/>
                  </a:p>
                </c:rich>
              </c:tx>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 xmlns:c16="http://schemas.microsoft.com/office/drawing/2014/chart" uri="{C3380CC4-5D6E-409C-BE32-E72D297353CC}">
                  <c16:uniqueId val="{00000001-8A80-476F-BB60-A363123DDE6C}"/>
                </c:ext>
              </c:extLst>
            </c:dLbl>
            <c:spPr>
              <a:solidFill>
                <a:sysClr val="window" lastClr="FFFFFF"/>
              </a:solidFill>
              <a:ln>
                <a:solidFill>
                  <a:sysClr val="windowText" lastClr="000000">
                    <a:lumMod val="65000"/>
                    <a:lumOff val="35000"/>
                  </a:sysClr>
                </a:solid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'!$R$38:$AQ$38</c15:sqref>
                  </c15:fullRef>
                </c:ext>
              </c:extLst>
              <c:f>'Quarterly Charts '!$S$38:$AQ$38</c:f>
              <c:numCache>
                <c:formatCode>0%</c:formatCode>
                <c:ptCount val="9"/>
                <c:pt idx="0">
                  <c:v>0.27</c:v>
                </c:pt>
                <c:pt idx="1">
                  <c:v>0.18</c:v>
                </c:pt>
                <c:pt idx="2">
                  <c:v>0.22</c:v>
                </c:pt>
                <c:pt idx="3">
                  <c:v>0.31216714013116076</c:v>
                </c:pt>
                <c:pt idx="4">
                  <c:v>0.19407700117882887</c:v>
                </c:pt>
                <c:pt idx="5">
                  <c:v>0.15319261997094058</c:v>
                </c:pt>
                <c:pt idx="6">
                  <c:v>0.17356135746548618</c:v>
                </c:pt>
                <c:pt idx="7">
                  <c:v>0.17760300422770592</c:v>
                </c:pt>
                <c:pt idx="8">
                  <c:v>0.20904867693872387</c:v>
                </c:pt>
              </c:numCache>
            </c:numRef>
          </c:val>
          <c:smooth val="0"/>
          <c:extLst>
            <c:ext xmlns:c16="http://schemas.microsoft.com/office/drawing/2014/chart" uri="{C3380CC4-5D6E-409C-BE32-E72D297353CC}">
              <c16:uniqueId val="{00000007-B3DF-47AF-89BF-CD241E251DDD}"/>
            </c:ext>
          </c:extLst>
        </c:ser>
        <c:ser>
          <c:idx val="1"/>
          <c:order val="3"/>
          <c:tx>
            <c:strRef>
              <c:f>'Quarterly Charts '!$A$12</c:f>
              <c:strCache>
                <c:ptCount val="1"/>
                <c:pt idx="0">
                  <c:v> BKNG Room Nights YoY Growth </c:v>
                </c:pt>
              </c:strCache>
            </c:strRef>
          </c:tx>
          <c:spPr>
            <a:ln w="31750">
              <a:solidFill>
                <a:schemeClr val="tx2"/>
              </a:solidFill>
            </a:ln>
          </c:spPr>
          <c:marker>
            <c:symbol val="triangle"/>
            <c:size val="5"/>
            <c:spPr>
              <a:solidFill>
                <a:schemeClr val="tx2">
                  <a:lumMod val="40000"/>
                  <a:lumOff val="60000"/>
                </a:schemeClr>
              </a:solidFill>
              <a:ln>
                <a:solidFill>
                  <a:schemeClr val="tx2"/>
                </a:solidFill>
              </a:ln>
            </c:spPr>
          </c:marker>
          <c:dLbls>
            <c:dLbl>
              <c:idx val="0"/>
              <c:delete val="1"/>
              <c:extLst>
                <c:ext xmlns:c15="http://schemas.microsoft.com/office/drawing/2012/chart" uri="{CE6537A1-D6FC-4f65-9D91-7224C49458BB}"/>
                <c:ext xmlns:c16="http://schemas.microsoft.com/office/drawing/2014/chart" uri="{C3380CC4-5D6E-409C-BE32-E72D297353CC}">
                  <c16:uniqueId val="{0000000C-9186-41AB-8B9A-AE9B1A7C0E94}"/>
                </c:ext>
              </c:extLst>
            </c:dLbl>
            <c:dLbl>
              <c:idx val="1"/>
              <c:delete val="1"/>
              <c:extLst>
                <c:ext xmlns:c15="http://schemas.microsoft.com/office/drawing/2012/chart" uri="{CE6537A1-D6FC-4f65-9D91-7224C49458BB}"/>
                <c:ext xmlns:c16="http://schemas.microsoft.com/office/drawing/2014/chart" uri="{C3380CC4-5D6E-409C-BE32-E72D297353CC}">
                  <c16:uniqueId val="{0000000D-9186-41AB-8B9A-AE9B1A7C0E94}"/>
                </c:ext>
              </c:extLst>
            </c:dLbl>
            <c:dLbl>
              <c:idx val="2"/>
              <c:delete val="1"/>
              <c:extLst>
                <c:ext xmlns:c15="http://schemas.microsoft.com/office/drawing/2012/chart" uri="{CE6537A1-D6FC-4f65-9D91-7224C49458BB}"/>
                <c:ext xmlns:c16="http://schemas.microsoft.com/office/drawing/2014/chart" uri="{C3380CC4-5D6E-409C-BE32-E72D297353CC}">
                  <c16:uniqueId val="{0000000A-9186-41AB-8B9A-AE9B1A7C0E94}"/>
                </c:ext>
              </c:extLst>
            </c:dLbl>
            <c:dLbl>
              <c:idx val="3"/>
              <c:delete val="1"/>
              <c:extLst>
                <c:ext xmlns:c15="http://schemas.microsoft.com/office/drawing/2012/chart" uri="{CE6537A1-D6FC-4f65-9D91-7224C49458BB}"/>
                <c:ext xmlns:c16="http://schemas.microsoft.com/office/drawing/2014/chart" uri="{C3380CC4-5D6E-409C-BE32-E72D297353CC}">
                  <c16:uniqueId val="{00000009-9186-41AB-8B9A-AE9B1A7C0E94}"/>
                </c:ext>
              </c:extLst>
            </c:dLbl>
            <c:dLbl>
              <c:idx val="4"/>
              <c:delete val="1"/>
              <c:extLst>
                <c:ext xmlns:c15="http://schemas.microsoft.com/office/drawing/2012/chart" uri="{CE6537A1-D6FC-4f65-9D91-7224C49458BB}"/>
                <c:ext xmlns:c16="http://schemas.microsoft.com/office/drawing/2014/chart" uri="{C3380CC4-5D6E-409C-BE32-E72D297353CC}">
                  <c16:uniqueId val="{00000008-9186-41AB-8B9A-AE9B1A7C0E94}"/>
                </c:ext>
              </c:extLst>
            </c:dLbl>
            <c:dLbl>
              <c:idx val="5"/>
              <c:delete val="1"/>
              <c:extLst>
                <c:ext xmlns:c15="http://schemas.microsoft.com/office/drawing/2012/chart" uri="{CE6537A1-D6FC-4f65-9D91-7224C49458BB}"/>
                <c:ext xmlns:c16="http://schemas.microsoft.com/office/drawing/2014/chart" uri="{C3380CC4-5D6E-409C-BE32-E72D297353CC}">
                  <c16:uniqueId val="{00000007-9186-41AB-8B9A-AE9B1A7C0E94}"/>
                </c:ext>
              </c:extLst>
            </c:dLbl>
            <c:dLbl>
              <c:idx val="6"/>
              <c:delete val="1"/>
              <c:extLst>
                <c:ext xmlns:c15="http://schemas.microsoft.com/office/drawing/2012/chart" uri="{CE6537A1-D6FC-4f65-9D91-7224C49458BB}"/>
                <c:ext xmlns:c16="http://schemas.microsoft.com/office/drawing/2014/chart" uri="{C3380CC4-5D6E-409C-BE32-E72D297353CC}">
                  <c16:uniqueId val="{00000006-9186-41AB-8B9A-AE9B1A7C0E94}"/>
                </c:ext>
              </c:extLst>
            </c:dLbl>
            <c:dLbl>
              <c:idx val="7"/>
              <c:delete val="1"/>
              <c:extLst>
                <c:ext xmlns:c15="http://schemas.microsoft.com/office/drawing/2012/chart" uri="{CE6537A1-D6FC-4f65-9D91-7224C49458BB}"/>
                <c:ext xmlns:c16="http://schemas.microsoft.com/office/drawing/2014/chart" uri="{C3380CC4-5D6E-409C-BE32-E72D297353CC}">
                  <c16:uniqueId val="{00000004-9186-41AB-8B9A-AE9B1A7C0E94}"/>
                </c:ext>
              </c:extLst>
            </c:dLbl>
            <c:dLbl>
              <c:idx val="8"/>
              <c:layout>
                <c:manualLayout>
                  <c:x val="-1.5448707998247969E-2"/>
                  <c:y val="-0.10970610907139146"/>
                </c:manualLayout>
              </c:layout>
              <c:tx>
                <c:rich>
                  <a:bodyPr wrap="square" lIns="38100" tIns="19050" rIns="38100" bIns="19050" anchor="ctr">
                    <a:spAutoFit/>
                  </a:bodyPr>
                  <a:lstStyle/>
                  <a:p>
                    <a:pPr>
                      <a:defRPr b="1"/>
                    </a:pPr>
                    <a:r>
                      <a:rPr lang="en-US" b="1" baseline="0"/>
                      <a:t>BKNG, </a:t>
                    </a:r>
                    <a:fld id="{CCEB488F-789A-43E9-9A75-E1CED376E778}" type="VALUE">
                      <a:rPr lang="en-US" altLang="zh-CN" b="1" baseline="0"/>
                      <a:pPr>
                        <a:defRPr b="1"/>
                      </a:pPr>
                      <a:t>[值]</a:t>
                    </a:fld>
                    <a:endParaRPr lang="en-US" b="1" baseline="0"/>
                  </a:p>
                </c:rich>
              </c:tx>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 xmlns:c16="http://schemas.microsoft.com/office/drawing/2014/chart" uri="{C3380CC4-5D6E-409C-BE32-E72D297353CC}">
                  <c16:uniqueId val="{00000002-8A80-476F-BB60-A363123DDE6C}"/>
                </c:ext>
              </c:extLst>
            </c:dLbl>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'!$R$12:$AQ$12</c15:sqref>
                  </c15:fullRef>
                </c:ext>
              </c:extLst>
              <c:f>'Quarterly Charts '!$S$12:$AQ$12</c:f>
              <c:numCache>
                <c:formatCode>0.0%</c:formatCode>
                <c:ptCount val="9"/>
                <c:pt idx="0">
                  <c:v>0.11799999999999999</c:v>
                </c:pt>
                <c:pt idx="1">
                  <c:v>0.11</c:v>
                </c:pt>
                <c:pt idx="2">
                  <c:v>0.11799999999999999</c:v>
                </c:pt>
                <c:pt idx="3">
                  <c:v>8.5000000000000006E-2</c:v>
                </c:pt>
                <c:pt idx="4">
                  <c:v>7.0999999999999994E-2</c:v>
                </c:pt>
                <c:pt idx="5">
                  <c:v>8.1000000000000003E-2</c:v>
                </c:pt>
                <c:pt idx="6">
                  <c:v>0.13200000000000001</c:v>
                </c:pt>
                <c:pt idx="7">
                  <c:v>7.1999999999999995E-2</c:v>
                </c:pt>
                <c:pt idx="8">
                  <c:v>7.6999999999999999E-2</c:v>
                </c:pt>
              </c:numCache>
            </c:numRef>
          </c:val>
          <c:smooth val="0"/>
          <c:extLst>
            <c:ext xmlns:c16="http://schemas.microsoft.com/office/drawing/2014/chart" uri="{C3380CC4-5D6E-409C-BE32-E72D297353CC}">
              <c16:uniqueId val="{00000004-B3DF-47AF-89BF-CD241E251DDD}"/>
            </c:ext>
          </c:extLst>
        </c:ser>
        <c:ser>
          <c:idx val="3"/>
          <c:order val="5"/>
          <c:tx>
            <c:strRef>
              <c:f>'Quarterly Charts '!$A$27</c:f>
              <c:strCache>
                <c:ptCount val="1"/>
                <c:pt idx="0">
                  <c:v> EXPE Room Nights YoY Growth </c:v>
                </c:pt>
              </c:strCache>
            </c:strRef>
          </c:tx>
          <c:spPr>
            <a:ln>
              <a:solidFill>
                <a:schemeClr val="accent6"/>
              </a:solidFill>
            </a:ln>
          </c:spPr>
          <c:marker>
            <c:symbol val="x"/>
            <c:size val="7"/>
            <c:spPr>
              <a:solidFill>
                <a:schemeClr val="accent6"/>
              </a:solidFill>
              <a:ln>
                <a:solidFill>
                  <a:schemeClr val="accent6"/>
                </a:solidFill>
              </a:ln>
            </c:spPr>
          </c:marker>
          <c:dLbls>
            <c:dLbl>
              <c:idx val="0"/>
              <c:delete val="1"/>
              <c:extLst>
                <c:ext xmlns:c15="http://schemas.microsoft.com/office/drawing/2012/chart" uri="{CE6537A1-D6FC-4f65-9D91-7224C49458BB}"/>
                <c:ext xmlns:c16="http://schemas.microsoft.com/office/drawing/2014/chart" uri="{C3380CC4-5D6E-409C-BE32-E72D297353CC}">
                  <c16:uniqueId val="{0000001C-A7D1-4B0A-B027-1C54694AE8B0}"/>
                </c:ext>
              </c:extLst>
            </c:dLbl>
            <c:dLbl>
              <c:idx val="1"/>
              <c:delete val="1"/>
              <c:extLst>
                <c:ext xmlns:c15="http://schemas.microsoft.com/office/drawing/2012/chart" uri="{CE6537A1-D6FC-4f65-9D91-7224C49458BB}"/>
                <c:ext xmlns:c16="http://schemas.microsoft.com/office/drawing/2014/chart" uri="{C3380CC4-5D6E-409C-BE32-E72D297353CC}">
                  <c16:uniqueId val="{0000001A-A7D1-4B0A-B027-1C54694AE8B0}"/>
                </c:ext>
              </c:extLst>
            </c:dLbl>
            <c:dLbl>
              <c:idx val="2"/>
              <c:delete val="1"/>
              <c:extLst>
                <c:ext xmlns:c15="http://schemas.microsoft.com/office/drawing/2012/chart" uri="{CE6537A1-D6FC-4f65-9D91-7224C49458BB}"/>
                <c:ext xmlns:c16="http://schemas.microsoft.com/office/drawing/2014/chart" uri="{C3380CC4-5D6E-409C-BE32-E72D297353CC}">
                  <c16:uniqueId val="{00000018-A7D1-4B0A-B027-1C54694AE8B0}"/>
                </c:ext>
              </c:extLst>
            </c:dLbl>
            <c:dLbl>
              <c:idx val="3"/>
              <c:delete val="1"/>
              <c:extLst>
                <c:ext xmlns:c15="http://schemas.microsoft.com/office/drawing/2012/chart" uri="{CE6537A1-D6FC-4f65-9D91-7224C49458BB}"/>
                <c:ext xmlns:c16="http://schemas.microsoft.com/office/drawing/2014/chart" uri="{C3380CC4-5D6E-409C-BE32-E72D297353CC}">
                  <c16:uniqueId val="{00000019-A7D1-4B0A-B027-1C54694AE8B0}"/>
                </c:ext>
              </c:extLst>
            </c:dLbl>
            <c:dLbl>
              <c:idx val="4"/>
              <c:delete val="1"/>
              <c:extLst>
                <c:ext xmlns:c15="http://schemas.microsoft.com/office/drawing/2012/chart" uri="{CE6537A1-D6FC-4f65-9D91-7224C49458BB}"/>
                <c:ext xmlns:c16="http://schemas.microsoft.com/office/drawing/2014/chart" uri="{C3380CC4-5D6E-409C-BE32-E72D297353CC}">
                  <c16:uniqueId val="{00000012-A7D1-4B0A-B027-1C54694AE8B0}"/>
                </c:ext>
              </c:extLst>
            </c:dLbl>
            <c:dLbl>
              <c:idx val="5"/>
              <c:delete val="1"/>
              <c:extLst>
                <c:ext xmlns:c15="http://schemas.microsoft.com/office/drawing/2012/chart" uri="{CE6537A1-D6FC-4f65-9D91-7224C49458BB}"/>
                <c:ext xmlns:c16="http://schemas.microsoft.com/office/drawing/2014/chart" uri="{C3380CC4-5D6E-409C-BE32-E72D297353CC}">
                  <c16:uniqueId val="{00000011-A7D1-4B0A-B027-1C54694AE8B0}"/>
                </c:ext>
              </c:extLst>
            </c:dLbl>
            <c:dLbl>
              <c:idx val="6"/>
              <c:delete val="1"/>
              <c:extLst>
                <c:ext xmlns:c15="http://schemas.microsoft.com/office/drawing/2012/chart" uri="{CE6537A1-D6FC-4f65-9D91-7224C49458BB}"/>
                <c:ext xmlns:c16="http://schemas.microsoft.com/office/drawing/2014/chart" uri="{C3380CC4-5D6E-409C-BE32-E72D297353CC}">
                  <c16:uniqueId val="{00000010-A7D1-4B0A-B027-1C54694AE8B0}"/>
                </c:ext>
              </c:extLst>
            </c:dLbl>
            <c:dLbl>
              <c:idx val="7"/>
              <c:delete val="1"/>
              <c:extLst>
                <c:ext xmlns:c15="http://schemas.microsoft.com/office/drawing/2012/chart" uri="{CE6537A1-D6FC-4f65-9D91-7224C49458BB}"/>
                <c:ext xmlns:c16="http://schemas.microsoft.com/office/drawing/2014/chart" uri="{C3380CC4-5D6E-409C-BE32-E72D297353CC}">
                  <c16:uniqueId val="{0000000D-A7D1-4B0A-B027-1C54694AE8B0}"/>
                </c:ext>
              </c:extLst>
            </c:dLbl>
            <c:dLbl>
              <c:idx val="8"/>
              <c:layout>
                <c:manualLayout>
                  <c:x val="-2.6607931904107781E-3"/>
                  <c:y val="3.1714182935254923E-2"/>
                </c:manualLayout>
              </c:layout>
              <c:tx>
                <c:rich>
                  <a:bodyPr/>
                  <a:lstStyle/>
                  <a:p>
                    <a:r>
                      <a:rPr lang="en-US" baseline="0"/>
                      <a:t>EXPE, </a:t>
                    </a:r>
                    <a:fld id="{1DD43754-588B-490F-AD95-5D5A53509348}" type="VALUE">
                      <a:rPr lang="en-US" altLang="zh-CN" baseline="0"/>
                      <a:pPr/>
                      <a:t>[值]</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A7D1-4B0A-B027-1C54694AE8B0}"/>
                </c:ext>
              </c:extLst>
            </c:dLbl>
            <c:dLbl>
              <c:idx val="10"/>
              <c:tx>
                <c:rich>
                  <a:bodyPr/>
                  <a:lstStyle/>
                  <a:p>
                    <a:r>
                      <a:rPr lang="en-US" altLang="zh-CN"/>
                      <a:t>EXPE</a:t>
                    </a:r>
                    <a:r>
                      <a:rPr lang="en-US" altLang="zh-CN" baseline="0"/>
                      <a:t>, </a:t>
                    </a:r>
                    <a:fld id="{21C3C821-7E24-4259-8928-E16B00F03932}" type="VALUE">
                      <a:rPr lang="en-US" altLang="zh-CN" baseline="0"/>
                      <a:pPr/>
                      <a:t>[值]</a:t>
                    </a:fld>
                    <a:endParaRPr lang="en-US" altLang="zh-CN"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A7D1-4B0A-B027-1C54694AE8B0}"/>
                </c:ext>
              </c:extLst>
            </c:dLbl>
            <c:dLbl>
              <c:idx val="13"/>
              <c:tx>
                <c:rich>
                  <a:bodyPr/>
                  <a:lstStyle/>
                  <a:p>
                    <a:r>
                      <a:rPr lang="en-US" altLang="zh-CN"/>
                      <a:t>EXPE</a:t>
                    </a:r>
                    <a:r>
                      <a:rPr lang="en-US" altLang="zh-CN" baseline="0"/>
                      <a:t>, </a:t>
                    </a:r>
                    <a:fld id="{FA47D93C-B41F-49FE-AB54-5A19EF9AE2B9}" type="VALUE">
                      <a:rPr lang="en-US" altLang="zh-CN" baseline="0"/>
                      <a:pPr/>
                      <a:t>[值]</a:t>
                    </a:fld>
                    <a:endParaRPr lang="en-US" altLang="zh-CN"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A7D1-4B0A-B027-1C54694AE8B0}"/>
                </c:ext>
              </c:extLst>
            </c:dLbl>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b="1"/>
                </a:pPr>
                <a:endParaRPr lang="zh-CN"/>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'!$R$27:$AQ$27</c15:sqref>
                  </c15:fullRef>
                </c:ext>
              </c:extLst>
              <c:f>'Quarterly Charts '!$S$27:$AQ$27</c:f>
              <c:numCache>
                <c:formatCode>0.0%</c:formatCode>
                <c:ptCount val="9"/>
                <c:pt idx="0">
                  <c:v>0.12</c:v>
                </c:pt>
                <c:pt idx="1">
                  <c:v>0.11</c:v>
                </c:pt>
                <c:pt idx="2">
                  <c:v>0.11</c:v>
                </c:pt>
                <c:pt idx="3">
                  <c:v>7.0899470899471018E-2</c:v>
                </c:pt>
                <c:pt idx="4">
                  <c:v>0.10256410256410264</c:v>
                </c:pt>
                <c:pt idx="5">
                  <c:v>9.0705487122060502E-2</c:v>
                </c:pt>
                <c:pt idx="6">
                  <c:v>0.11627906976744184</c:v>
                </c:pt>
                <c:pt idx="7">
                  <c:v>6.422924901185767E-2</c:v>
                </c:pt>
                <c:pt idx="8">
                  <c:v>6.6734074823053602E-2</c:v>
                </c:pt>
              </c:numCache>
            </c:numRef>
          </c:val>
          <c:smooth val="0"/>
          <c:extLst>
            <c:ext xmlns:c16="http://schemas.microsoft.com/office/drawing/2014/chart" uri="{C3380CC4-5D6E-409C-BE32-E72D297353CC}">
              <c16:uniqueId val="{00000005-B3DF-47AF-89BF-CD241E251DDD}"/>
            </c:ext>
          </c:extLst>
        </c:ser>
        <c:ser>
          <c:idx val="9"/>
          <c:order val="9"/>
          <c:tx>
            <c:strRef>
              <c:f>'Quarterly Charts '!$A$49</c:f>
              <c:strCache>
                <c:ptCount val="1"/>
                <c:pt idx="0">
                  <c:v> ABNB Room Nights YoY Growth </c:v>
                </c:pt>
              </c:strCache>
            </c:strRef>
          </c:tx>
          <c:spPr>
            <a:ln>
              <a:solidFill>
                <a:schemeClr val="accent2"/>
              </a:solidFill>
            </a:ln>
          </c:spPr>
          <c:marker>
            <c:spPr>
              <a:solidFill>
                <a:schemeClr val="accent2"/>
              </a:solidFill>
              <a:ln>
                <a:solidFill>
                  <a:schemeClr val="accent2"/>
                </a:solidFill>
              </a:ln>
            </c:spPr>
          </c:marker>
          <c:dLbls>
            <c:dLbl>
              <c:idx val="8"/>
              <c:layout>
                <c:manualLayout>
                  <c:x val="-1.6878314528854384E-3"/>
                  <c:y val="-8.1595130557918834E-3"/>
                </c:manualLayout>
              </c:layout>
              <c:tx>
                <c:rich>
                  <a:bodyPr wrap="square" lIns="38100" tIns="19050" rIns="38100" bIns="19050" anchor="ctr">
                    <a:spAutoFit/>
                  </a:bodyPr>
                  <a:lstStyle/>
                  <a:p>
                    <a:pPr>
                      <a:defRPr b="1"/>
                    </a:pPr>
                    <a:r>
                      <a:rPr lang="en-US" b="1" baseline="0"/>
                      <a:t>ABNB, </a:t>
                    </a:r>
                    <a:fld id="{C56E06CE-4E95-4AB9-8CBB-68C1C410F294}" type="VALUE">
                      <a:rPr lang="en-US" altLang="zh-CN" b="1" baseline="0"/>
                      <a:pPr>
                        <a:defRPr b="1"/>
                      </a:pPr>
                      <a:t>[值]</a:t>
                    </a:fld>
                    <a:endParaRPr lang="en-US" b="1" baseline="0"/>
                  </a:p>
                </c:rich>
              </c:tx>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 xmlns:c16="http://schemas.microsoft.com/office/drawing/2014/chart" uri="{C3380CC4-5D6E-409C-BE32-E72D297353CC}">
                  <c16:uniqueId val="{0000000C-A7D1-4B0A-B027-1C54694AE8B0}"/>
                </c:ext>
              </c:extLst>
            </c:dLbl>
            <c:spPr>
              <a:solidFill>
                <a:sysClr val="window" lastClr="FFFFFF"/>
              </a:solidFill>
              <a:ln>
                <a:solidFill>
                  <a:sysClr val="windowText" lastClr="000000">
                    <a:lumMod val="65000"/>
                    <a:lumOff val="35000"/>
                  </a:sysClr>
                </a:solid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'!$R$49:$AQ$49</c15:sqref>
                  </c15:fullRef>
                </c:ext>
              </c:extLst>
              <c:f>'Quarterly Charts '!$S$49:$AQ$49</c:f>
              <c:numCache>
                <c:formatCode>0.0%</c:formatCode>
                <c:ptCount val="9"/>
                <c:pt idx="0">
                  <c:v>0.29623196478396996</c:v>
                </c:pt>
                <c:pt idx="1">
                  <c:v>0.3039266132074987</c:v>
                </c:pt>
                <c:pt idx="2">
                  <c:v>0.31749356131510753</c:v>
                </c:pt>
                <c:pt idx="3">
                  <c:v>9.4962840627580425E-2</c:v>
                </c:pt>
                <c:pt idx="4">
                  <c:v>8.6880973066898459E-2</c:v>
                </c:pt>
                <c:pt idx="5">
                  <c:v>8.4805653710247286E-2</c:v>
                </c:pt>
                <c:pt idx="6">
                  <c:v>0.12348178137651833</c:v>
                </c:pt>
                <c:pt idx="7">
                  <c:v>7.9185520361990891E-2</c:v>
                </c:pt>
                <c:pt idx="8">
                  <c:v>7.4340527577937854E-2</c:v>
                </c:pt>
              </c:numCache>
            </c:numRef>
          </c:val>
          <c:smooth val="0"/>
          <c:extLst>
            <c:ext xmlns:c16="http://schemas.microsoft.com/office/drawing/2014/chart" uri="{C3380CC4-5D6E-409C-BE32-E72D297353CC}">
              <c16:uniqueId val="{00000002-3B2C-41FA-8D2D-25E41B5B6B1A}"/>
            </c:ext>
          </c:extLst>
        </c:ser>
        <c:dLbls>
          <c:showLegendKey val="0"/>
          <c:showVal val="0"/>
          <c:showCatName val="0"/>
          <c:showSerName val="0"/>
          <c:showPercent val="0"/>
          <c:showBubbleSize val="0"/>
        </c:dLbls>
        <c:marker val="1"/>
        <c:smooth val="0"/>
        <c:axId val="-530913424"/>
        <c:axId val="-530924304"/>
        <c:extLst>
          <c:ext xmlns:c15="http://schemas.microsoft.com/office/drawing/2012/chart" uri="{02D57815-91ED-43cb-92C2-25804820EDAC}">
            <c15:filteredLineSeries>
              <c15:ser>
                <c:idx val="4"/>
                <c:order val="6"/>
                <c:tx>
                  <c:strRef>
                    <c:extLst>
                      <c:ext uri="{02D57815-91ED-43cb-92C2-25804820EDAC}">
                        <c15:formulaRef>
                          <c15:sqref>'Quarterly Charts '!$A$28</c15:sqref>
                        </c15:formulaRef>
                      </c:ext>
                    </c:extLst>
                    <c:strCache>
                      <c:ptCount val="1"/>
                      <c:pt idx="0">
                        <c:v> EXPE Organic Room Nights YoY Growth </c:v>
                      </c:pt>
                    </c:strCache>
                  </c:strRef>
                </c:tx>
                <c:spPr>
                  <a:ln w="31750">
                    <a:solidFill>
                      <a:schemeClr val="accent2"/>
                    </a:solidFill>
                  </a:ln>
                </c:spPr>
                <c:marker>
                  <c:symbol val="circle"/>
                  <c:size val="5"/>
                  <c:spPr>
                    <a:solidFill>
                      <a:schemeClr val="accent2"/>
                    </a:solidFill>
                  </c:spPr>
                </c:marker>
                <c:cat>
                  <c:strRef>
                    <c:extLst>
                      <c:ext uri="{02D57815-91ED-43cb-92C2-25804820EDAC}">
                        <c15:fullRef>
                          <c15:sqref>'Quarterly Charts '!$R$2:$AQ$2</c15:sqref>
                        </c15:fullRef>
                        <c15:formulaRef>
                          <c15:sqref>'Quarterly Charts '!$S$2:$AQ$2</c15:sqref>
                        </c15:formulaRef>
                      </c:ext>
                    </c:extLst>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uri="{02D57815-91ED-43cb-92C2-25804820EDAC}">
                        <c15:fullRef>
                          <c15:sqref>'Quarterly Charts '!$N$28:$S$28</c15:sqref>
                        </c15:fullRef>
                        <c15:formulaRef>
                          <c15:sqref>'Quarterly Charts '!$O$28:$S$28</c15:sqref>
                        </c15:formulaRef>
                      </c:ext>
                    </c:extLst>
                    <c:numCache>
                      <c:formatCode>0.0%</c:formatCode>
                      <c:ptCount val="5"/>
                    </c:numCache>
                  </c:numRef>
                </c:val>
                <c:smooth val="0"/>
                <c:extLst>
                  <c:ext xmlns:c16="http://schemas.microsoft.com/office/drawing/2014/chart" uri="{C3380CC4-5D6E-409C-BE32-E72D297353CC}">
                    <c16:uniqueId val="{00000006-B3DF-47AF-89BF-CD241E251DDD}"/>
                  </c:ext>
                </c:extLst>
              </c15:ser>
            </c15:filteredLineSeries>
          </c:ext>
        </c:extLst>
      </c:lineChart>
      <c:catAx>
        <c:axId val="-530914512"/>
        <c:scaling>
          <c:orientation val="minMax"/>
        </c:scaling>
        <c:delete val="0"/>
        <c:axPos val="b"/>
        <c:numFmt formatCode="General" sourceLinked="0"/>
        <c:majorTickMark val="out"/>
        <c:minorTickMark val="none"/>
        <c:tickLblPos val="nextTo"/>
        <c:txPr>
          <a:bodyPr/>
          <a:lstStyle/>
          <a:p>
            <a:pPr>
              <a:defRPr b="1"/>
            </a:pPr>
            <a:endParaRPr lang="zh-CN"/>
          </a:p>
        </c:txPr>
        <c:crossAx val="-530926480"/>
        <c:crosses val="autoZero"/>
        <c:auto val="1"/>
        <c:lblAlgn val="ctr"/>
        <c:lblOffset val="100"/>
        <c:noMultiLvlLbl val="0"/>
      </c:catAx>
      <c:valAx>
        <c:axId val="-530926480"/>
        <c:scaling>
          <c:orientation val="minMax"/>
        </c:scaling>
        <c:delete val="0"/>
        <c:axPos val="l"/>
        <c:majorGridlines/>
        <c:numFmt formatCode="#,##0_);[Red]\(#,##0\)" sourceLinked="0"/>
        <c:majorTickMark val="out"/>
        <c:minorTickMark val="none"/>
        <c:tickLblPos val="nextTo"/>
        <c:crossAx val="-530914512"/>
        <c:crosses val="autoZero"/>
        <c:crossBetween val="between"/>
      </c:valAx>
      <c:valAx>
        <c:axId val="-530924304"/>
        <c:scaling>
          <c:orientation val="minMax"/>
          <c:max val="0.4"/>
        </c:scaling>
        <c:delete val="0"/>
        <c:axPos val="r"/>
        <c:numFmt formatCode="0%" sourceLinked="0"/>
        <c:majorTickMark val="out"/>
        <c:minorTickMark val="none"/>
        <c:tickLblPos val="nextTo"/>
        <c:txPr>
          <a:bodyPr/>
          <a:lstStyle/>
          <a:p>
            <a:pPr>
              <a:defRPr b="1">
                <a:solidFill>
                  <a:schemeClr val="bg1"/>
                </a:solidFill>
              </a:defRPr>
            </a:pPr>
            <a:endParaRPr lang="zh-CN"/>
          </a:p>
        </c:txPr>
        <c:crossAx val="-530913424"/>
        <c:crosses val="max"/>
        <c:crossBetween val="between"/>
        <c:majorUnit val="0.1"/>
      </c:valAx>
      <c:catAx>
        <c:axId val="-530913424"/>
        <c:scaling>
          <c:orientation val="minMax"/>
        </c:scaling>
        <c:delete val="1"/>
        <c:axPos val="b"/>
        <c:numFmt formatCode="General" sourceLinked="1"/>
        <c:majorTickMark val="out"/>
        <c:minorTickMark val="none"/>
        <c:tickLblPos val="none"/>
        <c:crossAx val="-530924304"/>
        <c:crosses val="autoZero"/>
        <c:auto val="1"/>
        <c:lblAlgn val="ctr"/>
        <c:lblOffset val="100"/>
        <c:noMultiLvlLbl val="0"/>
      </c:catAx>
    </c:plotArea>
    <c:legend>
      <c:legendPos val="b"/>
      <c:legendEntry>
        <c:idx val="4"/>
        <c:delete val="1"/>
      </c:legendEntry>
      <c:legendEntry>
        <c:idx val="5"/>
        <c:delete val="1"/>
      </c:legendEntry>
      <c:legendEntry>
        <c:idx val="6"/>
        <c:delete val="1"/>
      </c:legendEntry>
      <c:legendEntry>
        <c:idx val="7"/>
        <c:delete val="1"/>
      </c:legendEntry>
      <c:layout>
        <c:manualLayout>
          <c:xMode val="edge"/>
          <c:yMode val="edge"/>
          <c:x val="6.6787541856542204E-2"/>
          <c:y val="0.87806694818493214"/>
          <c:w val="0.86309422652466916"/>
          <c:h val="5.9458780703139764E-2"/>
        </c:manualLayout>
      </c:layout>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zh-CN" sz="1800" b="1" i="0" baseline="0">
                <a:effectLst/>
              </a:rPr>
              <a:t>ABNB/BKNG/EXPE/TCOM Revenue &amp; Growth</a:t>
            </a:r>
            <a:endParaRPr lang="zh-CN" altLang="zh-CN">
              <a:effectLst/>
            </a:endParaRPr>
          </a:p>
        </c:rich>
      </c:tx>
      <c:overlay val="0"/>
    </c:title>
    <c:autoTitleDeleted val="0"/>
    <c:plotArea>
      <c:layout>
        <c:manualLayout>
          <c:layoutTarget val="inner"/>
          <c:xMode val="edge"/>
          <c:yMode val="edge"/>
          <c:x val="6.3279473936872013E-2"/>
          <c:y val="0.11839341440266087"/>
          <c:w val="0.86100016688973335"/>
          <c:h val="0.70067500925705573"/>
        </c:manualLayout>
      </c:layout>
      <c:barChart>
        <c:barDir val="col"/>
        <c:grouping val="clustered"/>
        <c:varyColors val="0"/>
        <c:ser>
          <c:idx val="4"/>
          <c:order val="0"/>
          <c:tx>
            <c:strRef>
              <c:f>'Quarterly Charts '!$A$33</c:f>
              <c:strCache>
                <c:ptCount val="1"/>
                <c:pt idx="0">
                  <c:v> TCOM Revenue (USD) </c:v>
                </c:pt>
              </c:strCache>
            </c:strRef>
          </c:tx>
          <c:spPr>
            <a:solidFill>
              <a:schemeClr val="accent5"/>
            </a:solidFill>
          </c:spPr>
          <c:invertIfNegative val="0"/>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'!$R$33:$AQ$33</c15:sqref>
                  </c15:fullRef>
                </c:ext>
              </c:extLst>
              <c:f>'Quarterly Charts '!$S$33:$AQ$33</c:f>
              <c:numCache>
                <c:formatCode>0</c:formatCode>
                <c:ptCount val="9"/>
                <c:pt idx="0">
                  <c:v>1266</c:v>
                </c:pt>
                <c:pt idx="1">
                  <c:v>1465.8</c:v>
                </c:pt>
                <c:pt idx="2">
                  <c:v>1198</c:v>
                </c:pt>
                <c:pt idx="3">
                  <c:v>1662.7850000000001</c:v>
                </c:pt>
                <c:pt idx="4">
                  <c:v>1757</c:v>
                </c:pt>
                <c:pt idx="5">
                  <c:v>2262.0513953337136</c:v>
                </c:pt>
                <c:pt idx="6">
                  <c:v>1745.7655913580757</c:v>
                </c:pt>
                <c:pt idx="7">
                  <c:v>1905.8420117959954</c:v>
                </c:pt>
                <c:pt idx="8">
                  <c:v>2072</c:v>
                </c:pt>
              </c:numCache>
            </c:numRef>
          </c:val>
          <c:extLst>
            <c:ext xmlns:c16="http://schemas.microsoft.com/office/drawing/2014/chart" uri="{C3380CC4-5D6E-409C-BE32-E72D297353CC}">
              <c16:uniqueId val="{00000002-0D91-46E6-8BB0-B7792B295868}"/>
            </c:ext>
          </c:extLst>
        </c:ser>
        <c:ser>
          <c:idx val="0"/>
          <c:order val="2"/>
          <c:tx>
            <c:strRef>
              <c:f>'Quarterly Charts '!$A$7</c:f>
              <c:strCache>
                <c:ptCount val="1"/>
                <c:pt idx="0">
                  <c:v> BKNG Revenue </c:v>
                </c:pt>
              </c:strCache>
            </c:strRef>
          </c:tx>
          <c:spPr>
            <a:solidFill>
              <a:schemeClr val="tx2"/>
            </a:solidFill>
          </c:spPr>
          <c:invertIfNegative val="0"/>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'!$R$7:$AQ$7</c15:sqref>
                  </c15:fullRef>
                </c:ext>
              </c:extLst>
              <c:f>'Quarterly Charts '!$S$7:$AQ$7</c:f>
              <c:numCache>
                <c:formatCode>0</c:formatCode>
                <c:ptCount val="9"/>
                <c:pt idx="0">
                  <c:v>3850</c:v>
                </c:pt>
                <c:pt idx="1">
                  <c:v>5040</c:v>
                </c:pt>
                <c:pt idx="2">
                  <c:v>3339</c:v>
                </c:pt>
                <c:pt idx="3" formatCode="_(* #,##0_);_(* \(#,##0\);_(* &quot;-&quot;??_);_(@_)">
                  <c:v>4415</c:v>
                </c:pt>
                <c:pt idx="4" formatCode="_(* #,##0_);_(* \(#,##0\);_(* &quot;-&quot;??_);_(@_)">
                  <c:v>5859</c:v>
                </c:pt>
                <c:pt idx="5" formatCode="_(* #,##0_);_(* \(#,##0\);_(* &quot;-&quot;??_);_(@_)">
                  <c:v>7994</c:v>
                </c:pt>
                <c:pt idx="6" formatCode="_(* #,##0_);_(* \(#,##0\);_(* &quot;-&quot;??_);_(@_)">
                  <c:v>5471.14360367893</c:v>
                </c:pt>
                <c:pt idx="7" formatCode="_(* #,##0_);_(* \(#,##0\);_(* &quot;-&quot;??_);_(@_)">
                  <c:v>4762</c:v>
                </c:pt>
                <c:pt idx="8" formatCode="_(* #,##0_);_(* \(#,##0\);_(* &quot;-&quot;??_);_(@_)">
                  <c:v>6798</c:v>
                </c:pt>
              </c:numCache>
            </c:numRef>
          </c:val>
          <c:extLst>
            <c:ext xmlns:c16="http://schemas.microsoft.com/office/drawing/2014/chart" uri="{C3380CC4-5D6E-409C-BE32-E72D297353CC}">
              <c16:uniqueId val="{00000000-0D91-46E6-8BB0-B7792B295868}"/>
            </c:ext>
          </c:extLst>
        </c:ser>
        <c:ser>
          <c:idx val="2"/>
          <c:order val="4"/>
          <c:tx>
            <c:strRef>
              <c:f>'Quarterly Charts '!$A$20</c:f>
              <c:strCache>
                <c:ptCount val="1"/>
                <c:pt idx="0">
                  <c:v> EXPE Revenue </c:v>
                </c:pt>
              </c:strCache>
            </c:strRef>
          </c:tx>
          <c:spPr>
            <a:solidFill>
              <a:schemeClr val="accent6"/>
            </a:solidFill>
          </c:spPr>
          <c:invertIfNegative val="0"/>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'!$R$20:$AQ$20</c15:sqref>
                  </c15:fullRef>
                </c:ext>
              </c:extLst>
              <c:f>'Quarterly Charts '!$S$20:$AQ$20</c:f>
              <c:numCache>
                <c:formatCode>0</c:formatCode>
                <c:ptCount val="9"/>
                <c:pt idx="0">
                  <c:v>3153</c:v>
                </c:pt>
                <c:pt idx="1">
                  <c:v>3558</c:v>
                </c:pt>
                <c:pt idx="2">
                  <c:v>2747</c:v>
                </c:pt>
                <c:pt idx="3">
                  <c:v>2889</c:v>
                </c:pt>
                <c:pt idx="4">
                  <c:v>3558</c:v>
                </c:pt>
                <c:pt idx="5">
                  <c:v>4060</c:v>
                </c:pt>
                <c:pt idx="6">
                  <c:v>3184</c:v>
                </c:pt>
                <c:pt idx="7">
                  <c:v>2988</c:v>
                </c:pt>
                <c:pt idx="8">
                  <c:v>3786</c:v>
                </c:pt>
              </c:numCache>
            </c:numRef>
          </c:val>
          <c:extLst>
            <c:ext xmlns:c16="http://schemas.microsoft.com/office/drawing/2014/chart" uri="{C3380CC4-5D6E-409C-BE32-E72D297353CC}">
              <c16:uniqueId val="{00000001-0D91-46E6-8BB0-B7792B295868}"/>
            </c:ext>
          </c:extLst>
        </c:ser>
        <c:ser>
          <c:idx val="6"/>
          <c:order val="6"/>
          <c:tx>
            <c:strRef>
              <c:f>'Quarterly Charts '!$A$44</c:f>
              <c:strCache>
                <c:ptCount val="1"/>
                <c:pt idx="0">
                  <c:v> ABNB Revenue </c:v>
                </c:pt>
              </c:strCache>
            </c:strRef>
          </c:tx>
          <c:spPr>
            <a:solidFill>
              <a:schemeClr val="accent2"/>
            </a:solidFill>
          </c:spPr>
          <c:invertIfNegative val="0"/>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'!$R$44:$AQ$44</c15:sqref>
                  </c15:fullRef>
                </c:ext>
              </c:extLst>
              <c:f>'Quarterly Charts '!$S$44:$AQ$44</c:f>
              <c:numCache>
                <c:formatCode>0</c:formatCode>
                <c:ptCount val="9"/>
                <c:pt idx="0">
                  <c:v>1213.6780000000001</c:v>
                </c:pt>
                <c:pt idx="1">
                  <c:v>1645.761</c:v>
                </c:pt>
                <c:pt idx="2">
                  <c:v>1106.796</c:v>
                </c:pt>
                <c:pt idx="3">
                  <c:v>2142</c:v>
                </c:pt>
                <c:pt idx="4">
                  <c:v>2748</c:v>
                </c:pt>
                <c:pt idx="5">
                  <c:v>3732</c:v>
                </c:pt>
                <c:pt idx="6">
                  <c:v>2480</c:v>
                </c:pt>
                <c:pt idx="7">
                  <c:v>2272</c:v>
                </c:pt>
                <c:pt idx="8">
                  <c:v>3096</c:v>
                </c:pt>
              </c:numCache>
            </c:numRef>
          </c:val>
          <c:extLst>
            <c:ext xmlns:c16="http://schemas.microsoft.com/office/drawing/2014/chart" uri="{C3380CC4-5D6E-409C-BE32-E72D297353CC}">
              <c16:uniqueId val="{00000000-F202-43DF-B8A2-AAA79D8E065A}"/>
            </c:ext>
          </c:extLst>
        </c:ser>
        <c:dLbls>
          <c:showLegendKey val="0"/>
          <c:showVal val="0"/>
          <c:showCatName val="0"/>
          <c:showSerName val="0"/>
          <c:showPercent val="0"/>
          <c:showBubbleSize val="0"/>
        </c:dLbls>
        <c:gapWidth val="150"/>
        <c:axId val="-530923760"/>
        <c:axId val="-530925936"/>
      </c:barChart>
      <c:lineChart>
        <c:grouping val="standard"/>
        <c:varyColors val="0"/>
        <c:ser>
          <c:idx val="5"/>
          <c:order val="1"/>
          <c:tx>
            <c:strRef>
              <c:f>'Quarterly Charts '!$A$34</c:f>
              <c:strCache>
                <c:ptCount val="1"/>
                <c:pt idx="0">
                  <c:v>TCOM Revenue YoY Growth in RMB</c:v>
                </c:pt>
              </c:strCache>
            </c:strRef>
          </c:tx>
          <c:spPr>
            <a:ln>
              <a:solidFill>
                <a:schemeClr val="accent5"/>
              </a:solidFill>
            </a:ln>
          </c:spPr>
          <c:marker>
            <c:symbol val="diamond"/>
            <c:size val="7"/>
            <c:spPr>
              <a:solidFill>
                <a:schemeClr val="accent5"/>
              </a:solidFill>
              <a:ln>
                <a:solidFill>
                  <a:schemeClr val="accent5"/>
                </a:solidFill>
              </a:ln>
            </c:spPr>
          </c:marker>
          <c:dLbls>
            <c:dLbl>
              <c:idx val="8"/>
              <c:layout>
                <c:manualLayout>
                  <c:x val="-9.4071089349387314E-3"/>
                  <c:y val="-7.2516332733712774E-2"/>
                </c:manualLayout>
              </c:layout>
              <c:tx>
                <c:rich>
                  <a:bodyPr/>
                  <a:lstStyle/>
                  <a:p>
                    <a:r>
                      <a:rPr lang="en-US"/>
                      <a:t>TCOM,</a:t>
                    </a:r>
                    <a:fld id="{67A392E4-427F-4266-ADCD-F7119CF66E0D}" type="VALUE">
                      <a:rPr lang="en-US" altLang="zh-CN"/>
                      <a:pPr/>
                      <a:t>[值]</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D4A-456B-8F3F-835D7EF7C6B8}"/>
                </c:ext>
              </c:extLst>
            </c:dLbl>
            <c:spPr>
              <a:solidFill>
                <a:sysClr val="window" lastClr="FFFFFF"/>
              </a:solidFill>
              <a:ln>
                <a:solidFill>
                  <a:sysClr val="windowText" lastClr="000000">
                    <a:lumMod val="65000"/>
                    <a:lumOff val="35000"/>
                  </a:sysClr>
                </a:solidFill>
              </a:ln>
              <a:effectLst/>
            </c:spPr>
            <c:txPr>
              <a:bodyPr/>
              <a:lstStyle/>
              <a:p>
                <a:pPr>
                  <a:defRPr b="1"/>
                </a:pPr>
                <a:endParaRPr lang="zh-C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showLeaderLines val="1"/>
              </c:ext>
            </c:extLst>
          </c:dLbls>
          <c:cat>
            <c:strRef>
              <c:extLst>
                <c:ext xmlns:c15="http://schemas.microsoft.com/office/drawing/2012/chart" uri="{02D57815-91ED-43cb-92C2-25804820EDAC}">
                  <c15:fullRef>
                    <c15:sqref>'Quarterly Charts '!$R$2:$AP$2</c15:sqref>
                  </c15:fullRef>
                </c:ext>
              </c:extLst>
              <c:f>'Quarterly Charts '!$S$2:$AP$2</c:f>
              <c:strCache>
                <c:ptCount val="8"/>
                <c:pt idx="0">
                  <c:v> 19Q2 </c:v>
                </c:pt>
                <c:pt idx="1">
                  <c:v> 19Q3 </c:v>
                </c:pt>
                <c:pt idx="2">
                  <c:v> 19Q4 </c:v>
                </c:pt>
                <c:pt idx="3">
                  <c:v> 24Q1 </c:v>
                </c:pt>
                <c:pt idx="4">
                  <c:v> 24Q2 </c:v>
                </c:pt>
                <c:pt idx="5">
                  <c:v> 24Q3 </c:v>
                </c:pt>
                <c:pt idx="6">
                  <c:v> 24Q4 </c:v>
                </c:pt>
                <c:pt idx="7">
                  <c:v> 25Q1 </c:v>
                </c:pt>
              </c:strCache>
            </c:strRef>
          </c:cat>
          <c:val>
            <c:numRef>
              <c:extLst>
                <c:ext xmlns:c15="http://schemas.microsoft.com/office/drawing/2012/chart" uri="{02D57815-91ED-43cb-92C2-25804820EDAC}">
                  <c15:fullRef>
                    <c15:sqref>'Quarterly Charts '!$R$34:$AQ$34</c15:sqref>
                  </c15:fullRef>
                </c:ext>
              </c:extLst>
              <c:f>'Quarterly Charts '!$S$34:$AQ$34</c:f>
              <c:numCache>
                <c:formatCode>0.0%</c:formatCode>
                <c:ptCount val="9"/>
                <c:pt idx="0">
                  <c:v>0.187</c:v>
                </c:pt>
                <c:pt idx="1">
                  <c:v>0.12</c:v>
                </c:pt>
                <c:pt idx="2">
                  <c:v>0.10199999999999999</c:v>
                </c:pt>
                <c:pt idx="3" formatCode="0%">
                  <c:v>0.29439799167761582</c:v>
                </c:pt>
                <c:pt idx="4" formatCode="0%">
                  <c:v>0.13547834865756303</c:v>
                </c:pt>
                <c:pt idx="5" formatCode="0%">
                  <c:v>0.15536102507056904</c:v>
                </c:pt>
                <c:pt idx="6" formatCode="0%">
                  <c:v>0.23421184300756925</c:v>
                </c:pt>
                <c:pt idx="7" formatCode="0%">
                  <c:v>0.16163813234766633</c:v>
                </c:pt>
                <c:pt idx="8" formatCode="0%">
                  <c:v>0.16215158158471654</c:v>
                </c:pt>
              </c:numCache>
            </c:numRef>
          </c:val>
          <c:smooth val="0"/>
          <c:extLst>
            <c:ext xmlns:c16="http://schemas.microsoft.com/office/drawing/2014/chart" uri="{C3380CC4-5D6E-409C-BE32-E72D297353CC}">
              <c16:uniqueId val="{00000005-0D91-46E6-8BB0-B7792B295868}"/>
            </c:ext>
          </c:extLst>
        </c:ser>
        <c:ser>
          <c:idx val="1"/>
          <c:order val="3"/>
          <c:tx>
            <c:strRef>
              <c:f>'Quarterly Charts '!$A$8</c:f>
              <c:strCache>
                <c:ptCount val="1"/>
                <c:pt idx="0">
                  <c:v> BKNG Revenue YoY Growth on a non-constant currency basis </c:v>
                </c:pt>
              </c:strCache>
            </c:strRef>
          </c:tx>
          <c:spPr>
            <a:ln>
              <a:solidFill>
                <a:schemeClr val="tx2"/>
              </a:solidFill>
            </a:ln>
          </c:spPr>
          <c:marker>
            <c:symbol val="triangle"/>
            <c:size val="7"/>
            <c:spPr>
              <a:solidFill>
                <a:schemeClr val="tx2"/>
              </a:solidFill>
              <a:ln>
                <a:solidFill>
                  <a:schemeClr val="tx2"/>
                </a:solidFill>
              </a:ln>
            </c:spPr>
          </c:marker>
          <c:dLbls>
            <c:dLbl>
              <c:idx val="8"/>
              <c:layout>
                <c:manualLayout>
                  <c:x val="1.5678514891564552E-3"/>
                  <c:y val="-1.4503266546742543E-2"/>
                </c:manualLayout>
              </c:layout>
              <c:tx>
                <c:rich>
                  <a:bodyPr wrap="square" lIns="38100" tIns="19050" rIns="38100" bIns="19050" anchor="ctr">
                    <a:spAutoFit/>
                  </a:bodyPr>
                  <a:lstStyle/>
                  <a:p>
                    <a:pPr>
                      <a:defRPr b="1"/>
                    </a:pPr>
                    <a:fld id="{11439505-E23A-4EFD-8C05-EE30904653B8}" type="CATEGORYNAME">
                      <a:rPr lang="en-US" altLang="zh-CN" b="1"/>
                      <a:pPr>
                        <a:defRPr b="1"/>
                      </a:pPr>
                      <a:t>[类别名称]</a:t>
                    </a:fld>
                    <a:r>
                      <a:rPr lang="en-US" b="1"/>
                      <a:t>BKNG</a:t>
                    </a:r>
                    <a:r>
                      <a:rPr lang="en-US" b="1" baseline="0"/>
                      <a:t>, </a:t>
                    </a:r>
                    <a:fld id="{9DCB4F98-F747-4881-9DA8-01E425114947}" type="VALUE">
                      <a:rPr lang="en-US" altLang="zh-CN" b="1" baseline="0"/>
                      <a:pPr>
                        <a:defRPr b="1"/>
                      </a:pPr>
                      <a:t>[值]</a:t>
                    </a:fld>
                    <a:endParaRPr lang="en-US" b="1" baseline="0"/>
                  </a:p>
                </c:rich>
              </c:tx>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 xmlns:c16="http://schemas.microsoft.com/office/drawing/2014/chart" uri="{C3380CC4-5D6E-409C-BE32-E72D297353CC}">
                  <c16:uniqueId val="{00000002-0D4A-456B-8F3F-835D7EF7C6B8}"/>
                </c:ext>
              </c:extLst>
            </c:dLbl>
            <c:spPr>
              <a:solidFill>
                <a:sysClr val="window" lastClr="FFFFFF"/>
              </a:solidFill>
              <a:ln>
                <a:solidFill>
                  <a:sysClr val="windowText" lastClr="000000">
                    <a:lumMod val="65000"/>
                    <a:lumOff val="35000"/>
                  </a:sysClr>
                </a:solid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'!$R$2:$AP$2</c15:sqref>
                  </c15:fullRef>
                </c:ext>
              </c:extLst>
              <c:f>'Quarterly Charts '!$S$2:$AP$2</c:f>
              <c:strCache>
                <c:ptCount val="8"/>
                <c:pt idx="0">
                  <c:v> 19Q2 </c:v>
                </c:pt>
                <c:pt idx="1">
                  <c:v> 19Q3 </c:v>
                </c:pt>
                <c:pt idx="2">
                  <c:v> 19Q4 </c:v>
                </c:pt>
                <c:pt idx="3">
                  <c:v> 24Q1 </c:v>
                </c:pt>
                <c:pt idx="4">
                  <c:v> 24Q2 </c:v>
                </c:pt>
                <c:pt idx="5">
                  <c:v> 24Q3 </c:v>
                </c:pt>
                <c:pt idx="6">
                  <c:v> 24Q4 </c:v>
                </c:pt>
                <c:pt idx="7">
                  <c:v> 25Q1 </c:v>
                </c:pt>
              </c:strCache>
            </c:strRef>
          </c:cat>
          <c:val>
            <c:numRef>
              <c:extLst>
                <c:ext xmlns:c15="http://schemas.microsoft.com/office/drawing/2012/chart" uri="{02D57815-91ED-43cb-92C2-25804820EDAC}">
                  <c15:fullRef>
                    <c15:sqref>'Quarterly Charts '!$R$8:$AQ$8</c15:sqref>
                  </c15:fullRef>
                </c:ext>
              </c:extLst>
              <c:f>'Quarterly Charts '!$S$8:$AQ$8</c:f>
              <c:numCache>
                <c:formatCode>0.0%</c:formatCode>
                <c:ptCount val="9"/>
                <c:pt idx="0">
                  <c:v>8.8999999999999996E-2</c:v>
                </c:pt>
                <c:pt idx="1">
                  <c:v>3.9E-2</c:v>
                </c:pt>
                <c:pt idx="2">
                  <c:v>3.9E-2</c:v>
                </c:pt>
                <c:pt idx="3" formatCode="0%">
                  <c:v>0.16900000000000001</c:v>
                </c:pt>
                <c:pt idx="4" formatCode="0%">
                  <c:v>7.2683998535335137E-2</c:v>
                </c:pt>
                <c:pt idx="5" formatCode="0%">
                  <c:v>8.8952458793079892E-2</c:v>
                </c:pt>
                <c:pt idx="6" formatCode="0%">
                  <c:v>0.14360367892976589</c:v>
                </c:pt>
                <c:pt idx="7" formatCode="0%">
                  <c:v>7.859569648924114E-2</c:v>
                </c:pt>
                <c:pt idx="8" formatCode="0%">
                  <c:v>0.1602662570404505</c:v>
                </c:pt>
              </c:numCache>
            </c:numRef>
          </c:val>
          <c:smooth val="0"/>
          <c:extLst>
            <c:ext xmlns:c16="http://schemas.microsoft.com/office/drawing/2014/chart" uri="{C3380CC4-5D6E-409C-BE32-E72D297353CC}">
              <c16:uniqueId val="{00000003-0D91-46E6-8BB0-B7792B295868}"/>
            </c:ext>
          </c:extLst>
        </c:ser>
        <c:ser>
          <c:idx val="3"/>
          <c:order val="5"/>
          <c:tx>
            <c:strRef>
              <c:f>'Quarterly Charts '!$A$21</c:f>
              <c:strCache>
                <c:ptCount val="1"/>
                <c:pt idx="0">
                  <c:v> EXPE Revenue YoY Growth on a non-constant currency basis </c:v>
                </c:pt>
              </c:strCache>
            </c:strRef>
          </c:tx>
          <c:spPr>
            <a:ln>
              <a:solidFill>
                <a:schemeClr val="accent6"/>
              </a:solidFill>
            </a:ln>
          </c:spPr>
          <c:marker>
            <c:symbol val="x"/>
            <c:size val="7"/>
            <c:spPr>
              <a:solidFill>
                <a:schemeClr val="accent6"/>
              </a:solidFill>
              <a:ln>
                <a:solidFill>
                  <a:schemeClr val="accent6"/>
                </a:solidFill>
              </a:ln>
            </c:spPr>
          </c:marker>
          <c:dLbls>
            <c:dLbl>
              <c:idx val="0"/>
              <c:delete val="1"/>
              <c:extLst>
                <c:ext xmlns:c15="http://schemas.microsoft.com/office/drawing/2012/chart" uri="{CE6537A1-D6FC-4f65-9D91-7224C49458BB}"/>
                <c:ext xmlns:c16="http://schemas.microsoft.com/office/drawing/2014/chart" uri="{C3380CC4-5D6E-409C-BE32-E72D297353CC}">
                  <c16:uniqueId val="{0000000C-AA05-49B5-A1B1-CD86B47AEE5C}"/>
                </c:ext>
              </c:extLst>
            </c:dLbl>
            <c:dLbl>
              <c:idx val="1"/>
              <c:delete val="1"/>
              <c:extLst>
                <c:ext xmlns:c15="http://schemas.microsoft.com/office/drawing/2012/chart" uri="{CE6537A1-D6FC-4f65-9D91-7224C49458BB}"/>
                <c:ext xmlns:c16="http://schemas.microsoft.com/office/drawing/2014/chart" uri="{C3380CC4-5D6E-409C-BE32-E72D297353CC}">
                  <c16:uniqueId val="{0000000B-AA05-49B5-A1B1-CD86B47AEE5C}"/>
                </c:ext>
              </c:extLst>
            </c:dLbl>
            <c:dLbl>
              <c:idx val="2"/>
              <c:delete val="1"/>
              <c:extLst>
                <c:ext xmlns:c15="http://schemas.microsoft.com/office/drawing/2012/chart" uri="{CE6537A1-D6FC-4f65-9D91-7224C49458BB}"/>
                <c:ext xmlns:c16="http://schemas.microsoft.com/office/drawing/2014/chart" uri="{C3380CC4-5D6E-409C-BE32-E72D297353CC}">
                  <c16:uniqueId val="{0000000A-AA05-49B5-A1B1-CD86B47AEE5C}"/>
                </c:ext>
              </c:extLst>
            </c:dLbl>
            <c:dLbl>
              <c:idx val="3"/>
              <c:delete val="1"/>
              <c:extLst>
                <c:ext xmlns:c15="http://schemas.microsoft.com/office/drawing/2012/chart" uri="{CE6537A1-D6FC-4f65-9D91-7224C49458BB}"/>
                <c:ext xmlns:c16="http://schemas.microsoft.com/office/drawing/2014/chart" uri="{C3380CC4-5D6E-409C-BE32-E72D297353CC}">
                  <c16:uniqueId val="{00000009-AA05-49B5-A1B1-CD86B47AEE5C}"/>
                </c:ext>
              </c:extLst>
            </c:dLbl>
            <c:dLbl>
              <c:idx val="4"/>
              <c:delete val="1"/>
              <c:extLst>
                <c:ext xmlns:c15="http://schemas.microsoft.com/office/drawing/2012/chart" uri="{CE6537A1-D6FC-4f65-9D91-7224C49458BB}"/>
                <c:ext xmlns:c16="http://schemas.microsoft.com/office/drawing/2014/chart" uri="{C3380CC4-5D6E-409C-BE32-E72D297353CC}">
                  <c16:uniqueId val="{00000008-AA05-49B5-A1B1-CD86B47AEE5C}"/>
                </c:ext>
              </c:extLst>
            </c:dLbl>
            <c:dLbl>
              <c:idx val="5"/>
              <c:delete val="1"/>
              <c:extLst>
                <c:ext xmlns:c15="http://schemas.microsoft.com/office/drawing/2012/chart" uri="{CE6537A1-D6FC-4f65-9D91-7224C49458BB}"/>
                <c:ext xmlns:c16="http://schemas.microsoft.com/office/drawing/2014/chart" uri="{C3380CC4-5D6E-409C-BE32-E72D297353CC}">
                  <c16:uniqueId val="{00000007-AA05-49B5-A1B1-CD86B47AEE5C}"/>
                </c:ext>
              </c:extLst>
            </c:dLbl>
            <c:dLbl>
              <c:idx val="6"/>
              <c:delete val="1"/>
              <c:extLst>
                <c:ext xmlns:c15="http://schemas.microsoft.com/office/drawing/2012/chart" uri="{CE6537A1-D6FC-4f65-9D91-7224C49458BB}"/>
                <c:ext xmlns:c16="http://schemas.microsoft.com/office/drawing/2014/chart" uri="{C3380CC4-5D6E-409C-BE32-E72D297353CC}">
                  <c16:uniqueId val="{00000006-AA05-49B5-A1B1-CD86B47AEE5C}"/>
                </c:ext>
              </c:extLst>
            </c:dLbl>
            <c:dLbl>
              <c:idx val="7"/>
              <c:delete val="1"/>
              <c:extLst>
                <c:ext xmlns:c15="http://schemas.microsoft.com/office/drawing/2012/chart" uri="{CE6537A1-D6FC-4f65-9D91-7224C49458BB}"/>
                <c:ext xmlns:c16="http://schemas.microsoft.com/office/drawing/2014/chart" uri="{C3380CC4-5D6E-409C-BE32-E72D297353CC}">
                  <c16:uniqueId val="{00000005-AA05-49B5-A1B1-CD86B47AEE5C}"/>
                </c:ext>
              </c:extLst>
            </c:dLbl>
            <c:dLbl>
              <c:idx val="8"/>
              <c:tx>
                <c:rich>
                  <a:bodyPr/>
                  <a:lstStyle/>
                  <a:p>
                    <a:fld id="{AE4B9BE6-0C03-4D96-97E5-825258938ACE}" type="CATEGORYNAME">
                      <a:rPr lang="en-US" altLang="zh-CN"/>
                      <a:pPr/>
                      <a:t>[类别名称]</a:t>
                    </a:fld>
                    <a:r>
                      <a:rPr lang="en-US"/>
                      <a:t>EXPE</a:t>
                    </a:r>
                    <a:r>
                      <a:rPr lang="en-US" baseline="0"/>
                      <a:t>, </a:t>
                    </a:r>
                    <a:fld id="{2B965E3A-832B-4906-980F-C1711A395FB7}" type="VALUE">
                      <a:rPr lang="en-US" altLang="zh-CN" baseline="0"/>
                      <a:pPr/>
                      <a:t>[值]</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A05-49B5-A1B1-CD86B47AEE5C}"/>
                </c:ext>
              </c:extLst>
            </c:dLbl>
            <c:dLbl>
              <c:idx val="10"/>
              <c:tx>
                <c:rich>
                  <a:bodyPr/>
                  <a:lstStyle/>
                  <a:p>
                    <a:r>
                      <a:rPr lang="en-US" altLang="zh-CN"/>
                      <a:t>EXPE</a:t>
                    </a:r>
                    <a:r>
                      <a:rPr lang="en-US" altLang="zh-CN" baseline="0"/>
                      <a:t>, </a:t>
                    </a:r>
                    <a:fld id="{C74EAF79-A506-4BC3-A128-5DEC280E403B}" type="VALUE">
                      <a:rPr lang="en-US" altLang="zh-CN" baseline="0"/>
                      <a:pPr/>
                      <a:t>[值]</a:t>
                    </a:fld>
                    <a:endParaRPr lang="en-US" altLang="zh-CN"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AA05-49B5-A1B1-CD86B47AEE5C}"/>
                </c:ext>
              </c:extLst>
            </c:dLbl>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b="1"/>
                </a:pPr>
                <a:endParaRPr lang="zh-CN"/>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'!$R$2:$AP$2</c15:sqref>
                  </c15:fullRef>
                </c:ext>
              </c:extLst>
              <c:f>'Quarterly Charts '!$S$2:$AP$2</c:f>
              <c:strCache>
                <c:ptCount val="8"/>
                <c:pt idx="0">
                  <c:v> 19Q2 </c:v>
                </c:pt>
                <c:pt idx="1">
                  <c:v> 19Q3 </c:v>
                </c:pt>
                <c:pt idx="2">
                  <c:v> 19Q4 </c:v>
                </c:pt>
                <c:pt idx="3">
                  <c:v> 24Q1 </c:v>
                </c:pt>
                <c:pt idx="4">
                  <c:v> 24Q2 </c:v>
                </c:pt>
                <c:pt idx="5">
                  <c:v> 24Q3 </c:v>
                </c:pt>
                <c:pt idx="6">
                  <c:v> 24Q4 </c:v>
                </c:pt>
                <c:pt idx="7">
                  <c:v> 25Q1 </c:v>
                </c:pt>
              </c:strCache>
            </c:strRef>
          </c:cat>
          <c:val>
            <c:numRef>
              <c:extLst>
                <c:ext xmlns:c15="http://schemas.microsoft.com/office/drawing/2012/chart" uri="{02D57815-91ED-43cb-92C2-25804820EDAC}">
                  <c15:fullRef>
                    <c15:sqref>'Quarterly Charts '!$R$21:$AQ$21</c15:sqref>
                  </c15:fullRef>
                </c:ext>
              </c:extLst>
              <c:f>'Quarterly Charts '!$S$21:$AQ$21</c:f>
              <c:numCache>
                <c:formatCode>0.0%</c:formatCode>
                <c:ptCount val="9"/>
                <c:pt idx="0">
                  <c:v>0.09</c:v>
                </c:pt>
                <c:pt idx="1">
                  <c:v>0.09</c:v>
                </c:pt>
                <c:pt idx="2">
                  <c:v>7.0000000000000007E-2</c:v>
                </c:pt>
                <c:pt idx="3" formatCode="0%">
                  <c:v>8.405253283302061E-2</c:v>
                </c:pt>
                <c:pt idx="4" formatCode="0%">
                  <c:v>5.9559261465157887E-2</c:v>
                </c:pt>
                <c:pt idx="5" formatCode="0%">
                  <c:v>3.3341817256299366E-2</c:v>
                </c:pt>
                <c:pt idx="6" formatCode="0%">
                  <c:v>0.10287495670245939</c:v>
                </c:pt>
                <c:pt idx="7" formatCode="0%">
                  <c:v>3.4267912772585563E-2</c:v>
                </c:pt>
                <c:pt idx="8" formatCode="0%">
                  <c:v>6.4080944350758839E-2</c:v>
                </c:pt>
              </c:numCache>
            </c:numRef>
          </c:val>
          <c:smooth val="0"/>
          <c:extLst>
            <c:ext xmlns:c16="http://schemas.microsoft.com/office/drawing/2014/chart" uri="{C3380CC4-5D6E-409C-BE32-E72D297353CC}">
              <c16:uniqueId val="{00000004-0D91-46E6-8BB0-B7792B295868}"/>
            </c:ext>
          </c:extLst>
        </c:ser>
        <c:ser>
          <c:idx val="7"/>
          <c:order val="7"/>
          <c:tx>
            <c:strRef>
              <c:f>'Quarterly Charts '!$A$45</c:f>
              <c:strCache>
                <c:ptCount val="1"/>
                <c:pt idx="0">
                  <c:v>ABNB Revenue YoY Growth</c:v>
                </c:pt>
              </c:strCache>
            </c:strRef>
          </c:tx>
          <c:spPr>
            <a:ln>
              <a:solidFill>
                <a:schemeClr val="accent3">
                  <a:lumMod val="50000"/>
                </a:schemeClr>
              </a:solidFill>
            </a:ln>
          </c:spPr>
          <c:marker>
            <c:spPr>
              <a:ln>
                <a:solidFill>
                  <a:schemeClr val="accent3">
                    <a:lumMod val="50000"/>
                  </a:schemeClr>
                </a:solidFill>
              </a:ln>
            </c:spPr>
          </c:marker>
          <c:dLbls>
            <c:dLbl>
              <c:idx val="1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762-429E-95FE-A41B6534AC2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'Quarterly Charts '!$R$2:$AP$2</c15:sqref>
                  </c15:fullRef>
                </c:ext>
              </c:extLst>
              <c:f>'Quarterly Charts '!$S$2:$AP$2</c:f>
              <c:strCache>
                <c:ptCount val="8"/>
                <c:pt idx="0">
                  <c:v> 19Q1 </c:v>
                </c:pt>
                <c:pt idx="1">
                  <c:v> 19Q2 </c:v>
                </c:pt>
                <c:pt idx="2">
                  <c:v> 19Q3 </c:v>
                </c:pt>
                <c:pt idx="3">
                  <c:v> 19Q4 </c:v>
                </c:pt>
                <c:pt idx="4">
                  <c:v> 24Q1 </c:v>
                </c:pt>
                <c:pt idx="5">
                  <c:v> 24Q2 </c:v>
                </c:pt>
                <c:pt idx="6">
                  <c:v> 24Q3 </c:v>
                </c:pt>
                <c:pt idx="7">
                  <c:v> 24Q4 </c:v>
                </c:pt>
                <c:pt idx="8">
                  <c:v> 25Q1 </c:v>
                </c:pt>
              </c:strCache>
            </c:strRef>
          </c:cat>
          <c:val>
            <c:numRef>
              <c:extLst>
                <c:ext xmlns:c15="http://schemas.microsoft.com/office/drawing/2012/chart" uri="{02D57815-91ED-43cb-92C2-25804820EDAC}">
                  <c15:fullRef>
                    <c15:sqref>'Quarterly Charts '!$N$45:$AD$45</c15:sqref>
                  </c15:fullRef>
                </c:ext>
              </c:extLst>
              <c:f>'Quarterly Charts '!$O$45:$AD$45</c:f>
            </c:numRef>
          </c:val>
          <c:smooth val="0"/>
          <c:extLst>
            <c:ext xmlns:c16="http://schemas.microsoft.com/office/drawing/2014/chart" uri="{C3380CC4-5D6E-409C-BE32-E72D297353CC}">
              <c16:uniqueId val="{00000001-F202-43DF-B8A2-AAA79D8E065A}"/>
            </c:ext>
          </c:extLst>
        </c:ser>
        <c:ser>
          <c:idx val="8"/>
          <c:order val="8"/>
          <c:tx>
            <c:strRef>
              <c:f>'Quarterly Charts '!$A$46</c:f>
              <c:strCache>
                <c:ptCount val="1"/>
                <c:pt idx="0">
                  <c:v>ABNB Revenue YoY Growth</c:v>
                </c:pt>
              </c:strCache>
            </c:strRef>
          </c:tx>
          <c:spPr>
            <a:ln>
              <a:solidFill>
                <a:schemeClr val="accent2"/>
              </a:solidFill>
            </a:ln>
          </c:spPr>
          <c:marker>
            <c:spPr>
              <a:solidFill>
                <a:schemeClr val="accent2"/>
              </a:solidFill>
              <a:ln>
                <a:solidFill>
                  <a:schemeClr val="accent2"/>
                </a:solidFill>
              </a:ln>
            </c:spPr>
          </c:marker>
          <c:dLbls>
            <c:dLbl>
              <c:idx val="8"/>
              <c:tx>
                <c:rich>
                  <a:bodyPr wrap="square" lIns="38100" tIns="19050" rIns="38100" bIns="19050" anchor="ctr">
                    <a:spAutoFit/>
                  </a:bodyPr>
                  <a:lstStyle/>
                  <a:p>
                    <a:pPr>
                      <a:defRPr b="1"/>
                    </a:pPr>
                    <a:fld id="{611BA3BE-CB0A-47F0-8AE8-510D07977CB6}" type="CATEGORYNAME">
                      <a:rPr lang="en-US" altLang="zh-CN" b="1"/>
                      <a:pPr>
                        <a:defRPr b="1"/>
                      </a:pPr>
                      <a:t>[类别名称]</a:t>
                    </a:fld>
                    <a:r>
                      <a:rPr lang="en-US" b="1"/>
                      <a:t>ABNB</a:t>
                    </a:r>
                    <a:r>
                      <a:rPr lang="en-US" b="1" baseline="0"/>
                      <a:t>, </a:t>
                    </a:r>
                    <a:fld id="{DF31A3EB-7AFD-4717-A3F5-1F1E5BD4EA1C}" type="VALUE">
                      <a:rPr lang="en-US" altLang="zh-CN" b="1" baseline="0"/>
                      <a:pPr>
                        <a:defRPr b="1"/>
                      </a:pPr>
                      <a:t>[值]</a:t>
                    </a:fld>
                    <a:endParaRPr lang="en-US" b="1" baseline="0"/>
                  </a:p>
                </c:rich>
              </c:tx>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 xmlns:c16="http://schemas.microsoft.com/office/drawing/2014/chart" uri="{C3380CC4-5D6E-409C-BE32-E72D297353CC}">
                  <c16:uniqueId val="{00000001-0D4A-456B-8F3F-835D7EF7C6B8}"/>
                </c:ext>
              </c:extLst>
            </c:dLbl>
            <c:spPr>
              <a:solidFill>
                <a:sysClr val="window" lastClr="FFFFFF"/>
              </a:solidFill>
              <a:ln>
                <a:solidFill>
                  <a:sysClr val="windowText" lastClr="000000">
                    <a:lumMod val="65000"/>
                    <a:lumOff val="35000"/>
                  </a:sysClr>
                </a:solid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'!$R$2:$AP$2</c15:sqref>
                  </c15:fullRef>
                </c:ext>
              </c:extLst>
              <c:f>'Quarterly Charts '!$S$2:$AP$2</c:f>
              <c:strCache>
                <c:ptCount val="8"/>
                <c:pt idx="0">
                  <c:v> 19Q2 </c:v>
                </c:pt>
                <c:pt idx="1">
                  <c:v> 19Q3 </c:v>
                </c:pt>
                <c:pt idx="2">
                  <c:v> 19Q4 </c:v>
                </c:pt>
                <c:pt idx="3">
                  <c:v> 24Q1 </c:v>
                </c:pt>
                <c:pt idx="4">
                  <c:v> 24Q2 </c:v>
                </c:pt>
                <c:pt idx="5">
                  <c:v> 24Q3 </c:v>
                </c:pt>
                <c:pt idx="6">
                  <c:v> 24Q4 </c:v>
                </c:pt>
                <c:pt idx="7">
                  <c:v> 25Q1 </c:v>
                </c:pt>
              </c:strCache>
            </c:strRef>
          </c:cat>
          <c:val>
            <c:numRef>
              <c:extLst>
                <c:ext xmlns:c15="http://schemas.microsoft.com/office/drawing/2012/chart" uri="{02D57815-91ED-43cb-92C2-25804820EDAC}">
                  <c15:fullRef>
                    <c15:sqref>'Quarterly Charts '!$R$46:$AQ$46</c15:sqref>
                  </c15:fullRef>
                </c:ext>
              </c:extLst>
              <c:f>'Quarterly Charts '!$S$46:$AQ$46</c:f>
              <c:numCache>
                <c:formatCode>0.0%</c:formatCode>
                <c:ptCount val="9"/>
                <c:pt idx="0">
                  <c:v>0.3434097346670637</c:v>
                </c:pt>
                <c:pt idx="1">
                  <c:v>0.30086623714457117</c:v>
                </c:pt>
                <c:pt idx="2">
                  <c:v>0.31669416729023903</c:v>
                </c:pt>
                <c:pt idx="3" formatCode="0%">
                  <c:v>0.17821782178217815</c:v>
                </c:pt>
                <c:pt idx="4" formatCode="0%">
                  <c:v>0.106280193236715</c:v>
                </c:pt>
                <c:pt idx="5" formatCode="0%">
                  <c:v>9.8616426258463452E-2</c:v>
                </c:pt>
                <c:pt idx="6" formatCode="0%">
                  <c:v>0.11812443642921555</c:v>
                </c:pt>
                <c:pt idx="7" formatCode="0%">
                  <c:v>6.0690943043884227E-2</c:v>
                </c:pt>
                <c:pt idx="8" formatCode="0%">
                  <c:v>0.1266375545851528</c:v>
                </c:pt>
              </c:numCache>
            </c:numRef>
          </c:val>
          <c:smooth val="0"/>
          <c:extLst>
            <c:ext xmlns:c16="http://schemas.microsoft.com/office/drawing/2014/chart" uri="{C3380CC4-5D6E-409C-BE32-E72D297353CC}">
              <c16:uniqueId val="{00000001-EB21-45B4-A42F-2B1EA44F743D}"/>
            </c:ext>
          </c:extLst>
        </c:ser>
        <c:dLbls>
          <c:showLegendKey val="0"/>
          <c:showVal val="0"/>
          <c:showCatName val="0"/>
          <c:showSerName val="0"/>
          <c:showPercent val="0"/>
          <c:showBubbleSize val="0"/>
        </c:dLbls>
        <c:marker val="1"/>
        <c:smooth val="0"/>
        <c:axId val="-530918864"/>
        <c:axId val="-530925392"/>
      </c:lineChart>
      <c:catAx>
        <c:axId val="-530923760"/>
        <c:scaling>
          <c:orientation val="minMax"/>
        </c:scaling>
        <c:delete val="0"/>
        <c:axPos val="b"/>
        <c:numFmt formatCode="General" sourceLinked="0"/>
        <c:majorTickMark val="out"/>
        <c:minorTickMark val="none"/>
        <c:tickLblPos val="nextTo"/>
        <c:txPr>
          <a:bodyPr/>
          <a:lstStyle/>
          <a:p>
            <a:pPr>
              <a:defRPr b="1"/>
            </a:pPr>
            <a:endParaRPr lang="zh-CN"/>
          </a:p>
        </c:txPr>
        <c:crossAx val="-530925936"/>
        <c:crosses val="autoZero"/>
        <c:auto val="1"/>
        <c:lblAlgn val="ctr"/>
        <c:lblOffset val="100"/>
        <c:noMultiLvlLbl val="0"/>
      </c:catAx>
      <c:valAx>
        <c:axId val="-530925936"/>
        <c:scaling>
          <c:orientation val="minMax"/>
        </c:scaling>
        <c:delete val="0"/>
        <c:axPos val="l"/>
        <c:majorGridlines/>
        <c:numFmt formatCode="#,##0_);[Red]\(#,##0\)" sourceLinked="0"/>
        <c:majorTickMark val="out"/>
        <c:minorTickMark val="none"/>
        <c:tickLblPos val="nextTo"/>
        <c:crossAx val="-530923760"/>
        <c:crosses val="autoZero"/>
        <c:crossBetween val="between"/>
      </c:valAx>
      <c:valAx>
        <c:axId val="-530925392"/>
        <c:scaling>
          <c:orientation val="minMax"/>
          <c:max val="0.4"/>
        </c:scaling>
        <c:delete val="0"/>
        <c:axPos val="r"/>
        <c:numFmt formatCode="0.0%" sourceLinked="1"/>
        <c:majorTickMark val="out"/>
        <c:minorTickMark val="none"/>
        <c:tickLblPos val="nextTo"/>
        <c:txPr>
          <a:bodyPr/>
          <a:lstStyle/>
          <a:p>
            <a:pPr>
              <a:defRPr>
                <a:solidFill>
                  <a:schemeClr val="bg1"/>
                </a:solidFill>
              </a:defRPr>
            </a:pPr>
            <a:endParaRPr lang="zh-CN"/>
          </a:p>
        </c:txPr>
        <c:crossAx val="-530918864"/>
        <c:crosses val="max"/>
        <c:crossBetween val="between"/>
      </c:valAx>
      <c:catAx>
        <c:axId val="-530918864"/>
        <c:scaling>
          <c:orientation val="minMax"/>
        </c:scaling>
        <c:delete val="1"/>
        <c:axPos val="b"/>
        <c:numFmt formatCode="General" sourceLinked="1"/>
        <c:majorTickMark val="out"/>
        <c:minorTickMark val="none"/>
        <c:tickLblPos val="nextTo"/>
        <c:crossAx val="-530925392"/>
        <c:crosses val="autoZero"/>
        <c:auto val="1"/>
        <c:lblAlgn val="ctr"/>
        <c:lblOffset val="100"/>
        <c:noMultiLvlLbl val="0"/>
      </c:catAx>
    </c:plotArea>
    <c:legend>
      <c:legendPos val="b"/>
      <c:legendEntry>
        <c:idx val="4"/>
        <c:delete val="1"/>
      </c:legendEntry>
      <c:legendEntry>
        <c:idx val="5"/>
        <c:delete val="1"/>
      </c:legendEntry>
      <c:legendEntry>
        <c:idx val="6"/>
        <c:delete val="1"/>
      </c:legendEntry>
      <c:legendEntry>
        <c:idx val="7"/>
        <c:delete val="1"/>
      </c:legendEntry>
      <c:layout>
        <c:manualLayout>
          <c:xMode val="edge"/>
          <c:yMode val="edge"/>
          <c:x val="0.22816858831561468"/>
          <c:y val="0.88543849633305527"/>
          <c:w val="0.54077406633154812"/>
          <c:h val="5.9341538456768067E-2"/>
        </c:manualLayout>
      </c:layout>
      <c:overlay val="0"/>
    </c:legend>
    <c:plotVisOnly val="1"/>
    <c:dispBlanksAs val="gap"/>
    <c:showDLblsOverMax val="0"/>
  </c:chart>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zh-CN"/>
              <a:t>ABNB/BKNG/EXPE/TCOM NON-GAAP</a:t>
            </a:r>
            <a:r>
              <a:rPr lang="en-US" altLang="zh-CN" baseline="0"/>
              <a:t> </a:t>
            </a:r>
            <a:r>
              <a:rPr lang="en-US" altLang="zh-CN"/>
              <a:t>S&amp;M</a:t>
            </a:r>
            <a:r>
              <a:rPr lang="en-US" altLang="zh-CN" baseline="0"/>
              <a:t> Exp as % of Revenue</a:t>
            </a:r>
            <a:endParaRPr lang="zh-CN" altLang="en-US"/>
          </a:p>
        </c:rich>
      </c:tx>
      <c:overlay val="0"/>
    </c:title>
    <c:autoTitleDeleted val="0"/>
    <c:plotArea>
      <c:layout/>
      <c:lineChart>
        <c:grouping val="standard"/>
        <c:varyColors val="0"/>
        <c:ser>
          <c:idx val="2"/>
          <c:order val="0"/>
          <c:tx>
            <c:strRef>
              <c:f>'Quarterly Charts '!$A$40</c:f>
              <c:strCache>
                <c:ptCount val="1"/>
                <c:pt idx="0">
                  <c:v> TCOM non-GAAP S&amp;M expenses as % of net revenue </c:v>
                </c:pt>
              </c:strCache>
            </c:strRef>
          </c:tx>
          <c:spPr>
            <a:ln>
              <a:solidFill>
                <a:schemeClr val="accent5"/>
              </a:solidFill>
            </a:ln>
          </c:spPr>
          <c:marker>
            <c:spPr>
              <a:solidFill>
                <a:schemeClr val="accent5"/>
              </a:solidFill>
              <a:ln>
                <a:solidFill>
                  <a:schemeClr val="accent5"/>
                </a:solidFill>
              </a:ln>
            </c:spPr>
          </c:marker>
          <c:dLbls>
            <c:dLbl>
              <c:idx val="0"/>
              <c:delete val="1"/>
              <c:extLst>
                <c:ext xmlns:c15="http://schemas.microsoft.com/office/drawing/2012/chart" uri="{CE6537A1-D6FC-4f65-9D91-7224C49458BB}"/>
                <c:ext xmlns:c16="http://schemas.microsoft.com/office/drawing/2014/chart" uri="{C3380CC4-5D6E-409C-BE32-E72D297353CC}">
                  <c16:uniqueId val="{00000003-DF57-4454-810B-AAABBD0D2B64}"/>
                </c:ext>
              </c:extLst>
            </c:dLbl>
            <c:dLbl>
              <c:idx val="1"/>
              <c:delete val="1"/>
              <c:extLst>
                <c:ext xmlns:c15="http://schemas.microsoft.com/office/drawing/2012/chart" uri="{CE6537A1-D6FC-4f65-9D91-7224C49458BB}"/>
                <c:ext xmlns:c16="http://schemas.microsoft.com/office/drawing/2014/chart" uri="{C3380CC4-5D6E-409C-BE32-E72D297353CC}">
                  <c16:uniqueId val="{0000000D-DF57-4454-810B-AAABBD0D2B64}"/>
                </c:ext>
              </c:extLst>
            </c:dLbl>
            <c:dLbl>
              <c:idx val="2"/>
              <c:delete val="1"/>
              <c:extLst>
                <c:ext xmlns:c15="http://schemas.microsoft.com/office/drawing/2012/chart" uri="{CE6537A1-D6FC-4f65-9D91-7224C49458BB}"/>
                <c:ext xmlns:c16="http://schemas.microsoft.com/office/drawing/2014/chart" uri="{C3380CC4-5D6E-409C-BE32-E72D297353CC}">
                  <c16:uniqueId val="{0000000E-DF57-4454-810B-AAABBD0D2B64}"/>
                </c:ext>
              </c:extLst>
            </c:dLbl>
            <c:dLbl>
              <c:idx val="3"/>
              <c:delete val="1"/>
              <c:extLst>
                <c:ext xmlns:c15="http://schemas.microsoft.com/office/drawing/2012/chart" uri="{CE6537A1-D6FC-4f65-9D91-7224C49458BB}"/>
                <c:ext xmlns:c16="http://schemas.microsoft.com/office/drawing/2014/chart" uri="{C3380CC4-5D6E-409C-BE32-E72D297353CC}">
                  <c16:uniqueId val="{0000000F-DF57-4454-810B-AAABBD0D2B64}"/>
                </c:ext>
              </c:extLst>
            </c:dLbl>
            <c:dLbl>
              <c:idx val="4"/>
              <c:delete val="1"/>
              <c:extLst>
                <c:ext xmlns:c15="http://schemas.microsoft.com/office/drawing/2012/chart" uri="{CE6537A1-D6FC-4f65-9D91-7224C49458BB}"/>
                <c:ext xmlns:c16="http://schemas.microsoft.com/office/drawing/2014/chart" uri="{C3380CC4-5D6E-409C-BE32-E72D297353CC}">
                  <c16:uniqueId val="{00000010-DF57-4454-810B-AAABBD0D2B64}"/>
                </c:ext>
              </c:extLst>
            </c:dLbl>
            <c:dLbl>
              <c:idx val="5"/>
              <c:delete val="1"/>
              <c:extLst>
                <c:ext xmlns:c15="http://schemas.microsoft.com/office/drawing/2012/chart" uri="{CE6537A1-D6FC-4f65-9D91-7224C49458BB}"/>
                <c:ext xmlns:c16="http://schemas.microsoft.com/office/drawing/2014/chart" uri="{C3380CC4-5D6E-409C-BE32-E72D297353CC}">
                  <c16:uniqueId val="{00000011-DF57-4454-810B-AAABBD0D2B64}"/>
                </c:ext>
              </c:extLst>
            </c:dLbl>
            <c:dLbl>
              <c:idx val="6"/>
              <c:delete val="1"/>
              <c:extLst>
                <c:ext xmlns:c15="http://schemas.microsoft.com/office/drawing/2012/chart" uri="{CE6537A1-D6FC-4f65-9D91-7224C49458BB}"/>
                <c:ext xmlns:c16="http://schemas.microsoft.com/office/drawing/2014/chart" uri="{C3380CC4-5D6E-409C-BE32-E72D297353CC}">
                  <c16:uniqueId val="{00000012-DF57-4454-810B-AAABBD0D2B64}"/>
                </c:ext>
              </c:extLst>
            </c:dLbl>
            <c:dLbl>
              <c:idx val="7"/>
              <c:delete val="1"/>
              <c:extLst>
                <c:ext xmlns:c15="http://schemas.microsoft.com/office/drawing/2012/chart" uri="{CE6537A1-D6FC-4f65-9D91-7224C49458BB}"/>
                <c:ext xmlns:c16="http://schemas.microsoft.com/office/drawing/2014/chart" uri="{C3380CC4-5D6E-409C-BE32-E72D297353CC}">
                  <c16:uniqueId val="{00000003-1ED3-412A-A6C1-CD1CEBAF0B09}"/>
                </c:ext>
              </c:extLst>
            </c:dLbl>
            <c:dLbl>
              <c:idx val="8"/>
              <c:layout>
                <c:manualLayout>
                  <c:x val="-3.2015706350932982E-3"/>
                  <c:y val="-3.8800106130393378E-2"/>
                </c:manualLayout>
              </c:layout>
              <c:tx>
                <c:rich>
                  <a:bodyPr/>
                  <a:lstStyle/>
                  <a:p>
                    <a:r>
                      <a:rPr lang="en-US" baseline="0"/>
                      <a:t>TCOM, </a:t>
                    </a:r>
                    <a:fld id="{A0219843-1957-49D1-B0CC-CCB97FC559A0}" type="VALUE">
                      <a:rPr lang="en-US" altLang="zh-CN" baseline="0"/>
                      <a:pPr/>
                      <a:t>[值]</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DF57-4454-810B-AAABBD0D2B64}"/>
                </c:ext>
              </c:extLst>
            </c:dLbl>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b="1"/>
                </a:pPr>
                <a:endParaRPr lang="zh-CN"/>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'!$R$40:$AQ$40</c15:sqref>
                  </c15:fullRef>
                </c:ext>
              </c:extLst>
              <c:f>'Quarterly Charts '!$S$40:$AQ$40</c:f>
              <c:numCache>
                <c:formatCode>0.0%</c:formatCode>
                <c:ptCount val="9"/>
                <c:pt idx="0">
                  <c:v>0.24</c:v>
                </c:pt>
                <c:pt idx="1">
                  <c:v>0.23300000000000001</c:v>
                </c:pt>
                <c:pt idx="2">
                  <c:v>0.29299999999999998</c:v>
                </c:pt>
                <c:pt idx="3">
                  <c:v>0.1909911453849556</c:v>
                </c:pt>
                <c:pt idx="4">
                  <c:v>0.21766113826422612</c:v>
                </c:pt>
                <c:pt idx="5">
                  <c:v>0.21061767038645199</c:v>
                </c:pt>
                <c:pt idx="6">
                  <c:v>0.26154363545331333</c:v>
                </c:pt>
                <c:pt idx="7">
                  <c:v>0.21384083196785128</c:v>
                </c:pt>
                <c:pt idx="8">
                  <c:v>0.22054715417193468</c:v>
                </c:pt>
              </c:numCache>
            </c:numRef>
          </c:val>
          <c:smooth val="0"/>
          <c:extLst>
            <c:ext xmlns:c16="http://schemas.microsoft.com/office/drawing/2014/chart" uri="{C3380CC4-5D6E-409C-BE32-E72D297353CC}">
              <c16:uniqueId val="{00000002-F204-4F62-82AE-7978CBF21F8B}"/>
            </c:ext>
          </c:extLst>
        </c:ser>
        <c:ser>
          <c:idx val="0"/>
          <c:order val="1"/>
          <c:tx>
            <c:strRef>
              <c:f>'Quarterly Charts '!$A$13</c:f>
              <c:strCache>
                <c:ptCount val="1"/>
                <c:pt idx="0">
                  <c:v> BKNG non-GAAP S&amp;M expenses as % of revenue </c:v>
                </c:pt>
              </c:strCache>
            </c:strRef>
          </c:tx>
          <c:spPr>
            <a:ln>
              <a:solidFill>
                <a:schemeClr val="tx2"/>
              </a:solidFill>
            </a:ln>
          </c:spPr>
          <c:marker>
            <c:spPr>
              <a:solidFill>
                <a:schemeClr val="tx2"/>
              </a:solidFill>
              <a:ln>
                <a:solidFill>
                  <a:schemeClr val="tx2"/>
                </a:solidFill>
              </a:ln>
            </c:spPr>
          </c:marker>
          <c:dLbls>
            <c:dLbl>
              <c:idx val="8"/>
              <c:layout>
                <c:manualLayout>
                  <c:x val="-1.1738956719245681E-16"/>
                  <c:y val="-5.0738600324360429E-2"/>
                </c:manualLayout>
              </c:layout>
              <c:tx>
                <c:rich>
                  <a:bodyPr wrap="square" lIns="38100" tIns="19050" rIns="38100" bIns="19050" anchor="ctr">
                    <a:spAutoFit/>
                  </a:bodyPr>
                  <a:lstStyle/>
                  <a:p>
                    <a:pPr>
                      <a:defRPr b="1"/>
                    </a:pPr>
                    <a:r>
                      <a:rPr lang="en-US" b="1" baseline="0"/>
                      <a:t>BKNG, </a:t>
                    </a:r>
                    <a:fld id="{F082BC00-9025-4D78-B932-8BBEC4C72B7E}" type="VALUE">
                      <a:rPr lang="en-US" altLang="zh-CN" b="1" baseline="0"/>
                      <a:pPr>
                        <a:defRPr b="1"/>
                      </a:pPr>
                      <a:t>[值]</a:t>
                    </a:fld>
                    <a:endParaRPr lang="en-US" b="1" baseline="0"/>
                  </a:p>
                </c:rich>
              </c:tx>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 xmlns:c16="http://schemas.microsoft.com/office/drawing/2014/chart" uri="{C3380CC4-5D6E-409C-BE32-E72D297353CC}">
                  <c16:uniqueId val="{00000002-DF57-4454-810B-AAABBD0D2B64}"/>
                </c:ext>
              </c:extLst>
            </c:dLbl>
            <c:spPr>
              <a:solidFill>
                <a:sysClr val="window" lastClr="FFFFFF"/>
              </a:solidFill>
              <a:ln>
                <a:solidFill>
                  <a:sysClr val="windowText" lastClr="000000">
                    <a:lumMod val="65000"/>
                    <a:lumOff val="35000"/>
                  </a:sysClr>
                </a:solid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'!$R$13:$AQ$13</c15:sqref>
                  </c15:fullRef>
                </c:ext>
              </c:extLst>
              <c:f>'Quarterly Charts '!$S$13:$AQ$13</c:f>
              <c:numCache>
                <c:formatCode>0.0%</c:formatCode>
                <c:ptCount val="9"/>
                <c:pt idx="0">
                  <c:v>0.41948051948051945</c:v>
                </c:pt>
                <c:pt idx="1">
                  <c:v>0.33551587301587299</c:v>
                </c:pt>
                <c:pt idx="2">
                  <c:v>0.36178496555855044</c:v>
                </c:pt>
                <c:pt idx="3">
                  <c:v>0.51823329558323894</c:v>
                </c:pt>
                <c:pt idx="4">
                  <c:v>0.47089947089947087</c:v>
                </c:pt>
                <c:pt idx="5">
                  <c:v>0.37815861896422315</c:v>
                </c:pt>
                <c:pt idx="6">
                  <c:v>0.42550519025576228</c:v>
                </c:pt>
                <c:pt idx="7">
                  <c:v>0.52057958840823182</c:v>
                </c:pt>
                <c:pt idx="8">
                  <c:v>0.44689614592527216</c:v>
                </c:pt>
              </c:numCache>
            </c:numRef>
          </c:val>
          <c:smooth val="0"/>
          <c:extLst>
            <c:ext xmlns:c16="http://schemas.microsoft.com/office/drawing/2014/chart" uri="{C3380CC4-5D6E-409C-BE32-E72D297353CC}">
              <c16:uniqueId val="{00000000-F204-4F62-82AE-7978CBF21F8B}"/>
            </c:ext>
          </c:extLst>
        </c:ser>
        <c:ser>
          <c:idx val="1"/>
          <c:order val="2"/>
          <c:tx>
            <c:strRef>
              <c:f>'Quarterly Charts '!$A$29</c:f>
              <c:strCache>
                <c:ptCount val="1"/>
                <c:pt idx="0">
                  <c:v> EXPE non-GAAP S&amp;M expenses as % of revenue </c:v>
                </c:pt>
              </c:strCache>
            </c:strRef>
          </c:tx>
          <c:spPr>
            <a:ln>
              <a:solidFill>
                <a:schemeClr val="accent6"/>
              </a:solidFill>
            </a:ln>
          </c:spPr>
          <c:marker>
            <c:spPr>
              <a:solidFill>
                <a:schemeClr val="accent6"/>
              </a:solidFill>
              <a:ln>
                <a:solidFill>
                  <a:schemeClr val="accent6"/>
                </a:solidFill>
              </a:ln>
            </c:spPr>
          </c:marker>
          <c:dLbls>
            <c:dLbl>
              <c:idx val="8"/>
              <c:layout>
                <c:manualLayout>
                  <c:x val="-1.6007853175467664E-3"/>
                  <c:y val="-5.6707847421344007E-2"/>
                </c:manualLayout>
              </c:layout>
              <c:tx>
                <c:rich>
                  <a:bodyPr/>
                  <a:lstStyle/>
                  <a:p>
                    <a:r>
                      <a:rPr lang="en-US" baseline="0"/>
                      <a:t>EXPE, </a:t>
                    </a:r>
                    <a:fld id="{95086975-19B4-4BFD-A9D0-F0E346A4AAE7}" type="VALUE">
                      <a:rPr lang="en-US" altLang="zh-CN" baseline="0"/>
                      <a:pPr/>
                      <a:t>[值]</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F57-4454-810B-AAABBD0D2B64}"/>
                </c:ext>
              </c:extLst>
            </c:dLbl>
            <c:dLbl>
              <c:idx val="10"/>
              <c:layout>
                <c:manualLayout>
                  <c:x val="-1.9132854827832044E-2"/>
                  <c:y val="-4.4437778129755016E-2"/>
                </c:manualLayout>
              </c:layout>
              <c:tx>
                <c:rich>
                  <a:bodyPr/>
                  <a:lstStyle/>
                  <a:p>
                    <a:r>
                      <a:rPr lang="en-US" altLang="zh-CN"/>
                      <a:t>EXPE</a:t>
                    </a:r>
                    <a:r>
                      <a:rPr lang="en-US" altLang="zh-CN" baseline="0"/>
                      <a:t>, </a:t>
                    </a:r>
                    <a:fld id="{90E13B67-39F6-4BCF-90F4-B66A4F2939E7}" type="VALUE">
                      <a:rPr lang="en-US" altLang="zh-CN" baseline="0"/>
                      <a:pPr/>
                      <a:t>[值]</a:t>
                    </a:fld>
                    <a:endParaRPr lang="en-US" altLang="zh-CN"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966-42F2-BE06-3951C56921FB}"/>
                </c:ext>
              </c:extLst>
            </c:dLbl>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b="1"/>
                </a:pPr>
                <a:endParaRPr lang="zh-C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'!$R$29:$AQ$29</c15:sqref>
                  </c15:fullRef>
                </c:ext>
              </c:extLst>
              <c:f>'Quarterly Charts '!$S$29:$AQ$29</c:f>
              <c:numCache>
                <c:formatCode>0.0%</c:formatCode>
                <c:ptCount val="9"/>
                <c:pt idx="0">
                  <c:v>0.51728512527751347</c:v>
                </c:pt>
                <c:pt idx="1">
                  <c:v>0.45952782462057334</c:v>
                </c:pt>
                <c:pt idx="2">
                  <c:v>0.45759009828904257</c:v>
                </c:pt>
                <c:pt idx="3">
                  <c:v>0.6289373485635168</c:v>
                </c:pt>
                <c:pt idx="4">
                  <c:v>0.55283867341202919</c:v>
                </c:pt>
                <c:pt idx="5">
                  <c:v>0.50073891625615763</c:v>
                </c:pt>
                <c:pt idx="6">
                  <c:v>0.54302763819095479</c:v>
                </c:pt>
                <c:pt idx="7">
                  <c:v>0.64792503346720209</c:v>
                </c:pt>
                <c:pt idx="8">
                  <c:v>0.55731642894875855</c:v>
                </c:pt>
              </c:numCache>
            </c:numRef>
          </c:val>
          <c:smooth val="0"/>
          <c:extLst>
            <c:ext xmlns:c16="http://schemas.microsoft.com/office/drawing/2014/chart" uri="{C3380CC4-5D6E-409C-BE32-E72D297353CC}">
              <c16:uniqueId val="{00000001-F204-4F62-82AE-7978CBF21F8B}"/>
            </c:ext>
          </c:extLst>
        </c:ser>
        <c:ser>
          <c:idx val="3"/>
          <c:order val="3"/>
          <c:tx>
            <c:strRef>
              <c:f>'Quarterly Charts '!$A$103</c:f>
              <c:strCache>
                <c:ptCount val="1"/>
                <c:pt idx="0">
                  <c:v> ABNB non-GAAP S&amp;M expenses as % of revenue </c:v>
                </c:pt>
              </c:strCache>
            </c:strRef>
          </c:tx>
          <c:dLbls>
            <c:dLbl>
              <c:idx val="15"/>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1A-4599-9CF4-16D5C49EE115}"/>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'Quarterly Charts '!$R$2:$AQ$2</c15:sqref>
                  </c15:fullRef>
                </c:ext>
              </c:extLst>
              <c:f>'Quarterly Charts '!$S$2:$AQ$2</c:f>
              <c:strCache>
                <c:ptCount val="9"/>
                <c:pt idx="0">
                  <c:v> 19Q1 </c:v>
                </c:pt>
                <c:pt idx="1">
                  <c:v> 19Q2 </c:v>
                </c:pt>
                <c:pt idx="2">
                  <c:v> 19Q3 </c:v>
                </c:pt>
                <c:pt idx="3">
                  <c:v> 19Q4 </c:v>
                </c:pt>
                <c:pt idx="4">
                  <c:v> 24Q1 </c:v>
                </c:pt>
                <c:pt idx="5">
                  <c:v> 24Q2 </c:v>
                </c:pt>
                <c:pt idx="6">
                  <c:v> 24Q3 </c:v>
                </c:pt>
                <c:pt idx="7">
                  <c:v> 24Q4 </c:v>
                </c:pt>
                <c:pt idx="8">
                  <c:v> 25Q1 </c:v>
                </c:pt>
                <c:pt idx="9">
                  <c:v> 25Q2 </c:v>
                </c:pt>
              </c:strCache>
            </c:strRef>
          </c:cat>
          <c:val>
            <c:numRef>
              <c:extLst>
                <c:ext xmlns:c15="http://schemas.microsoft.com/office/drawing/2012/chart" uri="{02D57815-91ED-43cb-92C2-25804820EDAC}">
                  <c15:fullRef>
                    <c15:sqref>'Quarterly Charts '!$N$103:$AD$103</c15:sqref>
                  </c15:fullRef>
                </c:ext>
              </c:extLst>
              <c:f>'Quarterly Charts '!$O$103:$AD$103</c:f>
            </c:numRef>
          </c:val>
          <c:smooth val="0"/>
          <c:extLst>
            <c:ext xmlns:c16="http://schemas.microsoft.com/office/drawing/2014/chart" uri="{C3380CC4-5D6E-409C-BE32-E72D297353CC}">
              <c16:uniqueId val="{00000000-5B93-4264-A82C-E0BA7BA8FCD3}"/>
            </c:ext>
          </c:extLst>
        </c:ser>
        <c:ser>
          <c:idx val="4"/>
          <c:order val="4"/>
          <c:tx>
            <c:strRef>
              <c:f>'Quarterly Charts '!$A$50</c:f>
              <c:strCache>
                <c:ptCount val="1"/>
                <c:pt idx="0">
                  <c:v> ABNB non-GAAP S&amp;M expenses as % of revenue </c:v>
                </c:pt>
              </c:strCache>
            </c:strRef>
          </c:tx>
          <c:spPr>
            <a:ln>
              <a:solidFill>
                <a:schemeClr val="accent2"/>
              </a:solidFill>
            </a:ln>
          </c:spPr>
          <c:marker>
            <c:spPr>
              <a:solidFill>
                <a:schemeClr val="accent2"/>
              </a:solidFill>
              <a:ln>
                <a:solidFill>
                  <a:schemeClr val="accent2"/>
                </a:solidFill>
              </a:ln>
            </c:spPr>
          </c:marker>
          <c:dLbls>
            <c:dLbl>
              <c:idx val="0"/>
              <c:delete val="1"/>
              <c:extLst>
                <c:ext xmlns:c15="http://schemas.microsoft.com/office/drawing/2012/chart" uri="{CE6537A1-D6FC-4f65-9D91-7224C49458BB}"/>
                <c:ext xmlns:c16="http://schemas.microsoft.com/office/drawing/2014/chart" uri="{C3380CC4-5D6E-409C-BE32-E72D297353CC}">
                  <c16:uniqueId val="{00000004-DF57-4454-810B-AAABBD0D2B64}"/>
                </c:ext>
              </c:extLst>
            </c:dLbl>
            <c:dLbl>
              <c:idx val="1"/>
              <c:delete val="1"/>
              <c:extLst>
                <c:ext xmlns:c15="http://schemas.microsoft.com/office/drawing/2012/chart" uri="{CE6537A1-D6FC-4f65-9D91-7224C49458BB}"/>
                <c:ext xmlns:c16="http://schemas.microsoft.com/office/drawing/2014/chart" uri="{C3380CC4-5D6E-409C-BE32-E72D297353CC}">
                  <c16:uniqueId val="{00000005-DF57-4454-810B-AAABBD0D2B64}"/>
                </c:ext>
              </c:extLst>
            </c:dLbl>
            <c:dLbl>
              <c:idx val="2"/>
              <c:delete val="1"/>
              <c:extLst>
                <c:ext xmlns:c15="http://schemas.microsoft.com/office/drawing/2012/chart" uri="{CE6537A1-D6FC-4f65-9D91-7224C49458BB}"/>
                <c:ext xmlns:c16="http://schemas.microsoft.com/office/drawing/2014/chart" uri="{C3380CC4-5D6E-409C-BE32-E72D297353CC}">
                  <c16:uniqueId val="{00000006-DF57-4454-810B-AAABBD0D2B64}"/>
                </c:ext>
              </c:extLst>
            </c:dLbl>
            <c:dLbl>
              <c:idx val="3"/>
              <c:delete val="1"/>
              <c:extLst>
                <c:ext xmlns:c15="http://schemas.microsoft.com/office/drawing/2012/chart" uri="{CE6537A1-D6FC-4f65-9D91-7224C49458BB}"/>
                <c:ext xmlns:c16="http://schemas.microsoft.com/office/drawing/2014/chart" uri="{C3380CC4-5D6E-409C-BE32-E72D297353CC}">
                  <c16:uniqueId val="{00000007-DF57-4454-810B-AAABBD0D2B64}"/>
                </c:ext>
              </c:extLst>
            </c:dLbl>
            <c:dLbl>
              <c:idx val="4"/>
              <c:delete val="1"/>
              <c:extLst>
                <c:ext xmlns:c15="http://schemas.microsoft.com/office/drawing/2012/chart" uri="{CE6537A1-D6FC-4f65-9D91-7224C49458BB}"/>
                <c:ext xmlns:c16="http://schemas.microsoft.com/office/drawing/2014/chart" uri="{C3380CC4-5D6E-409C-BE32-E72D297353CC}">
                  <c16:uniqueId val="{00000008-DF57-4454-810B-AAABBD0D2B64}"/>
                </c:ext>
              </c:extLst>
            </c:dLbl>
            <c:dLbl>
              <c:idx val="5"/>
              <c:delete val="1"/>
              <c:extLst>
                <c:ext xmlns:c15="http://schemas.microsoft.com/office/drawing/2012/chart" uri="{CE6537A1-D6FC-4f65-9D91-7224C49458BB}"/>
                <c:ext xmlns:c16="http://schemas.microsoft.com/office/drawing/2014/chart" uri="{C3380CC4-5D6E-409C-BE32-E72D297353CC}">
                  <c16:uniqueId val="{00000009-DF57-4454-810B-AAABBD0D2B64}"/>
                </c:ext>
              </c:extLst>
            </c:dLbl>
            <c:dLbl>
              <c:idx val="6"/>
              <c:delete val="1"/>
              <c:extLst>
                <c:ext xmlns:c15="http://schemas.microsoft.com/office/drawing/2012/chart" uri="{CE6537A1-D6FC-4f65-9D91-7224C49458BB}"/>
                <c:ext xmlns:c16="http://schemas.microsoft.com/office/drawing/2014/chart" uri="{C3380CC4-5D6E-409C-BE32-E72D297353CC}">
                  <c16:uniqueId val="{0000000A-DF57-4454-810B-AAABBD0D2B64}"/>
                </c:ext>
              </c:extLst>
            </c:dLbl>
            <c:dLbl>
              <c:idx val="7"/>
              <c:delete val="1"/>
              <c:extLst>
                <c:ext xmlns:c15="http://schemas.microsoft.com/office/drawing/2012/chart" uri="{CE6537A1-D6FC-4f65-9D91-7224C49458BB}"/>
                <c:ext xmlns:c16="http://schemas.microsoft.com/office/drawing/2014/chart" uri="{C3380CC4-5D6E-409C-BE32-E72D297353CC}">
                  <c16:uniqueId val="{00000001-1ED3-412A-A6C1-CD1CEBAF0B09}"/>
                </c:ext>
              </c:extLst>
            </c:dLbl>
            <c:dLbl>
              <c:idx val="8"/>
              <c:layout>
                <c:manualLayout>
                  <c:x val="-8.0039265877333617E-3"/>
                  <c:y val="2.9846235484917789E-2"/>
                </c:manualLayout>
              </c:layout>
              <c:tx>
                <c:rich>
                  <a:bodyPr wrap="square" lIns="38100" tIns="19050" rIns="38100" bIns="19050" anchor="ctr">
                    <a:spAutoFit/>
                  </a:bodyPr>
                  <a:lstStyle/>
                  <a:p>
                    <a:pPr>
                      <a:defRPr b="1"/>
                    </a:pPr>
                    <a:r>
                      <a:rPr lang="en-US" b="1" baseline="0"/>
                      <a:t>ABNB, </a:t>
                    </a:r>
                    <a:fld id="{77A1799F-90C5-4334-8FD4-4F7133FD4AFF}" type="VALUE">
                      <a:rPr lang="en-US" altLang="zh-CN" b="1" baseline="0"/>
                      <a:pPr>
                        <a:defRPr b="1"/>
                      </a:pPr>
                      <a:t>[值]</a:t>
                    </a:fld>
                    <a:endParaRPr lang="en-US" b="1" baseline="0"/>
                  </a:p>
                </c:rich>
              </c:tx>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 xmlns:c16="http://schemas.microsoft.com/office/drawing/2014/chart" uri="{C3380CC4-5D6E-409C-BE32-E72D297353CC}">
                  <c16:uniqueId val="{0000000B-DF57-4454-810B-AAABBD0D2B64}"/>
                </c:ext>
              </c:extLst>
            </c:dLbl>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'!$R$50:$AQ$50</c15:sqref>
                  </c15:fullRef>
                </c:ext>
              </c:extLst>
              <c:f>'Quarterly Charts '!$S$50:$AQ$50</c:f>
              <c:numCache>
                <c:formatCode>0%</c:formatCode>
                <c:ptCount val="9"/>
                <c:pt idx="0">
                  <c:v>0.31478612943466056</c:v>
                </c:pt>
                <c:pt idx="1">
                  <c:v>0.25740675590198092</c:v>
                </c:pt>
                <c:pt idx="2">
                  <c:v>0.38866060231515104</c:v>
                </c:pt>
                <c:pt idx="3" formatCode="0.0%">
                  <c:v>0.22362278244631187</c:v>
                </c:pt>
                <c:pt idx="4" formatCode="0.0%">
                  <c:v>0.19177583697234352</c:v>
                </c:pt>
                <c:pt idx="5" formatCode="0.0%">
                  <c:v>0.12620578778135047</c:v>
                </c:pt>
                <c:pt idx="6" formatCode="0.0%">
                  <c:v>0.20201612903225807</c:v>
                </c:pt>
                <c:pt idx="7" formatCode="0.0%">
                  <c:v>0.22843309859154928</c:v>
                </c:pt>
                <c:pt idx="8" formatCode="0.0%">
                  <c:v>0.20639534883720931</c:v>
                </c:pt>
              </c:numCache>
            </c:numRef>
          </c:val>
          <c:smooth val="0"/>
          <c:extLst>
            <c:ext xmlns:c16="http://schemas.microsoft.com/office/drawing/2014/chart" uri="{C3380CC4-5D6E-409C-BE32-E72D297353CC}">
              <c16:uniqueId val="{00000000-A1EE-414F-850A-43A96961B9C7}"/>
            </c:ext>
          </c:extLst>
        </c:ser>
        <c:dLbls>
          <c:showLegendKey val="0"/>
          <c:showVal val="0"/>
          <c:showCatName val="0"/>
          <c:showSerName val="0"/>
          <c:showPercent val="0"/>
          <c:showBubbleSize val="0"/>
        </c:dLbls>
        <c:marker val="1"/>
        <c:smooth val="0"/>
        <c:axId val="-530918320"/>
        <c:axId val="-530149840"/>
      </c:lineChart>
      <c:catAx>
        <c:axId val="-530918320"/>
        <c:scaling>
          <c:orientation val="minMax"/>
        </c:scaling>
        <c:delete val="0"/>
        <c:axPos val="b"/>
        <c:numFmt formatCode="General" sourceLinked="0"/>
        <c:majorTickMark val="out"/>
        <c:minorTickMark val="none"/>
        <c:tickLblPos val="nextTo"/>
        <c:txPr>
          <a:bodyPr/>
          <a:lstStyle/>
          <a:p>
            <a:pPr>
              <a:defRPr b="1"/>
            </a:pPr>
            <a:endParaRPr lang="zh-CN"/>
          </a:p>
        </c:txPr>
        <c:crossAx val="-530149840"/>
        <c:crosses val="autoZero"/>
        <c:auto val="1"/>
        <c:lblAlgn val="ctr"/>
        <c:lblOffset val="100"/>
        <c:noMultiLvlLbl val="0"/>
      </c:catAx>
      <c:valAx>
        <c:axId val="-530149840"/>
        <c:scaling>
          <c:orientation val="minMax"/>
        </c:scaling>
        <c:delete val="0"/>
        <c:axPos val="l"/>
        <c:numFmt formatCode="0%" sourceLinked="0"/>
        <c:majorTickMark val="out"/>
        <c:minorTickMark val="none"/>
        <c:tickLblPos val="nextTo"/>
        <c:crossAx val="-53091832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zh-CN"/>
              <a:t>ABNB/BKNG/EXPE/TCOM Adj.EBITDA</a:t>
            </a:r>
            <a:r>
              <a:rPr lang="en-US" altLang="zh-CN" baseline="0"/>
              <a:t> Margin</a:t>
            </a:r>
            <a:endParaRPr lang="zh-CN" altLang="en-US"/>
          </a:p>
        </c:rich>
      </c:tx>
      <c:overlay val="0"/>
    </c:title>
    <c:autoTitleDeleted val="0"/>
    <c:plotArea>
      <c:layout>
        <c:manualLayout>
          <c:layoutTarget val="inner"/>
          <c:xMode val="edge"/>
          <c:yMode val="edge"/>
          <c:x val="5.7463700973963638E-2"/>
          <c:y val="0.13011641655563608"/>
          <c:w val="0.88109747549065609"/>
          <c:h val="0.83555126691755688"/>
        </c:manualLayout>
      </c:layout>
      <c:lineChart>
        <c:grouping val="standard"/>
        <c:varyColors val="0"/>
        <c:ser>
          <c:idx val="2"/>
          <c:order val="0"/>
          <c:tx>
            <c:strRef>
              <c:f>'Quarterly Charts '!$A$35</c:f>
              <c:strCache>
                <c:ptCount val="1"/>
                <c:pt idx="0">
                  <c:v> TCOM Adj. EBITDA Margin </c:v>
                </c:pt>
              </c:strCache>
            </c:strRef>
          </c:tx>
          <c:spPr>
            <a:ln>
              <a:solidFill>
                <a:schemeClr val="accent5"/>
              </a:solidFill>
            </a:ln>
          </c:spPr>
          <c:marker>
            <c:spPr>
              <a:solidFill>
                <a:schemeClr val="accent5"/>
              </a:solidFill>
              <a:ln>
                <a:solidFill>
                  <a:schemeClr val="accent5"/>
                </a:solidFill>
              </a:ln>
            </c:spPr>
          </c:marker>
          <c:dLbls>
            <c:dLbl>
              <c:idx val="0"/>
              <c:delete val="1"/>
              <c:extLst>
                <c:ext xmlns:c15="http://schemas.microsoft.com/office/drawing/2012/chart" uri="{CE6537A1-D6FC-4f65-9D91-7224C49458BB}"/>
                <c:ext xmlns:c16="http://schemas.microsoft.com/office/drawing/2014/chart" uri="{C3380CC4-5D6E-409C-BE32-E72D297353CC}">
                  <c16:uniqueId val="{0000000B-DB41-4700-B458-4BD7EE0747D2}"/>
                </c:ext>
              </c:extLst>
            </c:dLbl>
            <c:dLbl>
              <c:idx val="1"/>
              <c:delete val="1"/>
              <c:extLst>
                <c:ext xmlns:c15="http://schemas.microsoft.com/office/drawing/2012/chart" uri="{CE6537A1-D6FC-4f65-9D91-7224C49458BB}"/>
                <c:ext xmlns:c16="http://schemas.microsoft.com/office/drawing/2014/chart" uri="{C3380CC4-5D6E-409C-BE32-E72D297353CC}">
                  <c16:uniqueId val="{0000000A-DB41-4700-B458-4BD7EE0747D2}"/>
                </c:ext>
              </c:extLst>
            </c:dLbl>
            <c:dLbl>
              <c:idx val="2"/>
              <c:delete val="1"/>
              <c:extLst>
                <c:ext xmlns:c15="http://schemas.microsoft.com/office/drawing/2012/chart" uri="{CE6537A1-D6FC-4f65-9D91-7224C49458BB}"/>
                <c:ext xmlns:c16="http://schemas.microsoft.com/office/drawing/2014/chart" uri="{C3380CC4-5D6E-409C-BE32-E72D297353CC}">
                  <c16:uniqueId val="{00000009-DB41-4700-B458-4BD7EE0747D2}"/>
                </c:ext>
              </c:extLst>
            </c:dLbl>
            <c:dLbl>
              <c:idx val="3"/>
              <c:delete val="1"/>
              <c:extLst>
                <c:ext xmlns:c15="http://schemas.microsoft.com/office/drawing/2012/chart" uri="{CE6537A1-D6FC-4f65-9D91-7224C49458BB}"/>
                <c:ext xmlns:c16="http://schemas.microsoft.com/office/drawing/2014/chart" uri="{C3380CC4-5D6E-409C-BE32-E72D297353CC}">
                  <c16:uniqueId val="{00000008-DB41-4700-B458-4BD7EE0747D2}"/>
                </c:ext>
              </c:extLst>
            </c:dLbl>
            <c:dLbl>
              <c:idx val="4"/>
              <c:delete val="1"/>
              <c:extLst>
                <c:ext xmlns:c15="http://schemas.microsoft.com/office/drawing/2012/chart" uri="{CE6537A1-D6FC-4f65-9D91-7224C49458BB}"/>
                <c:ext xmlns:c16="http://schemas.microsoft.com/office/drawing/2014/chart" uri="{C3380CC4-5D6E-409C-BE32-E72D297353CC}">
                  <c16:uniqueId val="{00000007-DB41-4700-B458-4BD7EE0747D2}"/>
                </c:ext>
              </c:extLst>
            </c:dLbl>
            <c:dLbl>
              <c:idx val="5"/>
              <c:delete val="1"/>
              <c:extLst>
                <c:ext xmlns:c15="http://schemas.microsoft.com/office/drawing/2012/chart" uri="{CE6537A1-D6FC-4f65-9D91-7224C49458BB}"/>
                <c:ext xmlns:c16="http://schemas.microsoft.com/office/drawing/2014/chart" uri="{C3380CC4-5D6E-409C-BE32-E72D297353CC}">
                  <c16:uniqueId val="{00000006-DB41-4700-B458-4BD7EE0747D2}"/>
                </c:ext>
              </c:extLst>
            </c:dLbl>
            <c:dLbl>
              <c:idx val="6"/>
              <c:delete val="1"/>
              <c:extLst>
                <c:ext xmlns:c15="http://schemas.microsoft.com/office/drawing/2012/chart" uri="{CE6537A1-D6FC-4f65-9D91-7224C49458BB}"/>
                <c:ext xmlns:c16="http://schemas.microsoft.com/office/drawing/2014/chart" uri="{C3380CC4-5D6E-409C-BE32-E72D297353CC}">
                  <c16:uniqueId val="{00000005-DB41-4700-B458-4BD7EE0747D2}"/>
                </c:ext>
              </c:extLst>
            </c:dLbl>
            <c:dLbl>
              <c:idx val="7"/>
              <c:delete val="1"/>
              <c:extLst>
                <c:ext xmlns:c15="http://schemas.microsoft.com/office/drawing/2012/chart" uri="{CE6537A1-D6FC-4f65-9D91-7224C49458BB}"/>
                <c:ext xmlns:c16="http://schemas.microsoft.com/office/drawing/2014/chart" uri="{C3380CC4-5D6E-409C-BE32-E72D297353CC}">
                  <c16:uniqueId val="{00000002-1C8C-4958-8781-9E9576F7544E}"/>
                </c:ext>
              </c:extLst>
            </c:dLbl>
            <c:dLbl>
              <c:idx val="8"/>
              <c:layout>
                <c:manualLayout>
                  <c:x val="-1.6968417232803878E-3"/>
                  <c:y val="3.8930131143373944E-2"/>
                </c:manualLayout>
              </c:layout>
              <c:tx>
                <c:rich>
                  <a:bodyPr wrap="square" lIns="38100" tIns="19050" rIns="38100" bIns="19050" anchor="ctr">
                    <a:spAutoFit/>
                  </a:bodyPr>
                  <a:lstStyle/>
                  <a:p>
                    <a:pPr>
                      <a:defRPr b="1"/>
                    </a:pPr>
                    <a:r>
                      <a:rPr lang="en-US" b="1" baseline="0"/>
                      <a:t>TCOM, </a:t>
                    </a:r>
                    <a:fld id="{D60B463F-B12F-49DA-B55B-70F1739EC536}" type="VALUE">
                      <a:rPr lang="en-US" altLang="zh-CN" b="1" baseline="0"/>
                      <a:pPr>
                        <a:defRPr b="1"/>
                      </a:pPr>
                      <a:t>[值]</a:t>
                    </a:fld>
                    <a:endParaRPr lang="en-US" b="1" baseline="0"/>
                  </a:p>
                </c:rich>
              </c:tx>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 xmlns:c16="http://schemas.microsoft.com/office/drawing/2014/chart" uri="{C3380CC4-5D6E-409C-BE32-E72D297353CC}">
                  <c16:uniqueId val="{00000004-DB41-4700-B458-4BD7EE0747D2}"/>
                </c:ext>
              </c:extLst>
            </c:dLbl>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'!$R$35:$AQ$35</c15:sqref>
                  </c15:fullRef>
                </c:ext>
              </c:extLst>
              <c:f>'Quarterly Charts '!$S$35:$AQ$35</c:f>
              <c:numCache>
                <c:formatCode>0.0%</c:formatCode>
                <c:ptCount val="9"/>
                <c:pt idx="0">
                  <c:v>0.22948591542975491</c:v>
                </c:pt>
                <c:pt idx="1">
                  <c:v>0.27798327835051551</c:v>
                </c:pt>
                <c:pt idx="2">
                  <c:v>0.15748521031793641</c:v>
                </c:pt>
                <c:pt idx="3">
                  <c:v>0.33378802721620654</c:v>
                </c:pt>
                <c:pt idx="4">
                  <c:v>0.34743674696817722</c:v>
                </c:pt>
                <c:pt idx="5">
                  <c:v>0.35792428339686888</c:v>
                </c:pt>
                <c:pt idx="6">
                  <c:v>0.23371597437090086</c:v>
                </c:pt>
                <c:pt idx="7">
                  <c:v>0.30714014153808444</c:v>
                </c:pt>
                <c:pt idx="8">
                  <c:v>0.3287021715004404</c:v>
                </c:pt>
              </c:numCache>
            </c:numRef>
          </c:val>
          <c:smooth val="0"/>
          <c:extLst>
            <c:ext xmlns:c16="http://schemas.microsoft.com/office/drawing/2014/chart" uri="{C3380CC4-5D6E-409C-BE32-E72D297353CC}">
              <c16:uniqueId val="{00000004-E6D6-43AF-B00C-D90DDBA733AC}"/>
            </c:ext>
          </c:extLst>
        </c:ser>
        <c:ser>
          <c:idx val="0"/>
          <c:order val="1"/>
          <c:tx>
            <c:strRef>
              <c:f>'Quarterly Charts '!$A$10</c:f>
              <c:strCache>
                <c:ptCount val="1"/>
                <c:pt idx="0">
                  <c:v> BKNG Adj. EBITDA margin </c:v>
                </c:pt>
              </c:strCache>
            </c:strRef>
          </c:tx>
          <c:spPr>
            <a:ln>
              <a:solidFill>
                <a:schemeClr val="tx2"/>
              </a:solidFill>
            </a:ln>
          </c:spPr>
          <c:marker>
            <c:spPr>
              <a:solidFill>
                <a:schemeClr val="tx2"/>
              </a:solidFill>
              <a:ln>
                <a:solidFill>
                  <a:schemeClr val="tx2"/>
                </a:solidFill>
              </a:ln>
            </c:spPr>
          </c:marker>
          <c:dLbls>
            <c:dLbl>
              <c:idx val="8"/>
              <c:layout>
                <c:manualLayout>
                  <c:x val="-9.1629453057141069E-2"/>
                  <c:y val="-6.8876385869046236E-2"/>
                </c:manualLayout>
              </c:layout>
              <c:tx>
                <c:rich>
                  <a:bodyPr wrap="square" lIns="38100" tIns="19050" rIns="38100" bIns="19050" anchor="ctr">
                    <a:spAutoFit/>
                  </a:bodyPr>
                  <a:lstStyle/>
                  <a:p>
                    <a:pPr>
                      <a:defRPr b="1"/>
                    </a:pPr>
                    <a:r>
                      <a:rPr lang="en-US" b="1" baseline="0"/>
                      <a:t>BKNG, </a:t>
                    </a:r>
                    <a:fld id="{D0C512E1-EE9A-481B-A416-3D6E3F4EBF94}" type="VALUE">
                      <a:rPr lang="en-US" altLang="zh-CN" b="1" baseline="0"/>
                      <a:pPr>
                        <a:defRPr b="1"/>
                      </a:pPr>
                      <a:t>[值]</a:t>
                    </a:fld>
                    <a:endParaRPr lang="en-US" b="1" baseline="0"/>
                  </a:p>
                </c:rich>
              </c:tx>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 xmlns:c16="http://schemas.microsoft.com/office/drawing/2014/chart" uri="{C3380CC4-5D6E-409C-BE32-E72D297353CC}">
                  <c16:uniqueId val="{00000003-DB41-4700-B458-4BD7EE0747D2}"/>
                </c:ext>
              </c:extLst>
            </c:dLbl>
            <c:spPr>
              <a:solidFill>
                <a:sysClr val="window" lastClr="FFFFFF"/>
              </a:solidFill>
              <a:ln>
                <a:solidFill>
                  <a:sysClr val="windowText" lastClr="000000">
                    <a:lumMod val="65000"/>
                    <a:lumOff val="35000"/>
                  </a:sysClr>
                </a:solid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'!$R$10:$AQ$10</c15:sqref>
                  </c15:fullRef>
                </c:ext>
              </c:extLst>
              <c:f>'Quarterly Charts '!$S$10:$AQ$10</c:f>
              <c:numCache>
                <c:formatCode>0.0%</c:formatCode>
                <c:ptCount val="9"/>
                <c:pt idx="0">
                  <c:v>0.35662337662337662</c:v>
                </c:pt>
                <c:pt idx="1">
                  <c:v>0.49246031746031749</c:v>
                </c:pt>
                <c:pt idx="2">
                  <c:v>0.38394728960766694</c:v>
                </c:pt>
                <c:pt idx="3">
                  <c:v>0.20339750849377122</c:v>
                </c:pt>
                <c:pt idx="4">
                  <c:v>0.32400000000000001</c:v>
                </c:pt>
                <c:pt idx="5">
                  <c:v>0.45800000000000002</c:v>
                </c:pt>
                <c:pt idx="6">
                  <c:v>0.3377721613370484</c:v>
                </c:pt>
                <c:pt idx="7">
                  <c:v>0.22900000000000001</c:v>
                </c:pt>
                <c:pt idx="8">
                  <c:v>0.35599999999999998</c:v>
                </c:pt>
              </c:numCache>
            </c:numRef>
          </c:val>
          <c:smooth val="0"/>
          <c:extLst>
            <c:ext xmlns:c16="http://schemas.microsoft.com/office/drawing/2014/chart" uri="{C3380CC4-5D6E-409C-BE32-E72D297353CC}">
              <c16:uniqueId val="{00000001-E6D6-43AF-B00C-D90DDBA733AC}"/>
            </c:ext>
          </c:extLst>
        </c:ser>
        <c:ser>
          <c:idx val="1"/>
          <c:order val="2"/>
          <c:tx>
            <c:strRef>
              <c:f>'Quarterly Charts '!$A$23</c:f>
              <c:strCache>
                <c:ptCount val="1"/>
                <c:pt idx="0">
                  <c:v> EXPE Adj. EBITDA margin </c:v>
                </c:pt>
              </c:strCache>
            </c:strRef>
          </c:tx>
          <c:spPr>
            <a:ln>
              <a:solidFill>
                <a:schemeClr val="accent6"/>
              </a:solidFill>
            </a:ln>
          </c:spPr>
          <c:marker>
            <c:spPr>
              <a:solidFill>
                <a:schemeClr val="accent6"/>
              </a:solidFill>
              <a:ln>
                <a:solidFill>
                  <a:schemeClr val="accent6"/>
                </a:solidFill>
              </a:ln>
            </c:spPr>
          </c:marker>
          <c:dLbls>
            <c:dLbl>
              <c:idx val="8"/>
              <c:layout>
                <c:manualLayout>
                  <c:x val="-3.2239992742327368E-2"/>
                  <c:y val="6.288713492391175E-2"/>
                </c:manualLayout>
              </c:layout>
              <c:tx>
                <c:rich>
                  <a:bodyPr/>
                  <a:lstStyle/>
                  <a:p>
                    <a:r>
                      <a:rPr lang="en-US" baseline="0"/>
                      <a:t>EXPE, </a:t>
                    </a:r>
                    <a:fld id="{6F056FDF-A10E-471C-B8DD-94FFC1F2F35F}" type="VALUE">
                      <a:rPr lang="en-US" altLang="zh-CN" baseline="0"/>
                      <a:pPr/>
                      <a:t>[值]</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B41-4700-B458-4BD7EE0747D2}"/>
                </c:ext>
              </c:extLst>
            </c:dLbl>
            <c:dLbl>
              <c:idx val="10"/>
              <c:layout>
                <c:manualLayout>
                  <c:x val="-7.4843882237215636E-2"/>
                  <c:y val="6.5187842715876645E-2"/>
                </c:manualLayout>
              </c:layout>
              <c:tx>
                <c:rich>
                  <a:bodyPr/>
                  <a:lstStyle/>
                  <a:p>
                    <a:r>
                      <a:rPr lang="en-US" altLang="zh-CN"/>
                      <a:t>EXPE</a:t>
                    </a:r>
                    <a:r>
                      <a:rPr lang="en-US" altLang="zh-CN" baseline="0"/>
                      <a:t>, </a:t>
                    </a:r>
                    <a:fld id="{2DA52730-26C6-4C1E-AA43-59F4C80413AD}" type="VALUE">
                      <a:rPr lang="en-US" altLang="zh-CN" baseline="0"/>
                      <a:pPr/>
                      <a:t>[值]</a:t>
                    </a:fld>
                    <a:endParaRPr lang="en-US" altLang="zh-CN"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2020-4893-90D1-9A78FAEBB8F3}"/>
                </c:ext>
              </c:extLst>
            </c:dLbl>
            <c:dLbl>
              <c:idx val="14"/>
              <c:layout>
                <c:manualLayout>
                  <c:x val="-4.9229286974663285E-2"/>
                  <c:y val="6.2887134923911694E-2"/>
                </c:manualLayout>
              </c:layout>
              <c:tx>
                <c:rich>
                  <a:bodyPr/>
                  <a:lstStyle/>
                  <a:p>
                    <a:r>
                      <a:rPr lang="en-US" altLang="zh-CN" baseline="0"/>
                      <a:t>EXPE, </a:t>
                    </a:r>
                    <a:fld id="{5D443385-58EA-43F1-ACAA-F7665BF9DBF3}" type="VALUE">
                      <a:rPr lang="en-US" altLang="zh-CN" baseline="0"/>
                      <a:pPr/>
                      <a:t>[值]</a:t>
                    </a:fld>
                    <a:endParaRPr lang="en-US" altLang="zh-CN"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020-4893-90D1-9A78FAEBB8F3}"/>
                </c:ext>
              </c:extLst>
            </c:dLbl>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b="1"/>
                </a:pPr>
                <a:endParaRPr lang="zh-C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'!$R$23:$AQ$23</c15:sqref>
                  </c15:fullRef>
                </c:ext>
              </c:extLst>
              <c:f>'Quarterly Charts '!$S$23:$AQ$23</c:f>
              <c:numCache>
                <c:formatCode>0.0%</c:formatCode>
                <c:ptCount val="9"/>
                <c:pt idx="0">
                  <c:v>0.18014589280050744</c:v>
                </c:pt>
                <c:pt idx="1">
                  <c:v>0.25632377740303541</c:v>
                </c:pt>
                <c:pt idx="2">
                  <c:v>0.17400800873680378</c:v>
                </c:pt>
                <c:pt idx="3">
                  <c:v>8.8265835929387332E-2</c:v>
                </c:pt>
                <c:pt idx="4">
                  <c:v>0.22091062394603711</c:v>
                </c:pt>
                <c:pt idx="5">
                  <c:v>0.30788177339901479</c:v>
                </c:pt>
                <c:pt idx="6">
                  <c:v>0.20194723618090452</c:v>
                </c:pt>
                <c:pt idx="7">
                  <c:v>9.906291834002677E-2</c:v>
                </c:pt>
                <c:pt idx="8">
                  <c:v>0.23983095615425251</c:v>
                </c:pt>
              </c:numCache>
            </c:numRef>
          </c:val>
          <c:smooth val="0"/>
          <c:extLst>
            <c:ext xmlns:c16="http://schemas.microsoft.com/office/drawing/2014/chart" uri="{C3380CC4-5D6E-409C-BE32-E72D297353CC}">
              <c16:uniqueId val="{00000003-E6D6-43AF-B00C-D90DDBA733AC}"/>
            </c:ext>
          </c:extLst>
        </c:ser>
        <c:ser>
          <c:idx val="3"/>
          <c:order val="3"/>
          <c:tx>
            <c:strRef>
              <c:f>'Quarterly Charts '!$A$103</c:f>
              <c:strCache>
                <c:ptCount val="1"/>
                <c:pt idx="0">
                  <c:v> ABNB non-GAAP S&amp;M expenses as % of revenue </c:v>
                </c:pt>
              </c:strCache>
            </c:strRef>
          </c:tx>
          <c:dLbls>
            <c:dLbl>
              <c:idx val="15"/>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D6-43AF-B00C-D90DDBA733AC}"/>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'Quarterly Charts '!$R$2:$AQ$2</c15:sqref>
                  </c15:fullRef>
                </c:ext>
              </c:extLst>
              <c:f>'Quarterly Charts '!$S$2:$AQ$2</c:f>
              <c:strCache>
                <c:ptCount val="9"/>
                <c:pt idx="0">
                  <c:v> 19Q1 </c:v>
                </c:pt>
                <c:pt idx="1">
                  <c:v> 19Q2 </c:v>
                </c:pt>
                <c:pt idx="2">
                  <c:v> 19Q3 </c:v>
                </c:pt>
                <c:pt idx="3">
                  <c:v> 19Q4 </c:v>
                </c:pt>
                <c:pt idx="4">
                  <c:v> 24Q1 </c:v>
                </c:pt>
                <c:pt idx="5">
                  <c:v> 24Q2 </c:v>
                </c:pt>
                <c:pt idx="6">
                  <c:v> 24Q3 </c:v>
                </c:pt>
                <c:pt idx="7">
                  <c:v> 24Q4 </c:v>
                </c:pt>
                <c:pt idx="8">
                  <c:v> 25Q1 </c:v>
                </c:pt>
                <c:pt idx="9">
                  <c:v> 25Q2 </c:v>
                </c:pt>
              </c:strCache>
            </c:strRef>
          </c:cat>
          <c:val>
            <c:numRef>
              <c:extLst>
                <c:ext xmlns:c15="http://schemas.microsoft.com/office/drawing/2012/chart" uri="{02D57815-91ED-43cb-92C2-25804820EDAC}">
                  <c15:fullRef>
                    <c15:sqref>'Quarterly Charts '!$N$103:$AD$103</c15:sqref>
                  </c15:fullRef>
                </c:ext>
              </c:extLst>
              <c:f>'Quarterly Charts '!$O$103:$AD$103</c:f>
            </c:numRef>
          </c:val>
          <c:smooth val="0"/>
          <c:extLst>
            <c:ext xmlns:c16="http://schemas.microsoft.com/office/drawing/2014/chart" uri="{C3380CC4-5D6E-409C-BE32-E72D297353CC}">
              <c16:uniqueId val="{00000006-E6D6-43AF-B00C-D90DDBA733AC}"/>
            </c:ext>
          </c:extLst>
        </c:ser>
        <c:ser>
          <c:idx val="4"/>
          <c:order val="4"/>
          <c:tx>
            <c:strRef>
              <c:f>'Quarterly Charts '!$A$47</c:f>
              <c:strCache>
                <c:ptCount val="1"/>
                <c:pt idx="0">
                  <c:v> ABNB Adj. EBITDA Margin </c:v>
                </c:pt>
              </c:strCache>
            </c:strRef>
          </c:tx>
          <c:spPr>
            <a:ln>
              <a:solidFill>
                <a:schemeClr val="accent2"/>
              </a:solidFill>
            </a:ln>
          </c:spPr>
          <c:marker>
            <c:spPr>
              <a:solidFill>
                <a:schemeClr val="accent2"/>
              </a:solidFill>
              <a:ln>
                <a:solidFill>
                  <a:schemeClr val="accent2"/>
                </a:solidFill>
              </a:ln>
            </c:spPr>
          </c:marker>
          <c:dLbls>
            <c:dLbl>
              <c:idx val="8"/>
              <c:layout>
                <c:manualLayout>
                  <c:x val="-1.2443362223940601E-16"/>
                  <c:y val="-2.0962378307970583E-2"/>
                </c:manualLayout>
              </c:layout>
              <c:tx>
                <c:rich>
                  <a:bodyPr wrap="square" lIns="38100" tIns="19050" rIns="38100" bIns="19050" anchor="ctr">
                    <a:spAutoFit/>
                  </a:bodyPr>
                  <a:lstStyle/>
                  <a:p>
                    <a:pPr>
                      <a:defRPr b="1"/>
                    </a:pPr>
                    <a:r>
                      <a:rPr lang="en-US" b="1" baseline="0"/>
                      <a:t>ABNB, </a:t>
                    </a:r>
                    <a:fld id="{3307295F-22C7-4546-985A-F35800253775}" type="VALUE">
                      <a:rPr lang="en-US" altLang="zh-CN" b="1" baseline="0"/>
                      <a:pPr>
                        <a:defRPr b="1"/>
                      </a:pPr>
                      <a:t>[值]</a:t>
                    </a:fld>
                    <a:endParaRPr lang="en-US" b="1" baseline="0"/>
                  </a:p>
                </c:rich>
              </c:tx>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 xmlns:c16="http://schemas.microsoft.com/office/drawing/2014/chart" uri="{C3380CC4-5D6E-409C-BE32-E72D297353CC}">
                  <c16:uniqueId val="{00000002-DB41-4700-B458-4BD7EE0747D2}"/>
                </c:ext>
              </c:extLst>
            </c:dLbl>
            <c:spPr>
              <a:solidFill>
                <a:sysClr val="window" lastClr="FFFFFF"/>
              </a:solidFill>
              <a:ln>
                <a:solidFill>
                  <a:sysClr val="windowText" lastClr="000000">
                    <a:lumMod val="65000"/>
                    <a:lumOff val="35000"/>
                  </a:sysClr>
                </a:solid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'!$R$47:$AQ$47</c15:sqref>
                  </c15:fullRef>
                </c:ext>
              </c:extLst>
              <c:f>'Quarterly Charts '!$S$47:$AQ$47</c:f>
              <c:numCache>
                <c:formatCode>0.0%</c:formatCode>
                <c:ptCount val="9"/>
                <c:pt idx="0">
                  <c:v>-3.5093327884331754E-2</c:v>
                </c:pt>
                <c:pt idx="1">
                  <c:v>0.19053981714234328</c:v>
                </c:pt>
                <c:pt idx="2">
                  <c:v>-0.24971720172461773</c:v>
                </c:pt>
                <c:pt idx="3">
                  <c:v>0.19794584500466852</c:v>
                </c:pt>
                <c:pt idx="4">
                  <c:v>0.32532751091703055</c:v>
                </c:pt>
                <c:pt idx="5">
                  <c:v>0.52465166130760987</c:v>
                </c:pt>
                <c:pt idx="6">
                  <c:v>0.30846774193548387</c:v>
                </c:pt>
                <c:pt idx="7">
                  <c:v>0.18353873239436619</c:v>
                </c:pt>
                <c:pt idx="8">
                  <c:v>0.33688630490956073</c:v>
                </c:pt>
              </c:numCache>
            </c:numRef>
          </c:val>
          <c:smooth val="0"/>
          <c:extLst>
            <c:ext xmlns:c16="http://schemas.microsoft.com/office/drawing/2014/chart" uri="{C3380CC4-5D6E-409C-BE32-E72D297353CC}">
              <c16:uniqueId val="{00000007-E6D6-43AF-B00C-D90DDBA733AC}"/>
            </c:ext>
          </c:extLst>
        </c:ser>
        <c:dLbls>
          <c:showLegendKey val="0"/>
          <c:showVal val="0"/>
          <c:showCatName val="0"/>
          <c:showSerName val="0"/>
          <c:showPercent val="0"/>
          <c:showBubbleSize val="0"/>
        </c:dLbls>
        <c:marker val="1"/>
        <c:smooth val="0"/>
        <c:axId val="-530918320"/>
        <c:axId val="-530149840"/>
      </c:lineChart>
      <c:catAx>
        <c:axId val="-530918320"/>
        <c:scaling>
          <c:orientation val="minMax"/>
        </c:scaling>
        <c:delete val="0"/>
        <c:axPos val="b"/>
        <c:numFmt formatCode="General" sourceLinked="0"/>
        <c:majorTickMark val="out"/>
        <c:minorTickMark val="none"/>
        <c:tickLblPos val="nextTo"/>
        <c:txPr>
          <a:bodyPr/>
          <a:lstStyle/>
          <a:p>
            <a:pPr>
              <a:defRPr b="1"/>
            </a:pPr>
            <a:endParaRPr lang="zh-CN"/>
          </a:p>
        </c:txPr>
        <c:crossAx val="-530149840"/>
        <c:crosses val="autoZero"/>
        <c:auto val="1"/>
        <c:lblAlgn val="ctr"/>
        <c:lblOffset val="100"/>
        <c:noMultiLvlLbl val="0"/>
      </c:catAx>
      <c:valAx>
        <c:axId val="-530149840"/>
        <c:scaling>
          <c:orientation val="minMax"/>
          <c:max val="0.60000000000000009"/>
          <c:min val="-0.60000000000000009"/>
        </c:scaling>
        <c:delete val="0"/>
        <c:axPos val="l"/>
        <c:numFmt formatCode="0%" sourceLinked="0"/>
        <c:majorTickMark val="out"/>
        <c:minorTickMark val="none"/>
        <c:tickLblPos val="nextTo"/>
        <c:crossAx val="-530918320"/>
        <c:crosses val="autoZero"/>
        <c:crossBetween val="between"/>
        <c:majorUnit val="0.2"/>
      </c:valAx>
    </c:plotArea>
    <c:legend>
      <c:legendPos val="b"/>
      <c:layout>
        <c:manualLayout>
          <c:xMode val="edge"/>
          <c:yMode val="edge"/>
          <c:x val="0.12846146655621349"/>
          <c:y val="0.82716442133023504"/>
          <c:w val="0.80959865629610051"/>
          <c:h val="0.11736341739573974"/>
        </c:manualLayout>
      </c:layout>
      <c:overlay val="0"/>
    </c:legend>
    <c:plotVisOnly val="1"/>
    <c:dispBlanksAs val="gap"/>
    <c:showDLblsOverMax val="0"/>
  </c:chart>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zh-CN"/>
              <a:t>ABNB/BKNG/EXPE/TCOM GAAP OP </a:t>
            </a:r>
            <a:r>
              <a:rPr lang="en-US" altLang="zh-CN" baseline="0"/>
              <a:t>Margin</a:t>
            </a:r>
            <a:endParaRPr lang="zh-CN" altLang="en-US"/>
          </a:p>
        </c:rich>
      </c:tx>
      <c:overlay val="0"/>
    </c:title>
    <c:autoTitleDeleted val="0"/>
    <c:plotArea>
      <c:layout>
        <c:manualLayout>
          <c:layoutTarget val="inner"/>
          <c:xMode val="edge"/>
          <c:yMode val="edge"/>
          <c:x val="5.7463700973963638E-2"/>
          <c:y val="0.13011641655563608"/>
          <c:w val="0.88109747549065609"/>
          <c:h val="0.83555126691755688"/>
        </c:manualLayout>
      </c:layout>
      <c:lineChart>
        <c:grouping val="standard"/>
        <c:varyColors val="0"/>
        <c:ser>
          <c:idx val="2"/>
          <c:order val="0"/>
          <c:tx>
            <c:strRef>
              <c:f>'Quarterly Charts '!$A$41</c:f>
              <c:strCache>
                <c:ptCount val="1"/>
                <c:pt idx="0">
                  <c:v> TCOM GAAP OPM </c:v>
                </c:pt>
              </c:strCache>
            </c:strRef>
          </c:tx>
          <c:spPr>
            <a:ln>
              <a:solidFill>
                <a:schemeClr val="accent5"/>
              </a:solidFill>
            </a:ln>
          </c:spPr>
          <c:marker>
            <c:spPr>
              <a:solidFill>
                <a:schemeClr val="accent5"/>
              </a:solidFill>
              <a:ln>
                <a:solidFill>
                  <a:schemeClr val="accent5"/>
                </a:solidFill>
              </a:ln>
            </c:spPr>
          </c:marker>
          <c:dLbls>
            <c:dLbl>
              <c:idx val="8"/>
              <c:tx>
                <c:rich>
                  <a:bodyPr wrap="square" lIns="38100" tIns="19050" rIns="38100" bIns="19050" anchor="ctr">
                    <a:spAutoFit/>
                  </a:bodyPr>
                  <a:lstStyle/>
                  <a:p>
                    <a:pPr>
                      <a:defRPr b="1"/>
                    </a:pPr>
                    <a:r>
                      <a:rPr lang="en-US" b="1" baseline="0"/>
                      <a:t>TCOM, </a:t>
                    </a:r>
                    <a:fld id="{1E527583-DD7D-4AF5-A602-042A3A11432D}" type="VALUE">
                      <a:rPr lang="en-US" altLang="zh-CN" b="1" baseline="0"/>
                      <a:pPr>
                        <a:defRPr b="1"/>
                      </a:pPr>
                      <a:t>[值]</a:t>
                    </a:fld>
                    <a:endParaRPr lang="en-US" b="1" baseline="0"/>
                  </a:p>
                </c:rich>
              </c:tx>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 xmlns:c16="http://schemas.microsoft.com/office/drawing/2014/chart" uri="{C3380CC4-5D6E-409C-BE32-E72D297353CC}">
                  <c16:uniqueId val="{00000003-E66E-44A5-808B-EB3E724C7568}"/>
                </c:ext>
              </c:extLst>
            </c:dLbl>
            <c:spPr>
              <a:solidFill>
                <a:sysClr val="window" lastClr="FFFFFF"/>
              </a:solidFill>
              <a:ln>
                <a:solidFill>
                  <a:sysClr val="windowText" lastClr="000000">
                    <a:lumMod val="65000"/>
                    <a:lumOff val="35000"/>
                  </a:sysClr>
                </a:solid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'!$R$41:$AQ$41</c15:sqref>
                  </c15:fullRef>
                </c:ext>
              </c:extLst>
              <c:f>'Quarterly Charts '!$S$41:$AQ$41</c:f>
              <c:numCache>
                <c:formatCode>0.0%</c:formatCode>
                <c:ptCount val="9"/>
                <c:pt idx="0">
                  <c:v>0.15321985324836843</c:v>
                </c:pt>
                <c:pt idx="1">
                  <c:v>0.21416640574498688</c:v>
                </c:pt>
                <c:pt idx="2">
                  <c:v>6.9616406938441983E-2</c:v>
                </c:pt>
                <c:pt idx="3">
                  <c:v>0.27848861719415197</c:v>
                </c:pt>
                <c:pt idx="4">
                  <c:v>0.27836747219183416</c:v>
                </c:pt>
                <c:pt idx="5">
                  <c:v>0.3154480293851315</c:v>
                </c:pt>
                <c:pt idx="6">
                  <c:v>0.18045306692122123</c:v>
                </c:pt>
                <c:pt idx="7">
                  <c:v>0.25763696741510722</c:v>
                </c:pt>
                <c:pt idx="8">
                  <c:v>0.27635922657144785</c:v>
                </c:pt>
              </c:numCache>
            </c:numRef>
          </c:val>
          <c:smooth val="0"/>
          <c:extLst>
            <c:ext xmlns:c16="http://schemas.microsoft.com/office/drawing/2014/chart" uri="{C3380CC4-5D6E-409C-BE32-E72D297353CC}">
              <c16:uniqueId val="{00000001-1BA7-4E98-9323-A1429934061D}"/>
            </c:ext>
          </c:extLst>
        </c:ser>
        <c:ser>
          <c:idx val="0"/>
          <c:order val="1"/>
          <c:tx>
            <c:strRef>
              <c:f>'Quarterly Charts '!$A$14</c:f>
              <c:strCache>
                <c:ptCount val="1"/>
                <c:pt idx="0">
                  <c:v> BKNG GAAP OPM </c:v>
                </c:pt>
              </c:strCache>
            </c:strRef>
          </c:tx>
          <c:spPr>
            <a:ln>
              <a:solidFill>
                <a:schemeClr val="tx2"/>
              </a:solidFill>
            </a:ln>
          </c:spPr>
          <c:marker>
            <c:spPr>
              <a:solidFill>
                <a:schemeClr val="tx2"/>
              </a:solidFill>
              <a:ln>
                <a:solidFill>
                  <a:schemeClr val="tx2"/>
                </a:solidFill>
              </a:ln>
            </c:spPr>
          </c:marker>
          <c:dLbls>
            <c:dLbl>
              <c:idx val="8"/>
              <c:layout>
                <c:manualLayout>
                  <c:x val="-1.2443362223940601E-16"/>
                  <c:y val="-2.9991160872823074E-2"/>
                </c:manualLayout>
              </c:layout>
              <c:tx>
                <c:rich>
                  <a:bodyPr wrap="square" lIns="38100" tIns="19050" rIns="38100" bIns="19050" anchor="ctr">
                    <a:spAutoFit/>
                  </a:bodyPr>
                  <a:lstStyle/>
                  <a:p>
                    <a:pPr>
                      <a:defRPr b="1"/>
                    </a:pPr>
                    <a:r>
                      <a:rPr lang="en-US" b="1" baseline="0"/>
                      <a:t>BKNG, </a:t>
                    </a:r>
                    <a:fld id="{C54E4972-B42B-413F-BAA7-F00BE5B5D7C5}" type="VALUE">
                      <a:rPr lang="en-US" altLang="zh-CN" b="1" baseline="0"/>
                      <a:pPr>
                        <a:defRPr b="1"/>
                      </a:pPr>
                      <a:t>[值]</a:t>
                    </a:fld>
                    <a:endParaRPr lang="en-US" b="1" baseline="0"/>
                  </a:p>
                </c:rich>
              </c:tx>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 xmlns:c16="http://schemas.microsoft.com/office/drawing/2014/chart" uri="{C3380CC4-5D6E-409C-BE32-E72D297353CC}">
                  <c16:uniqueId val="{0000000B-1BA7-4E98-9323-A1429934061D}"/>
                </c:ext>
              </c:extLst>
            </c:dLbl>
            <c:spPr>
              <a:solidFill>
                <a:sysClr val="window" lastClr="FFFFFF"/>
              </a:solidFill>
              <a:ln>
                <a:solidFill>
                  <a:sysClr val="windowText" lastClr="000000">
                    <a:lumMod val="65000"/>
                    <a:lumOff val="35000"/>
                  </a:sysClr>
                </a:solid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'!$R$14:$AQ$14</c15:sqref>
                  </c15:fullRef>
                </c:ext>
              </c:extLst>
              <c:f>'Quarterly Charts '!$S$14:$AQ$14</c:f>
              <c:numCache>
                <c:formatCode>0.0%</c:formatCode>
                <c:ptCount val="9"/>
                <c:pt idx="0">
                  <c:v>0.3238961038961039</c:v>
                </c:pt>
                <c:pt idx="1">
                  <c:v>0.47023809523809523</c:v>
                </c:pt>
                <c:pt idx="2">
                  <c:v>0.35100329439952083</c:v>
                </c:pt>
                <c:pt idx="3">
                  <c:v>0.17916194790486975</c:v>
                </c:pt>
                <c:pt idx="4">
                  <c:v>0.31677760710018776</c:v>
                </c:pt>
                <c:pt idx="5">
                  <c:v>0.39767325494120592</c:v>
                </c:pt>
                <c:pt idx="6">
                  <c:v>0.31605622439753794</c:v>
                </c:pt>
                <c:pt idx="7">
                  <c:v>0.2230155396892062</c:v>
                </c:pt>
                <c:pt idx="8">
                  <c:v>0.33097969991173876</c:v>
                </c:pt>
              </c:numCache>
            </c:numRef>
          </c:val>
          <c:smooth val="0"/>
          <c:extLst>
            <c:ext xmlns:c16="http://schemas.microsoft.com/office/drawing/2014/chart" uri="{C3380CC4-5D6E-409C-BE32-E72D297353CC}">
              <c16:uniqueId val="{00000010-1BA7-4E98-9323-A1429934061D}"/>
            </c:ext>
          </c:extLst>
        </c:ser>
        <c:ser>
          <c:idx val="1"/>
          <c:order val="2"/>
          <c:tx>
            <c:strRef>
              <c:f>'Quarterly Charts '!$A$30</c:f>
              <c:strCache>
                <c:ptCount val="1"/>
                <c:pt idx="0">
                  <c:v> EXPE GAAP OPM </c:v>
                </c:pt>
              </c:strCache>
            </c:strRef>
          </c:tx>
          <c:spPr>
            <a:ln>
              <a:solidFill>
                <a:schemeClr val="accent6"/>
              </a:solidFill>
            </a:ln>
          </c:spPr>
          <c:marker>
            <c:spPr>
              <a:solidFill>
                <a:schemeClr val="accent6"/>
              </a:solidFill>
              <a:ln>
                <a:solidFill>
                  <a:schemeClr val="accent6"/>
                </a:solidFill>
              </a:ln>
            </c:spPr>
          </c:marker>
          <c:dLbls>
            <c:dLbl>
              <c:idx val="8"/>
              <c:layout>
                <c:manualLayout>
                  <c:x val="0"/>
                  <c:y val="1.1996464349129229E-2"/>
                </c:manualLayout>
              </c:layout>
              <c:tx>
                <c:rich>
                  <a:bodyPr/>
                  <a:lstStyle/>
                  <a:p>
                    <a:r>
                      <a:rPr lang="en-US" baseline="0"/>
                      <a:t>EXPE, </a:t>
                    </a:r>
                    <a:fld id="{2BB2DFAD-08D4-492B-9408-2230DDE92B28}" type="VALUE">
                      <a:rPr lang="en-US" altLang="zh-CN" baseline="0"/>
                      <a:pPr/>
                      <a:t>[值]</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66E-44A5-808B-EB3E724C7568}"/>
                </c:ext>
              </c:extLst>
            </c:dLbl>
            <c:dLbl>
              <c:idx val="10"/>
              <c:layout>
                <c:manualLayout>
                  <c:x val="-2.5384427499876409E-2"/>
                  <c:y val="4.2834920736283942E-2"/>
                </c:manualLayout>
              </c:layout>
              <c:tx>
                <c:rich>
                  <a:bodyPr/>
                  <a:lstStyle/>
                  <a:p>
                    <a:r>
                      <a:rPr lang="en-US" altLang="zh-CN"/>
                      <a:t>EXPE</a:t>
                    </a:r>
                    <a:r>
                      <a:rPr lang="en-US" altLang="zh-CN" baseline="0"/>
                      <a:t>, </a:t>
                    </a:r>
                    <a:fld id="{F30DF957-8D40-492F-AA19-19F0B9C8464D}" type="VALUE">
                      <a:rPr lang="en-US" altLang="zh-CN" baseline="0"/>
                      <a:pPr/>
                      <a:t>[值]</a:t>
                    </a:fld>
                    <a:endParaRPr lang="en-US" altLang="zh-CN"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04E-46B1-8BD9-7C826F2C3EAF}"/>
                </c:ext>
              </c:extLst>
            </c:dLbl>
            <c:dLbl>
              <c:idx val="13"/>
              <c:layout>
                <c:manualLayout>
                  <c:x val="-1.5284545278760419E-2"/>
                  <c:y val="6.5881760396478986E-2"/>
                </c:manualLayout>
              </c:layout>
              <c:tx>
                <c:rich>
                  <a:bodyPr/>
                  <a:lstStyle/>
                  <a:p>
                    <a:r>
                      <a:rPr lang="en-US" altLang="zh-CN" b="1"/>
                      <a:t>EXPE</a:t>
                    </a:r>
                    <a:r>
                      <a:rPr lang="en-US" altLang="zh-CN" b="1" baseline="0"/>
                      <a:t>, </a:t>
                    </a:r>
                    <a:fld id="{61D106AD-2F7E-4575-81D9-C65D981B7781}" type="VALUE">
                      <a:rPr lang="en-US" altLang="zh-CN" b="1" baseline="0"/>
                      <a:pPr/>
                      <a:t>[值]</a:t>
                    </a:fld>
                    <a:endParaRPr lang="en-US" altLang="zh-CN" b="1"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DD5-4607-9862-7001DC862B1F}"/>
                </c:ext>
              </c:extLst>
            </c:dLbl>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b="1"/>
                </a:pPr>
                <a:endParaRPr lang="zh-C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'!$R$30:$AQ$30</c15:sqref>
                  </c15:fullRef>
                </c:ext>
              </c:extLst>
              <c:f>'Quarterly Charts '!$S$30:$AQ$30</c:f>
              <c:numCache>
                <c:formatCode>0.0%</c:formatCode>
                <c:ptCount val="9"/>
                <c:pt idx="0">
                  <c:v>8.4046939422771957E-2</c:v>
                </c:pt>
                <c:pt idx="1">
                  <c:v>0.17116357504215851</c:v>
                </c:pt>
                <c:pt idx="2">
                  <c:v>5.8245358572988716E-2</c:v>
                </c:pt>
                <c:pt idx="3">
                  <c:v>-3.8075458636206302E-2</c:v>
                </c:pt>
                <c:pt idx="4">
                  <c:v>0.1267566048341765</c:v>
                </c:pt>
                <c:pt idx="5">
                  <c:v>0.18768472906403941</c:v>
                </c:pt>
                <c:pt idx="6">
                  <c:v>6.78391959798995E-2</c:v>
                </c:pt>
                <c:pt idx="7">
                  <c:v>-2.3427041499330656E-2</c:v>
                </c:pt>
                <c:pt idx="8">
                  <c:v>0.12810353935552035</c:v>
                </c:pt>
              </c:numCache>
            </c:numRef>
          </c:val>
          <c:smooth val="0"/>
          <c:extLst>
            <c:ext xmlns:c16="http://schemas.microsoft.com/office/drawing/2014/chart" uri="{C3380CC4-5D6E-409C-BE32-E72D297353CC}">
              <c16:uniqueId val="{00000012-1BA7-4E98-9323-A1429934061D}"/>
            </c:ext>
          </c:extLst>
        </c:ser>
        <c:ser>
          <c:idx val="3"/>
          <c:order val="3"/>
          <c:tx>
            <c:strRef>
              <c:f>'Quarterly Charts '!$A$103</c:f>
              <c:strCache>
                <c:ptCount val="1"/>
                <c:pt idx="0">
                  <c:v> ABNB non-GAAP S&amp;M expenses as % of revenue </c:v>
                </c:pt>
              </c:strCache>
            </c:strRef>
          </c:tx>
          <c:dLbls>
            <c:dLbl>
              <c:idx val="15"/>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BA7-4E98-9323-A1429934061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'Quarterly Charts '!$R$2:$AQ$2</c15:sqref>
                  </c15:fullRef>
                </c:ext>
              </c:extLst>
              <c:f>'Quarterly Charts '!$S$2:$AQ$2</c:f>
              <c:strCache>
                <c:ptCount val="9"/>
                <c:pt idx="0">
                  <c:v> 19Q1 </c:v>
                </c:pt>
                <c:pt idx="1">
                  <c:v> 19Q2 </c:v>
                </c:pt>
                <c:pt idx="2">
                  <c:v> 19Q3 </c:v>
                </c:pt>
                <c:pt idx="3">
                  <c:v> 19Q4 </c:v>
                </c:pt>
                <c:pt idx="4">
                  <c:v> 24Q1 </c:v>
                </c:pt>
                <c:pt idx="5">
                  <c:v> 24Q2 </c:v>
                </c:pt>
                <c:pt idx="6">
                  <c:v> 24Q3 </c:v>
                </c:pt>
                <c:pt idx="7">
                  <c:v> 24Q4 </c:v>
                </c:pt>
                <c:pt idx="8">
                  <c:v> 25Q1 </c:v>
                </c:pt>
                <c:pt idx="9">
                  <c:v> 25Q2 </c:v>
                </c:pt>
              </c:strCache>
            </c:strRef>
          </c:cat>
          <c:val>
            <c:numRef>
              <c:extLst>
                <c:ext xmlns:c15="http://schemas.microsoft.com/office/drawing/2012/chart" uri="{02D57815-91ED-43cb-92C2-25804820EDAC}">
                  <c15:fullRef>
                    <c15:sqref>'Quarterly Charts '!$N$103:$AD$103</c15:sqref>
                  </c15:fullRef>
                </c:ext>
              </c:extLst>
              <c:f>'Quarterly Charts '!$O$103:$AD$103</c:f>
            </c:numRef>
          </c:val>
          <c:smooth val="0"/>
          <c:extLst>
            <c:ext xmlns:c16="http://schemas.microsoft.com/office/drawing/2014/chart" uri="{C3380CC4-5D6E-409C-BE32-E72D297353CC}">
              <c16:uniqueId val="{00000014-1BA7-4E98-9323-A1429934061D}"/>
            </c:ext>
          </c:extLst>
        </c:ser>
        <c:ser>
          <c:idx val="4"/>
          <c:order val="4"/>
          <c:tx>
            <c:strRef>
              <c:f>'Quarterly Charts '!$A$51</c:f>
              <c:strCache>
                <c:ptCount val="1"/>
                <c:pt idx="0">
                  <c:v>ABNB GAAP OPM</c:v>
                </c:pt>
              </c:strCache>
            </c:strRef>
          </c:tx>
          <c:spPr>
            <a:ln>
              <a:solidFill>
                <a:schemeClr val="accent2"/>
              </a:solidFill>
            </a:ln>
          </c:spPr>
          <c:marker>
            <c:spPr>
              <a:solidFill>
                <a:schemeClr val="accent2"/>
              </a:solidFill>
              <a:ln>
                <a:solidFill>
                  <a:schemeClr val="accent2"/>
                </a:solidFill>
              </a:ln>
            </c:spPr>
          </c:marker>
          <c:dLbls>
            <c:dLbl>
              <c:idx val="0"/>
              <c:delete val="1"/>
              <c:extLst>
                <c:ext xmlns:c15="http://schemas.microsoft.com/office/drawing/2012/chart" uri="{CE6537A1-D6FC-4f65-9D91-7224C49458BB}"/>
                <c:ext xmlns:c16="http://schemas.microsoft.com/office/drawing/2014/chart" uri="{C3380CC4-5D6E-409C-BE32-E72D297353CC}">
                  <c16:uniqueId val="{0000000F-DDD5-4607-9862-7001DC862B1F}"/>
                </c:ext>
              </c:extLst>
            </c:dLbl>
            <c:dLbl>
              <c:idx val="1"/>
              <c:delete val="1"/>
              <c:extLst>
                <c:ext xmlns:c15="http://schemas.microsoft.com/office/drawing/2012/chart" uri="{CE6537A1-D6FC-4f65-9D91-7224C49458BB}"/>
                <c:ext xmlns:c16="http://schemas.microsoft.com/office/drawing/2014/chart" uri="{C3380CC4-5D6E-409C-BE32-E72D297353CC}">
                  <c16:uniqueId val="{0000000D-DDD5-4607-9862-7001DC862B1F}"/>
                </c:ext>
              </c:extLst>
            </c:dLbl>
            <c:dLbl>
              <c:idx val="2"/>
              <c:delete val="1"/>
              <c:extLst>
                <c:ext xmlns:c15="http://schemas.microsoft.com/office/drawing/2012/chart" uri="{CE6537A1-D6FC-4f65-9D91-7224C49458BB}"/>
                <c:ext xmlns:c16="http://schemas.microsoft.com/office/drawing/2014/chart" uri="{C3380CC4-5D6E-409C-BE32-E72D297353CC}">
                  <c16:uniqueId val="{0000000E-DDD5-4607-9862-7001DC862B1F}"/>
                </c:ext>
              </c:extLst>
            </c:dLbl>
            <c:dLbl>
              <c:idx val="3"/>
              <c:delete val="1"/>
              <c:extLst>
                <c:ext xmlns:c15="http://schemas.microsoft.com/office/drawing/2012/chart" uri="{CE6537A1-D6FC-4f65-9D91-7224C49458BB}"/>
                <c:ext xmlns:c16="http://schemas.microsoft.com/office/drawing/2014/chart" uri="{C3380CC4-5D6E-409C-BE32-E72D297353CC}">
                  <c16:uniqueId val="{0000000C-DDD5-4607-9862-7001DC862B1F}"/>
                </c:ext>
              </c:extLst>
            </c:dLbl>
            <c:dLbl>
              <c:idx val="4"/>
              <c:delete val="1"/>
              <c:extLst>
                <c:ext xmlns:c15="http://schemas.microsoft.com/office/drawing/2012/chart" uri="{CE6537A1-D6FC-4f65-9D91-7224C49458BB}"/>
                <c:ext xmlns:c16="http://schemas.microsoft.com/office/drawing/2014/chart" uri="{C3380CC4-5D6E-409C-BE32-E72D297353CC}">
                  <c16:uniqueId val="{0000000B-DDD5-4607-9862-7001DC862B1F}"/>
                </c:ext>
              </c:extLst>
            </c:dLbl>
            <c:dLbl>
              <c:idx val="5"/>
              <c:delete val="1"/>
              <c:extLst>
                <c:ext xmlns:c15="http://schemas.microsoft.com/office/drawing/2012/chart" uri="{CE6537A1-D6FC-4f65-9D91-7224C49458BB}"/>
                <c:ext xmlns:c16="http://schemas.microsoft.com/office/drawing/2014/chart" uri="{C3380CC4-5D6E-409C-BE32-E72D297353CC}">
                  <c16:uniqueId val="{0000000A-DDD5-4607-9862-7001DC862B1F}"/>
                </c:ext>
              </c:extLst>
            </c:dLbl>
            <c:dLbl>
              <c:idx val="6"/>
              <c:delete val="1"/>
              <c:extLst>
                <c:ext xmlns:c15="http://schemas.microsoft.com/office/drawing/2012/chart" uri="{CE6537A1-D6FC-4f65-9D91-7224C49458BB}"/>
                <c:ext xmlns:c16="http://schemas.microsoft.com/office/drawing/2014/chart" uri="{C3380CC4-5D6E-409C-BE32-E72D297353CC}">
                  <c16:uniqueId val="{00000009-DDD5-4607-9862-7001DC862B1F}"/>
                </c:ext>
              </c:extLst>
            </c:dLbl>
            <c:dLbl>
              <c:idx val="7"/>
              <c:delete val="1"/>
              <c:extLst>
                <c:ext xmlns:c15="http://schemas.microsoft.com/office/drawing/2012/chart" uri="{CE6537A1-D6FC-4f65-9D91-7224C49458BB}"/>
                <c:ext xmlns:c16="http://schemas.microsoft.com/office/drawing/2014/chart" uri="{C3380CC4-5D6E-409C-BE32-E72D297353CC}">
                  <c16:uniqueId val="{00000008-DDD5-4607-9862-7001DC862B1F}"/>
                </c:ext>
              </c:extLst>
            </c:dLbl>
            <c:dLbl>
              <c:idx val="8"/>
              <c:tx>
                <c:rich>
                  <a:bodyPr/>
                  <a:lstStyle/>
                  <a:p>
                    <a:r>
                      <a:rPr lang="en-US" baseline="0"/>
                      <a:t>ABNBV </a:t>
                    </a:r>
                    <a:fld id="{2894E096-C109-4C0A-9840-7333FEC0CE17}" type="VALUE">
                      <a:rPr lang="en-US" altLang="zh-CN" baseline="0"/>
                      <a:pPr/>
                      <a:t>[值]</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66E-44A5-808B-EB3E724C7568}"/>
                </c:ext>
              </c:extLst>
            </c:dLbl>
            <c:dLbl>
              <c:idx val="10"/>
              <c:tx>
                <c:rich>
                  <a:bodyPr/>
                  <a:lstStyle/>
                  <a:p>
                    <a:r>
                      <a:rPr lang="en-US" altLang="zh-CN"/>
                      <a:t>ABNB</a:t>
                    </a:r>
                    <a:r>
                      <a:rPr lang="en-US" altLang="zh-CN" baseline="0"/>
                      <a:t>, </a:t>
                    </a:r>
                    <a:fld id="{21CF6BEA-6AE8-4E43-ACFF-4B3C79D7E128}" type="VALUE">
                      <a:rPr lang="en-US" altLang="zh-CN" baseline="0"/>
                      <a:pPr/>
                      <a:t>[值]</a:t>
                    </a:fld>
                    <a:endParaRPr lang="en-US" altLang="zh-CN"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DD5-4607-9862-7001DC862B1F}"/>
                </c:ext>
              </c:extLst>
            </c:dLbl>
            <c:dLbl>
              <c:idx val="13"/>
              <c:tx>
                <c:rich>
                  <a:bodyPr/>
                  <a:lstStyle/>
                  <a:p>
                    <a:r>
                      <a:rPr lang="en-US" altLang="zh-CN" b="1" baseline="0"/>
                      <a:t>ABNB, </a:t>
                    </a:r>
                    <a:fld id="{F76DEF9E-1CBF-4454-A56F-DB1C98CA0FB4}" type="VALUE">
                      <a:rPr lang="en-US" altLang="zh-CN" b="1" baseline="0"/>
                      <a:pPr/>
                      <a:t>[值]</a:t>
                    </a:fld>
                    <a:endParaRPr lang="en-US" altLang="zh-CN" b="1"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DD5-4607-9862-7001DC862B1F}"/>
                </c:ext>
              </c:extLst>
            </c:dLbl>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b="1"/>
                </a:pPr>
                <a:endParaRPr lang="zh-CN"/>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extLst>
                <c:ext xmlns:c15="http://schemas.microsoft.com/office/drawing/2012/chart" uri="{02D57815-91ED-43cb-92C2-25804820EDAC}">
                  <c15:fullRef>
                    <c15:sqref>'Quarterly Charts '!$R$2:$AQ$2</c15:sqref>
                  </c15:fullRef>
                </c:ext>
              </c:extLst>
              <c:f>'Quarterly Charts '!$S$2:$AQ$2</c:f>
              <c:strCache>
                <c:ptCount val="9"/>
                <c:pt idx="0">
                  <c:v> 19Q2 </c:v>
                </c:pt>
                <c:pt idx="1">
                  <c:v> 19Q3 </c:v>
                </c:pt>
                <c:pt idx="2">
                  <c:v> 19Q4 </c:v>
                </c:pt>
                <c:pt idx="3">
                  <c:v> 24Q1 </c:v>
                </c:pt>
                <c:pt idx="4">
                  <c:v> 24Q2 </c:v>
                </c:pt>
                <c:pt idx="5">
                  <c:v> 24Q3 </c:v>
                </c:pt>
                <c:pt idx="6">
                  <c:v> 24Q4 </c:v>
                </c:pt>
                <c:pt idx="7">
                  <c:v> 25Q1 </c:v>
                </c:pt>
                <c:pt idx="8">
                  <c:v> 25Q2 </c:v>
                </c:pt>
              </c:strCache>
            </c:strRef>
          </c:cat>
          <c:val>
            <c:numRef>
              <c:extLst>
                <c:ext xmlns:c15="http://schemas.microsoft.com/office/drawing/2012/chart" uri="{02D57815-91ED-43cb-92C2-25804820EDAC}">
                  <c15:fullRef>
                    <c15:sqref>'Quarterly Charts '!$R$51:$AQ$51</c15:sqref>
                  </c15:fullRef>
                </c:ext>
              </c:extLst>
              <c:f>'Quarterly Charts '!$S$51:$AQ$51</c:f>
              <c:numCache>
                <c:formatCode>0%</c:formatCode>
                <c:ptCount val="9"/>
                <c:pt idx="0">
                  <c:v>-8.2521888013130207E-2</c:v>
                </c:pt>
                <c:pt idx="1">
                  <c:v>0.14129026025042518</c:v>
                </c:pt>
                <c:pt idx="2">
                  <c:v>-0.29629579434692555</c:v>
                </c:pt>
                <c:pt idx="3">
                  <c:v>4.7152194211017739E-2</c:v>
                </c:pt>
                <c:pt idx="4" formatCode="0.0%">
                  <c:v>0.18085880640465793</c:v>
                </c:pt>
                <c:pt idx="5" formatCode="0.0%">
                  <c:v>0.40862808145766344</c:v>
                </c:pt>
                <c:pt idx="6" formatCode="0.0%">
                  <c:v>0.17338709677419356</c:v>
                </c:pt>
                <c:pt idx="7" formatCode="0.0%">
                  <c:v>1.6725352112676055E-2</c:v>
                </c:pt>
                <c:pt idx="8" formatCode="0.0%">
                  <c:v>0.19767441860465115</c:v>
                </c:pt>
              </c:numCache>
            </c:numRef>
          </c:val>
          <c:smooth val="0"/>
          <c:extLst>
            <c:ext xmlns:c15="http://schemas.microsoft.com/office/drawing/2012/chart" uri="{02D57815-91ED-43cb-92C2-25804820EDAC}">
              <c15:categoryFilterExceptions>
                <c15:categoryFilterException>
                  <c15:sqref>'Quarterly Charts '!$R$51</c15:sqref>
                  <c15:dLbl>
                    <c:idx val="-1"/>
                    <c:delete val="1"/>
                    <c:extLst>
                      <c:ext uri="{CE6537A1-D6FC-4f65-9D91-7224C49458BB}"/>
                      <c:ext xmlns:c16="http://schemas.microsoft.com/office/drawing/2014/chart" uri="{C3380CC4-5D6E-409C-BE32-E72D297353CC}">
                        <c16:uniqueId val="{00000000-C90E-4328-AAA7-FDD961A39C8A}"/>
                      </c:ext>
                    </c:extLst>
                  </c15:dLbl>
                </c15:categoryFilterException>
              </c15:categoryFilterExceptions>
            </c:ext>
            <c:ext xmlns:c16="http://schemas.microsoft.com/office/drawing/2014/chart" uri="{C3380CC4-5D6E-409C-BE32-E72D297353CC}">
              <c16:uniqueId val="{00000016-1BA7-4E98-9323-A1429934061D}"/>
            </c:ext>
          </c:extLst>
        </c:ser>
        <c:dLbls>
          <c:showLegendKey val="0"/>
          <c:showVal val="0"/>
          <c:showCatName val="0"/>
          <c:showSerName val="0"/>
          <c:showPercent val="0"/>
          <c:showBubbleSize val="0"/>
        </c:dLbls>
        <c:marker val="1"/>
        <c:smooth val="0"/>
        <c:axId val="-530918320"/>
        <c:axId val="-530149840"/>
      </c:lineChart>
      <c:catAx>
        <c:axId val="-530918320"/>
        <c:scaling>
          <c:orientation val="minMax"/>
        </c:scaling>
        <c:delete val="0"/>
        <c:axPos val="b"/>
        <c:numFmt formatCode="General" sourceLinked="0"/>
        <c:majorTickMark val="out"/>
        <c:minorTickMark val="none"/>
        <c:tickLblPos val="nextTo"/>
        <c:txPr>
          <a:bodyPr/>
          <a:lstStyle/>
          <a:p>
            <a:pPr>
              <a:defRPr b="1"/>
            </a:pPr>
            <a:endParaRPr lang="zh-CN"/>
          </a:p>
        </c:txPr>
        <c:crossAx val="-530149840"/>
        <c:crosses val="autoZero"/>
        <c:auto val="1"/>
        <c:lblAlgn val="ctr"/>
        <c:lblOffset val="100"/>
        <c:noMultiLvlLbl val="0"/>
      </c:catAx>
      <c:valAx>
        <c:axId val="-530149840"/>
        <c:scaling>
          <c:orientation val="minMax"/>
          <c:max val="0.60000000000000009"/>
          <c:min val="-0.60000000000000009"/>
        </c:scaling>
        <c:delete val="0"/>
        <c:axPos val="l"/>
        <c:numFmt formatCode="0%" sourceLinked="0"/>
        <c:majorTickMark val="out"/>
        <c:minorTickMark val="none"/>
        <c:tickLblPos val="nextTo"/>
        <c:crossAx val="-530918320"/>
        <c:crosses val="autoZero"/>
        <c:crossBetween val="between"/>
        <c:majorUnit val="0.2"/>
      </c:valAx>
    </c:plotArea>
    <c:legend>
      <c:legendPos val="b"/>
      <c:layout>
        <c:manualLayout>
          <c:xMode val="edge"/>
          <c:yMode val="edge"/>
          <c:x val="0.12846146655621349"/>
          <c:y val="0.82716442133023504"/>
          <c:w val="0.80959865629610051"/>
          <c:h val="0.11736341739573974"/>
        </c:manualLayout>
      </c:layout>
      <c:overlay val="0"/>
    </c:legend>
    <c:plotVisOnly val="1"/>
    <c:dispBlanksAs val="gap"/>
    <c:showDLblsOverMax val="0"/>
  </c:chart>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a:t>MMYT</a:t>
            </a:r>
            <a:r>
              <a:rPr lang="en-US" altLang="zh-CN" baseline="0"/>
              <a:t>'s Gross Booking Value and YoY Growth</a:t>
            </a:r>
            <a:endParaRPr lang="zh-CN" altLang="en-US"/>
          </a:p>
        </c:rich>
      </c:tx>
      <c:layout>
        <c:manualLayout>
          <c:xMode val="edge"/>
          <c:yMode val="edge"/>
          <c:x val="0.13995520937321523"/>
          <c:y val="2.5951377802143075E-2"/>
        </c:manualLayout>
      </c:layout>
      <c:overlay val="0"/>
    </c:title>
    <c:autoTitleDeleted val="0"/>
    <c:plotArea>
      <c:layout>
        <c:manualLayout>
          <c:layoutTarget val="inner"/>
          <c:xMode val="edge"/>
          <c:yMode val="edge"/>
          <c:x val="6.9153949237181447E-2"/>
          <c:y val="0.15062716802743548"/>
          <c:w val="0.86048639978498942"/>
          <c:h val="0.65300643354797971"/>
        </c:manualLayout>
      </c:layout>
      <c:barChart>
        <c:barDir val="col"/>
        <c:grouping val="clustered"/>
        <c:varyColors val="0"/>
        <c:ser>
          <c:idx val="0"/>
          <c:order val="0"/>
          <c:tx>
            <c:v>Gross booking value</c:v>
          </c:tx>
          <c:spPr>
            <a:solidFill>
              <a:schemeClr val="accent1">
                <a:lumMod val="60000"/>
                <a:lumOff val="40000"/>
              </a:schemeClr>
            </a:solidFill>
            <a:ln>
              <a:solidFill>
                <a:schemeClr val="accent1">
                  <a:lumMod val="60000"/>
                  <a:lumOff val="40000"/>
                </a:schemeClr>
              </a:solidFill>
            </a:ln>
          </c:spPr>
          <c:invertIfNegative val="0"/>
          <c:cat>
            <c:strRef>
              <c:f>MMYT!$R$4:$X$4</c:f>
              <c:strCache>
                <c:ptCount val="7"/>
                <c:pt idx="0">
                  <c:v> 1Q18 </c:v>
                </c:pt>
                <c:pt idx="1">
                  <c:v> 2Q18 </c:v>
                </c:pt>
                <c:pt idx="2">
                  <c:v> 3Q18 </c:v>
                </c:pt>
                <c:pt idx="3">
                  <c:v> 4Q18 </c:v>
                </c:pt>
                <c:pt idx="4">
                  <c:v> 1Q19 </c:v>
                </c:pt>
                <c:pt idx="5">
                  <c:v> 2Q19 </c:v>
                </c:pt>
                <c:pt idx="6">
                  <c:v> 3Q19 </c:v>
                </c:pt>
              </c:strCache>
            </c:strRef>
          </c:cat>
          <c:val>
            <c:numRef>
              <c:f>MMYT!$R$29:$X$29</c:f>
              <c:numCache>
                <c:formatCode>_-* #,##0_-;\-* #,##0_-;_-* "-"_-;_-@_-</c:formatCode>
                <c:ptCount val="7"/>
                <c:pt idx="0">
                  <c:v>1183.924</c:v>
                </c:pt>
                <c:pt idx="1">
                  <c:v>1416.36</c:v>
                </c:pt>
                <c:pt idx="2">
                  <c:v>1243</c:v>
                </c:pt>
                <c:pt idx="3">
                  <c:v>1413.537</c:v>
                </c:pt>
                <c:pt idx="4">
                  <c:v>1372.809</c:v>
                </c:pt>
                <c:pt idx="5">
                  <c:v>1693.5929999999998</c:v>
                </c:pt>
                <c:pt idx="6">
                  <c:v>1492.9179999999999</c:v>
                </c:pt>
              </c:numCache>
            </c:numRef>
          </c:val>
          <c:extLst>
            <c:ext xmlns:c16="http://schemas.microsoft.com/office/drawing/2014/chart" uri="{C3380CC4-5D6E-409C-BE32-E72D297353CC}">
              <c16:uniqueId val="{00000000-FC79-40A1-AF67-BC02FB271C1D}"/>
            </c:ext>
          </c:extLst>
        </c:ser>
        <c:dLbls>
          <c:showLegendKey val="0"/>
          <c:showVal val="0"/>
          <c:showCatName val="0"/>
          <c:showSerName val="0"/>
          <c:showPercent val="0"/>
          <c:showBubbleSize val="0"/>
        </c:dLbls>
        <c:gapWidth val="150"/>
        <c:axId val="127034496"/>
        <c:axId val="127036032"/>
      </c:barChart>
      <c:lineChart>
        <c:grouping val="standard"/>
        <c:varyColors val="0"/>
        <c:ser>
          <c:idx val="2"/>
          <c:order val="1"/>
          <c:tx>
            <c:v>YoY growth rate on a constant currency basis</c:v>
          </c:tx>
          <c:dLbls>
            <c:dLbl>
              <c:idx val="10"/>
              <c:layout>
                <c:manualLayout>
                  <c:x val="-3.7962653468262893E-2"/>
                  <c:y val="-4.25024740007614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3E-4CBA-B362-C0D710B56DAE}"/>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MMYT!$R$4:$X$4</c:f>
              <c:strCache>
                <c:ptCount val="7"/>
                <c:pt idx="0">
                  <c:v> 1Q18 </c:v>
                </c:pt>
                <c:pt idx="1">
                  <c:v> 2Q18 </c:v>
                </c:pt>
                <c:pt idx="2">
                  <c:v> 3Q18 </c:v>
                </c:pt>
                <c:pt idx="3">
                  <c:v> 4Q18 </c:v>
                </c:pt>
                <c:pt idx="4">
                  <c:v> 1Q19 </c:v>
                </c:pt>
                <c:pt idx="5">
                  <c:v> 2Q19 </c:v>
                </c:pt>
                <c:pt idx="6">
                  <c:v> 3Q19 </c:v>
                </c:pt>
              </c:strCache>
            </c:strRef>
          </c:cat>
          <c:val>
            <c:numRef>
              <c:f>MMYT!$R$31:$X$31</c:f>
              <c:numCache>
                <c:formatCode>0%</c:formatCode>
                <c:ptCount val="7"/>
                <c:pt idx="0">
                  <c:v>0.45419506648162233</c:v>
                </c:pt>
                <c:pt idx="1">
                  <c:v>0.26700000000000002</c:v>
                </c:pt>
                <c:pt idx="2">
                  <c:v>0.26900000000000002</c:v>
                </c:pt>
                <c:pt idx="3">
                  <c:v>0.31900000000000001</c:v>
                </c:pt>
                <c:pt idx="4">
                  <c:v>0.26700000000000002</c:v>
                </c:pt>
                <c:pt idx="5" formatCode="0.0%">
                  <c:v>0.24</c:v>
                </c:pt>
                <c:pt idx="6" formatCode="0.0%">
                  <c:v>0.20599999999999999</c:v>
                </c:pt>
              </c:numCache>
            </c:numRef>
          </c:val>
          <c:smooth val="0"/>
          <c:extLst>
            <c:ext xmlns:c16="http://schemas.microsoft.com/office/drawing/2014/chart" uri="{C3380CC4-5D6E-409C-BE32-E72D297353CC}">
              <c16:uniqueId val="{00000001-FC79-40A1-AF67-BC02FB271C1D}"/>
            </c:ext>
          </c:extLst>
        </c:ser>
        <c:dLbls>
          <c:showLegendKey val="0"/>
          <c:showVal val="0"/>
          <c:showCatName val="0"/>
          <c:showSerName val="0"/>
          <c:showPercent val="0"/>
          <c:showBubbleSize val="0"/>
        </c:dLbls>
        <c:marker val="1"/>
        <c:smooth val="0"/>
        <c:axId val="127054208"/>
        <c:axId val="127055744"/>
      </c:lineChart>
      <c:catAx>
        <c:axId val="127034496"/>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036032"/>
        <c:crosses val="autoZero"/>
        <c:auto val="1"/>
        <c:lblAlgn val="ctr"/>
        <c:lblOffset val="100"/>
        <c:noMultiLvlLbl val="0"/>
      </c:catAx>
      <c:valAx>
        <c:axId val="127036032"/>
        <c:scaling>
          <c:orientation val="minMax"/>
        </c:scaling>
        <c:delete val="0"/>
        <c:axPos val="l"/>
        <c:numFmt formatCode="_-* #,##0_-;\-* #,##0_-;_-* &quot;-&quot;_-;_-@_-"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034496"/>
        <c:crosses val="autoZero"/>
        <c:crossBetween val="between"/>
      </c:valAx>
      <c:catAx>
        <c:axId val="127054208"/>
        <c:scaling>
          <c:orientation val="minMax"/>
        </c:scaling>
        <c:delete val="1"/>
        <c:axPos val="b"/>
        <c:numFmt formatCode="General" sourceLinked="1"/>
        <c:majorTickMark val="out"/>
        <c:minorTickMark val="none"/>
        <c:tickLblPos val="none"/>
        <c:crossAx val="127055744"/>
        <c:crosses val="autoZero"/>
        <c:auto val="1"/>
        <c:lblAlgn val="ctr"/>
        <c:lblOffset val="100"/>
        <c:noMultiLvlLbl val="0"/>
      </c:catAx>
      <c:valAx>
        <c:axId val="127055744"/>
        <c:scaling>
          <c:orientation val="minMax"/>
        </c:scaling>
        <c:delete val="0"/>
        <c:axPos val="r"/>
        <c:numFmt formatCode="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054208"/>
        <c:crosses val="max"/>
        <c:crossBetween val="between"/>
      </c:valAx>
      <c:spPr>
        <a:ln>
          <a:solidFill>
            <a:schemeClr val="bg1">
              <a:lumMod val="65000"/>
            </a:schemeClr>
          </a:solidFill>
        </a:ln>
      </c:spPr>
    </c:plotArea>
    <c:legend>
      <c:legendPos val="b"/>
      <c:layout>
        <c:manualLayout>
          <c:xMode val="edge"/>
          <c:yMode val="edge"/>
          <c:x val="7.842498251659441E-2"/>
          <c:y val="0.90237552898920692"/>
          <c:w val="0.86172266559922595"/>
          <c:h val="5.5172885997945897E-2"/>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userShapes r:id="rId1"/>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a:t>MMYT's Adjusted revenue(Revenue less service costs)and YoY Growth</a:t>
            </a:r>
          </a:p>
        </c:rich>
      </c:tx>
      <c:overlay val="0"/>
    </c:title>
    <c:autoTitleDeleted val="0"/>
    <c:plotArea>
      <c:layout/>
      <c:barChart>
        <c:barDir val="col"/>
        <c:grouping val="clustered"/>
        <c:varyColors val="0"/>
        <c:ser>
          <c:idx val="0"/>
          <c:order val="0"/>
          <c:tx>
            <c:strRef>
              <c:f>MMYT!$A$60</c:f>
              <c:strCache>
                <c:ptCount val="1"/>
                <c:pt idx="0">
                  <c:v>Adjusted revenue (Revenue less service costs)</c:v>
                </c:pt>
              </c:strCache>
            </c:strRef>
          </c:tx>
          <c:spPr>
            <a:solidFill>
              <a:schemeClr val="accent1">
                <a:lumMod val="60000"/>
                <a:lumOff val="40000"/>
              </a:schemeClr>
            </a:solidFill>
            <a:ln>
              <a:solidFill>
                <a:schemeClr val="accent1">
                  <a:lumMod val="60000"/>
                  <a:lumOff val="40000"/>
                </a:schemeClr>
              </a:solidFill>
            </a:ln>
          </c:spPr>
          <c:invertIfNegative val="0"/>
          <c:cat>
            <c:strRef>
              <c:f>MMYT!$R$4:$X$4</c:f>
              <c:strCache>
                <c:ptCount val="7"/>
                <c:pt idx="0">
                  <c:v> 1Q18 </c:v>
                </c:pt>
                <c:pt idx="1">
                  <c:v> 2Q18 </c:v>
                </c:pt>
                <c:pt idx="2">
                  <c:v> 3Q18 </c:v>
                </c:pt>
                <c:pt idx="3">
                  <c:v> 4Q18 </c:v>
                </c:pt>
                <c:pt idx="4">
                  <c:v> 1Q19 </c:v>
                </c:pt>
                <c:pt idx="5">
                  <c:v> 2Q19 </c:v>
                </c:pt>
                <c:pt idx="6">
                  <c:v> 3Q19 </c:v>
                </c:pt>
              </c:strCache>
            </c:strRef>
          </c:cat>
          <c:val>
            <c:numRef>
              <c:f>MMYT!$R$60:$X$60</c:f>
              <c:numCache>
                <c:formatCode>#,##0_);\(#,##0\)</c:formatCode>
                <c:ptCount val="7"/>
                <c:pt idx="0">
                  <c:v>145.30699999999999</c:v>
                </c:pt>
                <c:pt idx="1">
                  <c:v>169.41900000000001</c:v>
                </c:pt>
                <c:pt idx="2">
                  <c:v>159.38300000000004</c:v>
                </c:pt>
                <c:pt idx="3">
                  <c:v>179.24199999999999</c:v>
                </c:pt>
                <c:pt idx="4">
                  <c:v>162.91300000000001</c:v>
                </c:pt>
                <c:pt idx="5">
                  <c:v>197.512</c:v>
                </c:pt>
                <c:pt idx="6">
                  <c:v>179.85699999999997</c:v>
                </c:pt>
              </c:numCache>
            </c:numRef>
          </c:val>
          <c:extLst>
            <c:ext xmlns:c16="http://schemas.microsoft.com/office/drawing/2014/chart" uri="{C3380CC4-5D6E-409C-BE32-E72D297353CC}">
              <c16:uniqueId val="{00000000-23F3-42F5-BE57-D88D31963846}"/>
            </c:ext>
          </c:extLst>
        </c:ser>
        <c:dLbls>
          <c:showLegendKey val="0"/>
          <c:showVal val="0"/>
          <c:showCatName val="0"/>
          <c:showSerName val="0"/>
          <c:showPercent val="0"/>
          <c:showBubbleSize val="0"/>
        </c:dLbls>
        <c:gapWidth val="75"/>
        <c:overlap val="-25"/>
        <c:axId val="127236736"/>
        <c:axId val="127254912"/>
      </c:barChart>
      <c:lineChart>
        <c:grouping val="standard"/>
        <c:varyColors val="0"/>
        <c:ser>
          <c:idx val="2"/>
          <c:order val="1"/>
          <c:tx>
            <c:strRef>
              <c:f>MMYT!$A$115</c:f>
              <c:strCache>
                <c:ptCount val="1"/>
                <c:pt idx="0">
                  <c:v>Adjusted revenue(Revenue less service costs) YoY growth rate on a constant currency basis</c:v>
                </c:pt>
              </c:strCache>
            </c:strRef>
          </c:tx>
          <c:dLbls>
            <c:dLbl>
              <c:idx val="14"/>
              <c:layout>
                <c:manualLayout>
                  <c:x val="-5.5197093668203349E-2"/>
                  <c:y val="-0.111549115674152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DEE-4E2A-8DEC-D4B390C83153}"/>
                </c:ext>
              </c:extLst>
            </c:dLbl>
            <c:dLbl>
              <c:idx val="16"/>
              <c:layout>
                <c:manualLayout>
                  <c:x val="-5.1027744556126825E-2"/>
                  <c:y val="-3.98191614429470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DEE-4E2A-8DEC-D4B390C83153}"/>
                </c:ext>
              </c:extLst>
            </c:dLbl>
            <c:dLbl>
              <c:idx val="17"/>
              <c:layout>
                <c:manualLayout>
                  <c:x val="-6.0960729190522443E-2"/>
                  <c:y val="-4.2911113145486027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6.6576233144772373E-2"/>
                      <c:h val="4.3247246631849638E-2"/>
                    </c:manualLayout>
                  </c15:layout>
                </c:ext>
                <c:ext xmlns:c16="http://schemas.microsoft.com/office/drawing/2014/chart" uri="{C3380CC4-5D6E-409C-BE32-E72D297353CC}">
                  <c16:uniqueId val="{00000003-23F3-42F5-BE57-D88D31963846}"/>
                </c:ext>
              </c:extLst>
            </c:dLbl>
            <c:dLbl>
              <c:idx val="18"/>
              <c:layout>
                <c:manualLayout>
                  <c:x val="-4.5208496002471669E-2"/>
                  <c:y val="-6.25618424903844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80-40E6-B6B1-FC9CD5B3BE86}"/>
                </c:ext>
              </c:extLst>
            </c:dLbl>
            <c:dLbl>
              <c:idx val="19"/>
              <c:layout>
                <c:manualLayout>
                  <c:x val="-4.6714218650163224E-2"/>
                  <c:y val="-7.23870137539503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80-40E6-B6B1-FC9CD5B3BE86}"/>
                </c:ext>
              </c:extLst>
            </c:dLbl>
            <c:numFmt formatCode="0.00%" sourceLinked="0"/>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MMYT!$R$4:$X$4</c:f>
              <c:strCache>
                <c:ptCount val="7"/>
                <c:pt idx="0">
                  <c:v> 1Q18 </c:v>
                </c:pt>
                <c:pt idx="1">
                  <c:v> 2Q18 </c:v>
                </c:pt>
                <c:pt idx="2">
                  <c:v> 3Q18 </c:v>
                </c:pt>
                <c:pt idx="3">
                  <c:v> 4Q18 </c:v>
                </c:pt>
                <c:pt idx="4">
                  <c:v> 1Q19 </c:v>
                </c:pt>
                <c:pt idx="5">
                  <c:v> 2Q19 </c:v>
                </c:pt>
                <c:pt idx="6">
                  <c:v> 3Q19 </c:v>
                </c:pt>
              </c:strCache>
            </c:strRef>
          </c:cat>
          <c:val>
            <c:numRef>
              <c:f>MMYT!$R$115:$X$115</c:f>
              <c:numCache>
                <c:formatCode>0.0%</c:formatCode>
                <c:ptCount val="7"/>
                <c:pt idx="0">
                  <c:v>0.67200000000000004</c:v>
                </c:pt>
                <c:pt idx="1">
                  <c:v>0.25</c:v>
                </c:pt>
                <c:pt idx="2">
                  <c:v>0.253</c:v>
                </c:pt>
                <c:pt idx="3">
                  <c:v>0.314</c:v>
                </c:pt>
                <c:pt idx="4">
                  <c:v>0.26200000000000001</c:v>
                </c:pt>
                <c:pt idx="5">
                  <c:v>0.21</c:v>
                </c:pt>
                <c:pt idx="6">
                  <c:v>0.13600000000000001</c:v>
                </c:pt>
              </c:numCache>
            </c:numRef>
          </c:val>
          <c:smooth val="0"/>
          <c:extLst>
            <c:ext xmlns:c16="http://schemas.microsoft.com/office/drawing/2014/chart" uri="{C3380CC4-5D6E-409C-BE32-E72D297353CC}">
              <c16:uniqueId val="{00000004-23F3-42F5-BE57-D88D31963846}"/>
            </c:ext>
          </c:extLst>
        </c:ser>
        <c:dLbls>
          <c:showLegendKey val="0"/>
          <c:showVal val="0"/>
          <c:showCatName val="0"/>
          <c:showSerName val="0"/>
          <c:showPercent val="0"/>
          <c:showBubbleSize val="0"/>
        </c:dLbls>
        <c:marker val="1"/>
        <c:smooth val="0"/>
        <c:axId val="127256448"/>
        <c:axId val="127257984"/>
      </c:lineChart>
      <c:catAx>
        <c:axId val="127236736"/>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254912"/>
        <c:crosses val="autoZero"/>
        <c:auto val="1"/>
        <c:lblAlgn val="ctr"/>
        <c:lblOffset val="100"/>
        <c:noMultiLvlLbl val="0"/>
      </c:catAx>
      <c:valAx>
        <c:axId val="127254912"/>
        <c:scaling>
          <c:orientation val="minMax"/>
        </c:scaling>
        <c:delete val="0"/>
        <c:axPos val="l"/>
        <c:majorGridlines>
          <c:spPr>
            <a:ln>
              <a:noFill/>
            </a:ln>
          </c:spPr>
        </c:majorGridlines>
        <c:numFmt formatCode="#,##0_);\(#,##0\)" sourceLinked="1"/>
        <c:majorTickMark val="out"/>
        <c:minorTickMark val="none"/>
        <c:tickLblPos val="nextTo"/>
        <c:spPr>
          <a:ln w="9525" cap="flat" cmpd="sng" algn="ctr">
            <a:solidFill>
              <a:schemeClr val="bg1">
                <a:lumMod val="50000"/>
              </a:schemeClr>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236736"/>
        <c:crosses val="autoZero"/>
        <c:crossBetween val="between"/>
      </c:valAx>
      <c:catAx>
        <c:axId val="127256448"/>
        <c:scaling>
          <c:orientation val="minMax"/>
        </c:scaling>
        <c:delete val="1"/>
        <c:axPos val="b"/>
        <c:numFmt formatCode="General" sourceLinked="1"/>
        <c:majorTickMark val="out"/>
        <c:minorTickMark val="none"/>
        <c:tickLblPos val="none"/>
        <c:crossAx val="127257984"/>
        <c:crosses val="autoZero"/>
        <c:auto val="1"/>
        <c:lblAlgn val="ctr"/>
        <c:lblOffset val="100"/>
        <c:noMultiLvlLbl val="0"/>
      </c:catAx>
      <c:valAx>
        <c:axId val="127257984"/>
        <c:scaling>
          <c:orientation val="minMax"/>
        </c:scaling>
        <c:delete val="0"/>
        <c:axPos val="r"/>
        <c:numFmt formatCode="0.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256448"/>
        <c:crosses val="max"/>
        <c:crossBetween val="between"/>
      </c:valAx>
      <c:spPr>
        <a:ln>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userShapes r:id="rId1"/>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sz="1600"/>
              <a:t>MMYT's</a:t>
            </a:r>
            <a:r>
              <a:rPr lang="en-US" altLang="zh-CN" sz="1600" baseline="0"/>
              <a:t> Transaction Volumes &amp; YoY Growth by Segments </a:t>
            </a:r>
            <a:endParaRPr lang="zh-CN" altLang="en-US" sz="1600"/>
          </a:p>
        </c:rich>
      </c:tx>
      <c:overlay val="0"/>
    </c:title>
    <c:autoTitleDeleted val="0"/>
    <c:plotArea>
      <c:layout/>
      <c:barChart>
        <c:barDir val="col"/>
        <c:grouping val="clustered"/>
        <c:varyColors val="0"/>
        <c:ser>
          <c:idx val="0"/>
          <c:order val="0"/>
          <c:tx>
            <c:strRef>
              <c:f>[30]MMYT!$A$191</c:f>
              <c:strCache>
                <c:ptCount val="1"/>
                <c:pt idx="0">
                  <c:v>Air ticketing</c:v>
                </c:pt>
              </c:strCache>
            </c:strRef>
          </c:tx>
          <c:spPr>
            <a:solidFill>
              <a:schemeClr val="accent1">
                <a:lumMod val="75000"/>
              </a:schemeClr>
            </a:solidFill>
            <a:ln>
              <a:solidFill>
                <a:schemeClr val="accent1">
                  <a:lumMod val="60000"/>
                  <a:lumOff val="40000"/>
                </a:schemeClr>
              </a:solidFill>
            </a:ln>
          </c:spPr>
          <c:invertIfNegative val="0"/>
          <c:cat>
            <c:strRef>
              <c:f>[30]MMYT!$B$3:$S$3</c:f>
              <c:strCache>
                <c:ptCount val="18"/>
                <c:pt idx="0">
                  <c:v>14Q1</c:v>
                </c:pt>
                <c:pt idx="1">
                  <c:v>14Q2</c:v>
                </c:pt>
                <c:pt idx="2">
                  <c:v>14Q3</c:v>
                </c:pt>
                <c:pt idx="3">
                  <c:v>14Q4</c:v>
                </c:pt>
                <c:pt idx="4">
                  <c:v>15Q1</c:v>
                </c:pt>
                <c:pt idx="5">
                  <c:v>15Q2</c:v>
                </c:pt>
                <c:pt idx="6">
                  <c:v>15Q3</c:v>
                </c:pt>
                <c:pt idx="7">
                  <c:v>15Q4</c:v>
                </c:pt>
                <c:pt idx="8">
                  <c:v>16Q1</c:v>
                </c:pt>
                <c:pt idx="9">
                  <c:v>16Q2</c:v>
                </c:pt>
                <c:pt idx="10">
                  <c:v>16Q3</c:v>
                </c:pt>
                <c:pt idx="11">
                  <c:v>16Q4</c:v>
                </c:pt>
                <c:pt idx="12">
                  <c:v>1Q17</c:v>
                </c:pt>
                <c:pt idx="13">
                  <c:v>2Q17</c:v>
                </c:pt>
                <c:pt idx="14">
                  <c:v>3Q17</c:v>
                </c:pt>
                <c:pt idx="15">
                  <c:v>4Q17</c:v>
                </c:pt>
                <c:pt idx="16">
                  <c:v>1Q18</c:v>
                </c:pt>
                <c:pt idx="17">
                  <c:v>2Q18</c:v>
                </c:pt>
              </c:strCache>
            </c:strRef>
          </c:cat>
          <c:val>
            <c:numRef>
              <c:f>[30]MMYT!$B$191:$T$191</c:f>
              <c:numCache>
                <c:formatCode>General</c:formatCode>
                <c:ptCount val="19"/>
                <c:pt idx="0">
                  <c:v>1.0354000000000001</c:v>
                </c:pt>
                <c:pt idx="1">
                  <c:v>1.1020000000000001</c:v>
                </c:pt>
                <c:pt idx="2">
                  <c:v>1.5649999999999999</c:v>
                </c:pt>
                <c:pt idx="3">
                  <c:v>1.3180000000000001</c:v>
                </c:pt>
                <c:pt idx="4">
                  <c:v>1.4478</c:v>
                </c:pt>
                <c:pt idx="5">
                  <c:v>1.605</c:v>
                </c:pt>
                <c:pt idx="6">
                  <c:v>1.6785000000000001</c:v>
                </c:pt>
                <c:pt idx="7">
                  <c:v>1.7738</c:v>
                </c:pt>
                <c:pt idx="8">
                  <c:v>1.9032</c:v>
                </c:pt>
                <c:pt idx="9">
                  <c:v>2.1503000000000001</c:v>
                </c:pt>
                <c:pt idx="10">
                  <c:v>2.1995</c:v>
                </c:pt>
                <c:pt idx="11">
                  <c:v>2.3191000000000002</c:v>
                </c:pt>
                <c:pt idx="12">
                  <c:v>2.7107999999999999</c:v>
                </c:pt>
                <c:pt idx="13">
                  <c:v>3.4201999999999999</c:v>
                </c:pt>
                <c:pt idx="14">
                  <c:v>3.5369999999999999</c:v>
                </c:pt>
                <c:pt idx="15">
                  <c:v>3.98</c:v>
                </c:pt>
                <c:pt idx="16">
                  <c:v>4.2480000000000002</c:v>
                </c:pt>
                <c:pt idx="17">
                  <c:v>0</c:v>
                </c:pt>
              </c:numCache>
            </c:numRef>
          </c:val>
          <c:extLst>
            <c:ext xmlns:c16="http://schemas.microsoft.com/office/drawing/2014/chart" uri="{C3380CC4-5D6E-409C-BE32-E72D297353CC}">
              <c16:uniqueId val="{00000000-246E-43A0-B59B-D9683225DF05}"/>
            </c:ext>
          </c:extLst>
        </c:ser>
        <c:ser>
          <c:idx val="2"/>
          <c:order val="2"/>
          <c:tx>
            <c:strRef>
              <c:f>[30]MMYT!$A$194</c:f>
              <c:strCache>
                <c:ptCount val="1"/>
                <c:pt idx="0">
                  <c:v>Hotels and packages</c:v>
                </c:pt>
              </c:strCache>
            </c:strRef>
          </c:tx>
          <c:spPr>
            <a:solidFill>
              <a:srgbClr val="92D050"/>
            </a:solidFill>
            <a:ln>
              <a:solidFill>
                <a:schemeClr val="accent3">
                  <a:lumMod val="60000"/>
                  <a:lumOff val="40000"/>
                </a:schemeClr>
              </a:solidFill>
            </a:ln>
          </c:spPr>
          <c:invertIfNegative val="0"/>
          <c:cat>
            <c:strRef>
              <c:f>[30]MMYT!$B$3:$S$3</c:f>
              <c:strCache>
                <c:ptCount val="18"/>
                <c:pt idx="0">
                  <c:v>14Q1</c:v>
                </c:pt>
                <c:pt idx="1">
                  <c:v>14Q2</c:v>
                </c:pt>
                <c:pt idx="2">
                  <c:v>14Q3</c:v>
                </c:pt>
                <c:pt idx="3">
                  <c:v>14Q4</c:v>
                </c:pt>
                <c:pt idx="4">
                  <c:v>15Q1</c:v>
                </c:pt>
                <c:pt idx="5">
                  <c:v>15Q2</c:v>
                </c:pt>
                <c:pt idx="6">
                  <c:v>15Q3</c:v>
                </c:pt>
                <c:pt idx="7">
                  <c:v>15Q4</c:v>
                </c:pt>
                <c:pt idx="8">
                  <c:v>16Q1</c:v>
                </c:pt>
                <c:pt idx="9">
                  <c:v>16Q2</c:v>
                </c:pt>
                <c:pt idx="10">
                  <c:v>16Q3</c:v>
                </c:pt>
                <c:pt idx="11">
                  <c:v>16Q4</c:v>
                </c:pt>
                <c:pt idx="12">
                  <c:v>1Q17</c:v>
                </c:pt>
                <c:pt idx="13">
                  <c:v>2Q17</c:v>
                </c:pt>
                <c:pt idx="14">
                  <c:v>3Q17</c:v>
                </c:pt>
                <c:pt idx="15">
                  <c:v>4Q17</c:v>
                </c:pt>
                <c:pt idx="16">
                  <c:v>1Q18</c:v>
                </c:pt>
                <c:pt idx="17">
                  <c:v>2Q18</c:v>
                </c:pt>
              </c:strCache>
            </c:strRef>
          </c:cat>
          <c:val>
            <c:numRef>
              <c:f>[30]MMYT!$B$194:$T$194</c:f>
              <c:numCache>
                <c:formatCode>General</c:formatCode>
                <c:ptCount val="19"/>
                <c:pt idx="0">
                  <c:v>0.28199999999999997</c:v>
                </c:pt>
                <c:pt idx="1">
                  <c:v>0.376</c:v>
                </c:pt>
                <c:pt idx="2">
                  <c:v>0.2949</c:v>
                </c:pt>
                <c:pt idx="3">
                  <c:v>0.34160000000000001</c:v>
                </c:pt>
                <c:pt idx="4">
                  <c:v>0.373</c:v>
                </c:pt>
                <c:pt idx="5">
                  <c:v>0.43009999999999998</c:v>
                </c:pt>
                <c:pt idx="6">
                  <c:v>0.53680000000000005</c:v>
                </c:pt>
                <c:pt idx="7">
                  <c:v>0.84789999999999999</c:v>
                </c:pt>
                <c:pt idx="8">
                  <c:v>1.3225</c:v>
                </c:pt>
                <c:pt idx="9">
                  <c:v>1.5494000000000001</c:v>
                </c:pt>
                <c:pt idx="10">
                  <c:v>1.4641999999999999</c:v>
                </c:pt>
                <c:pt idx="11">
                  <c:v>1.5074000000000001</c:v>
                </c:pt>
                <c:pt idx="12">
                  <c:v>2.3531</c:v>
                </c:pt>
                <c:pt idx="13">
                  <c:v>3.5748000000000002</c:v>
                </c:pt>
                <c:pt idx="14">
                  <c:v>3.524</c:v>
                </c:pt>
                <c:pt idx="15">
                  <c:v>3.2389999999999999</c:v>
                </c:pt>
                <c:pt idx="16">
                  <c:v>3.0512100000000002</c:v>
                </c:pt>
                <c:pt idx="17">
                  <c:v>0</c:v>
                </c:pt>
              </c:numCache>
            </c:numRef>
          </c:val>
          <c:extLst>
            <c:ext xmlns:c16="http://schemas.microsoft.com/office/drawing/2014/chart" uri="{C3380CC4-5D6E-409C-BE32-E72D297353CC}">
              <c16:uniqueId val="{00000001-246E-43A0-B59B-D9683225DF05}"/>
            </c:ext>
          </c:extLst>
        </c:ser>
        <c:ser>
          <c:idx val="4"/>
          <c:order val="4"/>
          <c:tx>
            <c:strRef>
              <c:f>[30]MMYT!$A$198</c:f>
              <c:strCache>
                <c:ptCount val="1"/>
                <c:pt idx="0">
                  <c:v>MMYT India Standalone hotels booked online (PC+mobile)</c:v>
                </c:pt>
              </c:strCache>
            </c:strRef>
          </c:tx>
          <c:spPr>
            <a:solidFill>
              <a:schemeClr val="accent6">
                <a:lumMod val="60000"/>
                <a:lumOff val="40000"/>
              </a:schemeClr>
            </a:solidFill>
          </c:spPr>
          <c:invertIfNegative val="0"/>
          <c:cat>
            <c:strRef>
              <c:f>[30]MMYT!$B$3:$S$3</c:f>
              <c:strCache>
                <c:ptCount val="18"/>
                <c:pt idx="0">
                  <c:v>14Q1</c:v>
                </c:pt>
                <c:pt idx="1">
                  <c:v>14Q2</c:v>
                </c:pt>
                <c:pt idx="2">
                  <c:v>14Q3</c:v>
                </c:pt>
                <c:pt idx="3">
                  <c:v>14Q4</c:v>
                </c:pt>
                <c:pt idx="4">
                  <c:v>15Q1</c:v>
                </c:pt>
                <c:pt idx="5">
                  <c:v>15Q2</c:v>
                </c:pt>
                <c:pt idx="6">
                  <c:v>15Q3</c:v>
                </c:pt>
                <c:pt idx="7">
                  <c:v>15Q4</c:v>
                </c:pt>
                <c:pt idx="8">
                  <c:v>16Q1</c:v>
                </c:pt>
                <c:pt idx="9">
                  <c:v>16Q2</c:v>
                </c:pt>
                <c:pt idx="10">
                  <c:v>16Q3</c:v>
                </c:pt>
                <c:pt idx="11">
                  <c:v>16Q4</c:v>
                </c:pt>
                <c:pt idx="12">
                  <c:v>1Q17</c:v>
                </c:pt>
                <c:pt idx="13">
                  <c:v>2Q17</c:v>
                </c:pt>
                <c:pt idx="14">
                  <c:v>3Q17</c:v>
                </c:pt>
                <c:pt idx="15">
                  <c:v>4Q17</c:v>
                </c:pt>
                <c:pt idx="16">
                  <c:v>1Q18</c:v>
                </c:pt>
                <c:pt idx="17">
                  <c:v>2Q18</c:v>
                </c:pt>
              </c:strCache>
            </c:strRef>
          </c:cat>
          <c:val>
            <c:numRef>
              <c:f>[30]MMYT!$B$198:$T$198</c:f>
              <c:numCache>
                <c:formatCode>General</c:formatCode>
                <c:ptCount val="19"/>
                <c:pt idx="0">
                  <c:v>0</c:v>
                </c:pt>
                <c:pt idx="1">
                  <c:v>0.13789999999999999</c:v>
                </c:pt>
                <c:pt idx="2">
                  <c:v>0.12959999999999999</c:v>
                </c:pt>
                <c:pt idx="3">
                  <c:v>0.159</c:v>
                </c:pt>
                <c:pt idx="4">
                  <c:v>0</c:v>
                </c:pt>
                <c:pt idx="5">
                  <c:v>0.2457</c:v>
                </c:pt>
                <c:pt idx="6">
                  <c:v>0.34710000000000002</c:v>
                </c:pt>
                <c:pt idx="7">
                  <c:v>0.67789999999999995</c:v>
                </c:pt>
                <c:pt idx="8">
                  <c:v>1.1729000000000001</c:v>
                </c:pt>
                <c:pt idx="9">
                  <c:v>1.4206000000000001</c:v>
                </c:pt>
                <c:pt idx="10">
                  <c:v>1.3631</c:v>
                </c:pt>
                <c:pt idx="11">
                  <c:v>1.3919999999999999</c:v>
                </c:pt>
                <c:pt idx="12">
                  <c:v>2.2915999999999999</c:v>
                </c:pt>
                <c:pt idx="13">
                  <c:v>0</c:v>
                </c:pt>
                <c:pt idx="16">
                  <c:v>0</c:v>
                </c:pt>
                <c:pt idx="17">
                  <c:v>0</c:v>
                </c:pt>
              </c:numCache>
            </c:numRef>
          </c:val>
          <c:extLst>
            <c:ext xmlns:c16="http://schemas.microsoft.com/office/drawing/2014/chart" uri="{C3380CC4-5D6E-409C-BE32-E72D297353CC}">
              <c16:uniqueId val="{00000002-246E-43A0-B59B-D9683225DF05}"/>
            </c:ext>
          </c:extLst>
        </c:ser>
        <c:dLbls>
          <c:showLegendKey val="0"/>
          <c:showVal val="0"/>
          <c:showCatName val="0"/>
          <c:showSerName val="0"/>
          <c:showPercent val="0"/>
          <c:showBubbleSize val="0"/>
        </c:dLbls>
        <c:gapWidth val="150"/>
        <c:axId val="127666432"/>
        <c:axId val="127680512"/>
      </c:barChart>
      <c:lineChart>
        <c:grouping val="standard"/>
        <c:varyColors val="0"/>
        <c:ser>
          <c:idx val="1"/>
          <c:order val="1"/>
          <c:tx>
            <c:strRef>
              <c:f>[30]MMYT!$A$192</c:f>
              <c:strCache>
                <c:ptCount val="1"/>
                <c:pt idx="0">
                  <c:v>Air ticketing YoY growth rate</c:v>
                </c:pt>
              </c:strCache>
            </c:strRef>
          </c:tx>
          <c:spPr>
            <a:ln w="28575" cap="rnd" cmpd="sng" algn="ctr">
              <a:solidFill>
                <a:schemeClr val="tx2">
                  <a:lumMod val="60000"/>
                  <a:lumOff val="40000"/>
                </a:schemeClr>
              </a:solidFill>
              <a:prstDash val="solid"/>
              <a:round/>
            </a:ln>
          </c:spPr>
          <c:marker>
            <c:symbol val="square"/>
            <c:size val="5"/>
            <c:spPr>
              <a:solidFill>
                <a:schemeClr val="tx2">
                  <a:lumMod val="60000"/>
                  <a:lumOff val="40000"/>
                </a:schemeClr>
              </a:solidFill>
              <a:ln w="9525" cap="flat" cmpd="sng" algn="ctr">
                <a:solidFill>
                  <a:schemeClr val="tx2">
                    <a:lumMod val="60000"/>
                    <a:lumOff val="40000"/>
                  </a:schemeClr>
                </a:solidFill>
                <a:prstDash val="solid"/>
                <a:round/>
              </a:ln>
            </c:spPr>
          </c:marker>
          <c:dLbls>
            <c:dLbl>
              <c:idx val="4"/>
              <c:layout>
                <c:manualLayout>
                  <c:x val="-1.0916033233857E-2"/>
                  <c:y val="-5.137780766950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6E-43A0-B59B-D9683225DF05}"/>
                </c:ext>
              </c:extLst>
            </c:dLbl>
            <c:dLbl>
              <c:idx val="11"/>
              <c:layout>
                <c:manualLayout>
                  <c:x val="-1.55943331912245E-2"/>
                  <c:y val="1.926667787606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6E-43A0-B59B-D9683225DF05}"/>
                </c:ext>
              </c:extLst>
            </c:dLbl>
            <c:dLbl>
              <c:idx val="12"/>
              <c:layout>
                <c:manualLayout>
                  <c:x val="-1.4034899872102E-2"/>
                  <c:y val="1.60555648967195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6E-43A0-B59B-D9683225DF05}"/>
                </c:ext>
              </c:extLst>
            </c:dLbl>
            <c:dLbl>
              <c:idx val="16"/>
              <c:layout>
                <c:manualLayout>
                  <c:x val="-7.7971665956121702E-3"/>
                  <c:y val="-2.568890383475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6E-43A0-B59B-D9683225DF05}"/>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[30]MMYT!$B$3:$T$3</c:f>
              <c:strCache>
                <c:ptCount val="19"/>
                <c:pt idx="0">
                  <c:v>14Q1</c:v>
                </c:pt>
                <c:pt idx="1">
                  <c:v>14Q2</c:v>
                </c:pt>
                <c:pt idx="2">
                  <c:v>14Q3</c:v>
                </c:pt>
                <c:pt idx="3">
                  <c:v>14Q4</c:v>
                </c:pt>
                <c:pt idx="4">
                  <c:v>15Q1</c:v>
                </c:pt>
                <c:pt idx="5">
                  <c:v>15Q2</c:v>
                </c:pt>
                <c:pt idx="6">
                  <c:v>15Q3</c:v>
                </c:pt>
                <c:pt idx="7">
                  <c:v>15Q4</c:v>
                </c:pt>
                <c:pt idx="8">
                  <c:v>16Q1</c:v>
                </c:pt>
                <c:pt idx="9">
                  <c:v>16Q2</c:v>
                </c:pt>
                <c:pt idx="10">
                  <c:v>16Q3</c:v>
                </c:pt>
                <c:pt idx="11">
                  <c:v>16Q4</c:v>
                </c:pt>
                <c:pt idx="12">
                  <c:v>1Q17</c:v>
                </c:pt>
                <c:pt idx="13">
                  <c:v>2Q17</c:v>
                </c:pt>
                <c:pt idx="14">
                  <c:v>3Q17</c:v>
                </c:pt>
                <c:pt idx="15">
                  <c:v>4Q17</c:v>
                </c:pt>
                <c:pt idx="16">
                  <c:v>1Q18</c:v>
                </c:pt>
                <c:pt idx="17">
                  <c:v>2Q18</c:v>
                </c:pt>
                <c:pt idx="18">
                  <c:v>3Q18</c:v>
                </c:pt>
              </c:strCache>
            </c:strRef>
          </c:cat>
          <c:val>
            <c:numRef>
              <c:f>[30]MMYT!$B$192:$T$192</c:f>
              <c:numCache>
                <c:formatCode>General</c:formatCode>
                <c:ptCount val="19"/>
                <c:pt idx="0">
                  <c:v>-1.7999999999999999E-2</c:v>
                </c:pt>
                <c:pt idx="1">
                  <c:v>0.161</c:v>
                </c:pt>
                <c:pt idx="2">
                  <c:v>0.39700000000000002</c:v>
                </c:pt>
                <c:pt idx="3">
                  <c:v>0.47299999999999998</c:v>
                </c:pt>
                <c:pt idx="4">
                  <c:v>0.39800000000000002</c:v>
                </c:pt>
                <c:pt idx="5">
                  <c:v>0.45600000000000002</c:v>
                </c:pt>
                <c:pt idx="6">
                  <c:v>7.1999999999999995E-2</c:v>
                </c:pt>
                <c:pt idx="7">
                  <c:v>0.34599999999999997</c:v>
                </c:pt>
                <c:pt idx="8">
                  <c:v>0.315</c:v>
                </c:pt>
                <c:pt idx="9">
                  <c:v>0.34</c:v>
                </c:pt>
                <c:pt idx="10">
                  <c:v>0.31</c:v>
                </c:pt>
                <c:pt idx="11">
                  <c:v>0.307</c:v>
                </c:pt>
                <c:pt idx="12">
                  <c:v>0.42399999999999999</c:v>
                </c:pt>
                <c:pt idx="13">
                  <c:v>0.59099999999999997</c:v>
                </c:pt>
                <c:pt idx="14">
                  <c:v>0.60799999999999998</c:v>
                </c:pt>
                <c:pt idx="15">
                  <c:v>0.71599999999999997</c:v>
                </c:pt>
                <c:pt idx="16">
                  <c:v>0.56699999999999995</c:v>
                </c:pt>
                <c:pt idx="17">
                  <c:v>0</c:v>
                </c:pt>
              </c:numCache>
            </c:numRef>
          </c:val>
          <c:smooth val="0"/>
          <c:extLst>
            <c:ext xmlns:c16="http://schemas.microsoft.com/office/drawing/2014/chart" uri="{C3380CC4-5D6E-409C-BE32-E72D297353CC}">
              <c16:uniqueId val="{00000007-246E-43A0-B59B-D9683225DF05}"/>
            </c:ext>
          </c:extLst>
        </c:ser>
        <c:ser>
          <c:idx val="3"/>
          <c:order val="3"/>
          <c:tx>
            <c:strRef>
              <c:f>[30]MMYT!$A$195</c:f>
              <c:strCache>
                <c:ptCount val="1"/>
                <c:pt idx="0">
                  <c:v>H&amp;P YoY growth rate</c:v>
                </c:pt>
              </c:strCache>
            </c:strRef>
          </c:tx>
          <c:spPr>
            <a:ln w="28575" cap="rnd" cmpd="sng" algn="ctr">
              <a:solidFill>
                <a:srgbClr val="00B050"/>
              </a:solidFill>
              <a:prstDash val="solid"/>
              <a:round/>
            </a:ln>
          </c:spPr>
          <c:marker>
            <c:symbol val="diamond"/>
            <c:size val="5"/>
            <c:spPr>
              <a:solidFill>
                <a:srgbClr val="00B050"/>
              </a:solidFill>
              <a:ln w="9525" cap="flat" cmpd="sng" algn="ctr">
                <a:solidFill>
                  <a:schemeClr val="accent3"/>
                </a:solidFill>
                <a:prstDash val="solid"/>
                <a:round/>
              </a:ln>
            </c:spPr>
          </c:marker>
          <c:dLbls>
            <c:dLbl>
              <c:idx val="4"/>
              <c:layout>
                <c:manualLayout>
                  <c:x val="-1.71537665103468E-2"/>
                  <c:y val="4.49555817108152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46E-43A0-B59B-D9683225DF05}"/>
                </c:ext>
              </c:extLst>
            </c:dLbl>
            <c:dLbl>
              <c:idx val="11"/>
              <c:layout>
                <c:manualLayout>
                  <c:x val="-1.0916033233857E-2"/>
                  <c:y val="3.2111129793439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46E-43A0-B59B-D9683225DF05}"/>
                </c:ext>
              </c:extLst>
            </c:dLbl>
            <c:dLbl>
              <c:idx val="12"/>
              <c:layout>
                <c:manualLayout>
                  <c:x val="-1.2475466552979601E-2"/>
                  <c:y val="-5.458892064884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46E-43A0-B59B-D9683225DF05}"/>
                </c:ext>
              </c:extLst>
            </c:dLbl>
            <c:dLbl>
              <c:idx val="16"/>
              <c:layout>
                <c:manualLayout>
                  <c:x val="-6.2377332764897396E-3"/>
                  <c:y val="2.247779085540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46E-43A0-B59B-D9683225DF05}"/>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[30]MMYT!$B$3:$T$3</c:f>
              <c:strCache>
                <c:ptCount val="19"/>
                <c:pt idx="0">
                  <c:v>14Q1</c:v>
                </c:pt>
                <c:pt idx="1">
                  <c:v>14Q2</c:v>
                </c:pt>
                <c:pt idx="2">
                  <c:v>14Q3</c:v>
                </c:pt>
                <c:pt idx="3">
                  <c:v>14Q4</c:v>
                </c:pt>
                <c:pt idx="4">
                  <c:v>15Q1</c:v>
                </c:pt>
                <c:pt idx="5">
                  <c:v>15Q2</c:v>
                </c:pt>
                <c:pt idx="6">
                  <c:v>15Q3</c:v>
                </c:pt>
                <c:pt idx="7">
                  <c:v>15Q4</c:v>
                </c:pt>
                <c:pt idx="8">
                  <c:v>16Q1</c:v>
                </c:pt>
                <c:pt idx="9">
                  <c:v>16Q2</c:v>
                </c:pt>
                <c:pt idx="10">
                  <c:v>16Q3</c:v>
                </c:pt>
                <c:pt idx="11">
                  <c:v>16Q4</c:v>
                </c:pt>
                <c:pt idx="12">
                  <c:v>1Q17</c:v>
                </c:pt>
                <c:pt idx="13">
                  <c:v>2Q17</c:v>
                </c:pt>
                <c:pt idx="14">
                  <c:v>3Q17</c:v>
                </c:pt>
                <c:pt idx="15">
                  <c:v>4Q17</c:v>
                </c:pt>
                <c:pt idx="16">
                  <c:v>1Q18</c:v>
                </c:pt>
                <c:pt idx="17">
                  <c:v>2Q18</c:v>
                </c:pt>
                <c:pt idx="18">
                  <c:v>3Q18</c:v>
                </c:pt>
              </c:strCache>
            </c:strRef>
          </c:cat>
          <c:val>
            <c:numRef>
              <c:f>[30]MMYT!$B$195:$T$195</c:f>
              <c:numCache>
                <c:formatCode>General</c:formatCode>
                <c:ptCount val="19"/>
                <c:pt idx="0">
                  <c:v>0.68899999999999995</c:v>
                </c:pt>
                <c:pt idx="1">
                  <c:v>1.0649999999999999</c:v>
                </c:pt>
                <c:pt idx="2">
                  <c:v>0.70899999999999996</c:v>
                </c:pt>
                <c:pt idx="3">
                  <c:v>0.46500000000000002</c:v>
                </c:pt>
                <c:pt idx="4">
                  <c:v>0.32200000000000001</c:v>
                </c:pt>
                <c:pt idx="5">
                  <c:v>0.14399999999999999</c:v>
                </c:pt>
                <c:pt idx="6">
                  <c:v>0.82</c:v>
                </c:pt>
                <c:pt idx="7">
                  <c:v>1.482</c:v>
                </c:pt>
                <c:pt idx="8">
                  <c:v>2.5449999999999999</c:v>
                </c:pt>
                <c:pt idx="9">
                  <c:v>2.6030000000000002</c:v>
                </c:pt>
                <c:pt idx="10">
                  <c:v>1.7270000000000001</c:v>
                </c:pt>
                <c:pt idx="11">
                  <c:v>0.77800000000000002</c:v>
                </c:pt>
                <c:pt idx="12">
                  <c:v>0.77900000000000003</c:v>
                </c:pt>
                <c:pt idx="13">
                  <c:v>1.3069999999999999</c:v>
                </c:pt>
                <c:pt idx="14">
                  <c:v>1.407</c:v>
                </c:pt>
                <c:pt idx="15">
                  <c:v>1.149</c:v>
                </c:pt>
                <c:pt idx="16">
                  <c:v>0.42399999999999999</c:v>
                </c:pt>
              </c:numCache>
            </c:numRef>
          </c:val>
          <c:smooth val="0"/>
          <c:extLst>
            <c:ext xmlns:c16="http://schemas.microsoft.com/office/drawing/2014/chart" uri="{C3380CC4-5D6E-409C-BE32-E72D297353CC}">
              <c16:uniqueId val="{0000000C-246E-43A0-B59B-D9683225DF05}"/>
            </c:ext>
          </c:extLst>
        </c:ser>
        <c:ser>
          <c:idx val="5"/>
          <c:order val="5"/>
          <c:tx>
            <c:strRef>
              <c:f>[30]MMYT!$A$199</c:f>
              <c:strCache>
                <c:ptCount val="1"/>
                <c:pt idx="0">
                  <c:v>Online Standardalone hotel YoY % growth rate</c:v>
                </c:pt>
              </c:strCache>
            </c:strRef>
          </c:tx>
          <c:spPr>
            <a:ln w="28575" cap="rnd" cmpd="sng" algn="ctr">
              <a:solidFill>
                <a:schemeClr val="accent6"/>
              </a:solidFill>
              <a:prstDash val="solid"/>
              <a:round/>
            </a:ln>
          </c:spPr>
          <c:marker>
            <c:symbol val="triangle"/>
            <c:size val="7"/>
            <c:spPr>
              <a:solidFill>
                <a:schemeClr val="accent6"/>
              </a:solidFill>
            </c:spPr>
          </c:marker>
          <c:dLbls>
            <c:dLbl>
              <c:idx val="11"/>
              <c:layout>
                <c:manualLayout>
                  <c:x val="-1.24754665529795E-2"/>
                  <c:y val="-1.926667787606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46E-43A0-B59B-D9683225DF05}"/>
                </c:ext>
              </c:extLst>
            </c:dLbl>
            <c:dLbl>
              <c:idx val="12"/>
              <c:layout>
                <c:manualLayout>
                  <c:x val="-9.3565999147346094E-3"/>
                  <c:y val="9.6333389380317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46E-43A0-B59B-D9683225DF05}"/>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[30]MMYT!$B$3:$T$3</c:f>
              <c:strCache>
                <c:ptCount val="19"/>
                <c:pt idx="0">
                  <c:v>14Q1</c:v>
                </c:pt>
                <c:pt idx="1">
                  <c:v>14Q2</c:v>
                </c:pt>
                <c:pt idx="2">
                  <c:v>14Q3</c:v>
                </c:pt>
                <c:pt idx="3">
                  <c:v>14Q4</c:v>
                </c:pt>
                <c:pt idx="4">
                  <c:v>15Q1</c:v>
                </c:pt>
                <c:pt idx="5">
                  <c:v>15Q2</c:v>
                </c:pt>
                <c:pt idx="6">
                  <c:v>15Q3</c:v>
                </c:pt>
                <c:pt idx="7">
                  <c:v>15Q4</c:v>
                </c:pt>
                <c:pt idx="8">
                  <c:v>16Q1</c:v>
                </c:pt>
                <c:pt idx="9">
                  <c:v>16Q2</c:v>
                </c:pt>
                <c:pt idx="10">
                  <c:v>16Q3</c:v>
                </c:pt>
                <c:pt idx="11">
                  <c:v>16Q4</c:v>
                </c:pt>
                <c:pt idx="12">
                  <c:v>1Q17</c:v>
                </c:pt>
                <c:pt idx="13">
                  <c:v>2Q17</c:v>
                </c:pt>
                <c:pt idx="14">
                  <c:v>3Q17</c:v>
                </c:pt>
                <c:pt idx="15">
                  <c:v>4Q17</c:v>
                </c:pt>
                <c:pt idx="16">
                  <c:v>1Q18</c:v>
                </c:pt>
                <c:pt idx="17">
                  <c:v>2Q18</c:v>
                </c:pt>
                <c:pt idx="18">
                  <c:v>3Q18</c:v>
                </c:pt>
              </c:strCache>
            </c:strRef>
          </c:cat>
          <c:val>
            <c:numRef>
              <c:f>[30]MMYT!$B$199:$T$199</c:f>
              <c:numCache>
                <c:formatCode>General</c:formatCode>
                <c:ptCount val="19"/>
                <c:pt idx="0">
                  <c:v>0</c:v>
                </c:pt>
                <c:pt idx="1">
                  <c:v>0</c:v>
                </c:pt>
                <c:pt idx="2">
                  <c:v>0</c:v>
                </c:pt>
                <c:pt idx="3">
                  <c:v>0</c:v>
                </c:pt>
                <c:pt idx="4">
                  <c:v>0</c:v>
                </c:pt>
                <c:pt idx="5">
                  <c:v>0.78100000000000003</c:v>
                </c:pt>
                <c:pt idx="6">
                  <c:v>1.679</c:v>
                </c:pt>
                <c:pt idx="7">
                  <c:v>3.2629999999999999</c:v>
                </c:pt>
                <c:pt idx="8">
                  <c:v>5.069</c:v>
                </c:pt>
                <c:pt idx="9">
                  <c:v>4.782</c:v>
                </c:pt>
                <c:pt idx="10">
                  <c:v>2.927</c:v>
                </c:pt>
                <c:pt idx="11">
                  <c:v>1.05340020652014</c:v>
                </c:pt>
                <c:pt idx="12">
                  <c:v>0.95399999999999996</c:v>
                </c:pt>
                <c:pt idx="13">
                  <c:v>0</c:v>
                </c:pt>
                <c:pt idx="14">
                  <c:v>0</c:v>
                </c:pt>
                <c:pt idx="15">
                  <c:v>0</c:v>
                </c:pt>
                <c:pt idx="16">
                  <c:v>0</c:v>
                </c:pt>
                <c:pt idx="17">
                  <c:v>0</c:v>
                </c:pt>
              </c:numCache>
            </c:numRef>
          </c:val>
          <c:smooth val="0"/>
          <c:extLst>
            <c:ext xmlns:c16="http://schemas.microsoft.com/office/drawing/2014/chart" uri="{C3380CC4-5D6E-409C-BE32-E72D297353CC}">
              <c16:uniqueId val="{0000000F-246E-43A0-B59B-D9683225DF05}"/>
            </c:ext>
          </c:extLst>
        </c:ser>
        <c:dLbls>
          <c:showLegendKey val="0"/>
          <c:showVal val="0"/>
          <c:showCatName val="0"/>
          <c:showSerName val="0"/>
          <c:showPercent val="0"/>
          <c:showBubbleSize val="0"/>
        </c:dLbls>
        <c:marker val="1"/>
        <c:smooth val="0"/>
        <c:axId val="127682048"/>
        <c:axId val="127683584"/>
      </c:lineChart>
      <c:catAx>
        <c:axId val="127666432"/>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680512"/>
        <c:crosses val="autoZero"/>
        <c:auto val="1"/>
        <c:lblAlgn val="ctr"/>
        <c:lblOffset val="100"/>
        <c:noMultiLvlLbl val="0"/>
      </c:catAx>
      <c:valAx>
        <c:axId val="127680512"/>
        <c:scaling>
          <c:orientation val="minMax"/>
        </c:scaling>
        <c:delete val="0"/>
        <c:axPos val="l"/>
        <c:majorGridlines/>
        <c:numFmt formatCode="0.0" sourceLinked="0"/>
        <c:majorTickMark val="out"/>
        <c:minorTickMark val="none"/>
        <c:tickLblPos val="nextTo"/>
        <c:spPr>
          <a:ln w="9525"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666432"/>
        <c:crosses val="autoZero"/>
        <c:crossBetween val="between"/>
      </c:valAx>
      <c:catAx>
        <c:axId val="127682048"/>
        <c:scaling>
          <c:orientation val="minMax"/>
        </c:scaling>
        <c:delete val="1"/>
        <c:axPos val="b"/>
        <c:numFmt formatCode="General" sourceLinked="1"/>
        <c:majorTickMark val="out"/>
        <c:minorTickMark val="none"/>
        <c:tickLblPos val="none"/>
        <c:crossAx val="127683584"/>
        <c:crosses val="autoZero"/>
        <c:auto val="1"/>
        <c:lblAlgn val="ctr"/>
        <c:lblOffset val="100"/>
        <c:noMultiLvlLbl val="0"/>
      </c:catAx>
      <c:valAx>
        <c:axId val="127683584"/>
        <c:scaling>
          <c:orientation val="minMax"/>
        </c:scaling>
        <c:delete val="0"/>
        <c:axPos val="r"/>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682048"/>
        <c:crosses val="max"/>
        <c:crossBetween val="between"/>
      </c:valAx>
      <c:spPr>
        <a:noFill/>
        <a:ln w="25400">
          <a:no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userShapes r:id="rId1"/>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a:t>MMYT's Operating Income (non-GAAP)</a:t>
            </a:r>
            <a:r>
              <a:rPr lang="en-US" altLang="zh-CN" baseline="0"/>
              <a:t> </a:t>
            </a:r>
            <a:r>
              <a:rPr lang="en-US" altLang="zh-CN"/>
              <a:t>and Margin </a:t>
            </a:r>
            <a:endParaRPr lang="zh-CN" altLang="en-US"/>
          </a:p>
        </c:rich>
      </c:tx>
      <c:layout>
        <c:manualLayout>
          <c:xMode val="edge"/>
          <c:yMode val="edge"/>
          <c:x val="0.1345841208237156"/>
          <c:y val="1.8607190726879407E-2"/>
        </c:manualLayout>
      </c:layout>
      <c:overlay val="0"/>
    </c:title>
    <c:autoTitleDeleted val="0"/>
    <c:plotArea>
      <c:layout/>
      <c:barChart>
        <c:barDir val="col"/>
        <c:grouping val="clustered"/>
        <c:varyColors val="0"/>
        <c:ser>
          <c:idx val="0"/>
          <c:order val="0"/>
          <c:tx>
            <c:strRef>
              <c:f>MMYT!$A$81</c:f>
              <c:strCache>
                <c:ptCount val="1"/>
                <c:pt idx="0">
                  <c:v>Income (loss) from Operations (non-GAAP)</c:v>
                </c:pt>
              </c:strCache>
            </c:strRef>
          </c:tx>
          <c:spPr>
            <a:solidFill>
              <a:schemeClr val="accent1">
                <a:lumMod val="60000"/>
                <a:lumOff val="40000"/>
              </a:schemeClr>
            </a:solidFill>
            <a:ln>
              <a:solidFill>
                <a:schemeClr val="accent1">
                  <a:lumMod val="60000"/>
                  <a:lumOff val="40000"/>
                </a:schemeClr>
              </a:solidFill>
            </a:ln>
          </c:spPr>
          <c:invertIfNegative val="0"/>
          <c:cat>
            <c:strRef>
              <c:f>MMYT!$B$4:$X$4</c:f>
              <c:strCache>
                <c:ptCount val="23"/>
                <c:pt idx="0">
                  <c:v> 14Q1 </c:v>
                </c:pt>
                <c:pt idx="1">
                  <c:v> 14Q2 </c:v>
                </c:pt>
                <c:pt idx="2">
                  <c:v> 14Q3 </c:v>
                </c:pt>
                <c:pt idx="3">
                  <c:v> 14Q4 </c:v>
                </c:pt>
                <c:pt idx="4">
                  <c:v> 15Q1 </c:v>
                </c:pt>
                <c:pt idx="5">
                  <c:v> 15Q2 </c:v>
                </c:pt>
                <c:pt idx="6">
                  <c:v> 15Q3 </c:v>
                </c:pt>
                <c:pt idx="7">
                  <c:v> 15Q4 </c:v>
                </c:pt>
                <c:pt idx="8">
                  <c:v> 16Q1 </c:v>
                </c:pt>
                <c:pt idx="9">
                  <c:v> 16Q2 </c:v>
                </c:pt>
                <c:pt idx="10">
                  <c:v> 16Q3 </c:v>
                </c:pt>
                <c:pt idx="11">
                  <c:v> 16Q4 </c:v>
                </c:pt>
                <c:pt idx="12">
                  <c:v> 1Q17 </c:v>
                </c:pt>
                <c:pt idx="13">
                  <c:v> 2Q17 </c:v>
                </c:pt>
                <c:pt idx="14">
                  <c:v> 3Q17 </c:v>
                </c:pt>
                <c:pt idx="15">
                  <c:v> 4Q17 </c:v>
                </c:pt>
                <c:pt idx="16">
                  <c:v> 1Q18 </c:v>
                </c:pt>
                <c:pt idx="17">
                  <c:v> 2Q18 </c:v>
                </c:pt>
                <c:pt idx="18">
                  <c:v> 3Q18 </c:v>
                </c:pt>
                <c:pt idx="19">
                  <c:v> 4Q18 </c:v>
                </c:pt>
                <c:pt idx="20">
                  <c:v> 1Q19 </c:v>
                </c:pt>
                <c:pt idx="21">
                  <c:v> 2Q19 </c:v>
                </c:pt>
                <c:pt idx="22">
                  <c:v> 3Q19 </c:v>
                </c:pt>
              </c:strCache>
            </c:strRef>
          </c:cat>
          <c:val>
            <c:numRef>
              <c:f>MMYT!$B$81:$X$81</c:f>
              <c:numCache>
                <c:formatCode>#,##0_);\(#,##0\)</c:formatCode>
                <c:ptCount val="23"/>
                <c:pt idx="0">
                  <c:v>-0.75275899999999307</c:v>
                </c:pt>
                <c:pt idx="1">
                  <c:v>-0.79458999999999591</c:v>
                </c:pt>
                <c:pt idx="2">
                  <c:v>-0.74088300000000418</c:v>
                </c:pt>
                <c:pt idx="3">
                  <c:v>0.70558900000000113</c:v>
                </c:pt>
                <c:pt idx="4">
                  <c:v>-14.075999999999992</c:v>
                </c:pt>
                <c:pt idx="5">
                  <c:v>36.488999999999997</c:v>
                </c:pt>
                <c:pt idx="6">
                  <c:v>-20.048000000000002</c:v>
                </c:pt>
                <c:pt idx="7">
                  <c:v>-42.875000000000007</c:v>
                </c:pt>
                <c:pt idx="8">
                  <c:v>-31.730000000000018</c:v>
                </c:pt>
                <c:pt idx="9">
                  <c:v>-24.659000000000006</c:v>
                </c:pt>
                <c:pt idx="10">
                  <c:v>-25.873999999999988</c:v>
                </c:pt>
                <c:pt idx="11">
                  <c:v>-0.40700000000001024</c:v>
                </c:pt>
                <c:pt idx="12">
                  <c:v>-57.651000000000003</c:v>
                </c:pt>
                <c:pt idx="13">
                  <c:v>-44.018999999999949</c:v>
                </c:pt>
                <c:pt idx="14">
                  <c:v>-50.890999999999984</c:v>
                </c:pt>
                <c:pt idx="15">
                  <c:v>-37.575000000000031</c:v>
                </c:pt>
                <c:pt idx="16">
                  <c:v>-30.106000000000037</c:v>
                </c:pt>
                <c:pt idx="17">
                  <c:v>-36.353000000000009</c:v>
                </c:pt>
                <c:pt idx="18">
                  <c:v>-26.561000000000007</c:v>
                </c:pt>
                <c:pt idx="19">
                  <c:v>-22.310999999999964</c:v>
                </c:pt>
                <c:pt idx="20">
                  <c:v>-21.984000000000009</c:v>
                </c:pt>
                <c:pt idx="21">
                  <c:v>-33.795999999999992</c:v>
                </c:pt>
                <c:pt idx="22">
                  <c:v>-30.012999999999995</c:v>
                </c:pt>
              </c:numCache>
            </c:numRef>
          </c:val>
          <c:extLst>
            <c:ext xmlns:c16="http://schemas.microsoft.com/office/drawing/2014/chart" uri="{C3380CC4-5D6E-409C-BE32-E72D297353CC}">
              <c16:uniqueId val="{00000000-76BD-4393-B5D2-B268C07A8CFE}"/>
            </c:ext>
          </c:extLst>
        </c:ser>
        <c:dLbls>
          <c:showLegendKey val="0"/>
          <c:showVal val="0"/>
          <c:showCatName val="0"/>
          <c:showSerName val="0"/>
          <c:showPercent val="0"/>
          <c:showBubbleSize val="0"/>
        </c:dLbls>
        <c:gapWidth val="75"/>
        <c:overlap val="-25"/>
        <c:axId val="127727872"/>
        <c:axId val="127729664"/>
      </c:barChart>
      <c:lineChart>
        <c:grouping val="standard"/>
        <c:varyColors val="0"/>
        <c:ser>
          <c:idx val="1"/>
          <c:order val="1"/>
          <c:tx>
            <c:strRef>
              <c:f>MMYT!$A$82</c:f>
              <c:strCache>
                <c:ptCount val="1"/>
                <c:pt idx="0">
                  <c:v>OP Margin non-GAAP (OP/Adjusted revenue)</c:v>
                </c:pt>
              </c:strCache>
            </c:strRef>
          </c:tx>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MMYT!$B$4:$X$4</c:f>
              <c:strCache>
                <c:ptCount val="23"/>
                <c:pt idx="0">
                  <c:v> 14Q1 </c:v>
                </c:pt>
                <c:pt idx="1">
                  <c:v> 14Q2 </c:v>
                </c:pt>
                <c:pt idx="2">
                  <c:v> 14Q3 </c:v>
                </c:pt>
                <c:pt idx="3">
                  <c:v> 14Q4 </c:v>
                </c:pt>
                <c:pt idx="4">
                  <c:v> 15Q1 </c:v>
                </c:pt>
                <c:pt idx="5">
                  <c:v> 15Q2 </c:v>
                </c:pt>
                <c:pt idx="6">
                  <c:v> 15Q3 </c:v>
                </c:pt>
                <c:pt idx="7">
                  <c:v> 15Q4 </c:v>
                </c:pt>
                <c:pt idx="8">
                  <c:v> 16Q1 </c:v>
                </c:pt>
                <c:pt idx="9">
                  <c:v> 16Q2 </c:v>
                </c:pt>
                <c:pt idx="10">
                  <c:v> 16Q3 </c:v>
                </c:pt>
                <c:pt idx="11">
                  <c:v> 16Q4 </c:v>
                </c:pt>
                <c:pt idx="12">
                  <c:v> 1Q17 </c:v>
                </c:pt>
                <c:pt idx="13">
                  <c:v> 2Q17 </c:v>
                </c:pt>
                <c:pt idx="14">
                  <c:v> 3Q17 </c:v>
                </c:pt>
                <c:pt idx="15">
                  <c:v> 4Q17 </c:v>
                </c:pt>
                <c:pt idx="16">
                  <c:v> 1Q18 </c:v>
                </c:pt>
                <c:pt idx="17">
                  <c:v> 2Q18 </c:v>
                </c:pt>
                <c:pt idx="18">
                  <c:v> 3Q18 </c:v>
                </c:pt>
                <c:pt idx="19">
                  <c:v> 4Q18 </c:v>
                </c:pt>
                <c:pt idx="20">
                  <c:v> 1Q19 </c:v>
                </c:pt>
                <c:pt idx="21">
                  <c:v> 2Q19 </c:v>
                </c:pt>
                <c:pt idx="22">
                  <c:v> 3Q19 </c:v>
                </c:pt>
              </c:strCache>
            </c:strRef>
          </c:cat>
          <c:val>
            <c:numRef>
              <c:f>MMYT!$B$82:$X$82</c:f>
              <c:numCache>
                <c:formatCode>0%</c:formatCode>
                <c:ptCount val="23"/>
                <c:pt idx="0">
                  <c:v>-2.6386973351315623E-2</c:v>
                </c:pt>
                <c:pt idx="1">
                  <c:v>-2.2412714199462291E-2</c:v>
                </c:pt>
                <c:pt idx="2">
                  <c:v>-2.3117068594837017E-2</c:v>
                </c:pt>
                <c:pt idx="3">
                  <c:v>2.0113723557246173E-2</c:v>
                </c:pt>
                <c:pt idx="4">
                  <c:v>-0.38706484078534864</c:v>
                </c:pt>
                <c:pt idx="5">
                  <c:v>0.88748631886172935</c:v>
                </c:pt>
                <c:pt idx="6">
                  <c:v>-0.60378267678592945</c:v>
                </c:pt>
                <c:pt idx="7">
                  <c:v>-1.1813898379808223</c:v>
                </c:pt>
                <c:pt idx="8">
                  <c:v>-0.61653550956961101</c:v>
                </c:pt>
                <c:pt idx="9">
                  <c:v>-0.41888632194061298</c:v>
                </c:pt>
                <c:pt idx="10">
                  <c:v>-0.4863899541318894</c:v>
                </c:pt>
                <c:pt idx="11">
                  <c:v>-5.317133712195575E-3</c:v>
                </c:pt>
                <c:pt idx="12">
                  <c:v>-0.67754559984956764</c:v>
                </c:pt>
                <c:pt idx="13">
                  <c:v>-0.30775415463564315</c:v>
                </c:pt>
                <c:pt idx="14">
                  <c:v>-0.36203830174719703</c:v>
                </c:pt>
                <c:pt idx="15">
                  <c:v>-0.29145755928048989</c:v>
                </c:pt>
                <c:pt idx="16">
                  <c:v>-0.20718891725794381</c:v>
                </c:pt>
                <c:pt idx="17">
                  <c:v>-0.21457451643558281</c:v>
                </c:pt>
                <c:pt idx="18">
                  <c:v>-0.16664888978121883</c:v>
                </c:pt>
                <c:pt idx="19">
                  <c:v>-0.12447417457961843</c:v>
                </c:pt>
                <c:pt idx="20">
                  <c:v>-0.13494319053728068</c:v>
                </c:pt>
                <c:pt idx="21">
                  <c:v>-0.1711085908704281</c:v>
                </c:pt>
                <c:pt idx="22">
                  <c:v>-0.16687145899242176</c:v>
                </c:pt>
              </c:numCache>
            </c:numRef>
          </c:val>
          <c:smooth val="0"/>
          <c:extLst>
            <c:ext xmlns:c16="http://schemas.microsoft.com/office/drawing/2014/chart" uri="{C3380CC4-5D6E-409C-BE32-E72D297353CC}">
              <c16:uniqueId val="{00000001-76BD-4393-B5D2-B268C07A8CFE}"/>
            </c:ext>
          </c:extLst>
        </c:ser>
        <c:dLbls>
          <c:showLegendKey val="0"/>
          <c:showVal val="0"/>
          <c:showCatName val="0"/>
          <c:showSerName val="0"/>
          <c:showPercent val="0"/>
          <c:showBubbleSize val="0"/>
        </c:dLbls>
        <c:marker val="1"/>
        <c:smooth val="0"/>
        <c:axId val="127731200"/>
        <c:axId val="127732736"/>
      </c:lineChart>
      <c:catAx>
        <c:axId val="127727872"/>
        <c:scaling>
          <c:orientation val="minMax"/>
        </c:scaling>
        <c:delete val="0"/>
        <c:axPos val="b"/>
        <c:numFmt formatCode="General" sourceLinked="0"/>
        <c:majorTickMark val="none"/>
        <c:minorTickMark val="none"/>
        <c:tickLblPos val="low"/>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729664"/>
        <c:crossesAt val="0"/>
        <c:auto val="1"/>
        <c:lblAlgn val="ctr"/>
        <c:lblOffset val="100"/>
        <c:noMultiLvlLbl val="0"/>
      </c:catAx>
      <c:valAx>
        <c:axId val="127729664"/>
        <c:scaling>
          <c:orientation val="minMax"/>
        </c:scaling>
        <c:delete val="0"/>
        <c:axPos val="l"/>
        <c:majorGridlines>
          <c:spPr>
            <a:ln>
              <a:noFill/>
            </a:ln>
          </c:spPr>
        </c:majorGridlines>
        <c:numFmt formatCode="General" sourceLinked="0"/>
        <c:majorTickMark val="out"/>
        <c:minorTickMark val="out"/>
        <c:tickLblPos val="nextTo"/>
        <c:spPr>
          <a:ln w="9525"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727872"/>
        <c:crosses val="autoZero"/>
        <c:crossBetween val="between"/>
      </c:valAx>
      <c:catAx>
        <c:axId val="127731200"/>
        <c:scaling>
          <c:orientation val="minMax"/>
        </c:scaling>
        <c:delete val="1"/>
        <c:axPos val="b"/>
        <c:numFmt formatCode="General" sourceLinked="1"/>
        <c:majorTickMark val="out"/>
        <c:minorTickMark val="none"/>
        <c:tickLblPos val="none"/>
        <c:crossAx val="127732736"/>
        <c:crosses val="autoZero"/>
        <c:auto val="1"/>
        <c:lblAlgn val="ctr"/>
        <c:lblOffset val="100"/>
        <c:noMultiLvlLbl val="0"/>
      </c:catAx>
      <c:valAx>
        <c:axId val="127732736"/>
        <c:scaling>
          <c:orientation val="minMax"/>
          <c:max val="1.2"/>
          <c:min val="-1.6"/>
        </c:scaling>
        <c:delete val="0"/>
        <c:axPos val="r"/>
        <c:numFmt formatCode="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731200"/>
        <c:crosses val="max"/>
        <c:crossBetween val="between"/>
        <c:majorUnit val="0.4"/>
      </c:valAx>
      <c:spPr>
        <a:ln>
          <a:solidFill>
            <a:schemeClr val="bg1">
              <a:lumMod val="7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userShapes r:id="rId1"/>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sz="1600" baseline="0"/>
              <a:t>Adjusted revenue breakdown by Major Business Lines</a:t>
            </a:r>
            <a:endParaRPr lang="zh-CN" altLang="en-US" sz="1600"/>
          </a:p>
        </c:rich>
      </c:tx>
      <c:layout>
        <c:manualLayout>
          <c:xMode val="edge"/>
          <c:yMode val="edge"/>
          <c:x val="0.12882063728595775"/>
          <c:y val="1.7541145726866405E-2"/>
        </c:manualLayout>
      </c:layout>
      <c:overlay val="0"/>
    </c:title>
    <c:autoTitleDeleted val="0"/>
    <c:plotArea>
      <c:layout>
        <c:manualLayout>
          <c:layoutTarget val="inner"/>
          <c:xMode val="edge"/>
          <c:yMode val="edge"/>
          <c:x val="7.8575780018641114E-2"/>
          <c:y val="0.14402164605006548"/>
          <c:w val="0.9049408684098027"/>
          <c:h val="0.64171781683176521"/>
        </c:manualLayout>
      </c:layout>
      <c:barChart>
        <c:barDir val="col"/>
        <c:grouping val="percentStacked"/>
        <c:varyColors val="0"/>
        <c:ser>
          <c:idx val="0"/>
          <c:order val="0"/>
          <c:tx>
            <c:strRef>
              <c:f>MMYT!$A$222</c:f>
              <c:strCache>
                <c:ptCount val="1"/>
                <c:pt idx="0">
                  <c:v>   Air ticketing </c:v>
                </c:pt>
              </c:strCache>
            </c:strRef>
          </c:tx>
          <c:invertIfNegative val="0"/>
          <c:cat>
            <c:strRef>
              <c:f>MMYT!$R$4:$X$4</c:f>
              <c:strCache>
                <c:ptCount val="7"/>
                <c:pt idx="0">
                  <c:v> 1Q18 </c:v>
                </c:pt>
                <c:pt idx="1">
                  <c:v> 2Q18 </c:v>
                </c:pt>
                <c:pt idx="2">
                  <c:v> 3Q18 </c:v>
                </c:pt>
                <c:pt idx="3">
                  <c:v> 4Q18 </c:v>
                </c:pt>
                <c:pt idx="4">
                  <c:v> 1Q19 </c:v>
                </c:pt>
                <c:pt idx="5">
                  <c:v> 2Q19 </c:v>
                </c:pt>
                <c:pt idx="6">
                  <c:v> 3Q19 </c:v>
                </c:pt>
              </c:strCache>
            </c:strRef>
          </c:cat>
          <c:val>
            <c:numRef>
              <c:f>MMYT!$R$222:$X$222</c:f>
              <c:numCache>
                <c:formatCode>#,##0_);\(#,##0\)</c:formatCode>
                <c:ptCount val="7"/>
                <c:pt idx="0">
                  <c:v>58.5</c:v>
                </c:pt>
                <c:pt idx="1">
                  <c:v>54.398000000000003</c:v>
                </c:pt>
                <c:pt idx="2">
                  <c:v>56.517000000000003</c:v>
                </c:pt>
                <c:pt idx="3">
                  <c:v>60.764000000000003</c:v>
                </c:pt>
                <c:pt idx="4">
                  <c:v>62.473999999999997</c:v>
                </c:pt>
                <c:pt idx="5" formatCode="#,##0_);[Red]\(#,##0\)">
                  <c:v>65.033000000000001</c:v>
                </c:pt>
                <c:pt idx="6" formatCode="#,##0_);[Red]\(#,##0\)">
                  <c:v>65.951999999999998</c:v>
                </c:pt>
              </c:numCache>
            </c:numRef>
          </c:val>
          <c:extLst>
            <c:ext xmlns:c16="http://schemas.microsoft.com/office/drawing/2014/chart" uri="{C3380CC4-5D6E-409C-BE32-E72D297353CC}">
              <c16:uniqueId val="{00000000-38DC-400A-B24F-094673DEDAC6}"/>
            </c:ext>
          </c:extLst>
        </c:ser>
        <c:ser>
          <c:idx val="1"/>
          <c:order val="1"/>
          <c:tx>
            <c:strRef>
              <c:f>MMYT!$A$225</c:f>
              <c:strCache>
                <c:ptCount val="1"/>
                <c:pt idx="0">
                  <c:v>  Hotels and packages</c:v>
                </c:pt>
              </c:strCache>
            </c:strRef>
          </c:tx>
          <c:invertIfNegative val="0"/>
          <c:cat>
            <c:strRef>
              <c:f>MMYT!$R$4:$X$4</c:f>
              <c:strCache>
                <c:ptCount val="7"/>
                <c:pt idx="0">
                  <c:v> 1Q18 </c:v>
                </c:pt>
                <c:pt idx="1">
                  <c:v> 2Q18 </c:v>
                </c:pt>
                <c:pt idx="2">
                  <c:v> 3Q18 </c:v>
                </c:pt>
                <c:pt idx="3">
                  <c:v> 4Q18 </c:v>
                </c:pt>
                <c:pt idx="4">
                  <c:v> 1Q19 </c:v>
                </c:pt>
                <c:pt idx="5">
                  <c:v> 2Q19 </c:v>
                </c:pt>
                <c:pt idx="6">
                  <c:v> 3Q19 </c:v>
                </c:pt>
              </c:strCache>
            </c:strRef>
          </c:cat>
          <c:val>
            <c:numRef>
              <c:f>MMYT!$R$225:$X$225</c:f>
              <c:numCache>
                <c:formatCode>#,##0_);[Red]\(#,##0\)</c:formatCode>
                <c:ptCount val="7"/>
                <c:pt idx="0">
                  <c:v>69.400000000000006</c:v>
                </c:pt>
                <c:pt idx="1">
                  <c:v>93.838999999999999</c:v>
                </c:pt>
                <c:pt idx="2">
                  <c:v>85.47</c:v>
                </c:pt>
                <c:pt idx="3">
                  <c:v>95.45</c:v>
                </c:pt>
                <c:pt idx="4">
                  <c:v>76.855999999999995</c:v>
                </c:pt>
                <c:pt idx="5">
                  <c:v>101.375</c:v>
                </c:pt>
                <c:pt idx="6">
                  <c:v>87.07</c:v>
                </c:pt>
              </c:numCache>
            </c:numRef>
          </c:val>
          <c:extLst>
            <c:ext xmlns:c16="http://schemas.microsoft.com/office/drawing/2014/chart" uri="{C3380CC4-5D6E-409C-BE32-E72D297353CC}">
              <c16:uniqueId val="{00000001-38DC-400A-B24F-094673DEDAC6}"/>
            </c:ext>
          </c:extLst>
        </c:ser>
        <c:ser>
          <c:idx val="2"/>
          <c:order val="2"/>
          <c:tx>
            <c:strRef>
              <c:f>MMYT!$A$228</c:f>
              <c:strCache>
                <c:ptCount val="1"/>
                <c:pt idx="0">
                  <c:v>   Bus ticketing </c:v>
                </c:pt>
              </c:strCache>
            </c:strRef>
          </c:tx>
          <c:spPr>
            <a:solidFill>
              <a:schemeClr val="accent6"/>
            </a:solidFill>
          </c:spPr>
          <c:invertIfNegative val="0"/>
          <c:cat>
            <c:strRef>
              <c:f>MMYT!$R$4:$X$4</c:f>
              <c:strCache>
                <c:ptCount val="7"/>
                <c:pt idx="0">
                  <c:v> 1Q18 </c:v>
                </c:pt>
                <c:pt idx="1">
                  <c:v> 2Q18 </c:v>
                </c:pt>
                <c:pt idx="2">
                  <c:v> 3Q18 </c:v>
                </c:pt>
                <c:pt idx="3">
                  <c:v> 4Q18 </c:v>
                </c:pt>
                <c:pt idx="4">
                  <c:v> 1Q19 </c:v>
                </c:pt>
                <c:pt idx="5">
                  <c:v> 2Q19 </c:v>
                </c:pt>
                <c:pt idx="6">
                  <c:v> 3Q19 </c:v>
                </c:pt>
              </c:strCache>
            </c:strRef>
          </c:cat>
          <c:val>
            <c:numRef>
              <c:f>MMYT!$R$228:$X$228</c:f>
              <c:numCache>
                <c:formatCode>#,##0_);[Red]\(#,##0\)</c:formatCode>
                <c:ptCount val="7"/>
                <c:pt idx="0">
                  <c:v>12.01</c:v>
                </c:pt>
                <c:pt idx="1">
                  <c:v>16.056000000000001</c:v>
                </c:pt>
                <c:pt idx="2">
                  <c:v>12.12</c:v>
                </c:pt>
                <c:pt idx="3">
                  <c:v>15.073</c:v>
                </c:pt>
                <c:pt idx="4">
                  <c:v>15.576000000000001</c:v>
                </c:pt>
                <c:pt idx="5">
                  <c:v>21.350999999999999</c:v>
                </c:pt>
                <c:pt idx="6">
                  <c:v>16.646999999999998</c:v>
                </c:pt>
              </c:numCache>
            </c:numRef>
          </c:val>
          <c:extLst>
            <c:ext xmlns:c16="http://schemas.microsoft.com/office/drawing/2014/chart" uri="{C3380CC4-5D6E-409C-BE32-E72D297353CC}">
              <c16:uniqueId val="{00000002-38DC-400A-B24F-094673DEDAC6}"/>
            </c:ext>
          </c:extLst>
        </c:ser>
        <c:ser>
          <c:idx val="3"/>
          <c:order val="3"/>
          <c:tx>
            <c:strRef>
              <c:f>MMYT!$A$231</c:f>
              <c:strCache>
                <c:ptCount val="1"/>
                <c:pt idx="0">
                  <c:v>  Other revenues</c:v>
                </c:pt>
              </c:strCache>
            </c:strRef>
          </c:tx>
          <c:invertIfNegative val="0"/>
          <c:cat>
            <c:strRef>
              <c:f>MMYT!$R$4:$X$4</c:f>
              <c:strCache>
                <c:ptCount val="7"/>
                <c:pt idx="0">
                  <c:v> 1Q18 </c:v>
                </c:pt>
                <c:pt idx="1">
                  <c:v> 2Q18 </c:v>
                </c:pt>
                <c:pt idx="2">
                  <c:v> 3Q18 </c:v>
                </c:pt>
                <c:pt idx="3">
                  <c:v> 4Q18 </c:v>
                </c:pt>
                <c:pt idx="4">
                  <c:v> 1Q19 </c:v>
                </c:pt>
                <c:pt idx="5">
                  <c:v> 2Q19 </c:v>
                </c:pt>
                <c:pt idx="6">
                  <c:v> 3Q19 </c:v>
                </c:pt>
              </c:strCache>
            </c:strRef>
          </c:cat>
          <c:val>
            <c:numRef>
              <c:f>MMYT!$R$231:$X$231</c:f>
              <c:numCache>
                <c:formatCode>#,##0_);[Red]\(#,##0\)</c:formatCode>
                <c:ptCount val="7"/>
                <c:pt idx="0">
                  <c:v>5.4569999999999999</c:v>
                </c:pt>
                <c:pt idx="1">
                  <c:v>5.7960000000000003</c:v>
                </c:pt>
                <c:pt idx="2">
                  <c:v>5.99</c:v>
                </c:pt>
                <c:pt idx="3">
                  <c:v>8.6020000000000003</c:v>
                </c:pt>
                <c:pt idx="4">
                  <c:v>8.4429999999999996</c:v>
                </c:pt>
                <c:pt idx="5">
                  <c:v>10.74</c:v>
                </c:pt>
                <c:pt idx="6">
                  <c:v>11.409000000000001</c:v>
                </c:pt>
              </c:numCache>
            </c:numRef>
          </c:val>
          <c:extLst>
            <c:ext xmlns:c16="http://schemas.microsoft.com/office/drawing/2014/chart" uri="{C3380CC4-5D6E-409C-BE32-E72D297353CC}">
              <c16:uniqueId val="{00000000-0428-477D-94B8-CFCE2FEADDB3}"/>
            </c:ext>
          </c:extLst>
        </c:ser>
        <c:dLbls>
          <c:showLegendKey val="0"/>
          <c:showVal val="0"/>
          <c:showCatName val="0"/>
          <c:showSerName val="0"/>
          <c:showPercent val="0"/>
          <c:showBubbleSize val="0"/>
        </c:dLbls>
        <c:gapWidth val="75"/>
        <c:overlap val="100"/>
        <c:axId val="127944960"/>
        <c:axId val="127979520"/>
      </c:barChart>
      <c:catAx>
        <c:axId val="127944960"/>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979520"/>
        <c:crosses val="autoZero"/>
        <c:auto val="1"/>
        <c:lblAlgn val="ctr"/>
        <c:lblOffset val="100"/>
        <c:noMultiLvlLbl val="0"/>
      </c:catAx>
      <c:valAx>
        <c:axId val="127979520"/>
        <c:scaling>
          <c:orientation val="minMax"/>
        </c:scaling>
        <c:delete val="0"/>
        <c:axPos val="l"/>
        <c:majorGridlines>
          <c:spPr>
            <a:ln>
              <a:noFill/>
            </a:ln>
          </c:spPr>
        </c:majorGridlines>
        <c:numFmt formatCode="0%" sourceLinked="1"/>
        <c:majorTickMark val="out"/>
        <c:minorTickMark val="none"/>
        <c:tickLblPos val="nextTo"/>
        <c:spPr>
          <a:ln w="9525" cap="flat" cmpd="sng" algn="ctr">
            <a:solidFill>
              <a:schemeClr val="bg1">
                <a:lumMod val="50000"/>
              </a:schemeClr>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7944960"/>
        <c:crosses val="autoZero"/>
        <c:crossBetween val="between"/>
      </c:valAx>
      <c:spPr>
        <a:ln>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userShapes r:id="rId1"/>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sz="1400"/>
              <a:t>Total Number</a:t>
            </a:r>
            <a:r>
              <a:rPr lang="en-US" altLang="zh-CN" sz="1400" baseline="0"/>
              <a:t> of India Air Passengers and YoY Growth</a:t>
            </a:r>
            <a:endParaRPr lang="zh-CN" altLang="en-US" sz="1400"/>
          </a:p>
        </c:rich>
      </c:tx>
      <c:overlay val="0"/>
    </c:title>
    <c:autoTitleDeleted val="0"/>
    <c:plotArea>
      <c:layout>
        <c:manualLayout>
          <c:layoutTarget val="inner"/>
          <c:xMode val="edge"/>
          <c:yMode val="edge"/>
          <c:x val="8.468929162728922E-2"/>
          <c:y val="0.11870585212237847"/>
          <c:w val="0.83628556062020865"/>
          <c:h val="0.66926514969274176"/>
        </c:manualLayout>
      </c:layout>
      <c:barChart>
        <c:barDir val="col"/>
        <c:grouping val="clustered"/>
        <c:varyColors val="0"/>
        <c:ser>
          <c:idx val="0"/>
          <c:order val="0"/>
          <c:tx>
            <c:v>Number of air passengers</c:v>
          </c:tx>
          <c:invertIfNegative val="0"/>
          <c:cat>
            <c:strRef>
              <c:f>MMYT!$F$4:$W$4</c:f>
              <c:strCache>
                <c:ptCount val="18"/>
                <c:pt idx="0">
                  <c:v> 15Q1 </c:v>
                </c:pt>
                <c:pt idx="1">
                  <c:v> 15Q2 </c:v>
                </c:pt>
                <c:pt idx="2">
                  <c:v> 15Q3 </c:v>
                </c:pt>
                <c:pt idx="3">
                  <c:v> 15Q4 </c:v>
                </c:pt>
                <c:pt idx="4">
                  <c:v> 16Q1 </c:v>
                </c:pt>
                <c:pt idx="5">
                  <c:v> 16Q2 </c:v>
                </c:pt>
                <c:pt idx="6">
                  <c:v> 16Q3 </c:v>
                </c:pt>
                <c:pt idx="7">
                  <c:v> 16Q4 </c:v>
                </c:pt>
                <c:pt idx="8">
                  <c:v> 1Q17 </c:v>
                </c:pt>
                <c:pt idx="9">
                  <c:v> 2Q17 </c:v>
                </c:pt>
                <c:pt idx="10">
                  <c:v> 3Q17 </c:v>
                </c:pt>
                <c:pt idx="11">
                  <c:v> 4Q17 </c:v>
                </c:pt>
                <c:pt idx="12">
                  <c:v> 1Q18 </c:v>
                </c:pt>
                <c:pt idx="13">
                  <c:v> 2Q18 </c:v>
                </c:pt>
                <c:pt idx="14">
                  <c:v> 3Q18 </c:v>
                </c:pt>
                <c:pt idx="15">
                  <c:v> 4Q18 </c:v>
                </c:pt>
                <c:pt idx="16">
                  <c:v> 1Q19 </c:v>
                </c:pt>
                <c:pt idx="17">
                  <c:v> 2Q19 </c:v>
                </c:pt>
              </c:strCache>
            </c:strRef>
          </c:cat>
          <c:val>
            <c:numRef>
              <c:f>MMYT!$F$24:$W$24</c:f>
              <c:numCache>
                <c:formatCode>_(* #,##0_);_(* \(#,##0\);_(* "-"??_);_(@_)</c:formatCode>
                <c:ptCount val="18"/>
                <c:pt idx="0">
                  <c:v>30636222</c:v>
                </c:pt>
                <c:pt idx="1">
                  <c:v>32444836</c:v>
                </c:pt>
                <c:pt idx="2">
                  <c:v>31973986</c:v>
                </c:pt>
                <c:pt idx="3">
                  <c:v>34693575</c:v>
                </c:pt>
                <c:pt idx="4">
                  <c:v>36220701</c:v>
                </c:pt>
                <c:pt idx="5">
                  <c:v>37867656</c:v>
                </c:pt>
                <c:pt idx="6">
                  <c:v>38437120</c:v>
                </c:pt>
                <c:pt idx="7">
                  <c:v>41033483</c:v>
                </c:pt>
                <c:pt idx="8">
                  <c:v>41482333</c:v>
                </c:pt>
                <c:pt idx="9">
                  <c:v>43473519</c:v>
                </c:pt>
                <c:pt idx="10">
                  <c:v>43454399</c:v>
                </c:pt>
                <c:pt idx="11">
                  <c:v>47671770</c:v>
                </c:pt>
                <c:pt idx="12">
                  <c:v>49593485</c:v>
                </c:pt>
                <c:pt idx="13">
                  <c:v>50424354</c:v>
                </c:pt>
                <c:pt idx="14">
                  <c:v>49746409</c:v>
                </c:pt>
                <c:pt idx="15">
                  <c:v>52524619</c:v>
                </c:pt>
                <c:pt idx="16">
                  <c:v>51846472</c:v>
                </c:pt>
              </c:numCache>
            </c:numRef>
          </c:val>
          <c:extLst>
            <c:ext xmlns:c16="http://schemas.microsoft.com/office/drawing/2014/chart" uri="{C3380CC4-5D6E-409C-BE32-E72D297353CC}">
              <c16:uniqueId val="{00000000-0C68-4B29-AA23-206D7320A510}"/>
            </c:ext>
          </c:extLst>
        </c:ser>
        <c:dLbls>
          <c:showLegendKey val="0"/>
          <c:showVal val="0"/>
          <c:showCatName val="0"/>
          <c:showSerName val="0"/>
          <c:showPercent val="0"/>
          <c:showBubbleSize val="0"/>
        </c:dLbls>
        <c:gapWidth val="150"/>
        <c:axId val="129348352"/>
        <c:axId val="129349888"/>
      </c:barChart>
      <c:lineChart>
        <c:grouping val="standard"/>
        <c:varyColors val="0"/>
        <c:ser>
          <c:idx val="1"/>
          <c:order val="1"/>
          <c:tx>
            <c:v>YoY% growth rate</c:v>
          </c:tx>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MMYT!$F$3:$S$3</c:f>
              <c:strCache>
                <c:ptCount val="14"/>
                <c:pt idx="0">
                  <c:v> MMYT </c:v>
                </c:pt>
                <c:pt idx="1">
                  <c:v> MMYT </c:v>
                </c:pt>
                <c:pt idx="2">
                  <c:v> MMYT </c:v>
                </c:pt>
                <c:pt idx="3">
                  <c:v> MMYT </c:v>
                </c:pt>
                <c:pt idx="4">
                  <c:v> MMYT </c:v>
                </c:pt>
                <c:pt idx="5">
                  <c:v> MMYT </c:v>
                </c:pt>
                <c:pt idx="6">
                  <c:v> MMYT </c:v>
                </c:pt>
                <c:pt idx="7">
                  <c:v> MMYT </c:v>
                </c:pt>
                <c:pt idx="8">
                  <c:v> MMYT </c:v>
                </c:pt>
                <c:pt idx="9">
                  <c:v> MMYT </c:v>
                </c:pt>
                <c:pt idx="10">
                  <c:v> MMYT </c:v>
                </c:pt>
                <c:pt idx="11">
                  <c:v> MMYT </c:v>
                </c:pt>
                <c:pt idx="12">
                  <c:v> MMYT </c:v>
                </c:pt>
                <c:pt idx="13">
                  <c:v> MMYT </c:v>
                </c:pt>
              </c:strCache>
            </c:strRef>
          </c:cat>
          <c:val>
            <c:numRef>
              <c:f>MMYT!$F$25:$V$25</c:f>
              <c:numCache>
                <c:formatCode>_ [$HKD]\ * #,##0.00_ ;_ [$HKD]\ * \-#,##0.00_ ;_ [$HKD]\ * "-"??_ ;_ @_ </c:formatCode>
                <c:ptCount val="17"/>
                <c:pt idx="4" formatCode="0%">
                  <c:v>0.18228354005268654</c:v>
                </c:pt>
                <c:pt idx="5" formatCode="0%">
                  <c:v>0.16713969520450034</c:v>
                </c:pt>
                <c:pt idx="6" formatCode="0%">
                  <c:v>0.20213726246080177</c:v>
                </c:pt>
                <c:pt idx="7" formatCode="0%">
                  <c:v>0.18274011830720815</c:v>
                </c:pt>
                <c:pt idx="8" formatCode="0%">
                  <c:v>0.14526587986245776</c:v>
                </c:pt>
                <c:pt idx="9" formatCode="0%">
                  <c:v>0.14803828892921178</c:v>
                </c:pt>
                <c:pt idx="10" formatCode="0%">
                  <c:v>0.13053212623630484</c:v>
                </c:pt>
                <c:pt idx="11" formatCode="0%">
                  <c:v>0.16177732219319529</c:v>
                </c:pt>
                <c:pt idx="12" formatCode="0%">
                  <c:v>0.19553268616786812</c:v>
                </c:pt>
                <c:pt idx="13" formatCode="0%">
                  <c:v>0.15988664271691455</c:v>
                </c:pt>
                <c:pt idx="14" formatCode="0%">
                  <c:v>0.14479569720892926</c:v>
                </c:pt>
                <c:pt idx="15" formatCode="0%">
                  <c:v>0.10179712228012505</c:v>
                </c:pt>
                <c:pt idx="16" formatCode="0%">
                  <c:v>4.5429092147889927E-2</c:v>
                </c:pt>
              </c:numCache>
            </c:numRef>
          </c:val>
          <c:smooth val="0"/>
          <c:extLst>
            <c:ext xmlns:c16="http://schemas.microsoft.com/office/drawing/2014/chart" uri="{C3380CC4-5D6E-409C-BE32-E72D297353CC}">
              <c16:uniqueId val="{00000003-0C68-4B29-AA23-206D7320A510}"/>
            </c:ext>
          </c:extLst>
        </c:ser>
        <c:dLbls>
          <c:showLegendKey val="0"/>
          <c:showVal val="0"/>
          <c:showCatName val="0"/>
          <c:showSerName val="0"/>
          <c:showPercent val="0"/>
          <c:showBubbleSize val="0"/>
        </c:dLbls>
        <c:marker val="1"/>
        <c:smooth val="0"/>
        <c:axId val="129372160"/>
        <c:axId val="129373696"/>
      </c:lineChart>
      <c:catAx>
        <c:axId val="129348352"/>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9349888"/>
        <c:crosses val="autoZero"/>
        <c:auto val="1"/>
        <c:lblAlgn val="ctr"/>
        <c:lblOffset val="100"/>
        <c:noMultiLvlLbl val="0"/>
      </c:catAx>
      <c:valAx>
        <c:axId val="129349888"/>
        <c:scaling>
          <c:orientation val="minMax"/>
          <c:max val="50000000"/>
          <c:min val="25000000"/>
        </c:scaling>
        <c:delete val="0"/>
        <c:axPos val="l"/>
        <c:numFmt formatCode="_(* #,##0_);_(* \(#,##0\);_(* &quot;-&quot;??_);_(@_)"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9348352"/>
        <c:crosses val="autoZero"/>
        <c:crossBetween val="between"/>
        <c:dispUnits>
          <c:builtInUnit val="millions"/>
          <c:dispUnitsLbl>
            <c:layout>
              <c:manualLayout>
                <c:xMode val="edge"/>
                <c:yMode val="edge"/>
                <c:x val="3.5849011865740653E-2"/>
                <c:y val="3.1913584971679752E-2"/>
              </c:manualLayout>
            </c:layout>
            <c:tx>
              <c:rich>
                <a:bodyPr/>
                <a:lstStyle/>
                <a:p>
                  <a:pPr>
                    <a:defRPr/>
                  </a:pPr>
                  <a:r>
                    <a:rPr lang="en-US" altLang="zh-CN"/>
                    <a:t>mn</a:t>
                  </a:r>
                  <a:endParaRPr lang="zh-CN" altLang="en-US"/>
                </a:p>
              </c:rich>
            </c:tx>
          </c:dispUnitsLbl>
        </c:dispUnits>
      </c:valAx>
      <c:catAx>
        <c:axId val="129372160"/>
        <c:scaling>
          <c:orientation val="minMax"/>
        </c:scaling>
        <c:delete val="1"/>
        <c:axPos val="b"/>
        <c:numFmt formatCode="General" sourceLinked="1"/>
        <c:majorTickMark val="out"/>
        <c:minorTickMark val="none"/>
        <c:tickLblPos val="nextTo"/>
        <c:crossAx val="129373696"/>
        <c:crosses val="autoZero"/>
        <c:auto val="1"/>
        <c:lblAlgn val="ctr"/>
        <c:lblOffset val="100"/>
        <c:noMultiLvlLbl val="0"/>
      </c:catAx>
      <c:valAx>
        <c:axId val="129373696"/>
        <c:scaling>
          <c:orientation val="minMax"/>
        </c:scaling>
        <c:delete val="0"/>
        <c:axPos val="r"/>
        <c:numFmt formatCode="0%"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9372160"/>
        <c:crosses val="max"/>
        <c:crossBetween val="between"/>
      </c:valAx>
      <c:spPr>
        <a:ln>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a:t>Adjusted Revenue yoy Growth Rates</a:t>
            </a:r>
            <a:r>
              <a:rPr lang="en-US" altLang="zh-CN" baseline="0"/>
              <a:t> on Constant Currency basis</a:t>
            </a:r>
            <a:endParaRPr lang="zh-CN" altLang="en-US"/>
          </a:p>
        </c:rich>
      </c:tx>
      <c:overlay val="0"/>
    </c:title>
    <c:autoTitleDeleted val="0"/>
    <c:plotArea>
      <c:layout>
        <c:manualLayout>
          <c:layoutTarget val="inner"/>
          <c:xMode val="edge"/>
          <c:yMode val="edge"/>
          <c:x val="9.2749297012639079E-2"/>
          <c:y val="0.2013646323424374"/>
          <c:w val="0.89305361612099177"/>
          <c:h val="0.60347986719444813"/>
        </c:manualLayout>
      </c:layout>
      <c:lineChart>
        <c:grouping val="standard"/>
        <c:varyColors val="0"/>
        <c:ser>
          <c:idx val="0"/>
          <c:order val="0"/>
          <c:tx>
            <c:v>Air ticketing</c:v>
          </c:tx>
          <c:dLbls>
            <c:dLbl>
              <c:idx val="3"/>
              <c:delete val="1"/>
              <c:extLst>
                <c:ext xmlns:c15="http://schemas.microsoft.com/office/drawing/2012/chart" uri="{CE6537A1-D6FC-4f65-9D91-7224C49458BB}"/>
                <c:ext xmlns:c16="http://schemas.microsoft.com/office/drawing/2014/chart" uri="{C3380CC4-5D6E-409C-BE32-E72D297353CC}">
                  <c16:uniqueId val="{00000000-61B1-4689-8972-3A6BFC79D1BC}"/>
                </c:ext>
              </c:extLst>
            </c:dLbl>
            <c:dLbl>
              <c:idx val="4"/>
              <c:delete val="1"/>
              <c:extLst>
                <c:ext xmlns:c15="http://schemas.microsoft.com/office/drawing/2012/chart" uri="{CE6537A1-D6FC-4f65-9D91-7224C49458BB}"/>
                <c:ext xmlns:c16="http://schemas.microsoft.com/office/drawing/2014/chart" uri="{C3380CC4-5D6E-409C-BE32-E72D297353CC}">
                  <c16:uniqueId val="{00000001-61B1-4689-8972-3A6BFC79D1BC}"/>
                </c:ext>
              </c:extLst>
            </c:dLbl>
            <c:dLbl>
              <c:idx val="5"/>
              <c:delete val="1"/>
              <c:extLst>
                <c:ext xmlns:c15="http://schemas.microsoft.com/office/drawing/2012/chart" uri="{CE6537A1-D6FC-4f65-9D91-7224C49458BB}"/>
                <c:ext xmlns:c16="http://schemas.microsoft.com/office/drawing/2014/chart" uri="{C3380CC4-5D6E-409C-BE32-E72D297353CC}">
                  <c16:uniqueId val="{00000001-FADF-49CF-8A32-DDA26E7A349D}"/>
                </c:ext>
              </c:extLst>
            </c:dLbl>
            <c:dLbl>
              <c:idx val="6"/>
              <c:delete val="1"/>
              <c:extLst>
                <c:ext xmlns:c15="http://schemas.microsoft.com/office/drawing/2012/chart" uri="{CE6537A1-D6FC-4f65-9D91-7224C49458BB}"/>
                <c:ext xmlns:c16="http://schemas.microsoft.com/office/drawing/2014/chart" uri="{C3380CC4-5D6E-409C-BE32-E72D297353CC}">
                  <c16:uniqueId val="{00000002-61B1-4689-8972-3A6BFC79D1BC}"/>
                </c:ext>
              </c:extLst>
            </c:dLbl>
            <c:dLbl>
              <c:idx val="7"/>
              <c:delete val="1"/>
              <c:extLst>
                <c:ext xmlns:c15="http://schemas.microsoft.com/office/drawing/2012/chart" uri="{CE6537A1-D6FC-4f65-9D91-7224C49458BB}"/>
                <c:ext xmlns:c16="http://schemas.microsoft.com/office/drawing/2014/chart" uri="{C3380CC4-5D6E-409C-BE32-E72D297353CC}">
                  <c16:uniqueId val="{00000003-61B1-4689-8972-3A6BFC79D1BC}"/>
                </c:ext>
              </c:extLst>
            </c:dLbl>
            <c:dLbl>
              <c:idx val="12"/>
              <c:delete val="1"/>
              <c:extLst>
                <c:ext xmlns:c15="http://schemas.microsoft.com/office/drawing/2012/chart" uri="{CE6537A1-D6FC-4f65-9D91-7224C49458BB}"/>
                <c:ext xmlns:c16="http://schemas.microsoft.com/office/drawing/2014/chart" uri="{C3380CC4-5D6E-409C-BE32-E72D297353CC}">
                  <c16:uniqueId val="{00000004-61B1-4689-8972-3A6BFC79D1BC}"/>
                </c:ext>
              </c:extLst>
            </c:dLbl>
            <c:dLbl>
              <c:idx val="13"/>
              <c:delete val="1"/>
              <c:extLst>
                <c:ext xmlns:c15="http://schemas.microsoft.com/office/drawing/2012/chart" uri="{CE6537A1-D6FC-4f65-9D91-7224C49458BB}"/>
                <c:ext xmlns:c16="http://schemas.microsoft.com/office/drawing/2014/chart" uri="{C3380CC4-5D6E-409C-BE32-E72D297353CC}">
                  <c16:uniqueId val="{00000005-61B1-4689-8972-3A6BFC79D1BC}"/>
                </c:ext>
              </c:extLst>
            </c:dLbl>
            <c:dLbl>
              <c:idx val="14"/>
              <c:delete val="1"/>
              <c:extLst>
                <c:ext xmlns:c15="http://schemas.microsoft.com/office/drawing/2012/chart" uri="{CE6537A1-D6FC-4f65-9D91-7224C49458BB}"/>
                <c:ext xmlns:c16="http://schemas.microsoft.com/office/drawing/2014/chart" uri="{C3380CC4-5D6E-409C-BE32-E72D297353CC}">
                  <c16:uniqueId val="{00000006-61B1-4689-8972-3A6BFC79D1BC}"/>
                </c:ext>
              </c:extLst>
            </c:dLbl>
            <c:dLbl>
              <c:idx val="16"/>
              <c:layout>
                <c:manualLayout>
                  <c:x val="-4.6464661247009216E-2"/>
                  <c:y val="2.17252345156384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1B1-4689-8972-3A6BFC79D1BC}"/>
                </c:ext>
              </c:extLst>
            </c:dLbl>
            <c:dLbl>
              <c:idx val="17"/>
              <c:delete val="1"/>
              <c:extLst>
                <c:ext xmlns:c15="http://schemas.microsoft.com/office/drawing/2012/chart" uri="{CE6537A1-D6FC-4f65-9D91-7224C49458BB}"/>
                <c:ext xmlns:c16="http://schemas.microsoft.com/office/drawing/2014/chart" uri="{C3380CC4-5D6E-409C-BE32-E72D297353CC}">
                  <c16:uniqueId val="{00000008-61B1-4689-8972-3A6BFC79D1BC}"/>
                </c:ext>
              </c:extLst>
            </c:dLbl>
            <c:dLbl>
              <c:idx val="18"/>
              <c:delete val="1"/>
              <c:extLst>
                <c:ext xmlns:c15="http://schemas.microsoft.com/office/drawing/2012/chart" uri="{CE6537A1-D6FC-4f65-9D91-7224C49458BB}"/>
                <c:ext xmlns:c16="http://schemas.microsoft.com/office/drawing/2014/chart" uri="{C3380CC4-5D6E-409C-BE32-E72D297353CC}">
                  <c16:uniqueId val="{00000009-61B1-4689-8972-3A6BFC79D1BC}"/>
                </c:ext>
              </c:extLst>
            </c:dLbl>
            <c:dLbl>
              <c:idx val="19"/>
              <c:layout>
                <c:manualLayout>
                  <c:x val="-9.4444962573348953E-4"/>
                  <c:y val="-1.42557451534268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DF-49CF-8A32-DDA26E7A349D}"/>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
            <c:showLegendKey val="0"/>
            <c:showVal val="0"/>
            <c:showCatName val="0"/>
            <c:showSerName val="0"/>
            <c:showPercent val="0"/>
            <c:showBubbleSize val="0"/>
            <c:extLst>
              <c:ext xmlns:c15="http://schemas.microsoft.com/office/drawing/2012/chart" uri="{CE6537A1-D6FC-4f65-9D91-7224C49458BB}">
                <c15:showLeaderLines val="1"/>
              </c:ext>
            </c:extLst>
          </c:dLbls>
          <c:cat>
            <c:strRef>
              <c:f>MMYT!$R$4:$X$4</c:f>
              <c:strCache>
                <c:ptCount val="7"/>
                <c:pt idx="0">
                  <c:v> 1Q18 </c:v>
                </c:pt>
                <c:pt idx="1">
                  <c:v> 2Q18 </c:v>
                </c:pt>
                <c:pt idx="2">
                  <c:v> 3Q18 </c:v>
                </c:pt>
                <c:pt idx="3">
                  <c:v> 4Q18 </c:v>
                </c:pt>
                <c:pt idx="4">
                  <c:v> 1Q19 </c:v>
                </c:pt>
                <c:pt idx="5">
                  <c:v> 2Q19 </c:v>
                </c:pt>
                <c:pt idx="6">
                  <c:v> 3Q19 </c:v>
                </c:pt>
              </c:strCache>
            </c:strRef>
          </c:cat>
          <c:val>
            <c:numRef>
              <c:f>MMYT!$R$224:$X$224</c:f>
              <c:numCache>
                <c:formatCode>0.0%</c:formatCode>
                <c:ptCount val="7"/>
                <c:pt idx="0">
                  <c:v>0.73799999999999999</c:v>
                </c:pt>
                <c:pt idx="1">
                  <c:v>0.23899999999999999</c:v>
                </c:pt>
                <c:pt idx="2">
                  <c:v>0.307</c:v>
                </c:pt>
                <c:pt idx="3">
                  <c:v>0.32200000000000001</c:v>
                </c:pt>
                <c:pt idx="4">
                  <c:v>0.16800000000000001</c:v>
                </c:pt>
                <c:pt idx="5">
                  <c:v>0.24199999999999999</c:v>
                </c:pt>
                <c:pt idx="6">
                  <c:v>0.17199999999999999</c:v>
                </c:pt>
              </c:numCache>
            </c:numRef>
          </c:val>
          <c:smooth val="0"/>
          <c:extLst>
            <c:ext xmlns:c16="http://schemas.microsoft.com/office/drawing/2014/chart" uri="{C3380CC4-5D6E-409C-BE32-E72D297353CC}">
              <c16:uniqueId val="{0000000A-61B1-4689-8972-3A6BFC79D1BC}"/>
            </c:ext>
          </c:extLst>
        </c:ser>
        <c:ser>
          <c:idx val="1"/>
          <c:order val="1"/>
          <c:tx>
            <c:v>Hotels&amp;Packages</c:v>
          </c:tx>
          <c:dLbls>
            <c:dLbl>
              <c:idx val="4"/>
              <c:delete val="1"/>
              <c:extLst>
                <c:ext xmlns:c15="http://schemas.microsoft.com/office/drawing/2012/chart" uri="{CE6537A1-D6FC-4f65-9D91-7224C49458BB}"/>
                <c:ext xmlns:c16="http://schemas.microsoft.com/office/drawing/2014/chart" uri="{C3380CC4-5D6E-409C-BE32-E72D297353CC}">
                  <c16:uniqueId val="{00000000-FADF-49CF-8A32-DDA26E7A349D}"/>
                </c:ext>
              </c:extLst>
            </c:dLbl>
            <c:dLbl>
              <c:idx val="5"/>
              <c:delete val="1"/>
              <c:extLst>
                <c:ext xmlns:c15="http://schemas.microsoft.com/office/drawing/2012/chart" uri="{CE6537A1-D6FC-4f65-9D91-7224C49458BB}"/>
                <c:ext xmlns:c16="http://schemas.microsoft.com/office/drawing/2014/chart" uri="{C3380CC4-5D6E-409C-BE32-E72D297353CC}">
                  <c16:uniqueId val="{00000002-FADF-49CF-8A32-DDA26E7A349D}"/>
                </c:ext>
              </c:extLst>
            </c:dLbl>
            <c:dLbl>
              <c:idx val="6"/>
              <c:delete val="1"/>
              <c:extLst>
                <c:ext xmlns:c15="http://schemas.microsoft.com/office/drawing/2012/chart" uri="{CE6537A1-D6FC-4f65-9D91-7224C49458BB}"/>
                <c:ext xmlns:c16="http://schemas.microsoft.com/office/drawing/2014/chart" uri="{C3380CC4-5D6E-409C-BE32-E72D297353CC}">
                  <c16:uniqueId val="{00000003-FADF-49CF-8A32-DDA26E7A349D}"/>
                </c:ext>
              </c:extLst>
            </c:dLbl>
            <c:dLbl>
              <c:idx val="7"/>
              <c:delete val="1"/>
              <c:extLst>
                <c:ext xmlns:c15="http://schemas.microsoft.com/office/drawing/2012/chart" uri="{CE6537A1-D6FC-4f65-9D91-7224C49458BB}"/>
                <c:ext xmlns:c16="http://schemas.microsoft.com/office/drawing/2014/chart" uri="{C3380CC4-5D6E-409C-BE32-E72D297353CC}">
                  <c16:uniqueId val="{00000004-FADF-49CF-8A32-DDA26E7A349D}"/>
                </c:ext>
              </c:extLst>
            </c:dLbl>
            <c:dLbl>
              <c:idx val="12"/>
              <c:delete val="1"/>
              <c:extLst>
                <c:ext xmlns:c15="http://schemas.microsoft.com/office/drawing/2012/chart" uri="{CE6537A1-D6FC-4f65-9D91-7224C49458BB}"/>
                <c:ext xmlns:c16="http://schemas.microsoft.com/office/drawing/2014/chart" uri="{C3380CC4-5D6E-409C-BE32-E72D297353CC}">
                  <c16:uniqueId val="{0000000B-61B1-4689-8972-3A6BFC79D1BC}"/>
                </c:ext>
              </c:extLst>
            </c:dLbl>
            <c:dLbl>
              <c:idx val="16"/>
              <c:layout>
                <c:manualLayout>
                  <c:x val="-1.4814648387949516E-16"/>
                  <c:y val="-0.15569751402874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1B1-4689-8972-3A6BFC79D1BC}"/>
                </c:ext>
              </c:extLst>
            </c:dLbl>
            <c:dLbl>
              <c:idx val="17"/>
              <c:delete val="1"/>
              <c:extLst>
                <c:ext xmlns:c15="http://schemas.microsoft.com/office/drawing/2012/chart" uri="{CE6537A1-D6FC-4f65-9D91-7224C49458BB}"/>
                <c:ext xmlns:c16="http://schemas.microsoft.com/office/drawing/2014/chart" uri="{C3380CC4-5D6E-409C-BE32-E72D297353CC}">
                  <c16:uniqueId val="{0000000D-61B1-4689-8972-3A6BFC79D1BC}"/>
                </c:ext>
              </c:extLst>
            </c:dLbl>
            <c:dLbl>
              <c:idx val="18"/>
              <c:delete val="1"/>
              <c:extLst>
                <c:ext xmlns:c15="http://schemas.microsoft.com/office/drawing/2012/chart" uri="{CE6537A1-D6FC-4f65-9D91-7224C49458BB}"/>
                <c:ext xmlns:c16="http://schemas.microsoft.com/office/drawing/2014/chart" uri="{C3380CC4-5D6E-409C-BE32-E72D297353CC}">
                  <c16:uniqueId val="{0000000E-61B1-4689-8972-3A6BFC79D1BC}"/>
                </c:ext>
              </c:extLst>
            </c:dLbl>
            <c:dLbl>
              <c:idx val="19"/>
              <c:layout>
                <c:manualLayout>
                  <c:x val="-1.5141536492102651E-2"/>
                  <c:y val="5.44902515563870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ADF-49CF-8A32-DDA26E7A349D}"/>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0"/>
            <c:showCatName val="0"/>
            <c:showSerName val="0"/>
            <c:showPercent val="0"/>
            <c:showBubbleSize val="0"/>
            <c:extLst>
              <c:ext xmlns:c15="http://schemas.microsoft.com/office/drawing/2012/chart" uri="{CE6537A1-D6FC-4f65-9D91-7224C49458BB}">
                <c15:showLeaderLines val="1"/>
              </c:ext>
            </c:extLst>
          </c:dLbls>
          <c:cat>
            <c:strRef>
              <c:f>MMYT!$R$4:$X$4</c:f>
              <c:strCache>
                <c:ptCount val="7"/>
                <c:pt idx="0">
                  <c:v> 1Q18 </c:v>
                </c:pt>
                <c:pt idx="1">
                  <c:v> 2Q18 </c:v>
                </c:pt>
                <c:pt idx="2">
                  <c:v> 3Q18 </c:v>
                </c:pt>
                <c:pt idx="3">
                  <c:v> 4Q18 </c:v>
                </c:pt>
                <c:pt idx="4">
                  <c:v> 1Q19 </c:v>
                </c:pt>
                <c:pt idx="5">
                  <c:v> 2Q19 </c:v>
                </c:pt>
                <c:pt idx="6">
                  <c:v> 3Q19 </c:v>
                </c:pt>
              </c:strCache>
            </c:strRef>
          </c:cat>
          <c:val>
            <c:numRef>
              <c:f>MMYT!$R$227:$X$227</c:f>
              <c:numCache>
                <c:formatCode>0.0%</c:formatCode>
                <c:ptCount val="7"/>
                <c:pt idx="0">
                  <c:v>0.54500000000000004</c:v>
                </c:pt>
                <c:pt idx="1">
                  <c:v>0.19800000000000001</c:v>
                </c:pt>
                <c:pt idx="2">
                  <c:v>0.17699999999999999</c:v>
                </c:pt>
                <c:pt idx="3">
                  <c:v>0.26</c:v>
                </c:pt>
                <c:pt idx="4">
                  <c:v>0.21199999999999999</c:v>
                </c:pt>
                <c:pt idx="5">
                  <c:v>0.121</c:v>
                </c:pt>
                <c:pt idx="6">
                  <c:v>2.4E-2</c:v>
                </c:pt>
              </c:numCache>
            </c:numRef>
          </c:val>
          <c:smooth val="0"/>
          <c:extLst>
            <c:ext xmlns:c16="http://schemas.microsoft.com/office/drawing/2014/chart" uri="{C3380CC4-5D6E-409C-BE32-E72D297353CC}">
              <c16:uniqueId val="{0000000F-61B1-4689-8972-3A6BFC79D1BC}"/>
            </c:ext>
          </c:extLst>
        </c:ser>
        <c:ser>
          <c:idx val="2"/>
          <c:order val="2"/>
          <c:tx>
            <c:v>Bus ticketing</c:v>
          </c:tx>
          <c:spPr>
            <a:ln>
              <a:solidFill>
                <a:schemeClr val="accent6"/>
              </a:solidFill>
            </a:ln>
          </c:spPr>
          <c:marker>
            <c:spPr>
              <a:solidFill>
                <a:schemeClr val="accent6"/>
              </a:solidFill>
              <a:ln>
                <a:solidFill>
                  <a:schemeClr val="accent6"/>
                </a:solidFill>
              </a:ln>
            </c:spPr>
          </c:marker>
          <c:dLbls>
            <c:dLbl>
              <c:idx val="16"/>
              <c:layout>
                <c:manualLayout>
                  <c:x val="-5.3710985034911327E-2"/>
                  <c:y val="-5.4684296989087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9A-4FA9-899D-567DE17BAFE3}"/>
                </c:ext>
              </c:extLst>
            </c:dLbl>
            <c:dLbl>
              <c:idx val="1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DF-49CF-8A32-DDA26E7A349D}"/>
                </c:ext>
              </c:extLst>
            </c:dLbl>
            <c:spPr>
              <a:noFill/>
              <a:ln>
                <a:noFill/>
              </a:ln>
              <a:effectLst/>
            </c:spPr>
            <c:dLblPos val="t"/>
            <c:showLegendKey val="0"/>
            <c:showVal val="0"/>
            <c:showCatName val="0"/>
            <c:showSerName val="0"/>
            <c:showPercent val="0"/>
            <c:showBubbleSize val="0"/>
            <c:extLst>
              <c:ext xmlns:c15="http://schemas.microsoft.com/office/drawing/2012/chart" uri="{CE6537A1-D6FC-4f65-9D91-7224C49458BB}">
                <c15:showLeaderLines val="1"/>
              </c:ext>
            </c:extLst>
          </c:dLbls>
          <c:cat>
            <c:strRef>
              <c:f>MMYT!$R$4:$X$4</c:f>
              <c:strCache>
                <c:ptCount val="7"/>
                <c:pt idx="0">
                  <c:v> 1Q18 </c:v>
                </c:pt>
                <c:pt idx="1">
                  <c:v> 2Q18 </c:v>
                </c:pt>
                <c:pt idx="2">
                  <c:v> 3Q18 </c:v>
                </c:pt>
                <c:pt idx="3">
                  <c:v> 4Q18 </c:v>
                </c:pt>
                <c:pt idx="4">
                  <c:v> 1Q19 </c:v>
                </c:pt>
                <c:pt idx="5">
                  <c:v> 2Q19 </c:v>
                </c:pt>
                <c:pt idx="6">
                  <c:v> 3Q19 </c:v>
                </c:pt>
              </c:strCache>
            </c:strRef>
          </c:cat>
          <c:val>
            <c:numRef>
              <c:f>MMYT!$R$230:$X$230</c:f>
              <c:numCache>
                <c:formatCode>0.0%</c:formatCode>
                <c:ptCount val="7"/>
                <c:pt idx="1">
                  <c:v>0.48899999999999999</c:v>
                </c:pt>
                <c:pt idx="2">
                  <c:v>0.374</c:v>
                </c:pt>
                <c:pt idx="3">
                  <c:v>0.434</c:v>
                </c:pt>
                <c:pt idx="4">
                  <c:v>0.40799999999999997</c:v>
                </c:pt>
                <c:pt idx="5">
                  <c:v>0.37</c:v>
                </c:pt>
                <c:pt idx="6">
                  <c:v>0.38300000000000001</c:v>
                </c:pt>
              </c:numCache>
            </c:numRef>
          </c:val>
          <c:smooth val="0"/>
          <c:extLst>
            <c:ext xmlns:c16="http://schemas.microsoft.com/office/drawing/2014/chart" uri="{C3380CC4-5D6E-409C-BE32-E72D297353CC}">
              <c16:uniqueId val="{00000012-61B1-4689-8972-3A6BFC79D1BC}"/>
            </c:ext>
          </c:extLst>
        </c:ser>
        <c:dLbls>
          <c:showLegendKey val="0"/>
          <c:showVal val="0"/>
          <c:showCatName val="0"/>
          <c:showSerName val="0"/>
          <c:showPercent val="0"/>
          <c:showBubbleSize val="0"/>
        </c:dLbls>
        <c:marker val="1"/>
        <c:smooth val="0"/>
        <c:axId val="129475712"/>
        <c:axId val="129477248"/>
      </c:lineChart>
      <c:catAx>
        <c:axId val="129475712"/>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9477248"/>
        <c:crosses val="autoZero"/>
        <c:auto val="1"/>
        <c:lblAlgn val="ctr"/>
        <c:lblOffset val="100"/>
        <c:noMultiLvlLbl val="0"/>
      </c:catAx>
      <c:valAx>
        <c:axId val="129477248"/>
        <c:scaling>
          <c:orientation val="minMax"/>
          <c:max val="0.9"/>
          <c:min val="-0.1"/>
        </c:scaling>
        <c:delete val="0"/>
        <c:axPos val="l"/>
        <c:numFmt formatCode="0.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9475712"/>
        <c:crosses val="autoZero"/>
        <c:crossBetween val="between"/>
      </c:valAx>
      <c:spPr>
        <a:noFill/>
        <a:ln w="9525">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sz="1600"/>
              <a:t>MMYT Claimed</a:t>
            </a:r>
            <a:r>
              <a:rPr lang="en-US" altLang="zh-CN" sz="1600" baseline="0"/>
              <a:t> </a:t>
            </a:r>
            <a:r>
              <a:rPr lang="en-US" altLang="en-US" sz="1600"/>
              <a:t>%  share of domestic air market</a:t>
            </a:r>
          </a:p>
        </c:rich>
      </c:tx>
      <c:overlay val="0"/>
    </c:title>
    <c:autoTitleDeleted val="0"/>
    <c:plotArea>
      <c:layout/>
      <c:lineChart>
        <c:grouping val="standard"/>
        <c:varyColors val="0"/>
        <c:ser>
          <c:idx val="0"/>
          <c:order val="0"/>
          <c:tx>
            <c:strRef>
              <c:f>MMYT!$A$169</c:f>
              <c:strCache>
                <c:ptCount val="1"/>
                <c:pt idx="0">
                  <c:v>     %  share of domestic air market </c:v>
                </c:pt>
              </c:strCache>
            </c:strRef>
          </c:tx>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MMYT!$B$4:$X$4</c:f>
              <c:strCache>
                <c:ptCount val="23"/>
                <c:pt idx="0">
                  <c:v> 14Q1 </c:v>
                </c:pt>
                <c:pt idx="1">
                  <c:v> 14Q2 </c:v>
                </c:pt>
                <c:pt idx="2">
                  <c:v> 14Q3 </c:v>
                </c:pt>
                <c:pt idx="3">
                  <c:v> 14Q4 </c:v>
                </c:pt>
                <c:pt idx="4">
                  <c:v> 15Q1 </c:v>
                </c:pt>
                <c:pt idx="5">
                  <c:v> 15Q2 </c:v>
                </c:pt>
                <c:pt idx="6">
                  <c:v> 15Q3 </c:v>
                </c:pt>
                <c:pt idx="7">
                  <c:v> 15Q4 </c:v>
                </c:pt>
                <c:pt idx="8">
                  <c:v> 16Q1 </c:v>
                </c:pt>
                <c:pt idx="9">
                  <c:v> 16Q2 </c:v>
                </c:pt>
                <c:pt idx="10">
                  <c:v> 16Q3 </c:v>
                </c:pt>
                <c:pt idx="11">
                  <c:v> 16Q4 </c:v>
                </c:pt>
                <c:pt idx="12">
                  <c:v> 1Q17 </c:v>
                </c:pt>
                <c:pt idx="13">
                  <c:v> 2Q17 </c:v>
                </c:pt>
                <c:pt idx="14">
                  <c:v> 3Q17 </c:v>
                </c:pt>
                <c:pt idx="15">
                  <c:v> 4Q17 </c:v>
                </c:pt>
                <c:pt idx="16">
                  <c:v> 1Q18 </c:v>
                </c:pt>
                <c:pt idx="17">
                  <c:v> 2Q18 </c:v>
                </c:pt>
                <c:pt idx="18">
                  <c:v> 3Q18 </c:v>
                </c:pt>
                <c:pt idx="19">
                  <c:v> 4Q18 </c:v>
                </c:pt>
                <c:pt idx="20">
                  <c:v> 1Q19 </c:v>
                </c:pt>
                <c:pt idx="21">
                  <c:v> 2Q19 </c:v>
                </c:pt>
                <c:pt idx="22">
                  <c:v> 3Q19 </c:v>
                </c:pt>
              </c:strCache>
            </c:strRef>
          </c:cat>
          <c:val>
            <c:numRef>
              <c:f>MMYT!$B$169:$X$169</c:f>
              <c:numCache>
                <c:formatCode>0%</c:formatCode>
                <c:ptCount val="23"/>
                <c:pt idx="0">
                  <c:v>0.12</c:v>
                </c:pt>
                <c:pt idx="1">
                  <c:v>0.13</c:v>
                </c:pt>
                <c:pt idx="2">
                  <c:v>0.13</c:v>
                </c:pt>
                <c:pt idx="3">
                  <c:v>0.15</c:v>
                </c:pt>
                <c:pt idx="4">
                  <c:v>0.15</c:v>
                </c:pt>
                <c:pt idx="5">
                  <c:v>0.15</c:v>
                </c:pt>
                <c:pt idx="6">
                  <c:v>0.15</c:v>
                </c:pt>
                <c:pt idx="7">
                  <c:v>0.15</c:v>
                </c:pt>
                <c:pt idx="8">
                  <c:v>0.158</c:v>
                </c:pt>
                <c:pt idx="9">
                  <c:v>0.16200000000000001</c:v>
                </c:pt>
                <c:pt idx="11">
                  <c:v>0.17</c:v>
                </c:pt>
                <c:pt idx="13">
                  <c:v>0.23</c:v>
                </c:pt>
                <c:pt idx="14">
                  <c:v>0.23</c:v>
                </c:pt>
                <c:pt idx="15">
                  <c:v>0.24</c:v>
                </c:pt>
                <c:pt idx="17">
                  <c:v>0.24</c:v>
                </c:pt>
                <c:pt idx="18">
                  <c:v>0.25</c:v>
                </c:pt>
                <c:pt idx="22">
                  <c:v>0.26</c:v>
                </c:pt>
              </c:numCache>
            </c:numRef>
          </c:val>
          <c:smooth val="0"/>
          <c:extLst>
            <c:ext xmlns:c16="http://schemas.microsoft.com/office/drawing/2014/chart" uri="{C3380CC4-5D6E-409C-BE32-E72D297353CC}">
              <c16:uniqueId val="{00000000-B721-498F-8BC3-73C23DCE3BD0}"/>
            </c:ext>
          </c:extLst>
        </c:ser>
        <c:dLbls>
          <c:showLegendKey val="0"/>
          <c:showVal val="0"/>
          <c:showCatName val="0"/>
          <c:showSerName val="0"/>
          <c:showPercent val="0"/>
          <c:showBubbleSize val="0"/>
        </c:dLbls>
        <c:marker val="1"/>
        <c:smooth val="0"/>
        <c:axId val="129687936"/>
        <c:axId val="129689472"/>
      </c:lineChart>
      <c:catAx>
        <c:axId val="129687936"/>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29689472"/>
        <c:crosses val="autoZero"/>
        <c:auto val="1"/>
        <c:lblAlgn val="ctr"/>
        <c:lblOffset val="100"/>
        <c:noMultiLvlLbl val="0"/>
      </c:catAx>
      <c:valAx>
        <c:axId val="129689472"/>
        <c:scaling>
          <c:orientation val="minMax"/>
        </c:scaling>
        <c:delete val="1"/>
        <c:axPos val="l"/>
        <c:numFmt formatCode="0%" sourceLinked="1"/>
        <c:majorTickMark val="out"/>
        <c:minorTickMark val="none"/>
        <c:tickLblPos val="nextTo"/>
        <c:crossAx val="129687936"/>
        <c:crosses val="autoZero"/>
        <c:crossBetween val="between"/>
      </c:valAx>
      <c:spPr>
        <a:noFill/>
        <a:ln w="9525">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a:t>Take Rates Trend</a:t>
            </a:r>
            <a:endParaRPr lang="zh-CN" altLang="en-US"/>
          </a:p>
        </c:rich>
      </c:tx>
      <c:overlay val="0"/>
    </c:title>
    <c:autoTitleDeleted val="0"/>
    <c:plotArea>
      <c:layout/>
      <c:lineChart>
        <c:grouping val="standard"/>
        <c:varyColors val="0"/>
        <c:ser>
          <c:idx val="0"/>
          <c:order val="0"/>
          <c:tx>
            <c:v>Air ticketing</c:v>
          </c:tx>
          <c:dLbls>
            <c:dLbl>
              <c:idx val="16"/>
              <c:delete val="1"/>
              <c:extLst>
                <c:ext xmlns:c15="http://schemas.microsoft.com/office/drawing/2012/chart" uri="{CE6537A1-D6FC-4f65-9D91-7224C49458BB}"/>
                <c:ext xmlns:c16="http://schemas.microsoft.com/office/drawing/2014/chart" uri="{C3380CC4-5D6E-409C-BE32-E72D297353CC}">
                  <c16:uniqueId val="{00000000-EB01-4655-AD08-200E16D08B5D}"/>
                </c:ext>
              </c:extLst>
            </c:dLbl>
            <c:dLbl>
              <c:idx val="17"/>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01-43B2-9F5A-3CEF7782A9D2}"/>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0"/>
            <c:showCatName val="0"/>
            <c:showSerName val="0"/>
            <c:showPercent val="0"/>
            <c:showBubbleSize val="0"/>
            <c:extLst>
              <c:ext xmlns:c15="http://schemas.microsoft.com/office/drawing/2012/chart" uri="{CE6537A1-D6FC-4f65-9D91-7224C49458BB}">
                <c15:showLeaderLines val="1"/>
              </c:ext>
            </c:extLst>
          </c:dLbls>
          <c:cat>
            <c:strRef>
              <c:f>MMYT!$R$4:$X$4</c:f>
              <c:strCache>
                <c:ptCount val="7"/>
                <c:pt idx="0">
                  <c:v> 1Q18 </c:v>
                </c:pt>
                <c:pt idx="1">
                  <c:v> 2Q18 </c:v>
                </c:pt>
                <c:pt idx="2">
                  <c:v> 3Q18 </c:v>
                </c:pt>
                <c:pt idx="3">
                  <c:v> 4Q18 </c:v>
                </c:pt>
                <c:pt idx="4">
                  <c:v> 1Q19 </c:v>
                </c:pt>
                <c:pt idx="5">
                  <c:v> 2Q19 </c:v>
                </c:pt>
                <c:pt idx="6">
                  <c:v> 3Q19 </c:v>
                </c:pt>
              </c:strCache>
            </c:strRef>
          </c:cat>
          <c:val>
            <c:numRef>
              <c:f>MMYT!$R$246:$X$246</c:f>
              <c:numCache>
                <c:formatCode>0.0%</c:formatCode>
                <c:ptCount val="7"/>
                <c:pt idx="0">
                  <c:v>7.8714835660915333E-2</c:v>
                </c:pt>
                <c:pt idx="1">
                  <c:v>6.7597071845654305E-2</c:v>
                </c:pt>
                <c:pt idx="2">
                  <c:v>7.5447341581541386E-2</c:v>
                </c:pt>
                <c:pt idx="3">
                  <c:v>7.3998390068598666E-2</c:v>
                </c:pt>
                <c:pt idx="4">
                  <c:v>7.4412699017700909E-2</c:v>
                </c:pt>
                <c:pt idx="5">
                  <c:v>6.5981751606347672E-2</c:v>
                </c:pt>
                <c:pt idx="6">
                  <c:v>7.1925640195125776E-2</c:v>
                </c:pt>
              </c:numCache>
            </c:numRef>
          </c:val>
          <c:smooth val="0"/>
          <c:extLst>
            <c:ext xmlns:c16="http://schemas.microsoft.com/office/drawing/2014/chart" uri="{C3380CC4-5D6E-409C-BE32-E72D297353CC}">
              <c16:uniqueId val="{00000000-E2A1-4071-992C-6BC29627958A}"/>
            </c:ext>
          </c:extLst>
        </c:ser>
        <c:ser>
          <c:idx val="1"/>
          <c:order val="1"/>
          <c:tx>
            <c:v>Hotels and packages</c:v>
          </c:tx>
          <c:dLbls>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2A1-4071-992C-6BC29627958A}"/>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0"/>
            <c:showCatName val="0"/>
            <c:showSerName val="0"/>
            <c:showPercent val="0"/>
            <c:showBubbleSize val="0"/>
            <c:extLst>
              <c:ext xmlns:c15="http://schemas.microsoft.com/office/drawing/2012/chart" uri="{CE6537A1-D6FC-4f65-9D91-7224C49458BB}">
                <c15:showLeaderLines val="1"/>
              </c:ext>
            </c:extLst>
          </c:dLbls>
          <c:cat>
            <c:strRef>
              <c:f>MMYT!$R$4:$X$4</c:f>
              <c:strCache>
                <c:ptCount val="7"/>
                <c:pt idx="0">
                  <c:v> 1Q18 </c:v>
                </c:pt>
                <c:pt idx="1">
                  <c:v> 2Q18 </c:v>
                </c:pt>
                <c:pt idx="2">
                  <c:v> 3Q18 </c:v>
                </c:pt>
                <c:pt idx="3">
                  <c:v> 4Q18 </c:v>
                </c:pt>
                <c:pt idx="4">
                  <c:v> 1Q19 </c:v>
                </c:pt>
                <c:pt idx="5">
                  <c:v> 2Q19 </c:v>
                </c:pt>
                <c:pt idx="6">
                  <c:v> 3Q19 </c:v>
                </c:pt>
              </c:strCache>
            </c:strRef>
          </c:cat>
          <c:val>
            <c:numRef>
              <c:f>MMYT!$R$247:$X$247</c:f>
              <c:numCache>
                <c:formatCode>0.0%</c:formatCode>
                <c:ptCount val="7"/>
                <c:pt idx="0">
                  <c:v>0.22745074904709939</c:v>
                </c:pt>
                <c:pt idx="1">
                  <c:v>0.22129021303890542</c:v>
                </c:pt>
                <c:pt idx="2">
                  <c:v>0.24403266331658291</c:v>
                </c:pt>
                <c:pt idx="3">
                  <c:v>0.23731738122942586</c:v>
                </c:pt>
                <c:pt idx="4">
                  <c:v>0.22673660485122399</c:v>
                </c:pt>
                <c:pt idx="5">
                  <c:v>0.22300559851292939</c:v>
                </c:pt>
                <c:pt idx="6">
                  <c:v>0.22691202109888275</c:v>
                </c:pt>
              </c:numCache>
            </c:numRef>
          </c:val>
          <c:smooth val="0"/>
          <c:extLst>
            <c:ext xmlns:c16="http://schemas.microsoft.com/office/drawing/2014/chart" uri="{C3380CC4-5D6E-409C-BE32-E72D297353CC}">
              <c16:uniqueId val="{0000000C-E2A1-4071-992C-6BC29627958A}"/>
            </c:ext>
          </c:extLst>
        </c:ser>
        <c:dLbls>
          <c:showLegendKey val="0"/>
          <c:showVal val="0"/>
          <c:showCatName val="0"/>
          <c:showSerName val="0"/>
          <c:showPercent val="0"/>
          <c:showBubbleSize val="0"/>
        </c:dLbls>
        <c:marker val="1"/>
        <c:smooth val="0"/>
        <c:axId val="130151936"/>
        <c:axId val="130153472"/>
      </c:lineChart>
      <c:catAx>
        <c:axId val="130151936"/>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0153472"/>
        <c:crosses val="autoZero"/>
        <c:auto val="1"/>
        <c:lblAlgn val="ctr"/>
        <c:lblOffset val="100"/>
        <c:noMultiLvlLbl val="0"/>
      </c:catAx>
      <c:valAx>
        <c:axId val="130153472"/>
        <c:scaling>
          <c:orientation val="minMax"/>
        </c:scaling>
        <c:delete val="0"/>
        <c:axPos val="l"/>
        <c:numFmt formatCode="0.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0151936"/>
        <c:crosses val="autoZero"/>
        <c:crossBetween val="between"/>
      </c:valAx>
      <c:spPr>
        <a:ln>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userShapes r:id="rId1"/>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sz="1400"/>
              <a:t>MMYT Adjusted Operating</a:t>
            </a:r>
            <a:r>
              <a:rPr lang="en-US" altLang="zh-CN" sz="1400" baseline="0"/>
              <a:t> Profit(loss) and OPM</a:t>
            </a:r>
            <a:endParaRPr lang="zh-CN" altLang="en-US" sz="1400"/>
          </a:p>
        </c:rich>
      </c:tx>
      <c:layout>
        <c:manualLayout>
          <c:xMode val="edge"/>
          <c:yMode val="edge"/>
          <c:x val="0.17390119323165276"/>
          <c:y val="2.528954969809E-2"/>
        </c:manualLayout>
      </c:layout>
      <c:overlay val="0"/>
    </c:title>
    <c:autoTitleDeleted val="0"/>
    <c:plotArea>
      <c:layout/>
      <c:barChart>
        <c:barDir val="col"/>
        <c:grouping val="clustered"/>
        <c:varyColors val="0"/>
        <c:ser>
          <c:idx val="0"/>
          <c:order val="0"/>
          <c:tx>
            <c:strRef>
              <c:f>MMYT!$A$84</c:f>
              <c:strCache>
                <c:ptCount val="1"/>
                <c:pt idx="0">
                  <c:v>Adjusted operating profit (loss)</c:v>
                </c:pt>
              </c:strCache>
            </c:strRef>
          </c:tx>
          <c:spPr>
            <a:solidFill>
              <a:schemeClr val="accent1">
                <a:lumMod val="60000"/>
                <a:lumOff val="40000"/>
              </a:schemeClr>
            </a:solidFill>
            <a:ln>
              <a:solidFill>
                <a:schemeClr val="accent1">
                  <a:lumMod val="60000"/>
                  <a:lumOff val="40000"/>
                </a:schemeClr>
              </a:solidFill>
            </a:ln>
          </c:spPr>
          <c:invertIfNegative val="0"/>
          <c:cat>
            <c:strRef>
              <c:f>MMYT!$R$4:$X$4</c:f>
              <c:strCache>
                <c:ptCount val="7"/>
                <c:pt idx="0">
                  <c:v> 1Q18 </c:v>
                </c:pt>
                <c:pt idx="1">
                  <c:v> 2Q18 </c:v>
                </c:pt>
                <c:pt idx="2">
                  <c:v> 3Q18 </c:v>
                </c:pt>
                <c:pt idx="3">
                  <c:v> 4Q18 </c:v>
                </c:pt>
                <c:pt idx="4">
                  <c:v> 1Q19 </c:v>
                </c:pt>
                <c:pt idx="5">
                  <c:v> 2Q19 </c:v>
                </c:pt>
                <c:pt idx="6">
                  <c:v> 3Q19 </c:v>
                </c:pt>
              </c:strCache>
            </c:strRef>
          </c:cat>
          <c:val>
            <c:numRef>
              <c:f>MMYT!$R$84:$X$84</c:f>
              <c:numCache>
                <c:formatCode>#,##0_);\(#,##0\)</c:formatCode>
                <c:ptCount val="7"/>
                <c:pt idx="0">
                  <c:v>-23.545999999999999</c:v>
                </c:pt>
                <c:pt idx="1">
                  <c:v>-32.790999999999997</c:v>
                </c:pt>
                <c:pt idx="2">
                  <c:v>-25.373999999999999</c:v>
                </c:pt>
                <c:pt idx="3">
                  <c:v>-22.196999999999999</c:v>
                </c:pt>
                <c:pt idx="4">
                  <c:v>-18.427</c:v>
                </c:pt>
                <c:pt idx="5">
                  <c:v>-29.178999999999998</c:v>
                </c:pt>
                <c:pt idx="6">
                  <c:v>-19.337</c:v>
                </c:pt>
              </c:numCache>
            </c:numRef>
          </c:val>
          <c:extLst>
            <c:ext xmlns:c16="http://schemas.microsoft.com/office/drawing/2014/chart" uri="{C3380CC4-5D6E-409C-BE32-E72D297353CC}">
              <c16:uniqueId val="{00000000-0FCE-4415-9A23-7D5EC5B73CCA}"/>
            </c:ext>
          </c:extLst>
        </c:ser>
        <c:dLbls>
          <c:showLegendKey val="0"/>
          <c:showVal val="0"/>
          <c:showCatName val="0"/>
          <c:showSerName val="0"/>
          <c:showPercent val="0"/>
          <c:showBubbleSize val="0"/>
        </c:dLbls>
        <c:gapWidth val="150"/>
        <c:axId val="130432000"/>
        <c:axId val="130433792"/>
      </c:barChart>
      <c:lineChart>
        <c:grouping val="standard"/>
        <c:varyColors val="0"/>
        <c:ser>
          <c:idx val="1"/>
          <c:order val="1"/>
          <c:tx>
            <c:strRef>
              <c:f>MMYT!$A$85</c:f>
              <c:strCache>
                <c:ptCount val="1"/>
                <c:pt idx="0">
                  <c:v>Adjusted OPM</c:v>
                </c:pt>
              </c:strCache>
            </c:strRef>
          </c:tx>
          <c:dLbls>
            <c:dLbl>
              <c:idx val="6"/>
              <c:layout>
                <c:manualLayout>
                  <c:x val="-7.8262261891842363E-2"/>
                  <c:y val="3.43570907175120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CE-4415-9A23-7D5EC5B73CCA}"/>
                </c:ext>
              </c:extLst>
            </c:dLbl>
            <c:dLbl>
              <c:idx val="7"/>
              <c:layout>
                <c:manualLayout>
                  <c:x val="-2.85473859686458E-2"/>
                  <c:y val="-6.64820979010277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CE-4415-9A23-7D5EC5B73CCA}"/>
                </c:ext>
              </c:extLst>
            </c:dLbl>
            <c:dLbl>
              <c:idx val="12"/>
              <c:layout>
                <c:manualLayout>
                  <c:x val="-5.1069908491168298E-2"/>
                  <c:y val="3.84741703205465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CE-4415-9A23-7D5EC5B73CCA}"/>
                </c:ext>
              </c:extLst>
            </c:dLbl>
            <c:dLbl>
              <c:idx val="13"/>
              <c:layout>
                <c:manualLayout>
                  <c:x val="-4.8745834719536384E-2"/>
                  <c:y val="-5.87075987558338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CE-4415-9A23-7D5EC5B73CCA}"/>
                </c:ext>
              </c:extLst>
            </c:dLbl>
            <c:dLbl>
              <c:idx val="15"/>
              <c:layout>
                <c:manualLayout>
                  <c:x val="-3.5416759327292748E-2"/>
                  <c:y val="6.8272681084839124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5.9536157214096753E-2"/>
                      <c:h val="5.493265697300305E-2"/>
                    </c:manualLayout>
                  </c15:layout>
                </c:ext>
                <c:ext xmlns:c16="http://schemas.microsoft.com/office/drawing/2014/chart" uri="{C3380CC4-5D6E-409C-BE32-E72D297353CC}">
                  <c16:uniqueId val="{00000005-0FCE-4415-9A23-7D5EC5B73CCA}"/>
                </c:ext>
              </c:extLst>
            </c:dLbl>
            <c:dLbl>
              <c:idx val="16"/>
              <c:layout>
                <c:manualLayout>
                  <c:x val="-4.4454506152962085E-2"/>
                  <c:y val="5.02087170147749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FCE-4415-9A23-7D5EC5B73CCA}"/>
                </c:ext>
              </c:extLst>
            </c:dLbl>
            <c:dLbl>
              <c:idx val="17"/>
              <c:layout>
                <c:manualLayout>
                  <c:x val="-3.5416759327292748E-2"/>
                  <c:y val="5.74343026428005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CE-4415-9A23-7D5EC5B73CCA}"/>
                </c:ext>
              </c:extLst>
            </c:dLbl>
            <c:dLbl>
              <c:idx val="18"/>
              <c:layout>
                <c:manualLayout>
                  <c:x val="-3.3157322620875417E-2"/>
                  <c:y val="4.29831313867491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FCE-4415-9A23-7D5EC5B73CCA}"/>
                </c:ext>
              </c:extLst>
            </c:dLbl>
            <c:dLbl>
              <c:idx val="19"/>
              <c:layout>
                <c:manualLayout>
                  <c:x val="-3.3157322620875583E-2"/>
                  <c:y val="3.57575457587234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56B-4315-AF60-FF37F1AF186B}"/>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MMYT!$R$4:$X$4</c:f>
              <c:strCache>
                <c:ptCount val="7"/>
                <c:pt idx="0">
                  <c:v> 1Q18 </c:v>
                </c:pt>
                <c:pt idx="1">
                  <c:v> 2Q18 </c:v>
                </c:pt>
                <c:pt idx="2">
                  <c:v> 3Q18 </c:v>
                </c:pt>
                <c:pt idx="3">
                  <c:v> 4Q18 </c:v>
                </c:pt>
                <c:pt idx="4">
                  <c:v> 1Q19 </c:v>
                </c:pt>
                <c:pt idx="5">
                  <c:v> 2Q19 </c:v>
                </c:pt>
                <c:pt idx="6">
                  <c:v> 3Q19 </c:v>
                </c:pt>
              </c:strCache>
            </c:strRef>
          </c:cat>
          <c:val>
            <c:numRef>
              <c:f>MMYT!$R$85:$X$85</c:f>
              <c:numCache>
                <c:formatCode>0%</c:formatCode>
                <c:ptCount val="7"/>
                <c:pt idx="0">
                  <c:v>-0.16204312249237821</c:v>
                </c:pt>
                <c:pt idx="1">
                  <c:v>-0.19354971992515593</c:v>
                </c:pt>
                <c:pt idx="2">
                  <c:v>-0.15920142047771715</c:v>
                </c:pt>
                <c:pt idx="3">
                  <c:v>-0.12383816293056316</c:v>
                </c:pt>
                <c:pt idx="4">
                  <c:v>-0.11310945105669896</c:v>
                </c:pt>
                <c:pt idx="5">
                  <c:v>-0.14773279598201627</c:v>
                </c:pt>
                <c:pt idx="6">
                  <c:v>-0.10751319103510013</c:v>
                </c:pt>
              </c:numCache>
            </c:numRef>
          </c:val>
          <c:smooth val="0"/>
          <c:extLst>
            <c:ext xmlns:c16="http://schemas.microsoft.com/office/drawing/2014/chart" uri="{C3380CC4-5D6E-409C-BE32-E72D297353CC}">
              <c16:uniqueId val="{00000009-0FCE-4415-9A23-7D5EC5B73CCA}"/>
            </c:ext>
          </c:extLst>
        </c:ser>
        <c:dLbls>
          <c:showLegendKey val="0"/>
          <c:showVal val="0"/>
          <c:showCatName val="0"/>
          <c:showSerName val="0"/>
          <c:showPercent val="0"/>
          <c:showBubbleSize val="0"/>
        </c:dLbls>
        <c:marker val="1"/>
        <c:smooth val="0"/>
        <c:axId val="130435328"/>
        <c:axId val="130461696"/>
      </c:lineChart>
      <c:catAx>
        <c:axId val="130432000"/>
        <c:scaling>
          <c:orientation val="minMax"/>
        </c:scaling>
        <c:delete val="0"/>
        <c:axPos val="b"/>
        <c:numFmt formatCode="General" sourceLinked="0"/>
        <c:majorTickMark val="out"/>
        <c:minorTickMark val="none"/>
        <c:tickLblPos val="low"/>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0433792"/>
        <c:crosses val="autoZero"/>
        <c:auto val="1"/>
        <c:lblAlgn val="ctr"/>
        <c:lblOffset val="100"/>
        <c:noMultiLvlLbl val="0"/>
      </c:catAx>
      <c:valAx>
        <c:axId val="130433792"/>
        <c:scaling>
          <c:orientation val="minMax"/>
        </c:scaling>
        <c:delete val="0"/>
        <c:axPos val="l"/>
        <c:numFmt formatCode="#,##0_);\(#,##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0432000"/>
        <c:crosses val="autoZero"/>
        <c:crossBetween val="between"/>
      </c:valAx>
      <c:catAx>
        <c:axId val="130435328"/>
        <c:scaling>
          <c:orientation val="minMax"/>
        </c:scaling>
        <c:delete val="1"/>
        <c:axPos val="b"/>
        <c:numFmt formatCode="General" sourceLinked="1"/>
        <c:majorTickMark val="out"/>
        <c:minorTickMark val="none"/>
        <c:tickLblPos val="nextTo"/>
        <c:crossAx val="130461696"/>
        <c:crosses val="autoZero"/>
        <c:auto val="1"/>
        <c:lblAlgn val="ctr"/>
        <c:lblOffset val="100"/>
        <c:noMultiLvlLbl val="0"/>
      </c:catAx>
      <c:valAx>
        <c:axId val="130461696"/>
        <c:scaling>
          <c:orientation val="minMax"/>
          <c:min val="-0.60000000000000009"/>
        </c:scaling>
        <c:delete val="0"/>
        <c:axPos val="r"/>
        <c:numFmt formatCode="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0435328"/>
        <c:crosses val="max"/>
        <c:crossBetween val="between"/>
      </c:valAx>
      <c:spPr>
        <a:ln>
          <a:solidFill>
            <a:schemeClr val="bg1">
              <a:lumMod val="7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userShapes r:id="rId1"/>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en-US"/>
              <a:t>  </a:t>
            </a:r>
            <a:r>
              <a:rPr lang="en-US" altLang="en-US" sz="1600"/>
              <a:t>Marketing and Sales Promotion Expenses as % of GMV</a:t>
            </a:r>
          </a:p>
        </c:rich>
      </c:tx>
      <c:layout>
        <c:manualLayout>
          <c:xMode val="edge"/>
          <c:yMode val="edge"/>
          <c:x val="0.12070661097143533"/>
          <c:y val="1.1669668141093997E-2"/>
        </c:manualLayout>
      </c:layout>
      <c:overlay val="0"/>
    </c:title>
    <c:autoTitleDeleted val="0"/>
    <c:plotArea>
      <c:layout>
        <c:manualLayout>
          <c:layoutTarget val="inner"/>
          <c:xMode val="edge"/>
          <c:yMode val="edge"/>
          <c:x val="9.3195918889916851E-2"/>
          <c:y val="0.21706201293157604"/>
          <c:w val="0.89148876344084937"/>
          <c:h val="0.54124058079335569"/>
        </c:manualLayout>
      </c:layout>
      <c:lineChart>
        <c:grouping val="standard"/>
        <c:varyColors val="0"/>
        <c:ser>
          <c:idx val="0"/>
          <c:order val="0"/>
          <c:tx>
            <c:strRef>
              <c:f>MMYT!$A$68</c:f>
              <c:strCache>
                <c:ptCount val="1"/>
                <c:pt idx="0">
                  <c:v>         Adjusted S&amp;M expenses as % of GMV</c:v>
                </c:pt>
              </c:strCache>
            </c:strRef>
          </c:tx>
          <c:dLbls>
            <c:dLbl>
              <c:idx val="8"/>
              <c:layout>
                <c:manualLayout>
                  <c:x val="-7.1324760909199258E-2"/>
                  <c:y val="-5.76998289320657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24-429A-9491-9BBA9CE23177}"/>
                </c:ext>
              </c:extLst>
            </c:dLbl>
            <c:spPr>
              <a:noFill/>
              <a:ln>
                <a:noFill/>
              </a:ln>
              <a:effectLst/>
            </c:spPr>
            <c:txPr>
              <a:bodyPr rot="0" spcFirstLastPara="0" vertOverflow="ellipsis" vert="horz" wrap="square" lIns="38100" tIns="19050" rIns="38100" bIns="19050" anchor="ctr" anchorCtr="1">
                <a:spAutoFit/>
              </a:bodyPr>
              <a:lstStyle/>
              <a:p>
                <a:pPr>
                  <a:defRPr lang="zh-CN" sz="1000" b="0" i="0" u="none" strike="noStrike" kern="1200" baseline="0">
                    <a:solidFill>
                      <a:schemeClr val="tx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MMYT!$R$4:$X$4</c:f>
              <c:strCache>
                <c:ptCount val="7"/>
                <c:pt idx="0">
                  <c:v> 1Q18 </c:v>
                </c:pt>
                <c:pt idx="1">
                  <c:v> 2Q18 </c:v>
                </c:pt>
                <c:pt idx="2">
                  <c:v> 3Q18 </c:v>
                </c:pt>
                <c:pt idx="3">
                  <c:v> 4Q18 </c:v>
                </c:pt>
                <c:pt idx="4">
                  <c:v> 1Q19 </c:v>
                </c:pt>
                <c:pt idx="5">
                  <c:v> 2Q19 </c:v>
                </c:pt>
                <c:pt idx="6">
                  <c:v> 3Q19 </c:v>
                </c:pt>
              </c:strCache>
            </c:strRef>
          </c:cat>
          <c:val>
            <c:numRef>
              <c:f>MMYT!$R$68:$X$68</c:f>
              <c:numCache>
                <c:formatCode>0.0%</c:formatCode>
                <c:ptCount val="7"/>
                <c:pt idx="0">
                  <c:v>9.9704879705116212E-2</c:v>
                </c:pt>
                <c:pt idx="1">
                  <c:v>0.10470643056849956</c:v>
                </c:pt>
                <c:pt idx="2">
                  <c:v>0.10698471440064361</c:v>
                </c:pt>
                <c:pt idx="3">
                  <c:v>0.10331317821889344</c:v>
                </c:pt>
                <c:pt idx="4">
                  <c:v>8.9682541416905057E-2</c:v>
                </c:pt>
                <c:pt idx="5">
                  <c:v>9.4386904055460796E-2</c:v>
                </c:pt>
                <c:pt idx="6">
                  <c:v>8.8890347627934033E-2</c:v>
                </c:pt>
              </c:numCache>
            </c:numRef>
          </c:val>
          <c:smooth val="0"/>
          <c:extLst>
            <c:ext xmlns:c16="http://schemas.microsoft.com/office/drawing/2014/chart" uri="{C3380CC4-5D6E-409C-BE32-E72D297353CC}">
              <c16:uniqueId val="{00000000-DD08-44FA-A06B-DACC4119D3E4}"/>
            </c:ext>
          </c:extLst>
        </c:ser>
        <c:dLbls>
          <c:showLegendKey val="0"/>
          <c:showVal val="1"/>
          <c:showCatName val="0"/>
          <c:showSerName val="0"/>
          <c:showPercent val="0"/>
          <c:showBubbleSize val="0"/>
        </c:dLbls>
        <c:marker val="1"/>
        <c:smooth val="0"/>
        <c:axId val="130551808"/>
        <c:axId val="130554496"/>
      </c:lineChart>
      <c:catAx>
        <c:axId val="130551808"/>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0554496"/>
        <c:crosses val="autoZero"/>
        <c:auto val="1"/>
        <c:lblAlgn val="ctr"/>
        <c:lblOffset val="100"/>
        <c:noMultiLvlLbl val="0"/>
      </c:catAx>
      <c:valAx>
        <c:axId val="130554496"/>
        <c:scaling>
          <c:orientation val="minMax"/>
        </c:scaling>
        <c:delete val="0"/>
        <c:axPos val="l"/>
        <c:numFmt formatCode="0.0%" sourceLinked="1"/>
        <c:majorTickMark val="out"/>
        <c:minorTickMark val="none"/>
        <c:tickLblPos val="nextTo"/>
        <c:crossAx val="130551808"/>
        <c:crosses val="autoZero"/>
        <c:crossBetween val="between"/>
      </c:valAx>
      <c:spPr>
        <a:ln>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a:t>MMYT Hotel Coverage</a:t>
            </a:r>
            <a:endParaRPr lang="zh-CN" altLang="en-US"/>
          </a:p>
        </c:rich>
      </c:tx>
      <c:overlay val="0"/>
    </c:title>
    <c:autoTitleDeleted val="0"/>
    <c:plotArea>
      <c:layout/>
      <c:barChart>
        <c:barDir val="col"/>
        <c:grouping val="clustered"/>
        <c:varyColors val="0"/>
        <c:ser>
          <c:idx val="0"/>
          <c:order val="0"/>
          <c:tx>
            <c:strRef>
              <c:f>MMYT!$A$162</c:f>
              <c:strCache>
                <c:ptCount val="1"/>
                <c:pt idx="0">
                  <c:v>India total hotels</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MMYT!$B$4:$X$4</c:f>
              <c:strCache>
                <c:ptCount val="23"/>
                <c:pt idx="0">
                  <c:v> 14Q1 </c:v>
                </c:pt>
                <c:pt idx="1">
                  <c:v> 14Q2 </c:v>
                </c:pt>
                <c:pt idx="2">
                  <c:v> 14Q3 </c:v>
                </c:pt>
                <c:pt idx="3">
                  <c:v> 14Q4 </c:v>
                </c:pt>
                <c:pt idx="4">
                  <c:v> 15Q1 </c:v>
                </c:pt>
                <c:pt idx="5">
                  <c:v> 15Q2 </c:v>
                </c:pt>
                <c:pt idx="6">
                  <c:v> 15Q3 </c:v>
                </c:pt>
                <c:pt idx="7">
                  <c:v> 15Q4 </c:v>
                </c:pt>
                <c:pt idx="8">
                  <c:v> 16Q1 </c:v>
                </c:pt>
                <c:pt idx="9">
                  <c:v> 16Q2 </c:v>
                </c:pt>
                <c:pt idx="10">
                  <c:v> 16Q3 </c:v>
                </c:pt>
                <c:pt idx="11">
                  <c:v> 16Q4 </c:v>
                </c:pt>
                <c:pt idx="12">
                  <c:v> 1Q17 </c:v>
                </c:pt>
                <c:pt idx="13">
                  <c:v> 2Q17 </c:v>
                </c:pt>
                <c:pt idx="14">
                  <c:v> 3Q17 </c:v>
                </c:pt>
                <c:pt idx="15">
                  <c:v> 4Q17 </c:v>
                </c:pt>
                <c:pt idx="16">
                  <c:v> 1Q18 </c:v>
                </c:pt>
                <c:pt idx="17">
                  <c:v> 2Q18 </c:v>
                </c:pt>
                <c:pt idx="18">
                  <c:v> 3Q18 </c:v>
                </c:pt>
                <c:pt idx="19">
                  <c:v> 4Q18 </c:v>
                </c:pt>
                <c:pt idx="20">
                  <c:v> 1Q19 </c:v>
                </c:pt>
                <c:pt idx="21">
                  <c:v> 2Q19 </c:v>
                </c:pt>
                <c:pt idx="22">
                  <c:v> 3Q19 </c:v>
                </c:pt>
              </c:strCache>
            </c:strRef>
          </c:cat>
          <c:val>
            <c:numRef>
              <c:f>MMYT!$B$162:$X$162</c:f>
              <c:numCache>
                <c:formatCode>#,##0_ </c:formatCode>
                <c:ptCount val="23"/>
                <c:pt idx="0">
                  <c:v>11.4</c:v>
                </c:pt>
                <c:pt idx="1">
                  <c:v>13</c:v>
                </c:pt>
                <c:pt idx="2">
                  <c:v>15.5</c:v>
                </c:pt>
                <c:pt idx="3">
                  <c:v>20</c:v>
                </c:pt>
                <c:pt idx="4">
                  <c:v>24</c:v>
                </c:pt>
                <c:pt idx="5">
                  <c:v>25.5</c:v>
                </c:pt>
                <c:pt idx="6">
                  <c:v>27</c:v>
                </c:pt>
                <c:pt idx="8">
                  <c:v>11.4</c:v>
                </c:pt>
                <c:pt idx="9">
                  <c:v>13</c:v>
                </c:pt>
                <c:pt idx="10">
                  <c:v>15.5</c:v>
                </c:pt>
                <c:pt idx="11">
                  <c:v>20</c:v>
                </c:pt>
                <c:pt idx="12">
                  <c:v>53.5</c:v>
                </c:pt>
                <c:pt idx="13">
                  <c:v>58.5</c:v>
                </c:pt>
                <c:pt idx="14">
                  <c:v>58.5</c:v>
                </c:pt>
                <c:pt idx="16" formatCode="#,##0_);[Red]\(#,##0\)">
                  <c:v>53</c:v>
                </c:pt>
                <c:pt idx="18" formatCode="#,##0_);[Red]\(#,##0\)">
                  <c:v>58</c:v>
                </c:pt>
                <c:pt idx="19" formatCode="#,##0_);[Red]\(#,##0\)">
                  <c:v>60</c:v>
                </c:pt>
                <c:pt idx="20" formatCode="#,##0_);[Red]\(#,##0\)">
                  <c:v>61.5</c:v>
                </c:pt>
                <c:pt idx="21" formatCode="#,##0_);[Red]\(#,##0\)">
                  <c:v>63</c:v>
                </c:pt>
                <c:pt idx="22" formatCode="#,##0_);[Red]\(#,##0\)">
                  <c:v>66.5</c:v>
                </c:pt>
              </c:numCache>
            </c:numRef>
          </c:val>
          <c:extLst>
            <c:ext xmlns:c16="http://schemas.microsoft.com/office/drawing/2014/chart" uri="{C3380CC4-5D6E-409C-BE32-E72D297353CC}">
              <c16:uniqueId val="{00000000-55F0-4BC7-9443-B94A30E949BD}"/>
            </c:ext>
          </c:extLst>
        </c:ser>
        <c:ser>
          <c:idx val="2"/>
          <c:order val="1"/>
          <c:tx>
            <c:strRef>
              <c:f>MMYT!$A$165</c:f>
              <c:strCache>
                <c:ptCount val="1"/>
                <c:pt idx="0">
                  <c:v>International</c:v>
                </c:pt>
              </c:strCache>
            </c:strRef>
          </c:tx>
          <c:invertIfNegative val="0"/>
          <c:dLbls>
            <c:spPr>
              <a:noFill/>
              <a:ln>
                <a:noFill/>
              </a:ln>
              <a:effectLst/>
            </c:spPr>
            <c:txPr>
              <a:bodyPr rot="0" spcFirstLastPara="0" vertOverflow="ellipsis" vert="horz" wrap="square" lIns="38100" tIns="19050" rIns="38100" bIns="19050" anchor="ctr" anchorCtr="1">
                <a:spAutoFit/>
              </a:bodyPr>
              <a:lstStyle/>
              <a:p>
                <a:pPr>
                  <a:defRPr lang="zh-CN" sz="1000" b="0" i="0" u="none" strike="noStrike" kern="1200" baseline="0">
                    <a:solidFill>
                      <a:schemeClr val="tx1"/>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MMYT!$B$4:$X$4</c:f>
              <c:strCache>
                <c:ptCount val="23"/>
                <c:pt idx="0">
                  <c:v> 14Q1 </c:v>
                </c:pt>
                <c:pt idx="1">
                  <c:v> 14Q2 </c:v>
                </c:pt>
                <c:pt idx="2">
                  <c:v> 14Q3 </c:v>
                </c:pt>
                <c:pt idx="3">
                  <c:v> 14Q4 </c:v>
                </c:pt>
                <c:pt idx="4">
                  <c:v> 15Q1 </c:v>
                </c:pt>
                <c:pt idx="5">
                  <c:v> 15Q2 </c:v>
                </c:pt>
                <c:pt idx="6">
                  <c:v> 15Q3 </c:v>
                </c:pt>
                <c:pt idx="7">
                  <c:v> 15Q4 </c:v>
                </c:pt>
                <c:pt idx="8">
                  <c:v> 16Q1 </c:v>
                </c:pt>
                <c:pt idx="9">
                  <c:v> 16Q2 </c:v>
                </c:pt>
                <c:pt idx="10">
                  <c:v> 16Q3 </c:v>
                </c:pt>
                <c:pt idx="11">
                  <c:v> 16Q4 </c:v>
                </c:pt>
                <c:pt idx="12">
                  <c:v> 1Q17 </c:v>
                </c:pt>
                <c:pt idx="13">
                  <c:v> 2Q17 </c:v>
                </c:pt>
                <c:pt idx="14">
                  <c:v> 3Q17 </c:v>
                </c:pt>
                <c:pt idx="15">
                  <c:v> 4Q17 </c:v>
                </c:pt>
                <c:pt idx="16">
                  <c:v> 1Q18 </c:v>
                </c:pt>
                <c:pt idx="17">
                  <c:v> 2Q18 </c:v>
                </c:pt>
                <c:pt idx="18">
                  <c:v> 3Q18 </c:v>
                </c:pt>
                <c:pt idx="19">
                  <c:v> 4Q18 </c:v>
                </c:pt>
                <c:pt idx="20">
                  <c:v> 1Q19 </c:v>
                </c:pt>
                <c:pt idx="21">
                  <c:v> 2Q19 </c:v>
                </c:pt>
                <c:pt idx="22">
                  <c:v> 3Q19 </c:v>
                </c:pt>
              </c:strCache>
            </c:strRef>
          </c:cat>
          <c:val>
            <c:numRef>
              <c:f>MMYT!$B$165:$X$165</c:f>
              <c:numCache>
                <c:formatCode>#,##0_ </c:formatCode>
                <c:ptCount val="23"/>
                <c:pt idx="0">
                  <c:v>170</c:v>
                </c:pt>
                <c:pt idx="1">
                  <c:v>184</c:v>
                </c:pt>
                <c:pt idx="3">
                  <c:v>190</c:v>
                </c:pt>
                <c:pt idx="4">
                  <c:v>205</c:v>
                </c:pt>
                <c:pt idx="5">
                  <c:v>250</c:v>
                </c:pt>
                <c:pt idx="8">
                  <c:v>300</c:v>
                </c:pt>
                <c:pt idx="9">
                  <c:v>310</c:v>
                </c:pt>
                <c:pt idx="12">
                  <c:v>240</c:v>
                </c:pt>
                <c:pt idx="13">
                  <c:v>500</c:v>
                </c:pt>
                <c:pt idx="15" formatCode="#,##0_);[Red]\(#,##0\)">
                  <c:v>500</c:v>
                </c:pt>
                <c:pt idx="19" formatCode="#,##0_);[Red]\(#,##0\)">
                  <c:v>500</c:v>
                </c:pt>
                <c:pt idx="20" formatCode="#,##0_);[Red]\(#,##0\)">
                  <c:v>500</c:v>
                </c:pt>
                <c:pt idx="21" formatCode="#,##0_);[Red]\(#,##0\)">
                  <c:v>500</c:v>
                </c:pt>
                <c:pt idx="22" formatCode="#,##0_);[Red]\(#,##0\)">
                  <c:v>500</c:v>
                </c:pt>
              </c:numCache>
            </c:numRef>
          </c:val>
          <c:extLst>
            <c:ext xmlns:c16="http://schemas.microsoft.com/office/drawing/2014/chart" uri="{C3380CC4-5D6E-409C-BE32-E72D297353CC}">
              <c16:uniqueId val="{00000002-1778-4486-96DB-989520DC286C}"/>
            </c:ext>
          </c:extLst>
        </c:ser>
        <c:dLbls>
          <c:showLegendKey val="0"/>
          <c:showVal val="1"/>
          <c:showCatName val="0"/>
          <c:showSerName val="0"/>
          <c:showPercent val="0"/>
          <c:showBubbleSize val="0"/>
        </c:dLbls>
        <c:gapWidth val="150"/>
        <c:axId val="130747008"/>
        <c:axId val="130761088"/>
      </c:barChart>
      <c:catAx>
        <c:axId val="130747008"/>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0761088"/>
        <c:crosses val="autoZero"/>
        <c:auto val="1"/>
        <c:lblAlgn val="ctr"/>
        <c:lblOffset val="100"/>
        <c:noMultiLvlLbl val="0"/>
      </c:catAx>
      <c:valAx>
        <c:axId val="130761088"/>
        <c:scaling>
          <c:orientation val="minMax"/>
        </c:scaling>
        <c:delete val="0"/>
        <c:axPos val="l"/>
        <c:numFmt formatCode="#,##0_ " sourceLinked="1"/>
        <c:majorTickMark val="out"/>
        <c:minorTickMark val="none"/>
        <c:tickLblPos val="nextTo"/>
        <c:crossAx val="130747008"/>
        <c:crosses val="autoZero"/>
        <c:crossBetween val="between"/>
      </c:valAx>
      <c:spPr>
        <a:ln>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userShapes r:id="rId1"/>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a:t>MMYT</a:t>
            </a:r>
            <a:r>
              <a:rPr lang="en-US" altLang="zh-CN" baseline="0"/>
              <a:t> India Standalone Hotels booked online</a:t>
            </a:r>
            <a:endParaRPr lang="zh-CN" altLang="en-US"/>
          </a:p>
        </c:rich>
      </c:tx>
      <c:overlay val="0"/>
    </c:title>
    <c:autoTitleDeleted val="0"/>
    <c:plotArea>
      <c:layout/>
      <c:barChart>
        <c:barDir val="col"/>
        <c:grouping val="clustered"/>
        <c:varyColors val="0"/>
        <c:ser>
          <c:idx val="0"/>
          <c:order val="0"/>
          <c:tx>
            <c:strRef>
              <c:f>[30]MMYT!$A$198</c:f>
              <c:strCache>
                <c:ptCount val="1"/>
                <c:pt idx="0">
                  <c:v>MMYT India Standalone hotels booked online (PC+mobile)</c:v>
                </c:pt>
              </c:strCache>
            </c:strRef>
          </c:tx>
          <c:invertIfNegative val="0"/>
          <c:cat>
            <c:strRef>
              <c:f>[30]MMYT!$G$3:$O$3</c:f>
              <c:strCache>
                <c:ptCount val="9"/>
                <c:pt idx="0">
                  <c:v>15Q2</c:v>
                </c:pt>
                <c:pt idx="1">
                  <c:v>15Q3</c:v>
                </c:pt>
                <c:pt idx="2">
                  <c:v>15Q4</c:v>
                </c:pt>
                <c:pt idx="3">
                  <c:v>16Q1</c:v>
                </c:pt>
                <c:pt idx="4">
                  <c:v>16Q2</c:v>
                </c:pt>
                <c:pt idx="5">
                  <c:v>16Q3</c:v>
                </c:pt>
                <c:pt idx="6">
                  <c:v>16Q4</c:v>
                </c:pt>
                <c:pt idx="7">
                  <c:v>1Q17</c:v>
                </c:pt>
                <c:pt idx="8">
                  <c:v>2Q17</c:v>
                </c:pt>
              </c:strCache>
            </c:strRef>
          </c:cat>
          <c:val>
            <c:numRef>
              <c:f>[30]MMYT!$G$198:$N$198</c:f>
              <c:numCache>
                <c:formatCode>General</c:formatCode>
                <c:ptCount val="8"/>
                <c:pt idx="0">
                  <c:v>0.2457</c:v>
                </c:pt>
                <c:pt idx="1">
                  <c:v>0.34710000000000002</c:v>
                </c:pt>
                <c:pt idx="2">
                  <c:v>0.67789999999999995</c:v>
                </c:pt>
                <c:pt idx="3">
                  <c:v>1.1729000000000001</c:v>
                </c:pt>
                <c:pt idx="4">
                  <c:v>1.4206000000000001</c:v>
                </c:pt>
                <c:pt idx="5">
                  <c:v>1.3631</c:v>
                </c:pt>
                <c:pt idx="6">
                  <c:v>1.3919999999999999</c:v>
                </c:pt>
                <c:pt idx="7">
                  <c:v>2.2915999999999999</c:v>
                </c:pt>
              </c:numCache>
            </c:numRef>
          </c:val>
          <c:extLst>
            <c:ext xmlns:c16="http://schemas.microsoft.com/office/drawing/2014/chart" uri="{C3380CC4-5D6E-409C-BE32-E72D297353CC}">
              <c16:uniqueId val="{00000000-60D3-4A08-AAFE-3004C56BDE57}"/>
            </c:ext>
          </c:extLst>
        </c:ser>
        <c:dLbls>
          <c:showLegendKey val="0"/>
          <c:showVal val="0"/>
          <c:showCatName val="0"/>
          <c:showSerName val="0"/>
          <c:showPercent val="0"/>
          <c:showBubbleSize val="0"/>
        </c:dLbls>
        <c:gapWidth val="150"/>
        <c:axId val="130949504"/>
        <c:axId val="130951040"/>
      </c:barChart>
      <c:lineChart>
        <c:grouping val="standard"/>
        <c:varyColors val="0"/>
        <c:ser>
          <c:idx val="1"/>
          <c:order val="1"/>
          <c:tx>
            <c:strRef>
              <c:f>[30]MMYT!$A$199</c:f>
              <c:strCache>
                <c:ptCount val="1"/>
                <c:pt idx="0">
                  <c:v>Online Standardalone hotel YoY % growth rate</c:v>
                </c:pt>
              </c:strCache>
            </c:strRef>
          </c:tx>
          <c:dLbls>
            <c:dLbl>
              <c:idx val="6"/>
              <c:layout>
                <c:manualLayout>
                  <c:x val="-8.47515771054934E-2"/>
                  <c:y val="-7.515709329899450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D3-4A08-AAFE-3004C56BDE57}"/>
                </c:ext>
              </c:extLst>
            </c:dLbl>
            <c:numFmt formatCode="0.00%" sourceLinked="0"/>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[30]MMYT!$G$199:$N$199</c:f>
              <c:numCache>
                <c:formatCode>General</c:formatCode>
                <c:ptCount val="8"/>
                <c:pt idx="0">
                  <c:v>0.78100000000000003</c:v>
                </c:pt>
                <c:pt idx="1">
                  <c:v>1.679</c:v>
                </c:pt>
                <c:pt idx="2">
                  <c:v>3.2629999999999999</c:v>
                </c:pt>
                <c:pt idx="3">
                  <c:v>5.069</c:v>
                </c:pt>
                <c:pt idx="4">
                  <c:v>4.782</c:v>
                </c:pt>
                <c:pt idx="5">
                  <c:v>2.927</c:v>
                </c:pt>
                <c:pt idx="6">
                  <c:v>1.05340020652014</c:v>
                </c:pt>
                <c:pt idx="7">
                  <c:v>0.95399999999999996</c:v>
                </c:pt>
              </c:numCache>
            </c:numRef>
          </c:val>
          <c:smooth val="0"/>
          <c:extLst>
            <c:ext xmlns:c16="http://schemas.microsoft.com/office/drawing/2014/chart" uri="{C3380CC4-5D6E-409C-BE32-E72D297353CC}">
              <c16:uniqueId val="{00000002-60D3-4A08-AAFE-3004C56BDE57}"/>
            </c:ext>
          </c:extLst>
        </c:ser>
        <c:dLbls>
          <c:showLegendKey val="0"/>
          <c:showVal val="0"/>
          <c:showCatName val="0"/>
          <c:showSerName val="0"/>
          <c:showPercent val="0"/>
          <c:showBubbleSize val="0"/>
        </c:dLbls>
        <c:marker val="1"/>
        <c:smooth val="0"/>
        <c:axId val="130952576"/>
        <c:axId val="130966656"/>
      </c:lineChart>
      <c:catAx>
        <c:axId val="130949504"/>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0951040"/>
        <c:crosses val="autoZero"/>
        <c:auto val="1"/>
        <c:lblAlgn val="ctr"/>
        <c:lblOffset val="100"/>
        <c:noMultiLvlLbl val="0"/>
      </c:catAx>
      <c:valAx>
        <c:axId val="130951040"/>
        <c:scaling>
          <c:orientation val="minMax"/>
        </c:scaling>
        <c:delete val="0"/>
        <c:axPos val="l"/>
        <c:numFmt formatCode="General" sourceLinked="1"/>
        <c:majorTickMark val="out"/>
        <c:minorTickMark val="none"/>
        <c:tickLblPos val="nextTo"/>
        <c:crossAx val="130949504"/>
        <c:crosses val="autoZero"/>
        <c:crossBetween val="between"/>
      </c:valAx>
      <c:catAx>
        <c:axId val="130952576"/>
        <c:scaling>
          <c:orientation val="minMax"/>
        </c:scaling>
        <c:delete val="1"/>
        <c:axPos val="b"/>
        <c:majorTickMark val="out"/>
        <c:minorTickMark val="none"/>
        <c:tickLblPos val="nextTo"/>
        <c:crossAx val="130966656"/>
        <c:crosses val="autoZero"/>
        <c:auto val="1"/>
        <c:lblAlgn val="ctr"/>
        <c:lblOffset val="100"/>
        <c:noMultiLvlLbl val="0"/>
      </c:catAx>
      <c:valAx>
        <c:axId val="130966656"/>
        <c:scaling>
          <c:orientation val="minMax"/>
        </c:scaling>
        <c:delete val="0"/>
        <c:axPos val="r"/>
        <c:numFmt formatCode="0%" sourceLinked="0"/>
        <c:majorTickMark val="out"/>
        <c:minorTickMark val="none"/>
        <c:tickLblPos val="nextTo"/>
        <c:crossAx val="130952576"/>
        <c:crosses val="max"/>
        <c:crossBetween val="between"/>
      </c:valAx>
      <c:spPr>
        <a:ln>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userShapes r:id="rId1"/>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a:t>% of Transactions</a:t>
            </a:r>
            <a:r>
              <a:rPr lang="en-US" altLang="zh-CN" baseline="0"/>
              <a:t> on Mobile</a:t>
            </a:r>
            <a:endParaRPr lang="zh-CN" altLang="en-US"/>
          </a:p>
        </c:rich>
      </c:tx>
      <c:overlay val="0"/>
    </c:title>
    <c:autoTitleDeleted val="0"/>
    <c:plotArea>
      <c:layout/>
      <c:lineChart>
        <c:grouping val="standard"/>
        <c:varyColors val="0"/>
        <c:ser>
          <c:idx val="0"/>
          <c:order val="0"/>
          <c:tx>
            <c:strRef>
              <c:f>MMYT!$A$262</c:f>
              <c:strCache>
                <c:ptCount val="1"/>
                <c:pt idx="0">
                  <c:v> Domestic Air ticketing</c:v>
                </c:pt>
              </c:strCache>
            </c:strRef>
          </c:tx>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MMYT!$B$4:$Q$4</c:f>
              <c:strCache>
                <c:ptCount val="16"/>
                <c:pt idx="0">
                  <c:v> 14Q1 </c:v>
                </c:pt>
                <c:pt idx="1">
                  <c:v> 14Q2 </c:v>
                </c:pt>
                <c:pt idx="2">
                  <c:v> 14Q3 </c:v>
                </c:pt>
                <c:pt idx="3">
                  <c:v> 14Q4 </c:v>
                </c:pt>
                <c:pt idx="4">
                  <c:v> 15Q1 </c:v>
                </c:pt>
                <c:pt idx="5">
                  <c:v> 15Q2 </c:v>
                </c:pt>
                <c:pt idx="6">
                  <c:v> 15Q3 </c:v>
                </c:pt>
                <c:pt idx="7">
                  <c:v> 15Q4 </c:v>
                </c:pt>
                <c:pt idx="8">
                  <c:v> 16Q1 </c:v>
                </c:pt>
                <c:pt idx="9">
                  <c:v> 16Q2 </c:v>
                </c:pt>
                <c:pt idx="10">
                  <c:v> 16Q3 </c:v>
                </c:pt>
                <c:pt idx="11">
                  <c:v> 16Q4 </c:v>
                </c:pt>
                <c:pt idx="12">
                  <c:v> 1Q17 </c:v>
                </c:pt>
                <c:pt idx="13">
                  <c:v> 2Q17 </c:v>
                </c:pt>
                <c:pt idx="14">
                  <c:v> 3Q17 </c:v>
                </c:pt>
                <c:pt idx="15">
                  <c:v> 4Q17 </c:v>
                </c:pt>
              </c:strCache>
            </c:strRef>
          </c:cat>
          <c:val>
            <c:numRef>
              <c:f>MMYT!$B$262:$Q$262</c:f>
              <c:numCache>
                <c:formatCode>0%</c:formatCode>
                <c:ptCount val="16"/>
                <c:pt idx="0">
                  <c:v>0.15</c:v>
                </c:pt>
                <c:pt idx="1">
                  <c:v>0.13</c:v>
                </c:pt>
                <c:pt idx="2">
                  <c:v>0.16</c:v>
                </c:pt>
                <c:pt idx="8">
                  <c:v>0.43</c:v>
                </c:pt>
                <c:pt idx="9">
                  <c:v>0.44</c:v>
                </c:pt>
                <c:pt idx="10">
                  <c:v>0.49</c:v>
                </c:pt>
                <c:pt idx="11">
                  <c:v>0.52</c:v>
                </c:pt>
                <c:pt idx="12">
                  <c:v>0.56999999999999995</c:v>
                </c:pt>
                <c:pt idx="13">
                  <c:v>0.59</c:v>
                </c:pt>
                <c:pt idx="14">
                  <c:v>0.59</c:v>
                </c:pt>
                <c:pt idx="15">
                  <c:v>0.62</c:v>
                </c:pt>
              </c:numCache>
            </c:numRef>
          </c:val>
          <c:smooth val="0"/>
          <c:extLst>
            <c:ext xmlns:c16="http://schemas.microsoft.com/office/drawing/2014/chart" uri="{C3380CC4-5D6E-409C-BE32-E72D297353CC}">
              <c16:uniqueId val="{00000000-4698-498D-B4FC-AC98C59FA99B}"/>
            </c:ext>
          </c:extLst>
        </c:ser>
        <c:ser>
          <c:idx val="1"/>
          <c:order val="1"/>
          <c:tx>
            <c:strRef>
              <c:f>MMYT!$A$263</c:f>
              <c:strCache>
                <c:ptCount val="1"/>
                <c:pt idx="0">
                  <c:v> Standalone Hotel booking</c:v>
                </c:pt>
              </c:strCache>
            </c:strRef>
          </c:tx>
          <c:dLbls>
            <c:dLbl>
              <c:idx val="17"/>
              <c:layout>
                <c:manualLayout>
                  <c:x val="-2.690655314967421E-2"/>
                  <c:y val="-7.90829486037747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98-498D-B4FC-AC98C59FA99B}"/>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MMYT!$B$4:$Q$4</c:f>
              <c:strCache>
                <c:ptCount val="16"/>
                <c:pt idx="0">
                  <c:v> 14Q1 </c:v>
                </c:pt>
                <c:pt idx="1">
                  <c:v> 14Q2 </c:v>
                </c:pt>
                <c:pt idx="2">
                  <c:v> 14Q3 </c:v>
                </c:pt>
                <c:pt idx="3">
                  <c:v> 14Q4 </c:v>
                </c:pt>
                <c:pt idx="4">
                  <c:v> 15Q1 </c:v>
                </c:pt>
                <c:pt idx="5">
                  <c:v> 15Q2 </c:v>
                </c:pt>
                <c:pt idx="6">
                  <c:v> 15Q3 </c:v>
                </c:pt>
                <c:pt idx="7">
                  <c:v> 15Q4 </c:v>
                </c:pt>
                <c:pt idx="8">
                  <c:v> 16Q1 </c:v>
                </c:pt>
                <c:pt idx="9">
                  <c:v> 16Q2 </c:v>
                </c:pt>
                <c:pt idx="10">
                  <c:v> 16Q3 </c:v>
                </c:pt>
                <c:pt idx="11">
                  <c:v> 16Q4 </c:v>
                </c:pt>
                <c:pt idx="12">
                  <c:v> 1Q17 </c:v>
                </c:pt>
                <c:pt idx="13">
                  <c:v> 2Q17 </c:v>
                </c:pt>
                <c:pt idx="14">
                  <c:v> 3Q17 </c:v>
                </c:pt>
                <c:pt idx="15">
                  <c:v> 4Q17 </c:v>
                </c:pt>
              </c:strCache>
            </c:strRef>
          </c:cat>
          <c:val>
            <c:numRef>
              <c:f>MMYT!$B$263:$Q$263</c:f>
              <c:numCache>
                <c:formatCode>0%</c:formatCode>
                <c:ptCount val="16"/>
                <c:pt idx="0">
                  <c:v>0.27</c:v>
                </c:pt>
                <c:pt idx="1">
                  <c:v>0.25</c:v>
                </c:pt>
                <c:pt idx="2">
                  <c:v>0.34</c:v>
                </c:pt>
                <c:pt idx="3">
                  <c:v>0.34</c:v>
                </c:pt>
                <c:pt idx="4">
                  <c:v>0.38</c:v>
                </c:pt>
                <c:pt idx="7">
                  <c:v>0.61</c:v>
                </c:pt>
                <c:pt idx="8">
                  <c:v>0.74</c:v>
                </c:pt>
                <c:pt idx="9">
                  <c:v>0.73</c:v>
                </c:pt>
                <c:pt idx="10">
                  <c:v>0.76</c:v>
                </c:pt>
                <c:pt idx="11">
                  <c:v>0.74</c:v>
                </c:pt>
                <c:pt idx="12">
                  <c:v>0.77</c:v>
                </c:pt>
                <c:pt idx="13">
                  <c:v>0.78</c:v>
                </c:pt>
                <c:pt idx="14">
                  <c:v>0.79</c:v>
                </c:pt>
                <c:pt idx="15">
                  <c:v>0.76</c:v>
                </c:pt>
              </c:numCache>
            </c:numRef>
          </c:val>
          <c:smooth val="0"/>
          <c:extLst>
            <c:ext xmlns:c16="http://schemas.microsoft.com/office/drawing/2014/chart" uri="{C3380CC4-5D6E-409C-BE32-E72D297353CC}">
              <c16:uniqueId val="{00000002-4698-498D-B4FC-AC98C59FA99B}"/>
            </c:ext>
          </c:extLst>
        </c:ser>
        <c:ser>
          <c:idx val="2"/>
          <c:order val="2"/>
          <c:tx>
            <c:strRef>
              <c:f>MMYT!$A$264</c:f>
              <c:strCache>
                <c:ptCount val="1"/>
                <c:pt idx="0">
                  <c:v> Intercity Bus ticketing</c:v>
                </c:pt>
              </c:strCache>
            </c:strRef>
          </c:tx>
          <c:dLbls>
            <c:dLbl>
              <c:idx val="10"/>
              <c:layout>
                <c:manualLayout>
                  <c:x val="-3.5277853070565912E-2"/>
                  <c:y val="3.6422881402395173E-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9B8-4A30-8173-A023948355A4}"/>
                </c:ext>
              </c:extLst>
            </c:dLbl>
            <c:dLbl>
              <c:idx val="14"/>
              <c:layout>
                <c:manualLayout>
                  <c:x val="-3.2240683570941299E-3"/>
                  <c:y val="7.455743563969430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98-498D-B4FC-AC98C59FA99B}"/>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MMYT!$B$4:$Q$4</c:f>
              <c:strCache>
                <c:ptCount val="16"/>
                <c:pt idx="0">
                  <c:v> 14Q1 </c:v>
                </c:pt>
                <c:pt idx="1">
                  <c:v> 14Q2 </c:v>
                </c:pt>
                <c:pt idx="2">
                  <c:v> 14Q3 </c:v>
                </c:pt>
                <c:pt idx="3">
                  <c:v> 14Q4 </c:v>
                </c:pt>
                <c:pt idx="4">
                  <c:v> 15Q1 </c:v>
                </c:pt>
                <c:pt idx="5">
                  <c:v> 15Q2 </c:v>
                </c:pt>
                <c:pt idx="6">
                  <c:v> 15Q3 </c:v>
                </c:pt>
                <c:pt idx="7">
                  <c:v> 15Q4 </c:v>
                </c:pt>
                <c:pt idx="8">
                  <c:v> 16Q1 </c:v>
                </c:pt>
                <c:pt idx="9">
                  <c:v> 16Q2 </c:v>
                </c:pt>
                <c:pt idx="10">
                  <c:v> 16Q3 </c:v>
                </c:pt>
                <c:pt idx="11">
                  <c:v> 16Q4 </c:v>
                </c:pt>
                <c:pt idx="12">
                  <c:v> 1Q17 </c:v>
                </c:pt>
                <c:pt idx="13">
                  <c:v> 2Q17 </c:v>
                </c:pt>
                <c:pt idx="14">
                  <c:v> 3Q17 </c:v>
                </c:pt>
                <c:pt idx="15">
                  <c:v> 4Q17 </c:v>
                </c:pt>
              </c:strCache>
            </c:strRef>
          </c:cat>
          <c:val>
            <c:numRef>
              <c:f>MMYT!$B$264:$Q$264</c:f>
              <c:numCache>
                <c:formatCode>0%</c:formatCode>
                <c:ptCount val="16"/>
                <c:pt idx="12">
                  <c:v>0.5</c:v>
                </c:pt>
                <c:pt idx="13">
                  <c:v>0.47</c:v>
                </c:pt>
                <c:pt idx="14">
                  <c:v>0.74</c:v>
                </c:pt>
                <c:pt idx="15">
                  <c:v>0.6</c:v>
                </c:pt>
              </c:numCache>
            </c:numRef>
          </c:val>
          <c:smooth val="0"/>
          <c:extLst>
            <c:ext xmlns:c16="http://schemas.microsoft.com/office/drawing/2014/chart" uri="{C3380CC4-5D6E-409C-BE32-E72D297353CC}">
              <c16:uniqueId val="{00000004-4698-498D-B4FC-AC98C59FA99B}"/>
            </c:ext>
          </c:extLst>
        </c:ser>
        <c:dLbls>
          <c:showLegendKey val="0"/>
          <c:showVal val="0"/>
          <c:showCatName val="0"/>
          <c:showSerName val="0"/>
          <c:showPercent val="0"/>
          <c:showBubbleSize val="0"/>
        </c:dLbls>
        <c:marker val="1"/>
        <c:smooth val="0"/>
        <c:axId val="131708416"/>
        <c:axId val="131709952"/>
      </c:lineChart>
      <c:catAx>
        <c:axId val="131708416"/>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1709952"/>
        <c:crosses val="autoZero"/>
        <c:auto val="1"/>
        <c:lblAlgn val="ctr"/>
        <c:lblOffset val="100"/>
        <c:noMultiLvlLbl val="0"/>
      </c:catAx>
      <c:valAx>
        <c:axId val="131709952"/>
        <c:scaling>
          <c:orientation val="minMax"/>
        </c:scaling>
        <c:delete val="1"/>
        <c:axPos val="l"/>
        <c:numFmt formatCode="0%" sourceLinked="1"/>
        <c:majorTickMark val="out"/>
        <c:minorTickMark val="none"/>
        <c:tickLblPos val="nextTo"/>
        <c:crossAx val="131708416"/>
        <c:crosses val="autoZero"/>
        <c:crossBetween val="between"/>
      </c:valAx>
      <c:spPr>
        <a:ln>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200" b="1" i="0" u="none" strike="noStrike" kern="1200" baseline="0">
                <a:solidFill>
                  <a:schemeClr val="tx1"/>
                </a:solidFill>
                <a:latin typeface="+mn-lt"/>
                <a:ea typeface="+mn-ea"/>
                <a:cs typeface="+mn-cs"/>
              </a:defRPr>
            </a:pPr>
            <a:r>
              <a:rPr lang="en-US" altLang="en-US" sz="1200"/>
              <a:t>Domestic</a:t>
            </a:r>
            <a:r>
              <a:rPr lang="en-US" altLang="en-US" sz="1200" baseline="0"/>
              <a:t> Air Passenger Volume </a:t>
            </a:r>
            <a:r>
              <a:rPr lang="en-US" altLang="en-US" sz="1200"/>
              <a:t>YoY % growth rates</a:t>
            </a:r>
          </a:p>
        </c:rich>
      </c:tx>
      <c:overlay val="0"/>
    </c:title>
    <c:autoTitleDeleted val="0"/>
    <c:plotArea>
      <c:layout/>
      <c:lineChart>
        <c:grouping val="standard"/>
        <c:varyColors val="0"/>
        <c:ser>
          <c:idx val="0"/>
          <c:order val="0"/>
          <c:tx>
            <c:v>Domestic YoY% growth rate</c:v>
          </c:tx>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MMYT!$R$4:$X$4</c:f>
              <c:strCache>
                <c:ptCount val="7"/>
                <c:pt idx="0">
                  <c:v> 1Q18 </c:v>
                </c:pt>
                <c:pt idx="1">
                  <c:v> 2Q18 </c:v>
                </c:pt>
                <c:pt idx="2">
                  <c:v> 3Q18 </c:v>
                </c:pt>
                <c:pt idx="3">
                  <c:v> 4Q18 </c:v>
                </c:pt>
                <c:pt idx="4">
                  <c:v> 1Q19 </c:v>
                </c:pt>
                <c:pt idx="5">
                  <c:v> 2Q19 </c:v>
                </c:pt>
                <c:pt idx="6">
                  <c:v> 3Q19 </c:v>
                </c:pt>
              </c:strCache>
            </c:strRef>
          </c:cat>
          <c:val>
            <c:numRef>
              <c:f>MMYT!$R$13:$X$13</c:f>
              <c:numCache>
                <c:formatCode>0%</c:formatCode>
                <c:ptCount val="7"/>
                <c:pt idx="0">
                  <c:v>0.23867713455719897</c:v>
                </c:pt>
                <c:pt idx="1">
                  <c:v>0.20146069621569773</c:v>
                </c:pt>
                <c:pt idx="2">
                  <c:v>0.19448230196141858</c:v>
                </c:pt>
                <c:pt idx="3">
                  <c:v>0.12444777097856607</c:v>
                </c:pt>
                <c:pt idx="4">
                  <c:v>4.9219337007107677E-2</c:v>
                </c:pt>
                <c:pt idx="5">
                  <c:v>1.5368154904821685E-2</c:v>
                </c:pt>
                <c:pt idx="6">
                  <c:v>2.2735018300718446E-2</c:v>
                </c:pt>
              </c:numCache>
            </c:numRef>
          </c:val>
          <c:smooth val="0"/>
          <c:extLst>
            <c:ext xmlns:c16="http://schemas.microsoft.com/office/drawing/2014/chart" uri="{C3380CC4-5D6E-409C-BE32-E72D297353CC}">
              <c16:uniqueId val="{00000000-90FF-4AD6-BCD1-145F5504A435}"/>
            </c:ext>
          </c:extLst>
        </c:ser>
        <c:ser>
          <c:idx val="1"/>
          <c:order val="1"/>
          <c:tx>
            <c:v>International YoY% growth rate</c:v>
          </c:tx>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MMYT!$R$4:$X$4</c:f>
              <c:strCache>
                <c:ptCount val="7"/>
                <c:pt idx="0">
                  <c:v> 1Q18 </c:v>
                </c:pt>
                <c:pt idx="1">
                  <c:v> 2Q18 </c:v>
                </c:pt>
                <c:pt idx="2">
                  <c:v> 3Q18 </c:v>
                </c:pt>
                <c:pt idx="3">
                  <c:v> 4Q18 </c:v>
                </c:pt>
                <c:pt idx="4">
                  <c:v> 1Q19 </c:v>
                </c:pt>
                <c:pt idx="5">
                  <c:v> 2Q19 </c:v>
                </c:pt>
                <c:pt idx="6">
                  <c:v> 3Q19 </c:v>
                </c:pt>
              </c:strCache>
            </c:strRef>
          </c:cat>
          <c:val>
            <c:numRef>
              <c:f>MMYT!$R$21:$W$21</c:f>
              <c:numCache>
                <c:formatCode>0%</c:formatCode>
                <c:ptCount val="6"/>
                <c:pt idx="0">
                  <c:v>0.11266604355777576</c:v>
                </c:pt>
                <c:pt idx="1">
                  <c:v>7.7644050017428023E-2</c:v>
                </c:pt>
                <c:pt idx="2">
                  <c:v>4.6753152917930807E-2</c:v>
                </c:pt>
                <c:pt idx="3">
                  <c:v>5.4733064704662882E-2</c:v>
                </c:pt>
                <c:pt idx="4">
                  <c:v>3.7324794623457835E-2</c:v>
                </c:pt>
              </c:numCache>
            </c:numRef>
          </c:val>
          <c:smooth val="0"/>
          <c:extLst>
            <c:ext xmlns:c16="http://schemas.microsoft.com/office/drawing/2014/chart" uri="{C3380CC4-5D6E-409C-BE32-E72D297353CC}">
              <c16:uniqueId val="{00000000-FDEA-4EC4-8B05-655E2B761BD7}"/>
            </c:ext>
          </c:extLst>
        </c:ser>
        <c:dLbls>
          <c:showLegendKey val="0"/>
          <c:showVal val="0"/>
          <c:showCatName val="0"/>
          <c:showSerName val="0"/>
          <c:showPercent val="0"/>
          <c:showBubbleSize val="0"/>
        </c:dLbls>
        <c:marker val="1"/>
        <c:smooth val="0"/>
        <c:axId val="131760512"/>
        <c:axId val="131762048"/>
      </c:lineChart>
      <c:catAx>
        <c:axId val="131760512"/>
        <c:scaling>
          <c:orientation val="minMax"/>
        </c:scaling>
        <c:delete val="0"/>
        <c:axPos val="b"/>
        <c:numFmt formatCode="General" sourceLinked="0"/>
        <c:majorTickMark val="out"/>
        <c:minorTickMark val="none"/>
        <c:tickLblPos val="low"/>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1762048"/>
        <c:crosses val="autoZero"/>
        <c:auto val="1"/>
        <c:lblAlgn val="ctr"/>
        <c:lblOffset val="100"/>
        <c:noMultiLvlLbl val="0"/>
      </c:catAx>
      <c:valAx>
        <c:axId val="131762048"/>
        <c:scaling>
          <c:orientation val="minMax"/>
        </c:scaling>
        <c:delete val="0"/>
        <c:axPos val="l"/>
        <c:numFmt formatCode="0%" sourceLinked="1"/>
        <c:majorTickMark val="out"/>
        <c:minorTickMark val="none"/>
        <c:tickLblPos val="nextTo"/>
        <c:crossAx val="131760512"/>
        <c:crosses val="autoZero"/>
        <c:crossBetween val="between"/>
      </c:valAx>
      <c:spPr>
        <a:ln>
          <a:solidFill>
            <a:schemeClr val="bg1">
              <a:lumMod val="65000"/>
            </a:schemeClr>
          </a:solidFill>
        </a:ln>
      </c:spPr>
    </c:plotArea>
    <c:legend>
      <c:legendPos val="b"/>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188714054089386E-2"/>
          <c:y val="8.5586864430460388E-2"/>
          <c:w val="0.88565958729803984"/>
          <c:h val="0.24839581713289338"/>
        </c:manualLayout>
      </c:layout>
      <c:barChart>
        <c:barDir val="col"/>
        <c:grouping val="clustered"/>
        <c:varyColors val="0"/>
        <c:ser>
          <c:idx val="1"/>
          <c:order val="0"/>
          <c:tx>
            <c:strRef>
              <c:f>[30]MMYT!$A$203</c:f>
              <c:strCache>
                <c:ptCount val="1"/>
                <c:pt idx="0">
                  <c:v>Air ticketing - flight segments</c:v>
                </c:pt>
              </c:strCache>
            </c:strRef>
          </c:tx>
          <c:invertIfNegative val="0"/>
          <c:cat>
            <c:strRef>
              <c:extLst>
                <c:ext xmlns:c15="http://schemas.microsoft.com/office/drawing/2012/chart" uri="{02D57815-91ED-43cb-92C2-25804820EDAC}">
                  <c15:fullRef>
                    <c15:sqref>[30]MMYT!$K$3:$T$3</c15:sqref>
                  </c15:fullRef>
                </c:ext>
              </c:extLst>
              <c:f>[30]MMYT!$O$3:$T$3</c:f>
              <c:strCache>
                <c:ptCount val="6"/>
                <c:pt idx="0">
                  <c:v>2Q17</c:v>
                </c:pt>
                <c:pt idx="1">
                  <c:v>3Q17</c:v>
                </c:pt>
                <c:pt idx="2">
                  <c:v>4Q17</c:v>
                </c:pt>
                <c:pt idx="3">
                  <c:v>1Q18</c:v>
                </c:pt>
                <c:pt idx="4">
                  <c:v>2Q18</c:v>
                </c:pt>
                <c:pt idx="5">
                  <c:v>3Q18</c:v>
                </c:pt>
              </c:strCache>
            </c:strRef>
          </c:cat>
          <c:val>
            <c:numRef>
              <c:extLst>
                <c:ext xmlns:c15="http://schemas.microsoft.com/office/drawing/2012/chart" uri="{02D57815-91ED-43cb-92C2-25804820EDAC}">
                  <c15:fullRef>
                    <c15:sqref>[30]MMYT!$K$203:$T$203</c15:sqref>
                  </c15:fullRef>
                </c:ext>
              </c:extLst>
              <c:f>[30]MMYT!$O$203:$T$203</c:f>
              <c:numCache>
                <c:formatCode>General</c:formatCode>
                <c:ptCount val="6"/>
                <c:pt idx="0">
                  <c:v>7.8349000000000002</c:v>
                </c:pt>
                <c:pt idx="1">
                  <c:v>7.7229999999999999</c:v>
                </c:pt>
                <c:pt idx="2">
                  <c:v>8.4629999999999992</c:v>
                </c:pt>
                <c:pt idx="3">
                  <c:v>9.3179999999999996</c:v>
                </c:pt>
                <c:pt idx="4">
                  <c:v>9.1709999999999994</c:v>
                </c:pt>
                <c:pt idx="5">
                  <c:v>10.005000000000001</c:v>
                </c:pt>
              </c:numCache>
            </c:numRef>
          </c:val>
          <c:extLst>
            <c:ext xmlns:c16="http://schemas.microsoft.com/office/drawing/2014/chart" uri="{C3380CC4-5D6E-409C-BE32-E72D297353CC}">
              <c16:uniqueId val="{00000000-4357-4DDE-938F-844DDC78E462}"/>
            </c:ext>
          </c:extLst>
        </c:ser>
        <c:ser>
          <c:idx val="3"/>
          <c:order val="2"/>
          <c:tx>
            <c:strRef>
              <c:f>[30]MMYT!$A$207</c:f>
              <c:strCache>
                <c:ptCount val="1"/>
                <c:pt idx="0">
                  <c:v>Total Roomnights - Hotels &amp; Packages</c:v>
                </c:pt>
              </c:strCache>
            </c:strRef>
          </c:tx>
          <c:invertIfNegative val="0"/>
          <c:cat>
            <c:strRef>
              <c:extLst>
                <c:ext xmlns:c15="http://schemas.microsoft.com/office/drawing/2012/chart" uri="{02D57815-91ED-43cb-92C2-25804820EDAC}">
                  <c15:fullRef>
                    <c15:sqref>[30]MMYT!$K$3:$T$3</c15:sqref>
                  </c15:fullRef>
                </c:ext>
              </c:extLst>
              <c:f>[30]MMYT!$O$3:$T$3</c:f>
              <c:strCache>
                <c:ptCount val="6"/>
                <c:pt idx="0">
                  <c:v>2Q17</c:v>
                </c:pt>
                <c:pt idx="1">
                  <c:v>3Q17</c:v>
                </c:pt>
                <c:pt idx="2">
                  <c:v>4Q17</c:v>
                </c:pt>
                <c:pt idx="3">
                  <c:v>1Q18</c:v>
                </c:pt>
                <c:pt idx="4">
                  <c:v>2Q18</c:v>
                </c:pt>
                <c:pt idx="5">
                  <c:v>3Q18</c:v>
                </c:pt>
              </c:strCache>
            </c:strRef>
          </c:cat>
          <c:val>
            <c:numRef>
              <c:extLst>
                <c:ext xmlns:c15="http://schemas.microsoft.com/office/drawing/2012/chart" uri="{02D57815-91ED-43cb-92C2-25804820EDAC}">
                  <c15:fullRef>
                    <c15:sqref>[30]MMYT!$K$207:$T$207</c15:sqref>
                  </c15:fullRef>
                </c:ext>
              </c:extLst>
              <c:f>[30]MMYT!$O$207:$T$207</c:f>
              <c:numCache>
                <c:formatCode>General</c:formatCode>
                <c:ptCount val="6"/>
                <c:pt idx="0">
                  <c:v>5.7998000000000003</c:v>
                </c:pt>
                <c:pt idx="1">
                  <c:v>5.6319999999999997</c:v>
                </c:pt>
                <c:pt idx="2">
                  <c:v>5.5919999999999996</c:v>
                </c:pt>
                <c:pt idx="3">
                  <c:v>4.8869999999999996</c:v>
                </c:pt>
                <c:pt idx="4">
                  <c:v>6.7460000000000004</c:v>
                </c:pt>
                <c:pt idx="5">
                  <c:v>6.7060000000000004</c:v>
                </c:pt>
              </c:numCache>
            </c:numRef>
          </c:val>
          <c:extLst>
            <c:ext xmlns:c16="http://schemas.microsoft.com/office/drawing/2014/chart" uri="{C3380CC4-5D6E-409C-BE32-E72D297353CC}">
              <c16:uniqueId val="{00000001-4357-4DDE-938F-844DDC78E462}"/>
            </c:ext>
          </c:extLst>
        </c:ser>
        <c:ser>
          <c:idx val="5"/>
          <c:order val="4"/>
          <c:tx>
            <c:strRef>
              <c:f>[30]MMYT!$A$209</c:f>
              <c:strCache>
                <c:ptCount val="1"/>
                <c:pt idx="0">
                  <c:v>Standalone hotels booked online -room nights</c:v>
                </c:pt>
              </c:strCache>
            </c:strRef>
          </c:tx>
          <c:invertIfNegative val="0"/>
          <c:cat>
            <c:strRef>
              <c:extLst>
                <c:ext xmlns:c15="http://schemas.microsoft.com/office/drawing/2012/chart" uri="{02D57815-91ED-43cb-92C2-25804820EDAC}">
                  <c15:fullRef>
                    <c15:sqref>[30]MMYT!$K$3:$T$3</c15:sqref>
                  </c15:fullRef>
                </c:ext>
              </c:extLst>
              <c:f>[30]MMYT!$O$3:$T$3</c:f>
              <c:strCache>
                <c:ptCount val="6"/>
                <c:pt idx="0">
                  <c:v>2Q17</c:v>
                </c:pt>
                <c:pt idx="1">
                  <c:v>3Q17</c:v>
                </c:pt>
                <c:pt idx="2">
                  <c:v>4Q17</c:v>
                </c:pt>
                <c:pt idx="3">
                  <c:v>1Q18</c:v>
                </c:pt>
                <c:pt idx="4">
                  <c:v>2Q18</c:v>
                </c:pt>
                <c:pt idx="5">
                  <c:v>3Q18</c:v>
                </c:pt>
              </c:strCache>
            </c:strRef>
          </c:cat>
          <c:val>
            <c:numRef>
              <c:extLst>
                <c:ext xmlns:c15="http://schemas.microsoft.com/office/drawing/2012/chart" uri="{02D57815-91ED-43cb-92C2-25804820EDAC}">
                  <c15:fullRef>
                    <c15:sqref>[30]MMYT!$K$209:$T$209</c15:sqref>
                  </c15:fullRef>
                </c:ext>
              </c:extLst>
              <c:f>[30]MMYT!$O$209:$T$209</c:f>
              <c:numCache>
                <c:formatCode>General</c:formatCode>
                <c:ptCount val="6"/>
                <c:pt idx="0">
                  <c:v>5.4973000000000001</c:v>
                </c:pt>
                <c:pt idx="1">
                  <c:v>5.3979999999999997</c:v>
                </c:pt>
                <c:pt idx="2">
                  <c:v>5.3920000000000003</c:v>
                </c:pt>
                <c:pt idx="3">
                  <c:v>4.7119999999999997</c:v>
                </c:pt>
                <c:pt idx="4">
                  <c:v>6.4939999999999998</c:v>
                </c:pt>
                <c:pt idx="5">
                  <c:v>6.5739999999999998</c:v>
                </c:pt>
              </c:numCache>
            </c:numRef>
          </c:val>
          <c:extLst>
            <c:ext xmlns:c16="http://schemas.microsoft.com/office/drawing/2014/chart" uri="{C3380CC4-5D6E-409C-BE32-E72D297353CC}">
              <c16:uniqueId val="{00000002-4357-4DDE-938F-844DDC78E462}"/>
            </c:ext>
          </c:extLst>
        </c:ser>
        <c:ser>
          <c:idx val="7"/>
          <c:order val="6"/>
          <c:tx>
            <c:strRef>
              <c:f>[30]MMYT!$A$211</c:f>
              <c:strCache>
                <c:ptCount val="1"/>
                <c:pt idx="0">
                  <c:v>Standalone hotels booked online -room nights Pro Forma growth rate</c:v>
                </c:pt>
              </c:strCache>
            </c:strRef>
          </c:tx>
          <c:invertIfNegative val="0"/>
          <c:cat>
            <c:strRef>
              <c:extLst>
                <c:ext xmlns:c15="http://schemas.microsoft.com/office/drawing/2012/chart" uri="{02D57815-91ED-43cb-92C2-25804820EDAC}">
                  <c15:fullRef>
                    <c15:sqref>[30]MMYT!$K$3:$T$3</c15:sqref>
                  </c15:fullRef>
                </c:ext>
              </c:extLst>
              <c:f>[30]MMYT!$O$3:$T$3</c:f>
              <c:strCache>
                <c:ptCount val="6"/>
                <c:pt idx="0">
                  <c:v>2Q17</c:v>
                </c:pt>
                <c:pt idx="1">
                  <c:v>3Q17</c:v>
                </c:pt>
                <c:pt idx="2">
                  <c:v>4Q17</c:v>
                </c:pt>
                <c:pt idx="3">
                  <c:v>1Q18</c:v>
                </c:pt>
                <c:pt idx="4">
                  <c:v>2Q18</c:v>
                </c:pt>
                <c:pt idx="5">
                  <c:v>3Q18</c:v>
                </c:pt>
              </c:strCache>
            </c:strRef>
          </c:cat>
          <c:val>
            <c:numRef>
              <c:extLst>
                <c:ext xmlns:c15="http://schemas.microsoft.com/office/drawing/2012/chart" uri="{02D57815-91ED-43cb-92C2-25804820EDAC}">
                  <c15:fullRef>
                    <c15:sqref>[30]MMYT!$K$211:$R$211</c15:sqref>
                  </c15:fullRef>
                </c:ext>
              </c:extLst>
              <c:f>[30]MMYT!$O$211:$R$211</c:f>
              <c:numCache>
                <c:formatCode>General</c:formatCode>
                <c:ptCount val="4"/>
                <c:pt idx="0">
                  <c:v>0.36</c:v>
                </c:pt>
                <c:pt idx="1">
                  <c:v>0.28999999999999998</c:v>
                </c:pt>
                <c:pt idx="2">
                  <c:v>0.28000000000000003</c:v>
                </c:pt>
                <c:pt idx="3">
                  <c:v>0.19</c:v>
                </c:pt>
              </c:numCache>
            </c:numRef>
          </c:val>
          <c:extLst>
            <c:ext xmlns:c16="http://schemas.microsoft.com/office/drawing/2014/chart" uri="{C3380CC4-5D6E-409C-BE32-E72D297353CC}">
              <c16:uniqueId val="{00000003-4357-4DDE-938F-844DDC78E462}"/>
            </c:ext>
          </c:extLst>
        </c:ser>
        <c:dLbls>
          <c:showLegendKey val="0"/>
          <c:showVal val="0"/>
          <c:showCatName val="0"/>
          <c:showSerName val="0"/>
          <c:showPercent val="0"/>
          <c:showBubbleSize val="0"/>
        </c:dLbls>
        <c:gapWidth val="150"/>
        <c:axId val="131856640"/>
        <c:axId val="131870720"/>
      </c:barChart>
      <c:lineChart>
        <c:grouping val="standard"/>
        <c:varyColors val="0"/>
        <c:ser>
          <c:idx val="2"/>
          <c:order val="1"/>
          <c:tx>
            <c:strRef>
              <c:f>[30]MMYT!$A$205</c:f>
              <c:strCache>
                <c:ptCount val="1"/>
                <c:pt idx="0">
                  <c:v>Flight segments Pro Forma growth rate</c:v>
                </c:pt>
              </c:strCache>
            </c:strRef>
          </c:tx>
          <c:cat>
            <c:strRef>
              <c:extLst>
                <c:ext xmlns:c15="http://schemas.microsoft.com/office/drawing/2012/chart" uri="{02D57815-91ED-43cb-92C2-25804820EDAC}">
                  <c15:fullRef>
                    <c15:sqref>[30]MMYT!$K$3:$T$3</c15:sqref>
                  </c15:fullRef>
                </c:ext>
              </c:extLst>
              <c:f>[30]MMYT!$O$3:$T$3</c:f>
              <c:strCache>
                <c:ptCount val="6"/>
                <c:pt idx="0">
                  <c:v>2Q17</c:v>
                </c:pt>
                <c:pt idx="1">
                  <c:v>3Q17</c:v>
                </c:pt>
                <c:pt idx="2">
                  <c:v>4Q17</c:v>
                </c:pt>
                <c:pt idx="3">
                  <c:v>1Q18</c:v>
                </c:pt>
                <c:pt idx="4">
                  <c:v>2Q18</c:v>
                </c:pt>
                <c:pt idx="5">
                  <c:v>3Q18</c:v>
                </c:pt>
              </c:strCache>
            </c:strRef>
          </c:cat>
          <c:val>
            <c:numRef>
              <c:extLst>
                <c:ext xmlns:c15="http://schemas.microsoft.com/office/drawing/2012/chart" uri="{02D57815-91ED-43cb-92C2-25804820EDAC}">
                  <c15:fullRef>
                    <c15:sqref>[30]MMYT!$K$205:$R$205</c15:sqref>
                  </c15:fullRef>
                </c:ext>
              </c:extLst>
              <c:f>[30]MMYT!$O$205:$R$205</c:f>
              <c:numCache>
                <c:formatCode>General</c:formatCode>
                <c:ptCount val="4"/>
                <c:pt idx="0">
                  <c:v>0.222</c:v>
                </c:pt>
                <c:pt idx="1">
                  <c:v>0.15</c:v>
                </c:pt>
                <c:pt idx="2">
                  <c:v>0.16</c:v>
                </c:pt>
                <c:pt idx="3">
                  <c:v>0.4</c:v>
                </c:pt>
              </c:numCache>
            </c:numRef>
          </c:val>
          <c:smooth val="0"/>
          <c:extLst>
            <c:ext xmlns:c16="http://schemas.microsoft.com/office/drawing/2014/chart" uri="{C3380CC4-5D6E-409C-BE32-E72D297353CC}">
              <c16:uniqueId val="{00000004-4357-4DDE-938F-844DDC78E462}"/>
            </c:ext>
          </c:extLst>
        </c:ser>
        <c:ser>
          <c:idx val="4"/>
          <c:order val="3"/>
          <c:tx>
            <c:strRef>
              <c:f>[30]MMYT!$A$208</c:f>
              <c:strCache>
                <c:ptCount val="1"/>
                <c:pt idx="0">
                  <c:v>Total Roomnights - Hotels &amp; Packages YoY % growth rate</c:v>
                </c:pt>
              </c:strCache>
            </c:strRef>
          </c:tx>
          <c:cat>
            <c:strRef>
              <c:extLst>
                <c:ext xmlns:c15="http://schemas.microsoft.com/office/drawing/2012/chart" uri="{02D57815-91ED-43cb-92C2-25804820EDAC}">
                  <c15:fullRef>
                    <c15:sqref>[30]MMYT!$K$3:$T$3</c15:sqref>
                  </c15:fullRef>
                </c:ext>
              </c:extLst>
              <c:f>[30]MMYT!$O$3:$T$3</c:f>
              <c:strCache>
                <c:ptCount val="6"/>
                <c:pt idx="0">
                  <c:v>2Q17</c:v>
                </c:pt>
                <c:pt idx="1">
                  <c:v>3Q17</c:v>
                </c:pt>
                <c:pt idx="2">
                  <c:v>4Q17</c:v>
                </c:pt>
                <c:pt idx="3">
                  <c:v>1Q18</c:v>
                </c:pt>
                <c:pt idx="4">
                  <c:v>2Q18</c:v>
                </c:pt>
                <c:pt idx="5">
                  <c:v>3Q18</c:v>
                </c:pt>
              </c:strCache>
            </c:strRef>
          </c:cat>
          <c:val>
            <c:numRef>
              <c:extLst>
                <c:ext xmlns:c15="http://schemas.microsoft.com/office/drawing/2012/chart" uri="{02D57815-91ED-43cb-92C2-25804820EDAC}">
                  <c15:fullRef>
                    <c15:sqref>[30]MMYT!$K$208:$T$208</c15:sqref>
                  </c15:fullRef>
                </c:ext>
              </c:extLst>
              <c:f>[30]MMYT!$O$208:$T$208</c:f>
              <c:numCache>
                <c:formatCode>General</c:formatCode>
                <c:ptCount val="6"/>
                <c:pt idx="0">
                  <c:v>1.4731567950194</c:v>
                </c:pt>
                <c:pt idx="1">
                  <c:v>1.548</c:v>
                </c:pt>
                <c:pt idx="2">
                  <c:v>1.319</c:v>
                </c:pt>
                <c:pt idx="3">
                  <c:v>0.37</c:v>
                </c:pt>
                <c:pt idx="4">
                  <c:v>0.163143556674368</c:v>
                </c:pt>
                <c:pt idx="5">
                  <c:v>0.19069602272727301</c:v>
                </c:pt>
              </c:numCache>
            </c:numRef>
          </c:val>
          <c:smooth val="0"/>
          <c:extLst>
            <c:ext xmlns:c16="http://schemas.microsoft.com/office/drawing/2014/chart" uri="{C3380CC4-5D6E-409C-BE32-E72D297353CC}">
              <c16:uniqueId val="{00000005-4357-4DDE-938F-844DDC78E462}"/>
            </c:ext>
          </c:extLst>
        </c:ser>
        <c:ser>
          <c:idx val="6"/>
          <c:order val="5"/>
          <c:tx>
            <c:strRef>
              <c:f>[30]MMYT!$A$210</c:f>
              <c:strCache>
                <c:ptCount val="1"/>
                <c:pt idx="0">
                  <c:v>Standalone hotels booked online -room nights YoY % growth rate</c:v>
                </c:pt>
              </c:strCache>
            </c:strRef>
          </c:tx>
          <c:cat>
            <c:strRef>
              <c:extLst>
                <c:ext xmlns:c15="http://schemas.microsoft.com/office/drawing/2012/chart" uri="{02D57815-91ED-43cb-92C2-25804820EDAC}">
                  <c15:fullRef>
                    <c15:sqref>[30]MMYT!$K$3:$T$3</c15:sqref>
                  </c15:fullRef>
                </c:ext>
              </c:extLst>
              <c:f>[30]MMYT!$O$3:$T$3</c:f>
              <c:strCache>
                <c:ptCount val="6"/>
                <c:pt idx="0">
                  <c:v>2Q17</c:v>
                </c:pt>
                <c:pt idx="1">
                  <c:v>3Q17</c:v>
                </c:pt>
                <c:pt idx="2">
                  <c:v>4Q17</c:v>
                </c:pt>
                <c:pt idx="3">
                  <c:v>1Q18</c:v>
                </c:pt>
                <c:pt idx="4">
                  <c:v>2Q18</c:v>
                </c:pt>
                <c:pt idx="5">
                  <c:v>3Q18</c:v>
                </c:pt>
              </c:strCache>
            </c:strRef>
          </c:cat>
          <c:val>
            <c:numRef>
              <c:extLst>
                <c:ext xmlns:c15="http://schemas.microsoft.com/office/drawing/2012/chart" uri="{02D57815-91ED-43cb-92C2-25804820EDAC}">
                  <c15:fullRef>
                    <c15:sqref>[30]MMYT!$K$210:$T$210</c15:sqref>
                  </c15:fullRef>
                </c:ext>
              </c:extLst>
              <c:f>[30]MMYT!$O$210:$T$210</c:f>
              <c:numCache>
                <c:formatCode>General</c:formatCode>
                <c:ptCount val="6"/>
                <c:pt idx="0">
                  <c:v>1.9219999999999999</c:v>
                </c:pt>
                <c:pt idx="1">
                  <c:v>1.859</c:v>
                </c:pt>
                <c:pt idx="2">
                  <c:v>1.663</c:v>
                </c:pt>
                <c:pt idx="3">
                  <c:v>1.327</c:v>
                </c:pt>
                <c:pt idx="4">
                  <c:v>0.181307187164608</c:v>
                </c:pt>
                <c:pt idx="5">
                  <c:v>0.217858466098555</c:v>
                </c:pt>
              </c:numCache>
            </c:numRef>
          </c:val>
          <c:smooth val="0"/>
          <c:extLst>
            <c:ext xmlns:c16="http://schemas.microsoft.com/office/drawing/2014/chart" uri="{C3380CC4-5D6E-409C-BE32-E72D297353CC}">
              <c16:uniqueId val="{00000006-4357-4DDE-938F-844DDC78E462}"/>
            </c:ext>
          </c:extLst>
        </c:ser>
        <c:ser>
          <c:idx val="0"/>
          <c:order val="7"/>
          <c:tx>
            <c:strRef>
              <c:f>[30]MMYT!$A$204</c:f>
              <c:strCache>
                <c:ptCount val="1"/>
                <c:pt idx="0">
                  <c:v>Flight segments YoY % growth rate</c:v>
                </c:pt>
              </c:strCache>
            </c:strRef>
          </c:tx>
          <c:cat>
            <c:strRef>
              <c:extLst>
                <c:ext xmlns:c15="http://schemas.microsoft.com/office/drawing/2012/chart" uri="{02D57815-91ED-43cb-92C2-25804820EDAC}">
                  <c15:fullRef>
                    <c15:sqref>[30]MMYT!$K$3:$T$3</c15:sqref>
                  </c15:fullRef>
                </c:ext>
              </c:extLst>
              <c:f>[30]MMYT!$O$3:$T$3</c:f>
              <c:strCache>
                <c:ptCount val="6"/>
                <c:pt idx="0">
                  <c:v>2Q17</c:v>
                </c:pt>
                <c:pt idx="1">
                  <c:v>3Q17</c:v>
                </c:pt>
                <c:pt idx="2">
                  <c:v>4Q17</c:v>
                </c:pt>
                <c:pt idx="3">
                  <c:v>1Q18</c:v>
                </c:pt>
                <c:pt idx="4">
                  <c:v>2Q18</c:v>
                </c:pt>
                <c:pt idx="5">
                  <c:v>3Q18</c:v>
                </c:pt>
              </c:strCache>
            </c:strRef>
          </c:cat>
          <c:val>
            <c:numRef>
              <c:extLst>
                <c:ext xmlns:c15="http://schemas.microsoft.com/office/drawing/2012/chart" uri="{02D57815-91ED-43cb-92C2-25804820EDAC}">
                  <c15:fullRef>
                    <c15:sqref>[30]MMYT!$K$204:$T$204</c15:sqref>
                  </c15:fullRef>
                </c:ext>
              </c:extLst>
              <c:f>[30]MMYT!$O$204:$T$204</c:f>
              <c:numCache>
                <c:formatCode>General</c:formatCode>
                <c:ptCount val="6"/>
                <c:pt idx="0">
                  <c:v>0.65730301427815996</c:v>
                </c:pt>
                <c:pt idx="1">
                  <c:v>0.64600000000000002</c:v>
                </c:pt>
                <c:pt idx="2">
                  <c:v>0.64900000000000002</c:v>
                </c:pt>
                <c:pt idx="3">
                  <c:v>0.55100000000000005</c:v>
                </c:pt>
                <c:pt idx="4">
                  <c:v>0.17053185107659299</c:v>
                </c:pt>
                <c:pt idx="5">
                  <c:v>0.29548103068755699</c:v>
                </c:pt>
              </c:numCache>
            </c:numRef>
          </c:val>
          <c:smooth val="0"/>
          <c:extLst>
            <c:ext xmlns:c16="http://schemas.microsoft.com/office/drawing/2014/chart" uri="{C3380CC4-5D6E-409C-BE32-E72D297353CC}">
              <c16:uniqueId val="{00000007-4357-4DDE-938F-844DDC78E462}"/>
            </c:ext>
          </c:extLst>
        </c:ser>
        <c:dLbls>
          <c:showLegendKey val="0"/>
          <c:showVal val="0"/>
          <c:showCatName val="0"/>
          <c:showSerName val="0"/>
          <c:showPercent val="0"/>
          <c:showBubbleSize val="0"/>
        </c:dLbls>
        <c:marker val="1"/>
        <c:smooth val="0"/>
        <c:axId val="131872256"/>
        <c:axId val="131873792"/>
      </c:lineChart>
      <c:catAx>
        <c:axId val="131856640"/>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1870720"/>
        <c:crosses val="autoZero"/>
        <c:auto val="1"/>
        <c:lblAlgn val="ctr"/>
        <c:lblOffset val="100"/>
        <c:noMultiLvlLbl val="0"/>
      </c:catAx>
      <c:valAx>
        <c:axId val="131870720"/>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1856640"/>
        <c:crosses val="autoZero"/>
        <c:crossBetween val="between"/>
      </c:valAx>
      <c:catAx>
        <c:axId val="131872256"/>
        <c:scaling>
          <c:orientation val="minMax"/>
        </c:scaling>
        <c:delete val="1"/>
        <c:axPos val="b"/>
        <c:numFmt formatCode="General" sourceLinked="1"/>
        <c:majorTickMark val="out"/>
        <c:minorTickMark val="none"/>
        <c:tickLblPos val="nextTo"/>
        <c:crossAx val="131873792"/>
        <c:crosses val="autoZero"/>
        <c:auto val="1"/>
        <c:lblAlgn val="ctr"/>
        <c:lblOffset val="100"/>
        <c:noMultiLvlLbl val="0"/>
      </c:catAx>
      <c:valAx>
        <c:axId val="131873792"/>
        <c:scaling>
          <c:orientation val="minMax"/>
        </c:scaling>
        <c:delete val="0"/>
        <c:axPos val="r"/>
        <c:numFmt formatCode="0%"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1872256"/>
        <c:crosses val="max"/>
        <c:crossBetween val="between"/>
      </c:valAx>
    </c:plotArea>
    <c:legend>
      <c:legendPos val="b"/>
      <c:layout>
        <c:manualLayout>
          <c:xMode val="edge"/>
          <c:yMode val="edge"/>
          <c:x val="3.9391891448188804E-2"/>
          <c:y val="0.44822559658929262"/>
          <c:w val="0.89591501379937344"/>
          <c:h val="0.4839035397531814"/>
        </c:manualLayout>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legend>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en-US" altLang="zh-CN" sz="1600" b="1" i="0" u="none" strike="noStrike" baseline="0">
                <a:solidFill>
                  <a:schemeClr val="tx1"/>
                </a:solidFill>
                <a:effectLst/>
              </a:rPr>
              <a:t>Volume growth by segments</a:t>
            </a:r>
            <a:endParaRPr lang="zh-CN" altLang="en-US" sz="1600" b="1">
              <a:solidFill>
                <a:schemeClr val="tx1"/>
              </a:solidFill>
            </a:endParaRP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6.4191932020227702E-2"/>
          <c:y val="0.10774755775615399"/>
          <c:w val="0.85409902941018001"/>
          <c:h val="0.57156643629153303"/>
        </c:manualLayout>
      </c:layout>
      <c:barChart>
        <c:barDir val="col"/>
        <c:grouping val="clustered"/>
        <c:varyColors val="0"/>
        <c:ser>
          <c:idx val="0"/>
          <c:order val="0"/>
          <c:tx>
            <c:v>Air ticketing-flight segments</c:v>
          </c:tx>
          <c:spPr>
            <a:solidFill>
              <a:schemeClr val="tx2">
                <a:lumMod val="60000"/>
                <a:lumOff val="40000"/>
              </a:schemeClr>
            </a:solidFill>
            <a:ln>
              <a:solidFill>
                <a:schemeClr val="tx2">
                  <a:lumMod val="60000"/>
                  <a:lumOff val="40000"/>
                </a:schemeClr>
              </a:solidFill>
            </a:ln>
            <a:effectLst/>
          </c:spPr>
          <c:invertIfNegative val="0"/>
          <c:cat>
            <c:strRef>
              <c:f>[30]MMYT!$O$3:$S$3</c:f>
              <c:strCache>
                <c:ptCount val="5"/>
                <c:pt idx="0">
                  <c:v>2Q17</c:v>
                </c:pt>
                <c:pt idx="1">
                  <c:v>3Q17</c:v>
                </c:pt>
                <c:pt idx="2">
                  <c:v>4Q17</c:v>
                </c:pt>
                <c:pt idx="3">
                  <c:v>1Q18</c:v>
                </c:pt>
                <c:pt idx="4">
                  <c:v>2Q18</c:v>
                </c:pt>
              </c:strCache>
            </c:strRef>
          </c:cat>
          <c:val>
            <c:numRef>
              <c:f>[30]MMYT!$O$203:$T$203</c:f>
              <c:numCache>
                <c:formatCode>General</c:formatCode>
                <c:ptCount val="6"/>
                <c:pt idx="0">
                  <c:v>7.8349000000000002</c:v>
                </c:pt>
                <c:pt idx="1">
                  <c:v>7.7229999999999999</c:v>
                </c:pt>
                <c:pt idx="2">
                  <c:v>8.4629999999999992</c:v>
                </c:pt>
                <c:pt idx="3">
                  <c:v>9.3179999999999996</c:v>
                </c:pt>
                <c:pt idx="4">
                  <c:v>9.1709999999999994</c:v>
                </c:pt>
                <c:pt idx="5">
                  <c:v>10.005000000000001</c:v>
                </c:pt>
              </c:numCache>
            </c:numRef>
          </c:val>
          <c:extLst>
            <c:ext xmlns:c16="http://schemas.microsoft.com/office/drawing/2014/chart" uri="{C3380CC4-5D6E-409C-BE32-E72D297353CC}">
              <c16:uniqueId val="{00000000-95FD-4E34-807D-0A8F7ED5470B}"/>
            </c:ext>
          </c:extLst>
        </c:ser>
        <c:ser>
          <c:idx val="3"/>
          <c:order val="3"/>
          <c:tx>
            <c:v>Total Roomnights-Hotels&amp;Packages</c:v>
          </c:tx>
          <c:spPr>
            <a:solidFill>
              <a:schemeClr val="accent4">
                <a:lumMod val="60000"/>
                <a:lumOff val="40000"/>
              </a:schemeClr>
            </a:solidFill>
            <a:ln>
              <a:solidFill>
                <a:schemeClr val="accent4">
                  <a:lumMod val="60000"/>
                  <a:lumOff val="40000"/>
                </a:schemeClr>
              </a:solidFill>
            </a:ln>
            <a:effectLst/>
          </c:spPr>
          <c:invertIfNegative val="0"/>
          <c:cat>
            <c:strRef>
              <c:f>[30]MMYT!$O$3:$S$3</c:f>
              <c:strCache>
                <c:ptCount val="5"/>
                <c:pt idx="0">
                  <c:v>2Q17</c:v>
                </c:pt>
                <c:pt idx="1">
                  <c:v>3Q17</c:v>
                </c:pt>
                <c:pt idx="2">
                  <c:v>4Q17</c:v>
                </c:pt>
                <c:pt idx="3">
                  <c:v>1Q18</c:v>
                </c:pt>
                <c:pt idx="4">
                  <c:v>2Q18</c:v>
                </c:pt>
              </c:strCache>
            </c:strRef>
          </c:cat>
          <c:val>
            <c:numRef>
              <c:f>[30]MMYT!$O$207:$T$207</c:f>
              <c:numCache>
                <c:formatCode>General</c:formatCode>
                <c:ptCount val="6"/>
                <c:pt idx="0">
                  <c:v>5.7998000000000003</c:v>
                </c:pt>
                <c:pt idx="1">
                  <c:v>5.6319999999999997</c:v>
                </c:pt>
                <c:pt idx="2">
                  <c:v>5.5919999999999996</c:v>
                </c:pt>
                <c:pt idx="3">
                  <c:v>4.8869999999999996</c:v>
                </c:pt>
                <c:pt idx="4">
                  <c:v>6.7460000000000004</c:v>
                </c:pt>
                <c:pt idx="5">
                  <c:v>6.7060000000000004</c:v>
                </c:pt>
              </c:numCache>
            </c:numRef>
          </c:val>
          <c:extLst>
            <c:ext xmlns:c16="http://schemas.microsoft.com/office/drawing/2014/chart" uri="{C3380CC4-5D6E-409C-BE32-E72D297353CC}">
              <c16:uniqueId val="{00000001-95FD-4E34-807D-0A8F7ED5470B}"/>
            </c:ext>
          </c:extLst>
        </c:ser>
        <c:ser>
          <c:idx val="5"/>
          <c:order val="5"/>
          <c:tx>
            <c:strRef>
              <c:f>[30]MMYT!$A$209</c:f>
              <c:strCache>
                <c:ptCount val="1"/>
                <c:pt idx="0">
                  <c:v>Standalone hotels booked online -room nights</c:v>
                </c:pt>
              </c:strCache>
            </c:strRef>
          </c:tx>
          <c:spPr>
            <a:solidFill>
              <a:srgbClr val="FFC000"/>
            </a:solidFill>
            <a:ln>
              <a:solidFill>
                <a:srgbClr val="FFC000"/>
              </a:solidFill>
            </a:ln>
            <a:effectLst/>
          </c:spPr>
          <c:invertIfNegative val="0"/>
          <c:cat>
            <c:strRef>
              <c:f>[30]MMYT!$O$3:$S$3</c:f>
              <c:strCache>
                <c:ptCount val="5"/>
                <c:pt idx="0">
                  <c:v>2Q17</c:v>
                </c:pt>
                <c:pt idx="1">
                  <c:v>3Q17</c:v>
                </c:pt>
                <c:pt idx="2">
                  <c:v>4Q17</c:v>
                </c:pt>
                <c:pt idx="3">
                  <c:v>1Q18</c:v>
                </c:pt>
                <c:pt idx="4">
                  <c:v>2Q18</c:v>
                </c:pt>
              </c:strCache>
            </c:strRef>
          </c:cat>
          <c:val>
            <c:numRef>
              <c:f>[30]MMYT!$O$209:$T$209</c:f>
              <c:numCache>
                <c:formatCode>General</c:formatCode>
                <c:ptCount val="6"/>
                <c:pt idx="0">
                  <c:v>5.4973000000000001</c:v>
                </c:pt>
                <c:pt idx="1">
                  <c:v>5.3979999999999997</c:v>
                </c:pt>
                <c:pt idx="2">
                  <c:v>5.3920000000000003</c:v>
                </c:pt>
                <c:pt idx="3">
                  <c:v>4.7119999999999997</c:v>
                </c:pt>
                <c:pt idx="4">
                  <c:v>6.4939999999999998</c:v>
                </c:pt>
                <c:pt idx="5">
                  <c:v>6.5739999999999998</c:v>
                </c:pt>
              </c:numCache>
            </c:numRef>
          </c:val>
          <c:extLst>
            <c:ext xmlns:c16="http://schemas.microsoft.com/office/drawing/2014/chart" uri="{C3380CC4-5D6E-409C-BE32-E72D297353CC}">
              <c16:uniqueId val="{00000002-95FD-4E34-807D-0A8F7ED5470B}"/>
            </c:ext>
          </c:extLst>
        </c:ser>
        <c:dLbls>
          <c:showLegendKey val="0"/>
          <c:showVal val="0"/>
          <c:showCatName val="0"/>
          <c:showSerName val="0"/>
          <c:showPercent val="0"/>
          <c:showBubbleSize val="0"/>
        </c:dLbls>
        <c:gapWidth val="219"/>
        <c:axId val="132268800"/>
        <c:axId val="132271104"/>
      </c:barChart>
      <c:lineChart>
        <c:grouping val="standard"/>
        <c:varyColors val="0"/>
        <c:ser>
          <c:idx val="1"/>
          <c:order val="1"/>
          <c:tx>
            <c:v>Flight segments YOY% growth rate</c:v>
          </c:tx>
          <c:spPr>
            <a:ln w="28575" cap="rnd">
              <a:solidFill>
                <a:schemeClr val="accent1">
                  <a:lumMod val="75000"/>
                </a:schemeClr>
              </a:solidFill>
              <a:round/>
            </a:ln>
            <a:effectLst/>
          </c:spPr>
          <c:marker>
            <c:symbol val="triangle"/>
            <c:size val="8"/>
            <c:spPr>
              <a:solidFill>
                <a:schemeClr val="accent1">
                  <a:lumMod val="75000"/>
                </a:schemeClr>
              </a:solidFill>
              <a:ln w="9525">
                <a:solidFill>
                  <a:schemeClr val="accent1">
                    <a:lumMod val="75000"/>
                  </a:schemeClr>
                </a:solidFill>
              </a:ln>
              <a:effectLst/>
            </c:spPr>
          </c:marker>
          <c:cat>
            <c:strRef>
              <c:f>[30]MMYT!$O$3:$T$3</c:f>
              <c:strCache>
                <c:ptCount val="6"/>
                <c:pt idx="0">
                  <c:v>2Q17</c:v>
                </c:pt>
                <c:pt idx="1">
                  <c:v>3Q17</c:v>
                </c:pt>
                <c:pt idx="2">
                  <c:v>4Q17</c:v>
                </c:pt>
                <c:pt idx="3">
                  <c:v>1Q18</c:v>
                </c:pt>
                <c:pt idx="4">
                  <c:v>2Q18</c:v>
                </c:pt>
                <c:pt idx="5">
                  <c:v>3Q18</c:v>
                </c:pt>
              </c:strCache>
            </c:strRef>
          </c:cat>
          <c:val>
            <c:numRef>
              <c:f>[30]MMYT!$O$204:$T$204</c:f>
              <c:numCache>
                <c:formatCode>General</c:formatCode>
                <c:ptCount val="6"/>
                <c:pt idx="0">
                  <c:v>0.65730301427815996</c:v>
                </c:pt>
                <c:pt idx="1">
                  <c:v>0.64600000000000002</c:v>
                </c:pt>
                <c:pt idx="2">
                  <c:v>0.64900000000000002</c:v>
                </c:pt>
                <c:pt idx="3">
                  <c:v>0.55100000000000005</c:v>
                </c:pt>
                <c:pt idx="4">
                  <c:v>0.17053185107659299</c:v>
                </c:pt>
                <c:pt idx="5">
                  <c:v>0.29548103068755699</c:v>
                </c:pt>
              </c:numCache>
            </c:numRef>
          </c:val>
          <c:smooth val="0"/>
          <c:extLst>
            <c:ext xmlns:c16="http://schemas.microsoft.com/office/drawing/2014/chart" uri="{C3380CC4-5D6E-409C-BE32-E72D297353CC}">
              <c16:uniqueId val="{00000003-95FD-4E34-807D-0A8F7ED5470B}"/>
            </c:ext>
          </c:extLst>
        </c:ser>
        <c:ser>
          <c:idx val="2"/>
          <c:order val="2"/>
          <c:tx>
            <c:v>Flight segments Pro Forma growth rate</c:v>
          </c:tx>
          <c:spPr>
            <a:ln w="28575" cap="rnd">
              <a:solidFill>
                <a:schemeClr val="tx2">
                  <a:lumMod val="75000"/>
                </a:schemeClr>
              </a:solidFill>
              <a:prstDash val="dash"/>
              <a:round/>
            </a:ln>
            <a:effectLst/>
          </c:spPr>
          <c:marker>
            <c:symbol val="circle"/>
            <c:size val="8"/>
            <c:spPr>
              <a:solidFill>
                <a:schemeClr val="tx2">
                  <a:lumMod val="75000"/>
                </a:schemeClr>
              </a:solidFill>
              <a:ln w="9525">
                <a:solidFill>
                  <a:schemeClr val="tx2">
                    <a:lumMod val="75000"/>
                  </a:schemeClr>
                </a:solidFill>
              </a:ln>
              <a:effectLst/>
            </c:spPr>
          </c:marker>
          <c:cat>
            <c:strRef>
              <c:f>[30]MMYT!$O$3:$T$3</c:f>
              <c:strCache>
                <c:ptCount val="6"/>
                <c:pt idx="0">
                  <c:v>2Q17</c:v>
                </c:pt>
                <c:pt idx="1">
                  <c:v>3Q17</c:v>
                </c:pt>
                <c:pt idx="2">
                  <c:v>4Q17</c:v>
                </c:pt>
                <c:pt idx="3">
                  <c:v>1Q18</c:v>
                </c:pt>
                <c:pt idx="4">
                  <c:v>2Q18</c:v>
                </c:pt>
                <c:pt idx="5">
                  <c:v>3Q18</c:v>
                </c:pt>
              </c:strCache>
            </c:strRef>
          </c:cat>
          <c:val>
            <c:numRef>
              <c:f>[30]MMYT!$O$205:$R$205</c:f>
              <c:numCache>
                <c:formatCode>General</c:formatCode>
                <c:ptCount val="4"/>
                <c:pt idx="0">
                  <c:v>0.222</c:v>
                </c:pt>
                <c:pt idx="1">
                  <c:v>0.15</c:v>
                </c:pt>
                <c:pt idx="2">
                  <c:v>0.16</c:v>
                </c:pt>
                <c:pt idx="3">
                  <c:v>0.4</c:v>
                </c:pt>
              </c:numCache>
            </c:numRef>
          </c:val>
          <c:smooth val="0"/>
          <c:extLst>
            <c:ext xmlns:c16="http://schemas.microsoft.com/office/drawing/2014/chart" uri="{C3380CC4-5D6E-409C-BE32-E72D297353CC}">
              <c16:uniqueId val="{00000004-95FD-4E34-807D-0A8F7ED5470B}"/>
            </c:ext>
          </c:extLst>
        </c:ser>
        <c:ser>
          <c:idx val="4"/>
          <c:order val="4"/>
          <c:tx>
            <c:strRef>
              <c:f>[30]MMYT!$A$208</c:f>
              <c:strCache>
                <c:ptCount val="1"/>
                <c:pt idx="0">
                  <c:v>Total Roomnights - Hotels &amp; Packages YoY % growth rate</c:v>
                </c:pt>
              </c:strCache>
            </c:strRef>
          </c:tx>
          <c:spPr>
            <a:ln w="28575" cap="rnd">
              <a:solidFill>
                <a:schemeClr val="accent4"/>
              </a:solidFill>
              <a:round/>
            </a:ln>
            <a:effectLst/>
          </c:spPr>
          <c:marker>
            <c:symbol val="triangle"/>
            <c:size val="8"/>
            <c:spPr>
              <a:solidFill>
                <a:schemeClr val="accent4"/>
              </a:solidFill>
              <a:ln w="9525">
                <a:solidFill>
                  <a:schemeClr val="accent4"/>
                </a:solidFill>
              </a:ln>
              <a:effectLst/>
            </c:spPr>
          </c:marker>
          <c:cat>
            <c:strRef>
              <c:f>[30]MMYT!$O$3:$T$3</c:f>
              <c:strCache>
                <c:ptCount val="6"/>
                <c:pt idx="0">
                  <c:v>2Q17</c:v>
                </c:pt>
                <c:pt idx="1">
                  <c:v>3Q17</c:v>
                </c:pt>
                <c:pt idx="2">
                  <c:v>4Q17</c:v>
                </c:pt>
                <c:pt idx="3">
                  <c:v>1Q18</c:v>
                </c:pt>
                <c:pt idx="4">
                  <c:v>2Q18</c:v>
                </c:pt>
                <c:pt idx="5">
                  <c:v>3Q18</c:v>
                </c:pt>
              </c:strCache>
            </c:strRef>
          </c:cat>
          <c:val>
            <c:numRef>
              <c:f>[30]MMYT!$O$208:$T$208</c:f>
              <c:numCache>
                <c:formatCode>General</c:formatCode>
                <c:ptCount val="6"/>
                <c:pt idx="0">
                  <c:v>1.4731567950194</c:v>
                </c:pt>
                <c:pt idx="1">
                  <c:v>1.548</c:v>
                </c:pt>
                <c:pt idx="2">
                  <c:v>1.319</c:v>
                </c:pt>
                <c:pt idx="3">
                  <c:v>0.37</c:v>
                </c:pt>
                <c:pt idx="4">
                  <c:v>0.163143556674368</c:v>
                </c:pt>
                <c:pt idx="5">
                  <c:v>0.19069602272727301</c:v>
                </c:pt>
              </c:numCache>
            </c:numRef>
          </c:val>
          <c:smooth val="0"/>
          <c:extLst>
            <c:ext xmlns:c16="http://schemas.microsoft.com/office/drawing/2014/chart" uri="{C3380CC4-5D6E-409C-BE32-E72D297353CC}">
              <c16:uniqueId val="{00000005-95FD-4E34-807D-0A8F7ED5470B}"/>
            </c:ext>
          </c:extLst>
        </c:ser>
        <c:ser>
          <c:idx val="6"/>
          <c:order val="6"/>
          <c:tx>
            <c:strRef>
              <c:f>[30]MMYT!$A$210</c:f>
              <c:strCache>
                <c:ptCount val="1"/>
                <c:pt idx="0">
                  <c:v>Standalone hotels booked online -room nights YoY % growth rate</c:v>
                </c:pt>
              </c:strCache>
            </c:strRef>
          </c:tx>
          <c:spPr>
            <a:ln w="28575" cap="rnd">
              <a:solidFill>
                <a:schemeClr val="accent6">
                  <a:lumMod val="75000"/>
                </a:schemeClr>
              </a:solidFill>
              <a:round/>
            </a:ln>
            <a:effectLst/>
          </c:spPr>
          <c:marker>
            <c:symbol val="triangle"/>
            <c:size val="8"/>
            <c:spPr>
              <a:solidFill>
                <a:schemeClr val="accent6">
                  <a:lumMod val="75000"/>
                </a:schemeClr>
              </a:solidFill>
              <a:ln w="9525">
                <a:solidFill>
                  <a:schemeClr val="accent6">
                    <a:lumMod val="75000"/>
                  </a:schemeClr>
                </a:solidFill>
              </a:ln>
              <a:effectLst/>
            </c:spPr>
          </c:marker>
          <c:cat>
            <c:strRef>
              <c:f>[30]MMYT!$O$3:$T$3</c:f>
              <c:strCache>
                <c:ptCount val="6"/>
                <c:pt idx="0">
                  <c:v>2Q17</c:v>
                </c:pt>
                <c:pt idx="1">
                  <c:v>3Q17</c:v>
                </c:pt>
                <c:pt idx="2">
                  <c:v>4Q17</c:v>
                </c:pt>
                <c:pt idx="3">
                  <c:v>1Q18</c:v>
                </c:pt>
                <c:pt idx="4">
                  <c:v>2Q18</c:v>
                </c:pt>
                <c:pt idx="5">
                  <c:v>3Q18</c:v>
                </c:pt>
              </c:strCache>
            </c:strRef>
          </c:cat>
          <c:val>
            <c:numRef>
              <c:f>[30]MMYT!$O$210:$T$210</c:f>
              <c:numCache>
                <c:formatCode>General</c:formatCode>
                <c:ptCount val="6"/>
                <c:pt idx="0">
                  <c:v>1.9219999999999999</c:v>
                </c:pt>
                <c:pt idx="1">
                  <c:v>1.859</c:v>
                </c:pt>
                <c:pt idx="2">
                  <c:v>1.663</c:v>
                </c:pt>
                <c:pt idx="3">
                  <c:v>1.327</c:v>
                </c:pt>
                <c:pt idx="4">
                  <c:v>0.181307187164608</c:v>
                </c:pt>
                <c:pt idx="5">
                  <c:v>0.217858466098555</c:v>
                </c:pt>
              </c:numCache>
            </c:numRef>
          </c:val>
          <c:smooth val="0"/>
          <c:extLst>
            <c:ext xmlns:c16="http://schemas.microsoft.com/office/drawing/2014/chart" uri="{C3380CC4-5D6E-409C-BE32-E72D297353CC}">
              <c16:uniqueId val="{00000006-95FD-4E34-807D-0A8F7ED5470B}"/>
            </c:ext>
          </c:extLst>
        </c:ser>
        <c:ser>
          <c:idx val="7"/>
          <c:order val="7"/>
          <c:tx>
            <c:strRef>
              <c:f>[30]MMYT!$A$211</c:f>
              <c:strCache>
                <c:ptCount val="1"/>
                <c:pt idx="0">
                  <c:v>Standalone hotels booked online -room nights Pro Forma growth rate</c:v>
                </c:pt>
              </c:strCache>
            </c:strRef>
          </c:tx>
          <c:spPr>
            <a:ln w="28575" cap="rnd">
              <a:solidFill>
                <a:schemeClr val="accent6"/>
              </a:solidFill>
              <a:prstDash val="dash"/>
              <a:miter lim="800000"/>
            </a:ln>
            <a:effectLst/>
          </c:spPr>
          <c:marker>
            <c:symbol val="circle"/>
            <c:size val="8"/>
            <c:spPr>
              <a:solidFill>
                <a:schemeClr val="accent6"/>
              </a:solidFill>
              <a:ln w="9525">
                <a:solidFill>
                  <a:schemeClr val="accent6"/>
                </a:solidFill>
                <a:bevel/>
              </a:ln>
              <a:effectLst/>
            </c:spPr>
          </c:marker>
          <c:cat>
            <c:strRef>
              <c:f>[30]MMYT!$O$3:$T$3</c:f>
              <c:strCache>
                <c:ptCount val="6"/>
                <c:pt idx="0">
                  <c:v>2Q17</c:v>
                </c:pt>
                <c:pt idx="1">
                  <c:v>3Q17</c:v>
                </c:pt>
                <c:pt idx="2">
                  <c:v>4Q17</c:v>
                </c:pt>
                <c:pt idx="3">
                  <c:v>1Q18</c:v>
                </c:pt>
                <c:pt idx="4">
                  <c:v>2Q18</c:v>
                </c:pt>
                <c:pt idx="5">
                  <c:v>3Q18</c:v>
                </c:pt>
              </c:strCache>
            </c:strRef>
          </c:cat>
          <c:val>
            <c:numRef>
              <c:f>[30]MMYT!$O$211:$R$211</c:f>
              <c:numCache>
                <c:formatCode>General</c:formatCode>
                <c:ptCount val="4"/>
                <c:pt idx="0">
                  <c:v>0.36</c:v>
                </c:pt>
                <c:pt idx="1">
                  <c:v>0.28999999999999998</c:v>
                </c:pt>
                <c:pt idx="2">
                  <c:v>0.28000000000000003</c:v>
                </c:pt>
                <c:pt idx="3">
                  <c:v>0.19</c:v>
                </c:pt>
              </c:numCache>
            </c:numRef>
          </c:val>
          <c:smooth val="0"/>
          <c:extLst>
            <c:ext xmlns:c16="http://schemas.microsoft.com/office/drawing/2014/chart" uri="{C3380CC4-5D6E-409C-BE32-E72D297353CC}">
              <c16:uniqueId val="{00000007-95FD-4E34-807D-0A8F7ED5470B}"/>
            </c:ext>
          </c:extLst>
        </c:ser>
        <c:dLbls>
          <c:showLegendKey val="0"/>
          <c:showVal val="0"/>
          <c:showCatName val="0"/>
          <c:showSerName val="0"/>
          <c:showPercent val="0"/>
          <c:showBubbleSize val="0"/>
        </c:dLbls>
        <c:marker val="1"/>
        <c:smooth val="0"/>
        <c:axId val="132289280"/>
        <c:axId val="132290816"/>
      </c:lineChart>
      <c:catAx>
        <c:axId val="132268800"/>
        <c:scaling>
          <c:orientation val="minMax"/>
        </c:scaling>
        <c:delete val="0"/>
        <c:axPos val="b"/>
        <c:title>
          <c:tx>
            <c:rich>
              <a:bodyPr rot="0" spcFirstLastPara="1" vertOverflow="ellipsis" vert="horz" wrap="square" anchor="ctr" anchorCtr="1"/>
              <a:lstStyle/>
              <a:p>
                <a:pPr>
                  <a:defRPr lang="zh-CN" sz="1000" b="0" i="0" u="none" strike="noStrike" kern="1200" baseline="0">
                    <a:solidFill>
                      <a:schemeClr val="tx1"/>
                    </a:solidFill>
                    <a:latin typeface="+mn-lt"/>
                    <a:ea typeface="+mn-ea"/>
                    <a:cs typeface="+mn-cs"/>
                  </a:defRPr>
                </a:pPr>
                <a:r>
                  <a:rPr lang="en-US" altLang="zh-CN" sz="1100" baseline="0">
                    <a:solidFill>
                      <a:schemeClr val="tx1"/>
                    </a:solidFill>
                    <a:effectLst/>
                  </a:rPr>
                  <a:t>Unit: mn</a:t>
                </a:r>
                <a:endParaRPr lang="zh-CN" altLang="zh-CN" sz="1100" baseline="0">
                  <a:solidFill>
                    <a:schemeClr val="tx1"/>
                  </a:solidFill>
                  <a:effectLst/>
                </a:endParaRPr>
              </a:p>
            </c:rich>
          </c:tx>
          <c:layout>
            <c:manualLayout>
              <c:xMode val="edge"/>
              <c:yMode val="edge"/>
              <c:x val="7.8201368523949204E-3"/>
              <c:y val="4.0641308725298197E-2"/>
            </c:manualLayout>
          </c:layout>
          <c:overlay val="0"/>
          <c:spPr>
            <a:noFill/>
            <a:ln>
              <a:noFill/>
            </a:ln>
            <a:effectLst/>
          </c:spPr>
          <c:txPr>
            <a:bodyPr rot="0" spcFirstLastPara="1"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solidFill>
                <a:latin typeface="+mn-lt"/>
                <a:ea typeface="+mn-ea"/>
                <a:cs typeface="+mn-cs"/>
              </a:defRPr>
            </a:pPr>
            <a:endParaRPr lang="zh-CN"/>
          </a:p>
        </c:txPr>
        <c:crossAx val="132271104"/>
        <c:crosses val="autoZero"/>
        <c:auto val="1"/>
        <c:lblAlgn val="ctr"/>
        <c:lblOffset val="100"/>
        <c:noMultiLvlLbl val="0"/>
      </c:catAx>
      <c:valAx>
        <c:axId val="13227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mn-lt"/>
                <a:ea typeface="+mn-ea"/>
                <a:cs typeface="+mn-cs"/>
              </a:defRPr>
            </a:pPr>
            <a:endParaRPr lang="zh-CN"/>
          </a:p>
        </c:txPr>
        <c:crossAx val="132268800"/>
        <c:crosses val="autoZero"/>
        <c:crossBetween val="between"/>
      </c:valAx>
      <c:catAx>
        <c:axId val="132289280"/>
        <c:scaling>
          <c:orientation val="minMax"/>
        </c:scaling>
        <c:delete val="1"/>
        <c:axPos val="b"/>
        <c:numFmt formatCode="General" sourceLinked="1"/>
        <c:majorTickMark val="out"/>
        <c:minorTickMark val="none"/>
        <c:tickLblPos val="nextTo"/>
        <c:crossAx val="132290816"/>
        <c:crosses val="autoZero"/>
        <c:auto val="1"/>
        <c:lblAlgn val="ctr"/>
        <c:lblOffset val="100"/>
        <c:noMultiLvlLbl val="0"/>
      </c:catAx>
      <c:valAx>
        <c:axId val="1322908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solidFill>
                <a:latin typeface="+mn-lt"/>
                <a:ea typeface="+mn-ea"/>
                <a:cs typeface="+mn-cs"/>
              </a:defRPr>
            </a:pPr>
            <a:endParaRPr lang="zh-CN"/>
          </a:p>
        </c:txPr>
        <c:crossAx val="132289280"/>
        <c:crosses val="max"/>
        <c:crossBetween val="between"/>
      </c:valAx>
      <c:spPr>
        <a:noFill/>
        <a:ln>
          <a:noFill/>
        </a:ln>
        <a:effectLst/>
      </c:spPr>
    </c:plotArea>
    <c:legend>
      <c:legendPos val="b"/>
      <c:layout>
        <c:manualLayout>
          <c:xMode val="edge"/>
          <c:yMode val="edge"/>
          <c:x val="6.5370032558246902E-2"/>
          <c:y val="0.72822229099091895"/>
          <c:w val="0.87903495200929804"/>
          <c:h val="0.2625958145333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ysClr val="windowText" lastClr="000000"/>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bg2">
          <a:lumMod val="90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lang="en-US" altLang="zh-CN"/>
              <a:t>MMYT's Mobile App MAU (mm)</a:t>
            </a:r>
          </a:p>
        </c:rich>
      </c:tx>
      <c:overlay val="0"/>
    </c:title>
    <c:autoTitleDeleted val="0"/>
    <c:plotArea>
      <c:layout>
        <c:manualLayout>
          <c:layoutTarget val="inner"/>
          <c:xMode val="edge"/>
          <c:yMode val="edge"/>
          <c:x val="5.8484629424208345E-2"/>
          <c:y val="0.1240073781037104"/>
          <c:w val="0.91868264488933482"/>
          <c:h val="0.78137995567291085"/>
        </c:manualLayout>
      </c:layout>
      <c:lineChart>
        <c:grouping val="standard"/>
        <c:varyColors val="0"/>
        <c:ser>
          <c:idx val="0"/>
          <c:order val="0"/>
          <c:dLbls>
            <c:dLbl>
              <c:idx val="3"/>
              <c:layout>
                <c:manualLayout>
                  <c:x val="-3.2533198479031501E-2"/>
                  <c:y val="-4.50567111439083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DB4-4775-8129-A95140479FC3}"/>
                </c:ext>
              </c:extLst>
            </c:dLbl>
            <c:dLbl>
              <c:idx val="4"/>
              <c:layout>
                <c:manualLayout>
                  <c:x val="-2.6792045806261301E-2"/>
                  <c:y val="-3.60453689151266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B4-4775-8129-A95140479FC3}"/>
                </c:ext>
              </c:extLst>
            </c:dLbl>
            <c:dLbl>
              <c:idx val="5"/>
              <c:layout>
                <c:manualLayout>
                  <c:x val="-2.2964610691081098E-2"/>
                  <c:y val="-3.60453689151266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DB4-4775-8129-A95140479FC3}"/>
                </c:ext>
              </c:extLst>
            </c:dLbl>
            <c:numFmt formatCode="#,##0_);[Red]\(#,##0\)" sourceLinked="0"/>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endParaRPr lang="zh-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[30]MMYT!$L$3:$S$3</c:f>
              <c:strCache>
                <c:ptCount val="8"/>
                <c:pt idx="0">
                  <c:v>16Q3</c:v>
                </c:pt>
                <c:pt idx="1">
                  <c:v>16Q4</c:v>
                </c:pt>
                <c:pt idx="2">
                  <c:v>1Q17</c:v>
                </c:pt>
                <c:pt idx="3">
                  <c:v>2Q17</c:v>
                </c:pt>
                <c:pt idx="4">
                  <c:v>3Q17</c:v>
                </c:pt>
                <c:pt idx="5">
                  <c:v>4Q17</c:v>
                </c:pt>
                <c:pt idx="6">
                  <c:v>1Q18</c:v>
                </c:pt>
                <c:pt idx="7">
                  <c:v>2Q18</c:v>
                </c:pt>
              </c:strCache>
            </c:strRef>
          </c:cat>
          <c:val>
            <c:numRef>
              <c:f>[30]MMYT!$L$264:$S$264</c:f>
              <c:numCache>
                <c:formatCode>General</c:formatCode>
                <c:ptCount val="8"/>
                <c:pt idx="0">
                  <c:v>5.4</c:v>
                </c:pt>
                <c:pt idx="1">
                  <c:v>7</c:v>
                </c:pt>
                <c:pt idx="2">
                  <c:v>11</c:v>
                </c:pt>
                <c:pt idx="3">
                  <c:v>15</c:v>
                </c:pt>
                <c:pt idx="4">
                  <c:v>15</c:v>
                </c:pt>
                <c:pt idx="5">
                  <c:v>17</c:v>
                </c:pt>
                <c:pt idx="6">
                  <c:v>18</c:v>
                </c:pt>
                <c:pt idx="7">
                  <c:v>21</c:v>
                </c:pt>
              </c:numCache>
            </c:numRef>
          </c:val>
          <c:smooth val="0"/>
          <c:extLst>
            <c:ext xmlns:c16="http://schemas.microsoft.com/office/drawing/2014/chart" uri="{C3380CC4-5D6E-409C-BE32-E72D297353CC}">
              <c16:uniqueId val="{00000003-9DB4-4775-8129-A95140479FC3}"/>
            </c:ext>
          </c:extLst>
        </c:ser>
        <c:dLbls>
          <c:showLegendKey val="0"/>
          <c:showVal val="0"/>
          <c:showCatName val="0"/>
          <c:showSerName val="0"/>
          <c:showPercent val="0"/>
          <c:showBubbleSize val="0"/>
        </c:dLbls>
        <c:marker val="1"/>
        <c:smooth val="0"/>
        <c:axId val="132313856"/>
        <c:axId val="132315392"/>
      </c:lineChart>
      <c:catAx>
        <c:axId val="132313856"/>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2315392"/>
        <c:crosses val="autoZero"/>
        <c:auto val="1"/>
        <c:lblAlgn val="ctr"/>
        <c:lblOffset val="100"/>
        <c:noMultiLvlLbl val="0"/>
      </c:catAx>
      <c:valAx>
        <c:axId val="132315392"/>
        <c:scaling>
          <c:orientation val="minMax"/>
        </c:scaling>
        <c:delete val="0"/>
        <c:axPos val="l"/>
        <c:numFmt formatCode="#,##0_);[Red]\(#,##0\)" sourceLinked="0"/>
        <c:majorTickMark val="none"/>
        <c:minorTickMark val="none"/>
        <c:tickLblPos val="nextTo"/>
        <c:spPr>
          <a:ln w="9525"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132313856"/>
        <c:crosses val="autoZero"/>
        <c:crossBetween val="between"/>
      </c:valAx>
      <c:spPr>
        <a:ln>
          <a:solidFill>
            <a:schemeClr val="bg1">
              <a:lumMod val="65000"/>
            </a:schemeClr>
          </a:solidFill>
        </a:ln>
      </c:spPr>
    </c:plotArea>
    <c:plotVisOnly val="1"/>
    <c:dispBlanksAs val="gap"/>
    <c:showDLblsOverMax val="0"/>
  </c:chart>
  <c:txPr>
    <a:bodyPr/>
    <a:lstStyle/>
    <a:p>
      <a:pPr>
        <a:defRPr lang="zh-CN"/>
      </a:pPr>
      <a:endParaRPr lang="zh-CN"/>
    </a:p>
  </c:txPr>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0" baseline="0">
                <a:solidFill>
                  <a:sysClr val="windowText" lastClr="000000"/>
                </a:solidFill>
                <a:latin typeface="+mn-lt"/>
                <a:ea typeface="+mn-ea"/>
                <a:cs typeface="+mn-cs"/>
              </a:defRPr>
            </a:pPr>
            <a:r>
              <a:rPr lang="en-US" altLang="zh-CN" sz="1600" b="1">
                <a:solidFill>
                  <a:sysClr val="windowText" lastClr="000000"/>
                </a:solidFill>
              </a:rPr>
              <a:t>Volume</a:t>
            </a:r>
            <a:r>
              <a:rPr lang="en-US" altLang="zh-CN" sz="1600" b="1" baseline="0">
                <a:solidFill>
                  <a:sysClr val="windowText" lastClr="000000"/>
                </a:solidFill>
              </a:rPr>
              <a:t> (Pro Forma) growth rate</a:t>
            </a:r>
            <a:endParaRPr lang="zh-CN" sz="1600" b="1">
              <a:solidFill>
                <a:sysClr val="windowText" lastClr="000000"/>
              </a:solidFill>
            </a:endParaRPr>
          </a:p>
        </c:rich>
      </c:tx>
      <c:layout>
        <c:manualLayout>
          <c:xMode val="edge"/>
          <c:yMode val="edge"/>
          <c:x val="0.23157005158749036"/>
          <c:y val="2.8135336136036197E-2"/>
        </c:manualLayout>
      </c:layout>
      <c:overlay val="0"/>
      <c:spPr>
        <a:noFill/>
        <a:ln>
          <a:noFill/>
        </a:ln>
        <a:effectLst/>
      </c:spPr>
      <c:txPr>
        <a:bodyPr rot="0" spcFirstLastPara="1" vertOverflow="ellipsis" vert="horz" wrap="square" anchor="ctr" anchorCtr="1"/>
        <a:lstStyle/>
        <a:p>
          <a:pPr>
            <a:defRPr lang="zh-CN" sz="1600" b="1" i="0" u="none" strike="noStrike" kern="1200" spc="0" baseline="0">
              <a:solidFill>
                <a:sysClr val="windowText" lastClr="000000"/>
              </a:solidFill>
              <a:latin typeface="+mn-lt"/>
              <a:ea typeface="+mn-ea"/>
              <a:cs typeface="+mn-cs"/>
            </a:defRPr>
          </a:pPr>
          <a:endParaRPr lang="zh-CN"/>
        </a:p>
      </c:txPr>
    </c:title>
    <c:autoTitleDeleted val="0"/>
    <c:plotArea>
      <c:layout/>
      <c:lineChart>
        <c:grouping val="standard"/>
        <c:varyColors val="0"/>
        <c:ser>
          <c:idx val="0"/>
          <c:order val="0"/>
          <c:tx>
            <c:v>air ticketing</c:v>
          </c:tx>
          <c:spPr>
            <a:ln w="28575" cap="rnd">
              <a:solidFill>
                <a:schemeClr val="accent1"/>
              </a:solidFill>
              <a:round/>
            </a:ln>
            <a:effectLst/>
          </c:spPr>
          <c:marker>
            <c:symbol val="squar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MMYT!$R$4:$X$4</c:f>
              <c:strCache>
                <c:ptCount val="7"/>
                <c:pt idx="0">
                  <c:v> 1Q18 </c:v>
                </c:pt>
                <c:pt idx="1">
                  <c:v> 2Q18 </c:v>
                </c:pt>
                <c:pt idx="2">
                  <c:v> 3Q18 </c:v>
                </c:pt>
                <c:pt idx="3">
                  <c:v> 4Q18 </c:v>
                </c:pt>
                <c:pt idx="4">
                  <c:v> 1Q19 </c:v>
                </c:pt>
                <c:pt idx="5">
                  <c:v> 2Q19 </c:v>
                </c:pt>
                <c:pt idx="6">
                  <c:v> 3Q19 </c:v>
                </c:pt>
              </c:strCache>
            </c:strRef>
          </c:cat>
          <c:val>
            <c:numRef>
              <c:f>MMYT!$R$206:$X$206</c:f>
              <c:numCache>
                <c:formatCode>0.0%</c:formatCode>
                <c:ptCount val="7"/>
                <c:pt idx="0">
                  <c:v>0.4</c:v>
                </c:pt>
                <c:pt idx="1">
                  <c:v>0.17053185107659319</c:v>
                </c:pt>
                <c:pt idx="2">
                  <c:v>0.29548103068755682</c:v>
                </c:pt>
                <c:pt idx="3">
                  <c:v>0.19390287132222617</c:v>
                </c:pt>
                <c:pt idx="4">
                  <c:v>9.5192101309293786E-2</c:v>
                </c:pt>
                <c:pt idx="5">
                  <c:v>0.15679860429615089</c:v>
                </c:pt>
                <c:pt idx="6">
                  <c:v>0.11554222888555699</c:v>
                </c:pt>
              </c:numCache>
            </c:numRef>
          </c:val>
          <c:smooth val="0"/>
          <c:extLst>
            <c:ext xmlns:c16="http://schemas.microsoft.com/office/drawing/2014/chart" uri="{C3380CC4-5D6E-409C-BE32-E72D297353CC}">
              <c16:uniqueId val="{00000004-3A03-47AC-99DE-057577EE6C41}"/>
            </c:ext>
          </c:extLst>
        </c:ser>
        <c:ser>
          <c:idx val="1"/>
          <c:order val="1"/>
          <c:tx>
            <c:v>Hotels&amp;Packages</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MMYT!$R$4:$X$4</c:f>
              <c:strCache>
                <c:ptCount val="7"/>
                <c:pt idx="0">
                  <c:v> 1Q18 </c:v>
                </c:pt>
                <c:pt idx="1">
                  <c:v> 2Q18 </c:v>
                </c:pt>
                <c:pt idx="2">
                  <c:v> 3Q18 </c:v>
                </c:pt>
                <c:pt idx="3">
                  <c:v> 4Q18 </c:v>
                </c:pt>
                <c:pt idx="4">
                  <c:v> 1Q19 </c:v>
                </c:pt>
                <c:pt idx="5">
                  <c:v> 2Q19 </c:v>
                </c:pt>
                <c:pt idx="6">
                  <c:v> 3Q19 </c:v>
                </c:pt>
              </c:strCache>
            </c:strRef>
          </c:cat>
          <c:val>
            <c:numRef>
              <c:f>MMYT!$R$212:$X$212</c:f>
              <c:numCache>
                <c:formatCode>0.0%</c:formatCode>
                <c:ptCount val="7"/>
                <c:pt idx="0">
                  <c:v>0.19</c:v>
                </c:pt>
                <c:pt idx="1">
                  <c:v>0.18130718716460792</c:v>
                </c:pt>
                <c:pt idx="2">
                  <c:v>0.21785846609855497</c:v>
                </c:pt>
                <c:pt idx="3">
                  <c:v>0.27058605341246289</c:v>
                </c:pt>
                <c:pt idx="4">
                  <c:v>0.27185908319185081</c:v>
                </c:pt>
                <c:pt idx="5">
                  <c:v>0.1364336310440406</c:v>
                </c:pt>
                <c:pt idx="6">
                  <c:v>0.12336477030727111</c:v>
                </c:pt>
              </c:numCache>
            </c:numRef>
          </c:val>
          <c:smooth val="0"/>
          <c:extLst>
            <c:ext xmlns:c16="http://schemas.microsoft.com/office/drawing/2014/chart" uri="{C3380CC4-5D6E-409C-BE32-E72D297353CC}">
              <c16:uniqueId val="{00000009-3A03-47AC-99DE-057577EE6C41}"/>
            </c:ext>
          </c:extLst>
        </c:ser>
        <c:ser>
          <c:idx val="2"/>
          <c:order val="2"/>
          <c:tx>
            <c:v>Bus tickets</c:v>
          </c:tx>
          <c:spPr>
            <a:ln w="28575" cap="rnd">
              <a:solidFill>
                <a:schemeClr val="accent6"/>
              </a:solidFill>
              <a:round/>
            </a:ln>
            <a:effectLst/>
          </c:spPr>
          <c:marker>
            <c:symbol val="triang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CN"/>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MMYT!$R$4:$X$4</c:f>
              <c:strCache>
                <c:ptCount val="7"/>
                <c:pt idx="0">
                  <c:v> 1Q18 </c:v>
                </c:pt>
                <c:pt idx="1">
                  <c:v> 2Q18 </c:v>
                </c:pt>
                <c:pt idx="2">
                  <c:v> 3Q18 </c:v>
                </c:pt>
                <c:pt idx="3">
                  <c:v> 4Q18 </c:v>
                </c:pt>
                <c:pt idx="4">
                  <c:v> 1Q19 </c:v>
                </c:pt>
                <c:pt idx="5">
                  <c:v> 2Q19 </c:v>
                </c:pt>
                <c:pt idx="6">
                  <c:v> 3Q19 </c:v>
                </c:pt>
              </c:strCache>
            </c:strRef>
          </c:cat>
          <c:val>
            <c:numRef>
              <c:f>MMYT!$R$215:$X$215</c:f>
              <c:numCache>
                <c:formatCode>0%</c:formatCode>
                <c:ptCount val="7"/>
                <c:pt idx="0">
                  <c:v>0.55000000000000004</c:v>
                </c:pt>
                <c:pt idx="1">
                  <c:v>0.54006824526936215</c:v>
                </c:pt>
                <c:pt idx="2">
                  <c:v>0.53276221347534158</c:v>
                </c:pt>
                <c:pt idx="3">
                  <c:v>0.58265027322404395</c:v>
                </c:pt>
                <c:pt idx="4">
                  <c:v>0.55370925270135296</c:v>
                </c:pt>
                <c:pt idx="5">
                  <c:v>0.40862092117631255</c:v>
                </c:pt>
                <c:pt idx="6">
                  <c:v>0.33549848942598182</c:v>
                </c:pt>
              </c:numCache>
            </c:numRef>
          </c:val>
          <c:smooth val="0"/>
          <c:extLst>
            <c:ext xmlns:c16="http://schemas.microsoft.com/office/drawing/2014/chart" uri="{C3380CC4-5D6E-409C-BE32-E72D297353CC}">
              <c16:uniqueId val="{0000000B-3A03-47AC-99DE-057577EE6C41}"/>
            </c:ext>
          </c:extLst>
        </c:ser>
        <c:dLbls>
          <c:showLegendKey val="0"/>
          <c:showVal val="0"/>
          <c:showCatName val="0"/>
          <c:showSerName val="0"/>
          <c:showPercent val="0"/>
          <c:showBubbleSize val="0"/>
        </c:dLbls>
        <c:marker val="1"/>
        <c:smooth val="0"/>
        <c:axId val="132663168"/>
        <c:axId val="132664704"/>
      </c:lineChart>
      <c:catAx>
        <c:axId val="13266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32664704"/>
        <c:crosses val="autoZero"/>
        <c:auto val="1"/>
        <c:lblAlgn val="ctr"/>
        <c:lblOffset val="100"/>
        <c:noMultiLvlLbl val="0"/>
      </c:catAx>
      <c:valAx>
        <c:axId val="132664704"/>
        <c:scaling>
          <c:orientation val="minMax"/>
        </c:scaling>
        <c:delete val="0"/>
        <c:axPos val="l"/>
        <c:majorGridlines>
          <c:spPr>
            <a:ln w="9525" cap="flat" cmpd="sng" algn="ctr">
              <a:noFill/>
              <a:round/>
            </a:ln>
            <a:effectLst/>
          </c:spPr>
        </c:majorGridlines>
        <c:numFmt formatCode="0%" sourceLinked="0"/>
        <c:majorTickMark val="out"/>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32663168"/>
        <c:crosses val="autoZero"/>
        <c:crossBetween val="between"/>
      </c:valAx>
      <c:spPr>
        <a:noFill/>
        <a:ln>
          <a:solidFill>
            <a:schemeClr val="bg1">
              <a:lumMod val="65000"/>
            </a:schemeClr>
          </a:solid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ltLang="zh-CN" b="1">
                <a:solidFill>
                  <a:schemeClr val="tx1"/>
                </a:solidFill>
              </a:rPr>
              <a:t>Used</a:t>
            </a:r>
            <a:r>
              <a:rPr lang="en-US" altLang="zh-CN" b="1" baseline="0">
                <a:solidFill>
                  <a:schemeClr val="tx1"/>
                </a:solidFill>
              </a:rPr>
              <a:t> Room Nights Growth (MMYT vs OYO)</a:t>
            </a:r>
            <a:endParaRPr lang="zh-C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zh-CN"/>
        </a:p>
      </c:txPr>
    </c:title>
    <c:autoTitleDeleted val="0"/>
    <c:plotArea>
      <c:layout/>
      <c:barChart>
        <c:barDir val="col"/>
        <c:grouping val="clustered"/>
        <c:varyColors val="0"/>
        <c:ser>
          <c:idx val="0"/>
          <c:order val="0"/>
          <c:tx>
            <c:v>OYO Used Room Nights (mm)</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[30]MMYT!$O$3:$T$3</c:f>
              <c:strCache>
                <c:ptCount val="6"/>
                <c:pt idx="0">
                  <c:v>2Q17</c:v>
                </c:pt>
                <c:pt idx="1">
                  <c:v>3Q17</c:v>
                </c:pt>
                <c:pt idx="2">
                  <c:v>4Q17</c:v>
                </c:pt>
                <c:pt idx="3">
                  <c:v>1Q18</c:v>
                </c:pt>
                <c:pt idx="4">
                  <c:v>2Q18</c:v>
                </c:pt>
                <c:pt idx="5">
                  <c:v>3Q18</c:v>
                </c:pt>
              </c:strCache>
            </c:strRef>
          </c:cat>
          <c:val>
            <c:numRef>
              <c:f>[30]MMYT!$O$213:$T$213</c:f>
              <c:numCache>
                <c:formatCode>General</c:formatCode>
                <c:ptCount val="6"/>
                <c:pt idx="0">
                  <c:v>1.86</c:v>
                </c:pt>
                <c:pt idx="1">
                  <c:v>2.0190000000000001</c:v>
                </c:pt>
                <c:pt idx="2">
                  <c:v>2.7890000000000001</c:v>
                </c:pt>
                <c:pt idx="3">
                  <c:v>3.488</c:v>
                </c:pt>
                <c:pt idx="4">
                  <c:v>4.6660250000000003</c:v>
                </c:pt>
                <c:pt idx="5">
                  <c:v>5.9867100000000004</c:v>
                </c:pt>
              </c:numCache>
            </c:numRef>
          </c:val>
          <c:extLst>
            <c:ext xmlns:c16="http://schemas.microsoft.com/office/drawing/2014/chart" uri="{C3380CC4-5D6E-409C-BE32-E72D297353CC}">
              <c16:uniqueId val="{00000000-E066-4E52-A008-6B9C1DAF48F7}"/>
            </c:ext>
          </c:extLst>
        </c:ser>
        <c:ser>
          <c:idx val="2"/>
          <c:order val="2"/>
          <c:tx>
            <c:v>MMYT Used Standalone Room Nights (mm)</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[30]MMYT!$O$209:$T$209</c:f>
              <c:numCache>
                <c:formatCode>General</c:formatCode>
                <c:ptCount val="6"/>
                <c:pt idx="0">
                  <c:v>5.4973000000000001</c:v>
                </c:pt>
                <c:pt idx="1">
                  <c:v>5.3979999999999997</c:v>
                </c:pt>
                <c:pt idx="2">
                  <c:v>5.3920000000000003</c:v>
                </c:pt>
                <c:pt idx="3">
                  <c:v>4.7119999999999997</c:v>
                </c:pt>
                <c:pt idx="4">
                  <c:v>6.4939999999999998</c:v>
                </c:pt>
                <c:pt idx="5">
                  <c:v>6.5739999999999998</c:v>
                </c:pt>
              </c:numCache>
            </c:numRef>
          </c:val>
          <c:extLst>
            <c:ext xmlns:c16="http://schemas.microsoft.com/office/drawing/2014/chart" uri="{C3380CC4-5D6E-409C-BE32-E72D297353CC}">
              <c16:uniqueId val="{00000001-E066-4E52-A008-6B9C1DAF48F7}"/>
            </c:ext>
          </c:extLst>
        </c:ser>
        <c:dLbls>
          <c:showLegendKey val="0"/>
          <c:showVal val="0"/>
          <c:showCatName val="0"/>
          <c:showSerName val="0"/>
          <c:showPercent val="0"/>
          <c:showBubbleSize val="0"/>
        </c:dLbls>
        <c:gapWidth val="75"/>
        <c:overlap val="-25"/>
        <c:axId val="132921600"/>
        <c:axId val="132920064"/>
      </c:barChart>
      <c:lineChart>
        <c:grouping val="standard"/>
        <c:varyColors val="0"/>
        <c:ser>
          <c:idx val="1"/>
          <c:order val="1"/>
          <c:tx>
            <c:v>% of MMYT's - RHS</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[30]MMYT!$O$214:$T$214</c:f>
              <c:numCache>
                <c:formatCode>General</c:formatCode>
                <c:ptCount val="6"/>
                <c:pt idx="0">
                  <c:v>0.33834791624979499</c:v>
                </c:pt>
                <c:pt idx="1">
                  <c:v>0.37402741756205998</c:v>
                </c:pt>
                <c:pt idx="2">
                  <c:v>0.51724777448071202</c:v>
                </c:pt>
                <c:pt idx="3">
                  <c:v>0.74023769100169801</c:v>
                </c:pt>
                <c:pt idx="4">
                  <c:v>0.71851324299353303</c:v>
                </c:pt>
                <c:pt idx="5">
                  <c:v>0.910664739884393</c:v>
                </c:pt>
              </c:numCache>
            </c:numRef>
          </c:val>
          <c:smooth val="0"/>
          <c:extLst>
            <c:ext xmlns:c16="http://schemas.microsoft.com/office/drawing/2014/chart" uri="{C3380CC4-5D6E-409C-BE32-E72D297353CC}">
              <c16:uniqueId val="{00000002-E066-4E52-A008-6B9C1DAF48F7}"/>
            </c:ext>
          </c:extLst>
        </c:ser>
        <c:dLbls>
          <c:showLegendKey val="0"/>
          <c:showVal val="0"/>
          <c:showCatName val="0"/>
          <c:showSerName val="0"/>
          <c:showPercent val="0"/>
          <c:showBubbleSize val="0"/>
        </c:dLbls>
        <c:marker val="1"/>
        <c:smooth val="0"/>
        <c:axId val="132965888"/>
        <c:axId val="132964352"/>
      </c:lineChart>
      <c:valAx>
        <c:axId val="13292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2921600"/>
        <c:crosses val="autoZero"/>
        <c:crossBetween val="between"/>
      </c:valAx>
      <c:catAx>
        <c:axId val="13292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2920064"/>
        <c:crosses val="autoZero"/>
        <c:auto val="1"/>
        <c:lblAlgn val="ctr"/>
        <c:lblOffset val="100"/>
        <c:noMultiLvlLbl val="0"/>
      </c:catAx>
      <c:valAx>
        <c:axId val="13296435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2965888"/>
        <c:crosses val="max"/>
        <c:crossBetween val="between"/>
      </c:valAx>
      <c:catAx>
        <c:axId val="132965888"/>
        <c:scaling>
          <c:orientation val="minMax"/>
        </c:scaling>
        <c:delete val="1"/>
        <c:axPos val="b"/>
        <c:majorTickMark val="none"/>
        <c:minorTickMark val="none"/>
        <c:tickLblPos val="nextTo"/>
        <c:crossAx val="132964352"/>
        <c:crosses val="autoZero"/>
        <c:auto val="1"/>
        <c:lblAlgn val="ctr"/>
        <c:lblOffset val="100"/>
        <c:noMultiLvlLbl val="0"/>
      </c:catAx>
      <c:spPr>
        <a:noFill/>
        <a:ln>
          <a:noFill/>
        </a:ln>
        <a:effectLst/>
      </c:spPr>
    </c:plotArea>
    <c:legend>
      <c:legendPos val="b"/>
      <c:layout>
        <c:manualLayout>
          <c:xMode val="edge"/>
          <c:yMode val="edge"/>
          <c:x val="0"/>
          <c:y val="0.74479002624671919"/>
          <c:w val="0.99408552055993005"/>
          <c:h val="0.22743219597550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altLang="zh-CN" sz="1400"/>
              <a:t>Flight Segment</a:t>
            </a:r>
            <a:r>
              <a:rPr lang="en-US" altLang="zh-CN" sz="1400" baseline="0"/>
              <a:t> Growth (MMYT vs Yatra)</a:t>
            </a:r>
            <a:endParaRPr lang="zh-CN" altLang="en-US" sz="1400"/>
          </a:p>
        </c:rich>
      </c:tx>
      <c:overlay val="0"/>
    </c:title>
    <c:autoTitleDeleted val="0"/>
    <c:plotArea>
      <c:layout>
        <c:manualLayout>
          <c:layoutTarget val="inner"/>
          <c:xMode val="edge"/>
          <c:yMode val="edge"/>
          <c:x val="0.11294685039370078"/>
          <c:y val="0.19480351414406533"/>
          <c:w val="0.78693963254593169"/>
          <c:h val="0.50094889180519098"/>
        </c:manualLayout>
      </c:layout>
      <c:barChart>
        <c:barDir val="col"/>
        <c:grouping val="clustered"/>
        <c:varyColors val="0"/>
        <c:ser>
          <c:idx val="2"/>
          <c:order val="2"/>
          <c:tx>
            <c:v>MMYT Flight Segments</c:v>
          </c:tx>
          <c:invertIfNegative val="0"/>
          <c:val>
            <c:numRef>
              <c:f>[30]MMYT!$O$203:$U$203</c:f>
              <c:numCache>
                <c:formatCode>General</c:formatCode>
                <c:ptCount val="7"/>
                <c:pt idx="0">
                  <c:v>7.8349000000000002</c:v>
                </c:pt>
                <c:pt idx="1">
                  <c:v>7.7229999999999999</c:v>
                </c:pt>
                <c:pt idx="2">
                  <c:v>8.4629999999999992</c:v>
                </c:pt>
                <c:pt idx="3">
                  <c:v>9.3179999999999996</c:v>
                </c:pt>
                <c:pt idx="4">
                  <c:v>9.1709999999999994</c:v>
                </c:pt>
                <c:pt idx="5">
                  <c:v>10.005000000000001</c:v>
                </c:pt>
                <c:pt idx="6">
                  <c:v>10.103999999999999</c:v>
                </c:pt>
              </c:numCache>
            </c:numRef>
          </c:val>
          <c:extLst>
            <c:ext xmlns:c16="http://schemas.microsoft.com/office/drawing/2014/chart" uri="{C3380CC4-5D6E-409C-BE32-E72D297353CC}">
              <c16:uniqueId val="{00000000-CDAE-435D-B2BA-BB3D36413749}"/>
            </c:ext>
          </c:extLst>
        </c:ser>
        <c:ser>
          <c:idx val="3"/>
          <c:order val="3"/>
          <c:tx>
            <c:v>Yatra Flight Segments</c:v>
          </c:tx>
          <c:invertIfNegative val="0"/>
          <c:val>
            <c:numRef>
              <c:f>[30]MMYT!$O$175:$U$175</c:f>
              <c:numCache>
                <c:formatCode>General</c:formatCode>
                <c:ptCount val="7"/>
                <c:pt idx="0">
                  <c:v>1.873</c:v>
                </c:pt>
                <c:pt idx="1">
                  <c:v>2.1869999999999998</c:v>
                </c:pt>
                <c:pt idx="2">
                  <c:v>2.3079999999999998</c:v>
                </c:pt>
                <c:pt idx="3">
                  <c:v>2.5070000000000001</c:v>
                </c:pt>
                <c:pt idx="4">
                  <c:v>2.3660000000000001</c:v>
                </c:pt>
                <c:pt idx="5">
                  <c:v>2.6709999999999998</c:v>
                </c:pt>
              </c:numCache>
            </c:numRef>
          </c:val>
          <c:extLst>
            <c:ext xmlns:c16="http://schemas.microsoft.com/office/drawing/2014/chart" uri="{C3380CC4-5D6E-409C-BE32-E72D297353CC}">
              <c16:uniqueId val="{00000001-CDAE-435D-B2BA-BB3D36413749}"/>
            </c:ext>
          </c:extLst>
        </c:ser>
        <c:dLbls>
          <c:showLegendKey val="0"/>
          <c:showVal val="0"/>
          <c:showCatName val="0"/>
          <c:showSerName val="0"/>
          <c:showPercent val="0"/>
          <c:showBubbleSize val="0"/>
        </c:dLbls>
        <c:gapWidth val="75"/>
        <c:axId val="133022464"/>
        <c:axId val="133020288"/>
      </c:barChart>
      <c:lineChart>
        <c:grouping val="standard"/>
        <c:varyColors val="0"/>
        <c:ser>
          <c:idx val="0"/>
          <c:order val="0"/>
          <c:tx>
            <c:v>Yatra Growth</c:v>
          </c:tx>
          <c:cat>
            <c:strRef>
              <c:f>[30]MMYT!$O$3:$U$3</c:f>
              <c:strCache>
                <c:ptCount val="7"/>
                <c:pt idx="0">
                  <c:v>2Q17</c:v>
                </c:pt>
                <c:pt idx="1">
                  <c:v>3Q17</c:v>
                </c:pt>
                <c:pt idx="2">
                  <c:v>4Q17</c:v>
                </c:pt>
                <c:pt idx="3">
                  <c:v>1Q18</c:v>
                </c:pt>
                <c:pt idx="4">
                  <c:v>2Q18</c:v>
                </c:pt>
                <c:pt idx="5">
                  <c:v>3Q18</c:v>
                </c:pt>
                <c:pt idx="6">
                  <c:v>4Q18</c:v>
                </c:pt>
              </c:strCache>
            </c:strRef>
          </c:cat>
          <c:val>
            <c:numRef>
              <c:f>[30]MMYT!$O$176:$U$176</c:f>
              <c:numCache>
                <c:formatCode>General</c:formatCode>
                <c:ptCount val="7"/>
                <c:pt idx="0">
                  <c:v>0.14696876913655799</c:v>
                </c:pt>
                <c:pt idx="1">
                  <c:v>0.31746987951807198</c:v>
                </c:pt>
                <c:pt idx="2">
                  <c:v>0.31061896649630899</c:v>
                </c:pt>
                <c:pt idx="3">
                  <c:v>0.38202866593164297</c:v>
                </c:pt>
                <c:pt idx="4">
                  <c:v>0.263214095034704</c:v>
                </c:pt>
                <c:pt idx="5">
                  <c:v>0.22130772748056701</c:v>
                </c:pt>
              </c:numCache>
            </c:numRef>
          </c:val>
          <c:smooth val="0"/>
          <c:extLst>
            <c:ext xmlns:c16="http://schemas.microsoft.com/office/drawing/2014/chart" uri="{C3380CC4-5D6E-409C-BE32-E72D297353CC}">
              <c16:uniqueId val="{00000002-CDAE-435D-B2BA-BB3D36413749}"/>
            </c:ext>
          </c:extLst>
        </c:ser>
        <c:ser>
          <c:idx val="1"/>
          <c:order val="1"/>
          <c:tx>
            <c:v>MMYT Growth</c:v>
          </c:tx>
          <c:cat>
            <c:strRef>
              <c:f>[30]MMYT!$O$3:$U$3</c:f>
              <c:strCache>
                <c:ptCount val="7"/>
                <c:pt idx="0">
                  <c:v>2Q17</c:v>
                </c:pt>
                <c:pt idx="1">
                  <c:v>3Q17</c:v>
                </c:pt>
                <c:pt idx="2">
                  <c:v>4Q17</c:v>
                </c:pt>
                <c:pt idx="3">
                  <c:v>1Q18</c:v>
                </c:pt>
                <c:pt idx="4">
                  <c:v>2Q18</c:v>
                </c:pt>
                <c:pt idx="5">
                  <c:v>3Q18</c:v>
                </c:pt>
                <c:pt idx="6">
                  <c:v>4Q18</c:v>
                </c:pt>
              </c:strCache>
            </c:strRef>
          </c:cat>
          <c:val>
            <c:numRef>
              <c:f>[30]MMYT!$O$205:$U$205</c:f>
              <c:numCache>
                <c:formatCode>General</c:formatCode>
                <c:ptCount val="7"/>
                <c:pt idx="0">
                  <c:v>0.222</c:v>
                </c:pt>
                <c:pt idx="1">
                  <c:v>0.15</c:v>
                </c:pt>
                <c:pt idx="2">
                  <c:v>0.16</c:v>
                </c:pt>
                <c:pt idx="3">
                  <c:v>0.4</c:v>
                </c:pt>
                <c:pt idx="4">
                  <c:v>0.17053185107659299</c:v>
                </c:pt>
                <c:pt idx="5">
                  <c:v>0.29548103068755699</c:v>
                </c:pt>
                <c:pt idx="6">
                  <c:v>0.193902871322226</c:v>
                </c:pt>
              </c:numCache>
            </c:numRef>
          </c:val>
          <c:smooth val="0"/>
          <c:extLst>
            <c:ext xmlns:c16="http://schemas.microsoft.com/office/drawing/2014/chart" uri="{C3380CC4-5D6E-409C-BE32-E72D297353CC}">
              <c16:uniqueId val="{00000003-CDAE-435D-B2BA-BB3D36413749}"/>
            </c:ext>
          </c:extLst>
        </c:ser>
        <c:ser>
          <c:idx val="4"/>
          <c:order val="4"/>
          <c:tx>
            <c:v>Domestic Growth</c:v>
          </c:tx>
          <c:cat>
            <c:strRef>
              <c:f>[30]MMYT!$O$3:$U$3</c:f>
              <c:strCache>
                <c:ptCount val="7"/>
                <c:pt idx="0">
                  <c:v>2Q17</c:v>
                </c:pt>
                <c:pt idx="1">
                  <c:v>3Q17</c:v>
                </c:pt>
                <c:pt idx="2">
                  <c:v>4Q17</c:v>
                </c:pt>
                <c:pt idx="3">
                  <c:v>1Q18</c:v>
                </c:pt>
                <c:pt idx="4">
                  <c:v>2Q18</c:v>
                </c:pt>
                <c:pt idx="5">
                  <c:v>3Q18</c:v>
                </c:pt>
                <c:pt idx="6">
                  <c:v>4Q18</c:v>
                </c:pt>
              </c:strCache>
            </c:strRef>
          </c:cat>
          <c:val>
            <c:numRef>
              <c:f>[30]MMYT!$O$13:$U$13</c:f>
              <c:numCache>
                <c:formatCode>General</c:formatCode>
                <c:ptCount val="7"/>
                <c:pt idx="0">
                  <c:v>0.17523759940869299</c:v>
                </c:pt>
                <c:pt idx="1">
                  <c:v>0.148111909899313</c:v>
                </c:pt>
                <c:pt idx="2">
                  <c:v>0.18360980151509401</c:v>
                </c:pt>
                <c:pt idx="3">
                  <c:v>0.23867713455719899</c:v>
                </c:pt>
                <c:pt idx="4">
                  <c:v>0.20146069621569801</c:v>
                </c:pt>
                <c:pt idx="5">
                  <c:v>0.18966842548082599</c:v>
                </c:pt>
              </c:numCache>
            </c:numRef>
          </c:val>
          <c:smooth val="0"/>
          <c:extLst>
            <c:ext xmlns:c16="http://schemas.microsoft.com/office/drawing/2014/chart" uri="{C3380CC4-5D6E-409C-BE32-E72D297353CC}">
              <c16:uniqueId val="{00000004-CDAE-435D-B2BA-BB3D36413749}"/>
            </c:ext>
          </c:extLst>
        </c:ser>
        <c:dLbls>
          <c:showLegendKey val="0"/>
          <c:showVal val="0"/>
          <c:showCatName val="0"/>
          <c:showSerName val="0"/>
          <c:showPercent val="0"/>
          <c:showBubbleSize val="0"/>
        </c:dLbls>
        <c:marker val="1"/>
        <c:smooth val="0"/>
        <c:axId val="133008768"/>
        <c:axId val="133018752"/>
      </c:lineChart>
      <c:catAx>
        <c:axId val="133008768"/>
        <c:scaling>
          <c:orientation val="minMax"/>
        </c:scaling>
        <c:delete val="0"/>
        <c:axPos val="b"/>
        <c:numFmt formatCode="General" sourceLinked="0"/>
        <c:majorTickMark val="none"/>
        <c:minorTickMark val="none"/>
        <c:tickLblPos val="nextTo"/>
        <c:crossAx val="133018752"/>
        <c:crosses val="autoZero"/>
        <c:auto val="1"/>
        <c:lblAlgn val="ctr"/>
        <c:lblOffset val="100"/>
        <c:noMultiLvlLbl val="0"/>
      </c:catAx>
      <c:valAx>
        <c:axId val="133018752"/>
        <c:scaling>
          <c:orientation val="minMax"/>
        </c:scaling>
        <c:delete val="0"/>
        <c:axPos val="l"/>
        <c:majorGridlines/>
        <c:numFmt formatCode="General" sourceLinked="1"/>
        <c:majorTickMark val="none"/>
        <c:minorTickMark val="none"/>
        <c:tickLblPos val="nextTo"/>
        <c:spPr>
          <a:ln w="9525">
            <a:noFill/>
          </a:ln>
        </c:spPr>
        <c:crossAx val="133008768"/>
        <c:crosses val="autoZero"/>
        <c:crossBetween val="between"/>
      </c:valAx>
      <c:valAx>
        <c:axId val="133020288"/>
        <c:scaling>
          <c:orientation val="minMax"/>
        </c:scaling>
        <c:delete val="0"/>
        <c:axPos val="r"/>
        <c:title>
          <c:tx>
            <c:rich>
              <a:bodyPr rot="0" vert="horz"/>
              <a:lstStyle/>
              <a:p>
                <a:pPr>
                  <a:defRPr/>
                </a:pPr>
                <a:r>
                  <a:rPr lang="en-US" altLang="zh-CN"/>
                  <a:t>mm</a:t>
                </a:r>
                <a:endParaRPr lang="zh-CN" altLang="en-US"/>
              </a:p>
            </c:rich>
          </c:tx>
          <c:layout>
            <c:manualLayout>
              <c:xMode val="edge"/>
              <c:yMode val="edge"/>
              <c:x val="0.8548055555555556"/>
              <c:y val="8.1377223680373298E-2"/>
            </c:manualLayout>
          </c:layout>
          <c:overlay val="0"/>
        </c:title>
        <c:numFmt formatCode="General" sourceLinked="1"/>
        <c:majorTickMark val="out"/>
        <c:minorTickMark val="none"/>
        <c:tickLblPos val="nextTo"/>
        <c:crossAx val="133022464"/>
        <c:crosses val="max"/>
        <c:crossBetween val="between"/>
      </c:valAx>
      <c:catAx>
        <c:axId val="133022464"/>
        <c:scaling>
          <c:orientation val="minMax"/>
        </c:scaling>
        <c:delete val="1"/>
        <c:axPos val="b"/>
        <c:majorTickMark val="out"/>
        <c:minorTickMark val="none"/>
        <c:tickLblPos val="nextTo"/>
        <c:crossAx val="133020288"/>
        <c:crosses val="autoZero"/>
        <c:auto val="1"/>
        <c:lblAlgn val="ctr"/>
        <c:lblOffset val="100"/>
        <c:noMultiLvlLbl val="0"/>
      </c:catAx>
    </c:plotArea>
    <c:legend>
      <c:legendPos val="b"/>
      <c:overlay val="0"/>
    </c:legend>
    <c:plotVisOnly val="1"/>
    <c:dispBlanksAs val="gap"/>
    <c:showDLblsOverMax val="0"/>
  </c:chart>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ltLang="zh-CN" b="1">
                <a:solidFill>
                  <a:sysClr val="windowText" lastClr="000000"/>
                </a:solidFill>
              </a:rPr>
              <a:t>MMYT's</a:t>
            </a:r>
            <a:r>
              <a:rPr lang="en-US" altLang="zh-CN" b="1" baseline="0">
                <a:solidFill>
                  <a:sysClr val="windowText" lastClr="000000"/>
                </a:solidFill>
              </a:rPr>
              <a:t> Gross Booking Breakdown and YoY Growth</a:t>
            </a:r>
            <a:endParaRPr lang="zh-CN" alt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zh-CN"/>
        </a:p>
      </c:txPr>
    </c:title>
    <c:autoTitleDeleted val="0"/>
    <c:plotArea>
      <c:layout>
        <c:manualLayout>
          <c:layoutTarget val="inner"/>
          <c:xMode val="edge"/>
          <c:yMode val="edge"/>
          <c:x val="6.6392243439203233E-2"/>
          <c:y val="0.14205923661138523"/>
          <c:w val="0.85224006022065268"/>
          <c:h val="0.5962529340395637"/>
        </c:manualLayout>
      </c:layout>
      <c:barChart>
        <c:barDir val="col"/>
        <c:grouping val="clustered"/>
        <c:varyColors val="0"/>
        <c:ser>
          <c:idx val="0"/>
          <c:order val="0"/>
          <c:tx>
            <c:v>Air ticketing</c:v>
          </c:tx>
          <c:spPr>
            <a:solidFill>
              <a:schemeClr val="accent1"/>
            </a:solidFill>
            <a:ln>
              <a:noFill/>
            </a:ln>
            <a:effectLst/>
          </c:spPr>
          <c:invertIfNegative val="0"/>
          <c:cat>
            <c:strRef>
              <c:f>MMYT!$R$4:$X$4</c:f>
              <c:strCache>
                <c:ptCount val="7"/>
                <c:pt idx="0">
                  <c:v> 1Q18 </c:v>
                </c:pt>
                <c:pt idx="1">
                  <c:v> 2Q18 </c:v>
                </c:pt>
                <c:pt idx="2">
                  <c:v> 3Q18 </c:v>
                </c:pt>
                <c:pt idx="3">
                  <c:v> 4Q18 </c:v>
                </c:pt>
                <c:pt idx="4">
                  <c:v> 1Q19 </c:v>
                </c:pt>
                <c:pt idx="5">
                  <c:v> 2Q19 </c:v>
                </c:pt>
                <c:pt idx="6">
                  <c:v> 3Q19 </c:v>
                </c:pt>
              </c:strCache>
            </c:strRef>
          </c:cat>
          <c:val>
            <c:numRef>
              <c:f>MMYT!$R$33:$X$33</c:f>
              <c:numCache>
                <c:formatCode>#,##0_);[Red]\(#,##0\)</c:formatCode>
                <c:ptCount val="7"/>
                <c:pt idx="0">
                  <c:v>743.18899999999996</c:v>
                </c:pt>
                <c:pt idx="1">
                  <c:v>804.73900000000003</c:v>
                </c:pt>
                <c:pt idx="2">
                  <c:v>749.09199999999998</c:v>
                </c:pt>
                <c:pt idx="3">
                  <c:v>821.15300000000002</c:v>
                </c:pt>
                <c:pt idx="4">
                  <c:v>839.56100000000004</c:v>
                </c:pt>
                <c:pt idx="5">
                  <c:v>985.62099999999998</c:v>
                </c:pt>
                <c:pt idx="6">
                  <c:v>916.947</c:v>
                </c:pt>
              </c:numCache>
            </c:numRef>
          </c:val>
          <c:extLst>
            <c:ext xmlns:c16="http://schemas.microsoft.com/office/drawing/2014/chart" uri="{C3380CC4-5D6E-409C-BE32-E72D297353CC}">
              <c16:uniqueId val="{00000004-F4C3-4B49-86A4-09355CC1EA4E}"/>
            </c:ext>
          </c:extLst>
        </c:ser>
        <c:ser>
          <c:idx val="1"/>
          <c:order val="1"/>
          <c:tx>
            <c:v>Hotel&amp;Packages</c:v>
          </c:tx>
          <c:spPr>
            <a:solidFill>
              <a:schemeClr val="accent2"/>
            </a:solidFill>
            <a:ln>
              <a:noFill/>
            </a:ln>
            <a:effectLst/>
          </c:spPr>
          <c:invertIfNegative val="0"/>
          <c:cat>
            <c:strRef>
              <c:f>MMYT!$R$4:$X$4</c:f>
              <c:strCache>
                <c:ptCount val="7"/>
                <c:pt idx="0">
                  <c:v> 1Q18 </c:v>
                </c:pt>
                <c:pt idx="1">
                  <c:v> 2Q18 </c:v>
                </c:pt>
                <c:pt idx="2">
                  <c:v> 3Q18 </c:v>
                </c:pt>
                <c:pt idx="3">
                  <c:v> 4Q18 </c:v>
                </c:pt>
                <c:pt idx="4">
                  <c:v> 1Q19 </c:v>
                </c:pt>
                <c:pt idx="5">
                  <c:v> 2Q19 </c:v>
                </c:pt>
                <c:pt idx="6">
                  <c:v> 3Q19 </c:v>
                </c:pt>
              </c:strCache>
            </c:strRef>
          </c:cat>
          <c:val>
            <c:numRef>
              <c:f>MMYT!$R$37:$X$37</c:f>
              <c:numCache>
                <c:formatCode>#,##0_);[Red]\(#,##0\)</c:formatCode>
                <c:ptCount val="7"/>
                <c:pt idx="0">
                  <c:v>305.12099999999998</c:v>
                </c:pt>
                <c:pt idx="1">
                  <c:v>424.05399999999997</c:v>
                </c:pt>
                <c:pt idx="2">
                  <c:v>350.24</c:v>
                </c:pt>
                <c:pt idx="3">
                  <c:v>402.20400000000001</c:v>
                </c:pt>
                <c:pt idx="4">
                  <c:v>338.96600000000001</c:v>
                </c:pt>
                <c:pt idx="5">
                  <c:v>454.58499999999998</c:v>
                </c:pt>
                <c:pt idx="6">
                  <c:v>383.71699999999998</c:v>
                </c:pt>
              </c:numCache>
            </c:numRef>
          </c:val>
          <c:extLst>
            <c:ext xmlns:c16="http://schemas.microsoft.com/office/drawing/2014/chart" uri="{C3380CC4-5D6E-409C-BE32-E72D297353CC}">
              <c16:uniqueId val="{00000005-F4C3-4B49-86A4-09355CC1EA4E}"/>
            </c:ext>
          </c:extLst>
        </c:ser>
        <c:ser>
          <c:idx val="2"/>
          <c:order val="2"/>
          <c:tx>
            <c:v>Bus ticketing</c:v>
          </c:tx>
          <c:spPr>
            <a:solidFill>
              <a:schemeClr val="accent6"/>
            </a:solidFill>
            <a:ln>
              <a:noFill/>
            </a:ln>
            <a:effectLst/>
          </c:spPr>
          <c:invertIfNegative val="0"/>
          <c:cat>
            <c:strRef>
              <c:f>MMYT!$R$4:$X$4</c:f>
              <c:strCache>
                <c:ptCount val="7"/>
                <c:pt idx="0">
                  <c:v> 1Q18 </c:v>
                </c:pt>
                <c:pt idx="1">
                  <c:v> 2Q18 </c:v>
                </c:pt>
                <c:pt idx="2">
                  <c:v> 3Q18 </c:v>
                </c:pt>
                <c:pt idx="3">
                  <c:v> 4Q18 </c:v>
                </c:pt>
                <c:pt idx="4">
                  <c:v> 1Q19 </c:v>
                </c:pt>
                <c:pt idx="5">
                  <c:v> 2Q19 </c:v>
                </c:pt>
                <c:pt idx="6">
                  <c:v> 3Q19 </c:v>
                </c:pt>
              </c:strCache>
            </c:strRef>
          </c:cat>
          <c:val>
            <c:numRef>
              <c:f>MMYT!$R$41:$X$41</c:f>
              <c:numCache>
                <c:formatCode>#,##0_);[Red]\(#,##0\)</c:formatCode>
                <c:ptCount val="7"/>
                <c:pt idx="0">
                  <c:v>135.614</c:v>
                </c:pt>
                <c:pt idx="1">
                  <c:v>187.56299999999999</c:v>
                </c:pt>
                <c:pt idx="2">
                  <c:v>144.11000000000001</c:v>
                </c:pt>
                <c:pt idx="3">
                  <c:v>190.18</c:v>
                </c:pt>
                <c:pt idx="4">
                  <c:v>194.28200000000001</c:v>
                </c:pt>
                <c:pt idx="5">
                  <c:v>253.387</c:v>
                </c:pt>
                <c:pt idx="6">
                  <c:v>192.25399999999999</c:v>
                </c:pt>
              </c:numCache>
            </c:numRef>
          </c:val>
          <c:extLst>
            <c:ext xmlns:c16="http://schemas.microsoft.com/office/drawing/2014/chart" uri="{C3380CC4-5D6E-409C-BE32-E72D297353CC}">
              <c16:uniqueId val="{00000006-F4C3-4B49-86A4-09355CC1EA4E}"/>
            </c:ext>
          </c:extLst>
        </c:ser>
        <c:dLbls>
          <c:showLegendKey val="0"/>
          <c:showVal val="0"/>
          <c:showCatName val="0"/>
          <c:showSerName val="0"/>
          <c:showPercent val="0"/>
          <c:showBubbleSize val="0"/>
        </c:dLbls>
        <c:gapWidth val="150"/>
        <c:axId val="671392688"/>
        <c:axId val="671391856"/>
      </c:barChart>
      <c:lineChart>
        <c:grouping val="standard"/>
        <c:varyColors val="0"/>
        <c:ser>
          <c:idx val="3"/>
          <c:order val="3"/>
          <c:tx>
            <c:v>Air Ticketing constant YoY growth</c:v>
          </c:tx>
          <c:spPr>
            <a:ln w="28575" cap="rnd">
              <a:solidFill>
                <a:schemeClr val="accent1">
                  <a:lumMod val="60000"/>
                  <a:lumOff val="40000"/>
                </a:schemeClr>
              </a:solidFill>
              <a:round/>
            </a:ln>
            <a:effectLst/>
          </c:spPr>
          <c:marker>
            <c:symbol val="square"/>
            <c:size val="6"/>
            <c:spPr>
              <a:solidFill>
                <a:schemeClr val="accent1">
                  <a:lumMod val="60000"/>
                  <a:lumOff val="40000"/>
                </a:schemeClr>
              </a:solidFill>
              <a:ln w="9525">
                <a:solidFill>
                  <a:schemeClr val="accent1">
                    <a:lumMod val="60000"/>
                    <a:lumOff val="40000"/>
                  </a:schemeClr>
                </a:solidFill>
              </a:ln>
              <a:effectLst/>
            </c:spPr>
          </c:marker>
          <c:cat>
            <c:strRef>
              <c:f>MMYT!$R$4:$X$4</c:f>
              <c:strCache>
                <c:ptCount val="7"/>
                <c:pt idx="0">
                  <c:v> 1Q18 </c:v>
                </c:pt>
                <c:pt idx="1">
                  <c:v> 2Q18 </c:v>
                </c:pt>
                <c:pt idx="2">
                  <c:v> 3Q18 </c:v>
                </c:pt>
                <c:pt idx="3">
                  <c:v> 4Q18 </c:v>
                </c:pt>
                <c:pt idx="4">
                  <c:v> 1Q19 </c:v>
                </c:pt>
                <c:pt idx="5">
                  <c:v> 2Q19 </c:v>
                </c:pt>
                <c:pt idx="6">
                  <c:v> 3Q19 </c:v>
                </c:pt>
              </c:strCache>
            </c:strRef>
          </c:cat>
          <c:val>
            <c:numRef>
              <c:f>MMYT!$R$35:$X$35</c:f>
              <c:numCache>
                <c:formatCode>0%</c:formatCode>
                <c:ptCount val="7"/>
                <c:pt idx="0">
                  <c:v>0.58199999999999996</c:v>
                </c:pt>
                <c:pt idx="1">
                  <c:v>0.27300000000000002</c:v>
                </c:pt>
                <c:pt idx="2">
                  <c:v>0.315</c:v>
                </c:pt>
                <c:pt idx="3">
                  <c:v>0.32</c:v>
                </c:pt>
                <c:pt idx="4">
                  <c:v>0.23499999999999999</c:v>
                </c:pt>
                <c:pt idx="5" formatCode="0.0%">
                  <c:v>0.27200000000000002</c:v>
                </c:pt>
                <c:pt idx="6" formatCode="0.0%">
                  <c:v>0.23</c:v>
                </c:pt>
              </c:numCache>
            </c:numRef>
          </c:val>
          <c:smooth val="0"/>
          <c:extLst>
            <c:ext xmlns:c16="http://schemas.microsoft.com/office/drawing/2014/chart" uri="{C3380CC4-5D6E-409C-BE32-E72D297353CC}">
              <c16:uniqueId val="{00000009-F4C3-4B49-86A4-09355CC1EA4E}"/>
            </c:ext>
          </c:extLst>
        </c:ser>
        <c:ser>
          <c:idx val="4"/>
          <c:order val="4"/>
          <c:tx>
            <c:v>Hotal&amp;Packages constant YoY growth</c:v>
          </c:tx>
          <c:spPr>
            <a:ln w="28575" cap="rnd">
              <a:solidFill>
                <a:schemeClr val="accent2">
                  <a:lumMod val="60000"/>
                  <a:lumOff val="40000"/>
                </a:schemeClr>
              </a:solidFill>
              <a:round/>
            </a:ln>
            <a:effectLst/>
          </c:spPr>
          <c:marker>
            <c:symbol val="triangle"/>
            <c:size val="6"/>
            <c:spPr>
              <a:solidFill>
                <a:schemeClr val="accent2">
                  <a:lumMod val="60000"/>
                  <a:lumOff val="40000"/>
                </a:schemeClr>
              </a:solidFill>
              <a:ln w="9525">
                <a:solidFill>
                  <a:schemeClr val="accent2">
                    <a:lumMod val="60000"/>
                    <a:lumOff val="40000"/>
                  </a:schemeClr>
                </a:solidFill>
              </a:ln>
              <a:effectLst/>
            </c:spPr>
          </c:marker>
          <c:cat>
            <c:strRef>
              <c:f>MMYT!$R$4:$X$4</c:f>
              <c:strCache>
                <c:ptCount val="7"/>
                <c:pt idx="0">
                  <c:v> 1Q18 </c:v>
                </c:pt>
                <c:pt idx="1">
                  <c:v> 2Q18 </c:v>
                </c:pt>
                <c:pt idx="2">
                  <c:v> 3Q18 </c:v>
                </c:pt>
                <c:pt idx="3">
                  <c:v> 4Q18 </c:v>
                </c:pt>
                <c:pt idx="4">
                  <c:v> 1Q19 </c:v>
                </c:pt>
                <c:pt idx="5">
                  <c:v> 2Q19 </c:v>
                </c:pt>
                <c:pt idx="6">
                  <c:v> 3Q19 </c:v>
                </c:pt>
              </c:strCache>
            </c:strRef>
          </c:cat>
          <c:val>
            <c:numRef>
              <c:f>MMYT!$R$39:$X$39</c:f>
              <c:numCache>
                <c:formatCode>0%</c:formatCode>
                <c:ptCount val="7"/>
                <c:pt idx="0">
                  <c:v>0.38700000000000001</c:v>
                </c:pt>
                <c:pt idx="1">
                  <c:v>0.16</c:v>
                </c:pt>
                <c:pt idx="2">
                  <c:v>0.11700000000000001</c:v>
                </c:pt>
                <c:pt idx="3">
                  <c:v>0.21099999999999999</c:v>
                </c:pt>
                <c:pt idx="4">
                  <c:v>0.215</c:v>
                </c:pt>
                <c:pt idx="5" formatCode="0.0%">
                  <c:v>0.106</c:v>
                </c:pt>
                <c:pt idx="6" formatCode="0.0%">
                  <c:v>0.10100000000000001</c:v>
                </c:pt>
              </c:numCache>
            </c:numRef>
          </c:val>
          <c:smooth val="0"/>
          <c:extLst>
            <c:ext xmlns:c16="http://schemas.microsoft.com/office/drawing/2014/chart" uri="{C3380CC4-5D6E-409C-BE32-E72D297353CC}">
              <c16:uniqueId val="{0000000A-F4C3-4B49-86A4-09355CC1EA4E}"/>
            </c:ext>
          </c:extLst>
        </c:ser>
        <c:ser>
          <c:idx val="5"/>
          <c:order val="5"/>
          <c:tx>
            <c:v>Bus ticketing constant YoY growth</c:v>
          </c:tx>
          <c:spPr>
            <a:ln w="28575" cap="rnd">
              <a:solidFill>
                <a:schemeClr val="accent6">
                  <a:lumMod val="60000"/>
                  <a:lumOff val="40000"/>
                </a:schemeClr>
              </a:solidFill>
              <a:round/>
            </a:ln>
            <a:effectLst/>
          </c:spPr>
          <c:marker>
            <c:symbol val="circle"/>
            <c:size val="6"/>
            <c:spPr>
              <a:solidFill>
                <a:schemeClr val="accent6">
                  <a:lumMod val="60000"/>
                  <a:lumOff val="40000"/>
                </a:schemeClr>
              </a:solidFill>
              <a:ln w="9525">
                <a:solidFill>
                  <a:schemeClr val="accent6">
                    <a:lumMod val="60000"/>
                    <a:lumOff val="40000"/>
                  </a:schemeClr>
                </a:solidFill>
              </a:ln>
              <a:effectLst/>
            </c:spPr>
          </c:marker>
          <c:cat>
            <c:strRef>
              <c:f>MMYT!$R$4:$X$4</c:f>
              <c:strCache>
                <c:ptCount val="7"/>
                <c:pt idx="0">
                  <c:v> 1Q18 </c:v>
                </c:pt>
                <c:pt idx="1">
                  <c:v> 2Q18 </c:v>
                </c:pt>
                <c:pt idx="2">
                  <c:v> 3Q18 </c:v>
                </c:pt>
                <c:pt idx="3">
                  <c:v> 4Q18 </c:v>
                </c:pt>
                <c:pt idx="4">
                  <c:v> 1Q19 </c:v>
                </c:pt>
                <c:pt idx="5">
                  <c:v> 2Q19 </c:v>
                </c:pt>
                <c:pt idx="6">
                  <c:v> 3Q19 </c:v>
                </c:pt>
              </c:strCache>
            </c:strRef>
          </c:cat>
          <c:val>
            <c:numRef>
              <c:f>MMYT!$R$43:$X$43</c:f>
              <c:numCache>
                <c:formatCode>0%</c:formatCode>
                <c:ptCount val="7"/>
                <c:pt idx="0">
                  <c:v>0.55400000000000005</c:v>
                </c:pt>
                <c:pt idx="1">
                  <c:v>0.55500000000000005</c:v>
                </c:pt>
                <c:pt idx="2">
                  <c:v>0.48899999999999999</c:v>
                </c:pt>
                <c:pt idx="3">
                  <c:v>0.61399999999999999</c:v>
                </c:pt>
                <c:pt idx="4">
                  <c:v>0.55400000000000005</c:v>
                </c:pt>
                <c:pt idx="5">
                  <c:v>0.40400000000000003</c:v>
                </c:pt>
                <c:pt idx="6" formatCode="0.0%">
                  <c:v>0.34200000000000003</c:v>
                </c:pt>
              </c:numCache>
            </c:numRef>
          </c:val>
          <c:smooth val="0"/>
          <c:extLst>
            <c:ext xmlns:c16="http://schemas.microsoft.com/office/drawing/2014/chart" uri="{C3380CC4-5D6E-409C-BE32-E72D297353CC}">
              <c16:uniqueId val="{0000000B-F4C3-4B49-86A4-09355CC1EA4E}"/>
            </c:ext>
          </c:extLst>
        </c:ser>
        <c:dLbls>
          <c:showLegendKey val="0"/>
          <c:showVal val="0"/>
          <c:showCatName val="0"/>
          <c:showSerName val="0"/>
          <c:showPercent val="0"/>
          <c:showBubbleSize val="0"/>
        </c:dLbls>
        <c:marker val="1"/>
        <c:smooth val="0"/>
        <c:axId val="719480256"/>
        <c:axId val="489023376"/>
      </c:lineChart>
      <c:catAx>
        <c:axId val="67139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1391856"/>
        <c:crosses val="autoZero"/>
        <c:auto val="1"/>
        <c:lblAlgn val="ctr"/>
        <c:lblOffset val="100"/>
        <c:noMultiLvlLbl val="0"/>
      </c:catAx>
      <c:valAx>
        <c:axId val="671391856"/>
        <c:scaling>
          <c:orientation val="minMax"/>
        </c:scaling>
        <c:delete val="0"/>
        <c:axPos val="l"/>
        <c:majorGridlines>
          <c:spPr>
            <a:ln w="9525" cap="flat" cmpd="sng" algn="ctr">
              <a:no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1392688"/>
        <c:crosses val="autoZero"/>
        <c:crossBetween val="between"/>
      </c:valAx>
      <c:valAx>
        <c:axId val="48902337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19480256"/>
        <c:crosses val="max"/>
        <c:crossBetween val="between"/>
      </c:valAx>
      <c:catAx>
        <c:axId val="719480256"/>
        <c:scaling>
          <c:orientation val="minMax"/>
        </c:scaling>
        <c:delete val="1"/>
        <c:axPos val="b"/>
        <c:numFmt formatCode="General" sourceLinked="1"/>
        <c:majorTickMark val="out"/>
        <c:minorTickMark val="none"/>
        <c:tickLblPos val="nextTo"/>
        <c:crossAx val="489023376"/>
        <c:crosses val="autoZero"/>
        <c:auto val="1"/>
        <c:lblAlgn val="ctr"/>
        <c:lblOffset val="100"/>
        <c:noMultiLvlLbl val="0"/>
      </c:catAx>
      <c:spPr>
        <a:noFill/>
        <a:ln>
          <a:solidFill>
            <a:schemeClr val="bg1">
              <a:lumMod val="65000"/>
            </a:schemeClr>
          </a:solidFill>
        </a:ln>
        <a:effectLst/>
      </c:spPr>
    </c:plotArea>
    <c:legend>
      <c:legendPos val="b"/>
      <c:layout>
        <c:manualLayout>
          <c:xMode val="edge"/>
          <c:yMode val="edge"/>
          <c:x val="5.0690785712400953E-2"/>
          <c:y val="0.81950412884169566"/>
          <c:w val="0.88698256122481867"/>
          <c:h val="0.157515137276710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zh-CN"/>
    </a:p>
  </c:txPr>
  <c:printSettings>
    <c:headerFooter/>
    <c:pageMargins b="0.75" l="0.7" r="0.7" t="0.75" header="0.3" footer="0.3"/>
    <c:pageSetup/>
  </c:printSettings>
  <c:userShapes r:id="rId3"/>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ltLang="zh-CN" b="1">
                <a:solidFill>
                  <a:sysClr val="windowText" lastClr="000000"/>
                </a:solidFill>
              </a:rPr>
              <a:t>Number</a:t>
            </a:r>
            <a:r>
              <a:rPr lang="en-US" altLang="zh-CN" b="1" baseline="0">
                <a:solidFill>
                  <a:sysClr val="windowText" lastClr="000000"/>
                </a:solidFill>
              </a:rPr>
              <a:t> of domestic air passengers and YoY growth</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zh-CN"/>
        </a:p>
      </c:txPr>
    </c:title>
    <c:autoTitleDeleted val="0"/>
    <c:plotArea>
      <c:layout>
        <c:manualLayout>
          <c:layoutTarget val="inner"/>
          <c:xMode val="edge"/>
          <c:yMode val="edge"/>
          <c:x val="7.6948122441206773E-2"/>
          <c:y val="0.17685185185185184"/>
          <c:w val="0.838595737919273"/>
          <c:h val="0.62405313187790468"/>
        </c:manualLayout>
      </c:layout>
      <c:barChart>
        <c:barDir val="col"/>
        <c:grouping val="clustered"/>
        <c:varyColors val="0"/>
        <c:ser>
          <c:idx val="0"/>
          <c:order val="0"/>
          <c:tx>
            <c:v>Number of domestic air passengers</c:v>
          </c:tx>
          <c:spPr>
            <a:solidFill>
              <a:schemeClr val="accent1"/>
            </a:solidFill>
            <a:ln>
              <a:noFill/>
            </a:ln>
            <a:effectLst/>
          </c:spPr>
          <c:invertIfNegative val="0"/>
          <c:cat>
            <c:strRef>
              <c:f>MMYT!$J$4:$X$4</c:f>
              <c:strCache>
                <c:ptCount val="15"/>
                <c:pt idx="0">
                  <c:v> 16Q1 </c:v>
                </c:pt>
                <c:pt idx="1">
                  <c:v> 16Q2 </c:v>
                </c:pt>
                <c:pt idx="2">
                  <c:v> 16Q3 </c:v>
                </c:pt>
                <c:pt idx="3">
                  <c:v> 16Q4 </c:v>
                </c:pt>
                <c:pt idx="4">
                  <c:v> 1Q17 </c:v>
                </c:pt>
                <c:pt idx="5">
                  <c:v> 2Q17 </c:v>
                </c:pt>
                <c:pt idx="6">
                  <c:v> 3Q17 </c:v>
                </c:pt>
                <c:pt idx="7">
                  <c:v> 4Q17 </c:v>
                </c:pt>
                <c:pt idx="8">
                  <c:v> 1Q18 </c:v>
                </c:pt>
                <c:pt idx="9">
                  <c:v> 2Q18 </c:v>
                </c:pt>
                <c:pt idx="10">
                  <c:v> 3Q18 </c:v>
                </c:pt>
                <c:pt idx="11">
                  <c:v> 4Q18 </c:v>
                </c:pt>
                <c:pt idx="12">
                  <c:v> 1Q19 </c:v>
                </c:pt>
                <c:pt idx="13">
                  <c:v> 2Q19 </c:v>
                </c:pt>
                <c:pt idx="14">
                  <c:v> 3Q19 </c:v>
                </c:pt>
              </c:strCache>
            </c:strRef>
          </c:cat>
          <c:val>
            <c:numRef>
              <c:f>MMYT!$J$12:$X$12</c:f>
              <c:numCache>
                <c:formatCode>_(* #,##0_);_(* \(#,##0\);_(* "-"??_);_(@_)</c:formatCode>
                <c:ptCount val="15"/>
                <c:pt idx="0">
                  <c:v>23005883</c:v>
                </c:pt>
                <c:pt idx="1">
                  <c:v>24570663</c:v>
                </c:pt>
                <c:pt idx="2">
                  <c:v>25118743</c:v>
                </c:pt>
                <c:pt idx="3">
                  <c:v>27190531</c:v>
                </c:pt>
                <c:pt idx="4">
                  <c:v>27279358</c:v>
                </c:pt>
                <c:pt idx="5">
                  <c:v>28876367</c:v>
                </c:pt>
                <c:pt idx="6">
                  <c:v>28839128</c:v>
                </c:pt>
                <c:pt idx="7">
                  <c:v>32182979</c:v>
                </c:pt>
                <c:pt idx="8">
                  <c:v>33790317</c:v>
                </c:pt>
                <c:pt idx="9">
                  <c:v>34693820</c:v>
                </c:pt>
                <c:pt idx="10">
                  <c:v>34447828</c:v>
                </c:pt>
                <c:pt idx="11">
                  <c:v>36188079</c:v>
                </c:pt>
                <c:pt idx="12">
                  <c:v>35453454</c:v>
                </c:pt>
                <c:pt idx="13">
                  <c:v>35227000</c:v>
                </c:pt>
                <c:pt idx="14">
                  <c:v>35231000</c:v>
                </c:pt>
              </c:numCache>
            </c:numRef>
          </c:val>
          <c:extLst>
            <c:ext xmlns:c16="http://schemas.microsoft.com/office/drawing/2014/chart" uri="{C3380CC4-5D6E-409C-BE32-E72D297353CC}">
              <c16:uniqueId val="{00000000-E948-4E0C-AB6D-E149D326C794}"/>
            </c:ext>
          </c:extLst>
        </c:ser>
        <c:dLbls>
          <c:showLegendKey val="0"/>
          <c:showVal val="0"/>
          <c:showCatName val="0"/>
          <c:showSerName val="0"/>
          <c:showPercent val="0"/>
          <c:showBubbleSize val="0"/>
        </c:dLbls>
        <c:gapWidth val="150"/>
        <c:axId val="702250480"/>
        <c:axId val="702249648"/>
      </c:barChart>
      <c:lineChart>
        <c:grouping val="standard"/>
        <c:varyColors val="0"/>
        <c:ser>
          <c:idx val="1"/>
          <c:order val="1"/>
          <c:tx>
            <c:v>YoY growth</c:v>
          </c:tx>
          <c:spPr>
            <a:ln w="28575" cap="rnd">
              <a:solidFill>
                <a:schemeClr val="accent2"/>
              </a:solidFill>
              <a:round/>
            </a:ln>
            <a:effectLst/>
          </c:spPr>
          <c:marker>
            <c:symbol val="square"/>
            <c:size val="5"/>
            <c:spPr>
              <a:solidFill>
                <a:schemeClr val="accent2"/>
              </a:solidFill>
              <a:ln w="9525">
                <a:solidFill>
                  <a:schemeClr val="accent2"/>
                </a:solidFill>
              </a:ln>
              <a:effectLst/>
            </c:spPr>
          </c:marker>
          <c:cat>
            <c:strRef>
              <c:f>MMYT!$J$4:$X$4</c:f>
              <c:strCache>
                <c:ptCount val="15"/>
                <c:pt idx="0">
                  <c:v> 16Q1 </c:v>
                </c:pt>
                <c:pt idx="1">
                  <c:v> 16Q2 </c:v>
                </c:pt>
                <c:pt idx="2">
                  <c:v> 16Q3 </c:v>
                </c:pt>
                <c:pt idx="3">
                  <c:v> 16Q4 </c:v>
                </c:pt>
                <c:pt idx="4">
                  <c:v> 1Q17 </c:v>
                </c:pt>
                <c:pt idx="5">
                  <c:v> 2Q17 </c:v>
                </c:pt>
                <c:pt idx="6">
                  <c:v> 3Q17 </c:v>
                </c:pt>
                <c:pt idx="7">
                  <c:v> 4Q17 </c:v>
                </c:pt>
                <c:pt idx="8">
                  <c:v> 1Q18 </c:v>
                </c:pt>
                <c:pt idx="9">
                  <c:v> 2Q18 </c:v>
                </c:pt>
                <c:pt idx="10">
                  <c:v> 3Q18 </c:v>
                </c:pt>
                <c:pt idx="11">
                  <c:v> 4Q18 </c:v>
                </c:pt>
                <c:pt idx="12">
                  <c:v> 1Q19 </c:v>
                </c:pt>
                <c:pt idx="13">
                  <c:v> 2Q19 </c:v>
                </c:pt>
                <c:pt idx="14">
                  <c:v> 3Q19 </c:v>
                </c:pt>
              </c:strCache>
            </c:strRef>
          </c:cat>
          <c:val>
            <c:numRef>
              <c:f>MMYT!$J$13:$X$13</c:f>
              <c:numCache>
                <c:formatCode>0%</c:formatCode>
                <c:ptCount val="15"/>
                <c:pt idx="0">
                  <c:v>0.24036799963682687</c:v>
                </c:pt>
                <c:pt idx="1">
                  <c:v>0.2108849260130834</c:v>
                </c:pt>
                <c:pt idx="2">
                  <c:v>0.24360057016394521</c:v>
                </c:pt>
                <c:pt idx="3">
                  <c:v>0.23198516282049231</c:v>
                </c:pt>
                <c:pt idx="4">
                  <c:v>0.18575574777981796</c:v>
                </c:pt>
                <c:pt idx="5">
                  <c:v>0.17523759940869321</c:v>
                </c:pt>
                <c:pt idx="6">
                  <c:v>0.14811190989931311</c:v>
                </c:pt>
                <c:pt idx="7">
                  <c:v>0.18360980151509354</c:v>
                </c:pt>
                <c:pt idx="8">
                  <c:v>0.23867713455719897</c:v>
                </c:pt>
                <c:pt idx="9">
                  <c:v>0.20146069621569773</c:v>
                </c:pt>
                <c:pt idx="10">
                  <c:v>0.19448230196141858</c:v>
                </c:pt>
                <c:pt idx="11">
                  <c:v>0.12444777097856607</c:v>
                </c:pt>
                <c:pt idx="12">
                  <c:v>4.9219337007107677E-2</c:v>
                </c:pt>
                <c:pt idx="13">
                  <c:v>1.5368154904821685E-2</c:v>
                </c:pt>
                <c:pt idx="14">
                  <c:v>2.2735018300718446E-2</c:v>
                </c:pt>
              </c:numCache>
            </c:numRef>
          </c:val>
          <c:smooth val="0"/>
          <c:extLst>
            <c:ext xmlns:c16="http://schemas.microsoft.com/office/drawing/2014/chart" uri="{C3380CC4-5D6E-409C-BE32-E72D297353CC}">
              <c16:uniqueId val="{00000001-E948-4E0C-AB6D-E149D326C794}"/>
            </c:ext>
          </c:extLst>
        </c:ser>
        <c:dLbls>
          <c:showLegendKey val="0"/>
          <c:showVal val="0"/>
          <c:showCatName val="0"/>
          <c:showSerName val="0"/>
          <c:showPercent val="0"/>
          <c:showBubbleSize val="0"/>
        </c:dLbls>
        <c:marker val="1"/>
        <c:smooth val="0"/>
        <c:axId val="702254640"/>
        <c:axId val="702245072"/>
      </c:lineChart>
      <c:catAx>
        <c:axId val="70225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02249648"/>
        <c:crosses val="autoZero"/>
        <c:auto val="1"/>
        <c:lblAlgn val="ctr"/>
        <c:lblOffset val="100"/>
        <c:noMultiLvlLbl val="0"/>
      </c:catAx>
      <c:valAx>
        <c:axId val="702249648"/>
        <c:scaling>
          <c:orientation val="minMax"/>
        </c:scaling>
        <c:delete val="0"/>
        <c:axPos val="l"/>
        <c:majorGridlines>
          <c:spPr>
            <a:ln w="9525" cap="flat" cmpd="sng" algn="ctr">
              <a:no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02250480"/>
        <c:crosses val="autoZero"/>
        <c:crossBetween val="between"/>
        <c:dispUnits>
          <c:builtInUnit val="millions"/>
          <c:dispUnitsLbl>
            <c:layout>
              <c:manualLayout>
                <c:xMode val="edge"/>
                <c:yMode val="edge"/>
                <c:x val="2.5000000000000001E-2"/>
                <c:y val="2.87037037037037E-2"/>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CN"/>
                    <a:t>mn</a:t>
                  </a:r>
                  <a:endParaRPr lang="zh-CN" altLang="en-US"/>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CN"/>
              </a:p>
            </c:txPr>
          </c:dispUnitsLbl>
        </c:dispUnits>
      </c:valAx>
      <c:valAx>
        <c:axId val="70224507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02254640"/>
        <c:crosses val="max"/>
        <c:crossBetween val="between"/>
      </c:valAx>
      <c:catAx>
        <c:axId val="702254640"/>
        <c:scaling>
          <c:orientation val="minMax"/>
        </c:scaling>
        <c:delete val="1"/>
        <c:axPos val="b"/>
        <c:numFmt formatCode="General" sourceLinked="1"/>
        <c:majorTickMark val="out"/>
        <c:minorTickMark val="none"/>
        <c:tickLblPos val="nextTo"/>
        <c:crossAx val="702245072"/>
        <c:crosses val="autoZero"/>
        <c:auto val="1"/>
        <c:lblAlgn val="ctr"/>
        <c:lblOffset val="100"/>
        <c:noMultiLvlLbl val="0"/>
      </c:catAx>
      <c:spPr>
        <a:noFill/>
        <a:ln>
          <a:solidFill>
            <a:schemeClr val="bg1">
              <a:lumMod val="50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zh-CN"/>
    </a:p>
  </c:txPr>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en-US"/>
              <a:t>Despegar's Operating</a:t>
            </a:r>
            <a:r>
              <a:rPr lang="en-US" altLang="en-US" baseline="0"/>
              <a:t> Income and OP Margin (USD millions)</a:t>
            </a:r>
          </a:p>
        </c:rich>
      </c:tx>
      <c:overlay val="0"/>
    </c:title>
    <c:autoTitleDeleted val="0"/>
    <c:plotArea>
      <c:layout/>
      <c:barChart>
        <c:barDir val="col"/>
        <c:grouping val="clustered"/>
        <c:varyColors val="0"/>
        <c:ser>
          <c:idx val="0"/>
          <c:order val="0"/>
          <c:tx>
            <c:strRef>
              <c:f>'Despegar Quarterly'!$A$21</c:f>
              <c:strCache>
                <c:ptCount val="1"/>
                <c:pt idx="0">
                  <c:v>Income (loss) from Operations (GAAP)</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'Despegar Quarterly'!$B$1:$K$1</c:f>
              <c:strCache>
                <c:ptCount val="10"/>
                <c:pt idx="0">
                  <c:v> Q1-15 </c:v>
                </c:pt>
                <c:pt idx="1">
                  <c:v> Q2-15 </c:v>
                </c:pt>
                <c:pt idx="2">
                  <c:v> Q3-15 </c:v>
                </c:pt>
                <c:pt idx="3">
                  <c:v> Q4-15 </c:v>
                </c:pt>
                <c:pt idx="4">
                  <c:v> Q1-16 </c:v>
                </c:pt>
                <c:pt idx="5">
                  <c:v> Q2-16 </c:v>
                </c:pt>
                <c:pt idx="6">
                  <c:v> Q3-16 </c:v>
                </c:pt>
                <c:pt idx="7">
                  <c:v> Q4-16 </c:v>
                </c:pt>
                <c:pt idx="8">
                  <c:v> Q1-17 </c:v>
                </c:pt>
                <c:pt idx="9">
                  <c:v> Q2-17 </c:v>
                </c:pt>
              </c:strCache>
            </c:strRef>
          </c:cat>
          <c:val>
            <c:numRef>
              <c:f>'Despegar Quarterly'!$B$21:$K$21</c:f>
              <c:numCache>
                <c:formatCode>_(* #,##0.00_);[Red]_(* \(#,##0.00\);_(* "-"??_)</c:formatCode>
                <c:ptCount val="10"/>
                <c:pt idx="0">
                  <c:v>-16.324999999999999</c:v>
                </c:pt>
                <c:pt idx="1">
                  <c:v>-15.04</c:v>
                </c:pt>
                <c:pt idx="2">
                  <c:v>8.8789999999999996</c:v>
                </c:pt>
                <c:pt idx="3">
                  <c:v>-31.881</c:v>
                </c:pt>
                <c:pt idx="4">
                  <c:v>2.2970000000000002</c:v>
                </c:pt>
                <c:pt idx="5">
                  <c:v>6.0090000000000003</c:v>
                </c:pt>
                <c:pt idx="6">
                  <c:v>19.27</c:v>
                </c:pt>
                <c:pt idx="7">
                  <c:v>7.51</c:v>
                </c:pt>
                <c:pt idx="8">
                  <c:v>24.036000000000001</c:v>
                </c:pt>
                <c:pt idx="9">
                  <c:v>8.8239999999999998</c:v>
                </c:pt>
              </c:numCache>
            </c:numRef>
          </c:val>
          <c:extLst>
            <c:ext xmlns:c16="http://schemas.microsoft.com/office/drawing/2014/chart" uri="{C3380CC4-5D6E-409C-BE32-E72D297353CC}">
              <c16:uniqueId val="{00000000-E957-4FA4-808C-FC3B2B14653E}"/>
            </c:ext>
          </c:extLst>
        </c:ser>
        <c:dLbls>
          <c:showLegendKey val="0"/>
          <c:showVal val="0"/>
          <c:showCatName val="0"/>
          <c:showSerName val="0"/>
          <c:showPercent val="0"/>
          <c:showBubbleSize val="0"/>
        </c:dLbls>
        <c:gapWidth val="75"/>
        <c:overlap val="-25"/>
        <c:axId val="-425252160"/>
        <c:axId val="-425251616"/>
      </c:barChart>
      <c:lineChart>
        <c:grouping val="standard"/>
        <c:varyColors val="0"/>
        <c:ser>
          <c:idx val="1"/>
          <c:order val="1"/>
          <c:tx>
            <c:strRef>
              <c:f>'Despegar Quarterly'!$A$22</c:f>
              <c:strCache>
                <c:ptCount val="1"/>
                <c:pt idx="0">
                  <c:v>OP Margin GAAP (OP/Revenue)</c:v>
                </c:pt>
              </c:strCache>
            </c:strRef>
          </c:tx>
          <c:cat>
            <c:strRef>
              <c:f>'Despegar Quarterly'!$B$1:$K$1</c:f>
              <c:strCache>
                <c:ptCount val="10"/>
                <c:pt idx="0">
                  <c:v> Q1-15 </c:v>
                </c:pt>
                <c:pt idx="1">
                  <c:v> Q2-15 </c:v>
                </c:pt>
                <c:pt idx="2">
                  <c:v> Q3-15 </c:v>
                </c:pt>
                <c:pt idx="3">
                  <c:v> Q4-15 </c:v>
                </c:pt>
                <c:pt idx="4">
                  <c:v> Q1-16 </c:v>
                </c:pt>
                <c:pt idx="5">
                  <c:v> Q2-16 </c:v>
                </c:pt>
                <c:pt idx="6">
                  <c:v> Q3-16 </c:v>
                </c:pt>
                <c:pt idx="7">
                  <c:v> Q4-16 </c:v>
                </c:pt>
                <c:pt idx="8">
                  <c:v> Q1-17 </c:v>
                </c:pt>
                <c:pt idx="9">
                  <c:v> Q2-17 </c:v>
                </c:pt>
              </c:strCache>
            </c:strRef>
          </c:cat>
          <c:val>
            <c:numRef>
              <c:f>'Despegar Quarterly'!$B$22:$K$22</c:f>
              <c:numCache>
                <c:formatCode>0%</c:formatCode>
                <c:ptCount val="10"/>
                <c:pt idx="0">
                  <c:v>-0.16868677475019891</c:v>
                </c:pt>
                <c:pt idx="1">
                  <c:v>-0.14671882468856393</c:v>
                </c:pt>
                <c:pt idx="2">
                  <c:v>8.1934537266880131E-2</c:v>
                </c:pt>
                <c:pt idx="3">
                  <c:v>-0.27951568500236718</c:v>
                </c:pt>
                <c:pt idx="4">
                  <c:v>2.4149713504704833E-2</c:v>
                </c:pt>
                <c:pt idx="5">
                  <c:v>6.0821684868973762E-2</c:v>
                </c:pt>
                <c:pt idx="6">
                  <c:v>0.18164165598371165</c:v>
                </c:pt>
                <c:pt idx="7">
                  <c:v>6.7559057951458223E-2</c:v>
                </c:pt>
                <c:pt idx="8">
                  <c:v>0.19228953831630655</c:v>
                </c:pt>
                <c:pt idx="9">
                  <c:v>7.1471383907599093E-2</c:v>
                </c:pt>
              </c:numCache>
            </c:numRef>
          </c:val>
          <c:smooth val="0"/>
          <c:extLst>
            <c:ext xmlns:c16="http://schemas.microsoft.com/office/drawing/2014/chart" uri="{C3380CC4-5D6E-409C-BE32-E72D297353CC}">
              <c16:uniqueId val="{00000001-E957-4FA4-808C-FC3B2B14653E}"/>
            </c:ext>
          </c:extLst>
        </c:ser>
        <c:dLbls>
          <c:showLegendKey val="0"/>
          <c:showVal val="0"/>
          <c:showCatName val="0"/>
          <c:showSerName val="0"/>
          <c:showPercent val="0"/>
          <c:showBubbleSize val="0"/>
        </c:dLbls>
        <c:marker val="1"/>
        <c:smooth val="0"/>
        <c:axId val="-425246176"/>
        <c:axId val="-425252704"/>
      </c:lineChart>
      <c:catAx>
        <c:axId val="-425252160"/>
        <c:scaling>
          <c:orientation val="minMax"/>
        </c:scaling>
        <c:delete val="0"/>
        <c:axPos val="b"/>
        <c:numFmt formatCode="General" sourceLinked="0"/>
        <c:majorTickMark val="none"/>
        <c:minorTickMark val="none"/>
        <c:tickLblPos val="nextTo"/>
        <c:crossAx val="-425251616"/>
        <c:crosses val="autoZero"/>
        <c:auto val="1"/>
        <c:lblAlgn val="ctr"/>
        <c:lblOffset val="100"/>
        <c:noMultiLvlLbl val="0"/>
      </c:catAx>
      <c:valAx>
        <c:axId val="-425251616"/>
        <c:scaling>
          <c:orientation val="minMax"/>
          <c:min val="-40"/>
        </c:scaling>
        <c:delete val="0"/>
        <c:axPos val="l"/>
        <c:majorGridlines/>
        <c:numFmt formatCode="General" sourceLinked="0"/>
        <c:majorTickMark val="none"/>
        <c:minorTickMark val="none"/>
        <c:tickLblPos val="nextTo"/>
        <c:crossAx val="-425252160"/>
        <c:crosses val="autoZero"/>
        <c:crossBetween val="between"/>
      </c:valAx>
      <c:valAx>
        <c:axId val="-425252704"/>
        <c:scaling>
          <c:orientation val="minMax"/>
        </c:scaling>
        <c:delete val="0"/>
        <c:axPos val="r"/>
        <c:numFmt formatCode="0%" sourceLinked="1"/>
        <c:majorTickMark val="out"/>
        <c:minorTickMark val="none"/>
        <c:tickLblPos val="nextTo"/>
        <c:crossAx val="-425246176"/>
        <c:crosses val="max"/>
        <c:crossBetween val="between"/>
      </c:valAx>
      <c:catAx>
        <c:axId val="-425246176"/>
        <c:scaling>
          <c:orientation val="minMax"/>
        </c:scaling>
        <c:delete val="1"/>
        <c:axPos val="b"/>
        <c:numFmt formatCode="General" sourceLinked="1"/>
        <c:majorTickMark val="out"/>
        <c:minorTickMark val="none"/>
        <c:tickLblPos val="nextTo"/>
        <c:crossAx val="-425252704"/>
        <c:crosses val="autoZero"/>
        <c:auto val="1"/>
        <c:lblAlgn val="ctr"/>
        <c:lblOffset val="100"/>
        <c:noMultiLvlLbl val="0"/>
      </c:catAx>
    </c:plotArea>
    <c:legend>
      <c:legendPos val="b"/>
      <c:overlay val="0"/>
    </c:legend>
    <c:plotVisOnly val="1"/>
    <c:dispBlanksAs val="gap"/>
    <c:showDLblsOverMax val="0"/>
  </c:chart>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en-US"/>
              <a:t>Despegar's</a:t>
            </a:r>
            <a:r>
              <a:rPr lang="en-US" altLang="en-US" baseline="0"/>
              <a:t> Gross Booking Value and YoY Growth</a:t>
            </a:r>
            <a:endParaRPr lang="en-US" altLang="en-US"/>
          </a:p>
        </c:rich>
      </c:tx>
      <c:overlay val="0"/>
    </c:title>
    <c:autoTitleDeleted val="0"/>
    <c:plotArea>
      <c:layout/>
      <c:barChart>
        <c:barDir val="col"/>
        <c:grouping val="clustered"/>
        <c:varyColors val="0"/>
        <c:ser>
          <c:idx val="0"/>
          <c:order val="0"/>
          <c:tx>
            <c:strRef>
              <c:f>'Despegar Quarterly'!$A$3</c:f>
              <c:strCache>
                <c:ptCount val="1"/>
                <c:pt idx="0">
                  <c:v> Gross booking value </c:v>
                </c:pt>
              </c:strCache>
            </c:strRef>
          </c:tx>
          <c:invertIfNegative val="0"/>
          <c:cat>
            <c:strRef>
              <c:f>'Despegar Quarterly'!$B$1:$K$1</c:f>
              <c:strCache>
                <c:ptCount val="10"/>
                <c:pt idx="0">
                  <c:v> Q1-15 </c:v>
                </c:pt>
                <c:pt idx="1">
                  <c:v> Q2-15 </c:v>
                </c:pt>
                <c:pt idx="2">
                  <c:v> Q3-15 </c:v>
                </c:pt>
                <c:pt idx="3">
                  <c:v> Q4-15 </c:v>
                </c:pt>
                <c:pt idx="4">
                  <c:v> Q1-16 </c:v>
                </c:pt>
                <c:pt idx="5">
                  <c:v> Q2-16 </c:v>
                </c:pt>
                <c:pt idx="6">
                  <c:v> Q3-16 </c:v>
                </c:pt>
                <c:pt idx="7">
                  <c:v> Q4-16 </c:v>
                </c:pt>
                <c:pt idx="8">
                  <c:v> Q1-17 </c:v>
                </c:pt>
                <c:pt idx="9">
                  <c:v> Q2-17 </c:v>
                </c:pt>
              </c:strCache>
            </c:strRef>
          </c:cat>
          <c:val>
            <c:numRef>
              <c:f>'Despegar Quarterly'!$B$3:$K$3</c:f>
              <c:numCache>
                <c:formatCode>_(* #,##0.00_);_(* \(#,##0.00\);_(* "-"??_);_(@_)</c:formatCode>
                <c:ptCount val="10"/>
                <c:pt idx="0">
                  <c:v>810.96100000000001</c:v>
                </c:pt>
                <c:pt idx="1">
                  <c:v>868.56200000000001</c:v>
                </c:pt>
                <c:pt idx="2">
                  <c:v>941.07600000000002</c:v>
                </c:pt>
                <c:pt idx="3">
                  <c:v>970.19500000000005</c:v>
                </c:pt>
                <c:pt idx="4">
                  <c:v>661.40899999999999</c:v>
                </c:pt>
                <c:pt idx="5">
                  <c:v>755.43299999999999</c:v>
                </c:pt>
                <c:pt idx="6">
                  <c:v>844.86599999999999</c:v>
                </c:pt>
                <c:pt idx="7">
                  <c:v>998.52599999999995</c:v>
                </c:pt>
                <c:pt idx="8">
                  <c:v>1019.102</c:v>
                </c:pt>
                <c:pt idx="9">
                  <c:v>1061.0260000000001</c:v>
                </c:pt>
              </c:numCache>
            </c:numRef>
          </c:val>
          <c:extLst>
            <c:ext xmlns:c16="http://schemas.microsoft.com/office/drawing/2014/chart" uri="{C3380CC4-5D6E-409C-BE32-E72D297353CC}">
              <c16:uniqueId val="{00000000-D04C-4580-834F-2C7D01600B26}"/>
            </c:ext>
          </c:extLst>
        </c:ser>
        <c:dLbls>
          <c:showLegendKey val="0"/>
          <c:showVal val="0"/>
          <c:showCatName val="0"/>
          <c:showSerName val="0"/>
          <c:showPercent val="0"/>
          <c:showBubbleSize val="0"/>
        </c:dLbls>
        <c:gapWidth val="75"/>
        <c:overlap val="-25"/>
        <c:axId val="-425243456"/>
        <c:axId val="-425258688"/>
      </c:barChart>
      <c:lineChart>
        <c:grouping val="standard"/>
        <c:varyColors val="0"/>
        <c:ser>
          <c:idx val="1"/>
          <c:order val="1"/>
          <c:tx>
            <c:strRef>
              <c:f>'Despegar Quarterly'!$A$4</c:f>
              <c:strCache>
                <c:ptCount val="1"/>
                <c:pt idx="0">
                  <c:v>  YoY change</c:v>
                </c:pt>
              </c:strCache>
            </c:strRef>
          </c:tx>
          <c:cat>
            <c:strRef>
              <c:f>'Despegar Quarterly'!$B$1:$K$1</c:f>
              <c:strCache>
                <c:ptCount val="10"/>
                <c:pt idx="0">
                  <c:v> Q1-15 </c:v>
                </c:pt>
                <c:pt idx="1">
                  <c:v> Q2-15 </c:v>
                </c:pt>
                <c:pt idx="2">
                  <c:v> Q3-15 </c:v>
                </c:pt>
                <c:pt idx="3">
                  <c:v> Q4-15 </c:v>
                </c:pt>
                <c:pt idx="4">
                  <c:v> Q1-16 </c:v>
                </c:pt>
                <c:pt idx="5">
                  <c:v> Q2-16 </c:v>
                </c:pt>
                <c:pt idx="6">
                  <c:v> Q3-16 </c:v>
                </c:pt>
                <c:pt idx="7">
                  <c:v> Q4-16 </c:v>
                </c:pt>
                <c:pt idx="8">
                  <c:v> Q1-17 </c:v>
                </c:pt>
                <c:pt idx="9">
                  <c:v> Q2-17 </c:v>
                </c:pt>
              </c:strCache>
            </c:strRef>
          </c:cat>
          <c:val>
            <c:numRef>
              <c:f>'Despegar Quarterly'!$B$4:$K$4</c:f>
              <c:numCache>
                <c:formatCode>0%</c:formatCode>
                <c:ptCount val="10"/>
                <c:pt idx="4">
                  <c:v>-0.18441330717506763</c:v>
                </c:pt>
                <c:pt idx="5">
                  <c:v>-0.13024861783039093</c:v>
                </c:pt>
                <c:pt idx="6">
                  <c:v>-0.10223403848360817</c:v>
                </c:pt>
                <c:pt idx="7">
                  <c:v>2.9201346121140493E-2</c:v>
                </c:pt>
                <c:pt idx="8">
                  <c:v>0.54080455512398529</c:v>
                </c:pt>
                <c:pt idx="9">
                  <c:v>0.40452694017867907</c:v>
                </c:pt>
              </c:numCache>
            </c:numRef>
          </c:val>
          <c:smooth val="0"/>
          <c:extLst>
            <c:ext xmlns:c16="http://schemas.microsoft.com/office/drawing/2014/chart" uri="{C3380CC4-5D6E-409C-BE32-E72D297353CC}">
              <c16:uniqueId val="{00000001-D04C-4580-834F-2C7D01600B26}"/>
            </c:ext>
          </c:extLst>
        </c:ser>
        <c:dLbls>
          <c:showLegendKey val="0"/>
          <c:showVal val="0"/>
          <c:showCatName val="0"/>
          <c:showSerName val="0"/>
          <c:showPercent val="0"/>
          <c:showBubbleSize val="0"/>
        </c:dLbls>
        <c:marker val="1"/>
        <c:smooth val="0"/>
        <c:axId val="-425250528"/>
        <c:axId val="-425257056"/>
      </c:lineChart>
      <c:catAx>
        <c:axId val="-425243456"/>
        <c:scaling>
          <c:orientation val="minMax"/>
        </c:scaling>
        <c:delete val="0"/>
        <c:axPos val="b"/>
        <c:numFmt formatCode="General" sourceLinked="0"/>
        <c:majorTickMark val="none"/>
        <c:minorTickMark val="none"/>
        <c:tickLblPos val="nextTo"/>
        <c:crossAx val="-425258688"/>
        <c:crosses val="autoZero"/>
        <c:auto val="1"/>
        <c:lblAlgn val="ctr"/>
        <c:lblOffset val="100"/>
        <c:noMultiLvlLbl val="0"/>
      </c:catAx>
      <c:valAx>
        <c:axId val="-425258688"/>
        <c:scaling>
          <c:orientation val="minMax"/>
        </c:scaling>
        <c:delete val="0"/>
        <c:axPos val="l"/>
        <c:majorGridlines/>
        <c:numFmt formatCode="_(* #,##0.00_);_(* \(#,##0.00\);_(* &quot;-&quot;??_);_(@_)" sourceLinked="1"/>
        <c:majorTickMark val="none"/>
        <c:minorTickMark val="none"/>
        <c:tickLblPos val="nextTo"/>
        <c:spPr>
          <a:ln w="9525">
            <a:noFill/>
          </a:ln>
        </c:spPr>
        <c:crossAx val="-425243456"/>
        <c:crosses val="autoZero"/>
        <c:crossBetween val="between"/>
      </c:valAx>
      <c:valAx>
        <c:axId val="-425257056"/>
        <c:scaling>
          <c:orientation val="minMax"/>
        </c:scaling>
        <c:delete val="0"/>
        <c:axPos val="r"/>
        <c:numFmt formatCode="0%" sourceLinked="1"/>
        <c:majorTickMark val="out"/>
        <c:minorTickMark val="none"/>
        <c:tickLblPos val="nextTo"/>
        <c:crossAx val="-425250528"/>
        <c:crosses val="max"/>
        <c:crossBetween val="between"/>
      </c:valAx>
      <c:catAx>
        <c:axId val="-425250528"/>
        <c:scaling>
          <c:orientation val="minMax"/>
        </c:scaling>
        <c:delete val="1"/>
        <c:axPos val="b"/>
        <c:numFmt formatCode="General" sourceLinked="1"/>
        <c:majorTickMark val="out"/>
        <c:minorTickMark val="none"/>
        <c:tickLblPos val="nextTo"/>
        <c:crossAx val="-425257056"/>
        <c:crosses val="autoZero"/>
        <c:auto val="1"/>
        <c:lblAlgn val="ctr"/>
        <c:lblOffset val="100"/>
        <c:noMultiLvlLbl val="0"/>
      </c:catAx>
    </c:plotArea>
    <c:legend>
      <c:legendPos val="b"/>
      <c:overlay val="0"/>
    </c:legend>
    <c:plotVisOnly val="1"/>
    <c:dispBlanksAs val="gap"/>
    <c:showDLblsOverMax val="0"/>
  </c:chart>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en-US"/>
              <a:t>Despegar's</a:t>
            </a:r>
            <a:r>
              <a:rPr lang="en-US" altLang="en-US" baseline="0"/>
              <a:t> Transaction Volume, by Country</a:t>
            </a:r>
            <a:endParaRPr lang="en-US" altLang="en-US"/>
          </a:p>
        </c:rich>
      </c:tx>
      <c:overlay val="0"/>
    </c:title>
    <c:autoTitleDeleted val="0"/>
    <c:plotArea>
      <c:layout/>
      <c:barChart>
        <c:barDir val="col"/>
        <c:grouping val="clustered"/>
        <c:varyColors val="0"/>
        <c:ser>
          <c:idx val="0"/>
          <c:order val="0"/>
          <c:tx>
            <c:strRef>
              <c:f>'Despegar Annual'!$A$100</c:f>
              <c:strCache>
                <c:ptCount val="1"/>
                <c:pt idx="0">
                  <c:v> Total transaction volume </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'Despegar Annual'!$B$1:$E$2</c:f>
              <c:multiLvlStrCache>
                <c:ptCount val="4"/>
                <c:lvl>
                  <c:pt idx="0">
                    <c:v> HKD 2,015.00 </c:v>
                  </c:pt>
                  <c:pt idx="1">
                    <c:v> HKD 2,016.00 </c:v>
                  </c:pt>
                  <c:pt idx="2">
                    <c:v>Jun-16</c:v>
                  </c:pt>
                  <c:pt idx="3">
                    <c:v>Jun-17</c:v>
                  </c:pt>
                </c:lvl>
                <c:lvl>
                  <c:pt idx="0">
                    <c:v> Full year </c:v>
                  </c:pt>
                  <c:pt idx="2">
                    <c:v> Half year </c:v>
                  </c:pt>
                </c:lvl>
              </c:multiLvlStrCache>
            </c:multiLvlStrRef>
          </c:cat>
          <c:val>
            <c:numRef>
              <c:f>'Despegar Annual'!$B$100:$E$100</c:f>
              <c:numCache>
                <c:formatCode>_(* #,##0.00_);_(* \(#,##0.00\);_(* "-"??_);_(@_)</c:formatCode>
                <c:ptCount val="4"/>
                <c:pt idx="0">
                  <c:v>7.7050000000000001</c:v>
                </c:pt>
                <c:pt idx="1">
                  <c:v>7.2119999999999997</c:v>
                </c:pt>
                <c:pt idx="2">
                  <c:v>3.3380000000000001</c:v>
                </c:pt>
                <c:pt idx="3">
                  <c:v>4.3389999999999995</c:v>
                </c:pt>
              </c:numCache>
            </c:numRef>
          </c:val>
          <c:extLst>
            <c:ext xmlns:c16="http://schemas.microsoft.com/office/drawing/2014/chart" uri="{C3380CC4-5D6E-409C-BE32-E72D297353CC}">
              <c16:uniqueId val="{00000000-4581-4968-9D21-21F1950DD614}"/>
            </c:ext>
          </c:extLst>
        </c:ser>
        <c:ser>
          <c:idx val="1"/>
          <c:order val="1"/>
          <c:tx>
            <c:strRef>
              <c:f>'Despegar Annual'!$A$101</c:f>
              <c:strCache>
                <c:ptCount val="1"/>
                <c:pt idx="0">
                  <c:v>   Brazil </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'Despegar Annual'!$B$1:$E$2</c:f>
              <c:multiLvlStrCache>
                <c:ptCount val="4"/>
                <c:lvl>
                  <c:pt idx="0">
                    <c:v> HKD 2,015.00 </c:v>
                  </c:pt>
                  <c:pt idx="1">
                    <c:v> HKD 2,016.00 </c:v>
                  </c:pt>
                  <c:pt idx="2">
                    <c:v>Jun-16</c:v>
                  </c:pt>
                  <c:pt idx="3">
                    <c:v>Jun-17</c:v>
                  </c:pt>
                </c:lvl>
                <c:lvl>
                  <c:pt idx="0">
                    <c:v> Full year </c:v>
                  </c:pt>
                  <c:pt idx="2">
                    <c:v> Half year </c:v>
                  </c:pt>
                </c:lvl>
              </c:multiLvlStrCache>
            </c:multiLvlStrRef>
          </c:cat>
          <c:val>
            <c:numRef>
              <c:f>'Despegar Annual'!$B$101:$E$101</c:f>
              <c:numCache>
                <c:formatCode>_(* #,##0.00_);_(* \(#,##0.00\);_(* "-"??_);_(@_)</c:formatCode>
                <c:ptCount val="4"/>
                <c:pt idx="0">
                  <c:v>3.62</c:v>
                </c:pt>
                <c:pt idx="1">
                  <c:v>2.9239999999999999</c:v>
                </c:pt>
                <c:pt idx="2">
                  <c:v>1.375</c:v>
                </c:pt>
                <c:pt idx="3">
                  <c:v>1.784</c:v>
                </c:pt>
              </c:numCache>
            </c:numRef>
          </c:val>
          <c:extLst>
            <c:ext xmlns:c16="http://schemas.microsoft.com/office/drawing/2014/chart" uri="{C3380CC4-5D6E-409C-BE32-E72D297353CC}">
              <c16:uniqueId val="{00000001-4581-4968-9D21-21F1950DD614}"/>
            </c:ext>
          </c:extLst>
        </c:ser>
        <c:ser>
          <c:idx val="2"/>
          <c:order val="2"/>
          <c:tx>
            <c:strRef>
              <c:f>'Despegar Annual'!$A$102</c:f>
              <c:strCache>
                <c:ptCount val="1"/>
                <c:pt idx="0">
                  <c:v>   Argentina </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'Despegar Annual'!$B$1:$E$2</c:f>
              <c:multiLvlStrCache>
                <c:ptCount val="4"/>
                <c:lvl>
                  <c:pt idx="0">
                    <c:v> HKD 2,015.00 </c:v>
                  </c:pt>
                  <c:pt idx="1">
                    <c:v> HKD 2,016.00 </c:v>
                  </c:pt>
                  <c:pt idx="2">
                    <c:v>Jun-16</c:v>
                  </c:pt>
                  <c:pt idx="3">
                    <c:v>Jun-17</c:v>
                  </c:pt>
                </c:lvl>
                <c:lvl>
                  <c:pt idx="0">
                    <c:v> Full year </c:v>
                  </c:pt>
                  <c:pt idx="2">
                    <c:v> Half year </c:v>
                  </c:pt>
                </c:lvl>
              </c:multiLvlStrCache>
            </c:multiLvlStrRef>
          </c:cat>
          <c:val>
            <c:numRef>
              <c:f>'Despegar Annual'!$B$102:$E$102</c:f>
              <c:numCache>
                <c:formatCode>_(* #,##0.00_);_(* \(#,##0.00\);_(* "-"??_);_(@_)</c:formatCode>
                <c:ptCount val="4"/>
                <c:pt idx="0">
                  <c:v>1.7869999999999999</c:v>
                </c:pt>
                <c:pt idx="1">
                  <c:v>1.798</c:v>
                </c:pt>
                <c:pt idx="2">
                  <c:v>0.83299999999999996</c:v>
                </c:pt>
                <c:pt idx="3">
                  <c:v>1.069</c:v>
                </c:pt>
              </c:numCache>
            </c:numRef>
          </c:val>
          <c:extLst>
            <c:ext xmlns:c16="http://schemas.microsoft.com/office/drawing/2014/chart" uri="{C3380CC4-5D6E-409C-BE32-E72D297353CC}">
              <c16:uniqueId val="{00000002-4581-4968-9D21-21F1950DD614}"/>
            </c:ext>
          </c:extLst>
        </c:ser>
        <c:ser>
          <c:idx val="3"/>
          <c:order val="3"/>
          <c:tx>
            <c:strRef>
              <c:f>'Despegar Annual'!$A$103</c:f>
              <c:strCache>
                <c:ptCount val="1"/>
                <c:pt idx="0">
                  <c:v>   Other </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'Despegar Annual'!$B$1:$E$2</c:f>
              <c:multiLvlStrCache>
                <c:ptCount val="4"/>
                <c:lvl>
                  <c:pt idx="0">
                    <c:v> HKD 2,015.00 </c:v>
                  </c:pt>
                  <c:pt idx="1">
                    <c:v> HKD 2,016.00 </c:v>
                  </c:pt>
                  <c:pt idx="2">
                    <c:v>Jun-16</c:v>
                  </c:pt>
                  <c:pt idx="3">
                    <c:v>Jun-17</c:v>
                  </c:pt>
                </c:lvl>
                <c:lvl>
                  <c:pt idx="0">
                    <c:v> Full year </c:v>
                  </c:pt>
                  <c:pt idx="2">
                    <c:v> Half year </c:v>
                  </c:pt>
                </c:lvl>
              </c:multiLvlStrCache>
            </c:multiLvlStrRef>
          </c:cat>
          <c:val>
            <c:numRef>
              <c:f>'Despegar Annual'!$B$103:$E$103</c:f>
              <c:numCache>
                <c:formatCode>_(* #,##0.00_);_(* \(#,##0.00\);_(* "-"??_);_(@_)</c:formatCode>
                <c:ptCount val="4"/>
                <c:pt idx="0">
                  <c:v>2.298</c:v>
                </c:pt>
                <c:pt idx="1">
                  <c:v>2.4900000000000002</c:v>
                </c:pt>
                <c:pt idx="2">
                  <c:v>1.1299999999999999</c:v>
                </c:pt>
                <c:pt idx="3">
                  <c:v>1.486</c:v>
                </c:pt>
              </c:numCache>
            </c:numRef>
          </c:val>
          <c:extLst>
            <c:ext xmlns:c16="http://schemas.microsoft.com/office/drawing/2014/chart" uri="{C3380CC4-5D6E-409C-BE32-E72D297353CC}">
              <c16:uniqueId val="{00000003-4581-4968-9D21-21F1950DD614}"/>
            </c:ext>
          </c:extLst>
        </c:ser>
        <c:dLbls>
          <c:showLegendKey val="0"/>
          <c:showVal val="0"/>
          <c:showCatName val="0"/>
          <c:showSerName val="0"/>
          <c:showPercent val="0"/>
          <c:showBubbleSize val="0"/>
        </c:dLbls>
        <c:gapWidth val="75"/>
        <c:overlap val="-25"/>
        <c:axId val="-425255968"/>
        <c:axId val="-425253248"/>
      </c:barChart>
      <c:catAx>
        <c:axId val="-425255968"/>
        <c:scaling>
          <c:orientation val="minMax"/>
        </c:scaling>
        <c:delete val="0"/>
        <c:axPos val="b"/>
        <c:numFmt formatCode="General" sourceLinked="0"/>
        <c:majorTickMark val="none"/>
        <c:minorTickMark val="none"/>
        <c:tickLblPos val="nextTo"/>
        <c:crossAx val="-425253248"/>
        <c:crosses val="autoZero"/>
        <c:auto val="1"/>
        <c:lblAlgn val="ctr"/>
        <c:lblOffset val="100"/>
        <c:noMultiLvlLbl val="0"/>
      </c:catAx>
      <c:valAx>
        <c:axId val="-425253248"/>
        <c:scaling>
          <c:orientation val="minMax"/>
        </c:scaling>
        <c:delete val="0"/>
        <c:axPos val="l"/>
        <c:numFmt formatCode="_(* #,##0.00_);_(* \(#,##0.00\);_(* &quot;-&quot;??_);_(@_)" sourceLinked="1"/>
        <c:majorTickMark val="none"/>
        <c:minorTickMark val="none"/>
        <c:tickLblPos val="nextTo"/>
        <c:spPr>
          <a:ln w="9525">
            <a:noFill/>
          </a:ln>
        </c:spPr>
        <c:crossAx val="-425255968"/>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n-US" altLang="en-US"/>
              <a:t>Despegar's Sales</a:t>
            </a:r>
            <a:r>
              <a:rPr lang="en-US" altLang="en-US" baseline="0"/>
              <a:t> and Marketing Expenses as % of GMV</a:t>
            </a:r>
            <a:endParaRPr lang="en-US" altLang="en-US"/>
          </a:p>
        </c:rich>
      </c:tx>
      <c:overlay val="0"/>
    </c:title>
    <c:autoTitleDeleted val="0"/>
    <c:plotArea>
      <c:layout/>
      <c:barChart>
        <c:barDir val="col"/>
        <c:grouping val="clustered"/>
        <c:varyColors val="0"/>
        <c:ser>
          <c:idx val="0"/>
          <c:order val="0"/>
          <c:tx>
            <c:strRef>
              <c:f>'Despegar Annual'!$A$46</c:f>
              <c:strCache>
                <c:ptCount val="1"/>
                <c:pt idx="0">
                  <c:v>  Selling and marketing expenses</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'Despegar Annual'!$B$1:$E$2</c:f>
              <c:multiLvlStrCache>
                <c:ptCount val="4"/>
                <c:lvl>
                  <c:pt idx="0">
                    <c:v> HKD 2,015.00 </c:v>
                  </c:pt>
                  <c:pt idx="1">
                    <c:v> HKD 2,016.00 </c:v>
                  </c:pt>
                  <c:pt idx="2">
                    <c:v>Jun-16</c:v>
                  </c:pt>
                  <c:pt idx="3">
                    <c:v>Jun-17</c:v>
                  </c:pt>
                </c:lvl>
                <c:lvl>
                  <c:pt idx="0">
                    <c:v> Full year </c:v>
                  </c:pt>
                  <c:pt idx="2">
                    <c:v> Half year </c:v>
                  </c:pt>
                </c:lvl>
              </c:multiLvlStrCache>
            </c:multiLvlStrRef>
          </c:cat>
          <c:val>
            <c:numRef>
              <c:f>'Despegar Annual'!$B$46:$E$46</c:f>
              <c:numCache>
                <c:formatCode>_(* #,##0.00_);[Red]_(* \(#,##0.00\);_(* "-"??_)</c:formatCode>
                <c:ptCount val="4"/>
                <c:pt idx="0">
                  <c:v>-170.149</c:v>
                </c:pt>
                <c:pt idx="1">
                  <c:v>-121.46599999999999</c:v>
                </c:pt>
                <c:pt idx="2">
                  <c:v>-57.71</c:v>
                </c:pt>
                <c:pt idx="3">
                  <c:v>-78.834999999999994</c:v>
                </c:pt>
              </c:numCache>
            </c:numRef>
          </c:val>
          <c:extLst>
            <c:ext xmlns:c16="http://schemas.microsoft.com/office/drawing/2014/chart" uri="{C3380CC4-5D6E-409C-BE32-E72D297353CC}">
              <c16:uniqueId val="{00000000-4C88-43D5-B8A9-B9091FCC6E8F}"/>
            </c:ext>
          </c:extLst>
        </c:ser>
        <c:dLbls>
          <c:showLegendKey val="0"/>
          <c:showVal val="0"/>
          <c:showCatName val="0"/>
          <c:showSerName val="0"/>
          <c:showPercent val="0"/>
          <c:showBubbleSize val="0"/>
        </c:dLbls>
        <c:gapWidth val="75"/>
        <c:overlap val="-25"/>
        <c:axId val="-425251072"/>
        <c:axId val="-425249984"/>
      </c:barChart>
      <c:lineChart>
        <c:grouping val="standard"/>
        <c:varyColors val="0"/>
        <c:ser>
          <c:idx val="1"/>
          <c:order val="1"/>
          <c:tx>
            <c:strRef>
              <c:f>'Despegar Annual'!$A$47</c:f>
              <c:strCache>
                <c:ptCount val="1"/>
                <c:pt idx="0">
                  <c:v>  Marketing and sales promotion expenses as % of GMV</c:v>
                </c:pt>
              </c:strCache>
            </c:strRef>
          </c:tx>
          <c:cat>
            <c:multiLvlStrRef>
              <c:f>'Despegar Annual'!$B$1:$E$2</c:f>
              <c:multiLvlStrCache>
                <c:ptCount val="4"/>
                <c:lvl>
                  <c:pt idx="0">
                    <c:v> HKD 2,015.00 </c:v>
                  </c:pt>
                  <c:pt idx="1">
                    <c:v> HKD 2,016.00 </c:v>
                  </c:pt>
                  <c:pt idx="2">
                    <c:v>Jun-16</c:v>
                  </c:pt>
                  <c:pt idx="3">
                    <c:v>Jun-17</c:v>
                  </c:pt>
                </c:lvl>
                <c:lvl>
                  <c:pt idx="0">
                    <c:v> Full year </c:v>
                  </c:pt>
                  <c:pt idx="2">
                    <c:v> Half year </c:v>
                  </c:pt>
                </c:lvl>
              </c:multiLvlStrCache>
            </c:multiLvlStrRef>
          </c:cat>
          <c:val>
            <c:numRef>
              <c:f>'Despegar Annual'!$B$47:$E$47</c:f>
              <c:numCache>
                <c:formatCode>0%</c:formatCode>
                <c:ptCount val="4"/>
                <c:pt idx="0">
                  <c:v>4.7502641765439148E-2</c:v>
                </c:pt>
                <c:pt idx="1">
                  <c:v>3.7256000738580757E-2</c:v>
                </c:pt>
                <c:pt idx="2">
                  <c:v>4.0578662556533092E-2</c:v>
                </c:pt>
                <c:pt idx="3">
                  <c:v>3.7899110054765851E-2</c:v>
                </c:pt>
              </c:numCache>
            </c:numRef>
          </c:val>
          <c:smooth val="0"/>
          <c:extLst>
            <c:ext xmlns:c16="http://schemas.microsoft.com/office/drawing/2014/chart" uri="{C3380CC4-5D6E-409C-BE32-E72D297353CC}">
              <c16:uniqueId val="{00000001-4C88-43D5-B8A9-B9091FCC6E8F}"/>
            </c:ext>
          </c:extLst>
        </c:ser>
        <c:dLbls>
          <c:showLegendKey val="0"/>
          <c:showVal val="0"/>
          <c:showCatName val="0"/>
          <c:showSerName val="0"/>
          <c:showPercent val="0"/>
          <c:showBubbleSize val="0"/>
        </c:dLbls>
        <c:marker val="1"/>
        <c:smooth val="0"/>
        <c:axId val="-425255424"/>
        <c:axId val="-425249440"/>
      </c:lineChart>
      <c:catAx>
        <c:axId val="-425251072"/>
        <c:scaling>
          <c:orientation val="minMax"/>
        </c:scaling>
        <c:delete val="0"/>
        <c:axPos val="t"/>
        <c:numFmt formatCode="General" sourceLinked="0"/>
        <c:majorTickMark val="none"/>
        <c:minorTickMark val="none"/>
        <c:tickLblPos val="high"/>
        <c:crossAx val="-425249984"/>
        <c:crosses val="autoZero"/>
        <c:auto val="1"/>
        <c:lblAlgn val="ctr"/>
        <c:lblOffset val="100"/>
        <c:noMultiLvlLbl val="0"/>
      </c:catAx>
      <c:valAx>
        <c:axId val="-425249984"/>
        <c:scaling>
          <c:orientation val="maxMin"/>
          <c:min val="-180"/>
        </c:scaling>
        <c:delete val="0"/>
        <c:axPos val="l"/>
        <c:numFmt formatCode="0_);[Red]\(0\)" sourceLinked="0"/>
        <c:majorTickMark val="none"/>
        <c:minorTickMark val="none"/>
        <c:tickLblPos val="nextTo"/>
        <c:spPr>
          <a:ln w="9525">
            <a:noFill/>
          </a:ln>
        </c:spPr>
        <c:crossAx val="-425251072"/>
        <c:crosses val="autoZero"/>
        <c:crossBetween val="between"/>
      </c:valAx>
      <c:valAx>
        <c:axId val="-425249440"/>
        <c:scaling>
          <c:orientation val="minMax"/>
        </c:scaling>
        <c:delete val="0"/>
        <c:axPos val="r"/>
        <c:numFmt formatCode="0.0%" sourceLinked="0"/>
        <c:majorTickMark val="out"/>
        <c:minorTickMark val="none"/>
        <c:tickLblPos val="nextTo"/>
        <c:crossAx val="-425255424"/>
        <c:crosses val="max"/>
        <c:crossBetween val="between"/>
      </c:valAx>
      <c:catAx>
        <c:axId val="-425255424"/>
        <c:scaling>
          <c:orientation val="minMax"/>
        </c:scaling>
        <c:delete val="1"/>
        <c:axPos val="b"/>
        <c:numFmt formatCode="General" sourceLinked="1"/>
        <c:majorTickMark val="out"/>
        <c:minorTickMark val="none"/>
        <c:tickLblPos val="nextTo"/>
        <c:crossAx val="-425249440"/>
        <c:crosses val="autoZero"/>
        <c:auto val="1"/>
        <c:lblAlgn val="ctr"/>
        <c:lblOffset val="100"/>
        <c:noMultiLvlLbl val="0"/>
      </c:catAx>
    </c:plotArea>
    <c:legend>
      <c:legendPos val="b"/>
      <c:overlay val="0"/>
    </c:legend>
    <c:plotVisOnly val="1"/>
    <c:dispBlanksAs val="gap"/>
    <c:showDLblsOverMax val="0"/>
  </c:chart>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en-US"/>
              <a:t>Despegar's Gross Profit and GP Margin</a:t>
            </a:r>
          </a:p>
        </c:rich>
      </c:tx>
      <c:overlay val="0"/>
    </c:title>
    <c:autoTitleDeleted val="0"/>
    <c:plotArea>
      <c:layout/>
      <c:barChart>
        <c:barDir val="col"/>
        <c:grouping val="clustered"/>
        <c:varyColors val="0"/>
        <c:ser>
          <c:idx val="0"/>
          <c:order val="0"/>
          <c:tx>
            <c:strRef>
              <c:f>'Despegar Quarterly'!$A$7</c:f>
              <c:strCache>
                <c:ptCount val="1"/>
                <c:pt idx="0">
                  <c:v>Gross profit</c:v>
                </c:pt>
              </c:strCache>
            </c:strRef>
          </c:tx>
          <c:invertIfNegative val="0"/>
          <c:cat>
            <c:strRef>
              <c:f>'Despegar Quarterly'!$B$1:$K$1</c:f>
              <c:strCache>
                <c:ptCount val="10"/>
                <c:pt idx="0">
                  <c:v> Q1-15 </c:v>
                </c:pt>
                <c:pt idx="1">
                  <c:v> Q2-15 </c:v>
                </c:pt>
                <c:pt idx="2">
                  <c:v> Q3-15 </c:v>
                </c:pt>
                <c:pt idx="3">
                  <c:v> Q4-15 </c:v>
                </c:pt>
                <c:pt idx="4">
                  <c:v> Q1-16 </c:v>
                </c:pt>
                <c:pt idx="5">
                  <c:v> Q2-16 </c:v>
                </c:pt>
                <c:pt idx="6">
                  <c:v> Q3-16 </c:v>
                </c:pt>
                <c:pt idx="7">
                  <c:v> Q4-16 </c:v>
                </c:pt>
                <c:pt idx="8">
                  <c:v> Q1-17 </c:v>
                </c:pt>
                <c:pt idx="9">
                  <c:v> Q2-17 </c:v>
                </c:pt>
              </c:strCache>
            </c:strRef>
          </c:cat>
          <c:val>
            <c:numRef>
              <c:f>'Despegar Quarterly'!$B$7:$K$7</c:f>
              <c:numCache>
                <c:formatCode>_(* #,##0.00_);_(* \(#,##0.00\);_(* "-"??_);_(@_)</c:formatCode>
                <c:ptCount val="10"/>
                <c:pt idx="0">
                  <c:v>67.528999999999996</c:v>
                </c:pt>
                <c:pt idx="1">
                  <c:v>74.899000000000001</c:v>
                </c:pt>
                <c:pt idx="2">
                  <c:v>73.686000000000007</c:v>
                </c:pt>
                <c:pt idx="3">
                  <c:v>51.384000000000007</c:v>
                </c:pt>
                <c:pt idx="4">
                  <c:v>61.620999999999995</c:v>
                </c:pt>
                <c:pt idx="5">
                  <c:v>65.044999999999987</c:v>
                </c:pt>
                <c:pt idx="6">
                  <c:v>79.937999999999988</c:v>
                </c:pt>
                <c:pt idx="7">
                  <c:v>77.88300000000001</c:v>
                </c:pt>
                <c:pt idx="8">
                  <c:v>93.858999999999995</c:v>
                </c:pt>
                <c:pt idx="9">
                  <c:v>88.375</c:v>
                </c:pt>
              </c:numCache>
            </c:numRef>
          </c:val>
          <c:extLst>
            <c:ext xmlns:c16="http://schemas.microsoft.com/office/drawing/2014/chart" uri="{C3380CC4-5D6E-409C-BE32-E72D297353CC}">
              <c16:uniqueId val="{00000000-0726-4929-B53C-FD1CD16FEF8C}"/>
            </c:ext>
          </c:extLst>
        </c:ser>
        <c:dLbls>
          <c:showLegendKey val="0"/>
          <c:showVal val="0"/>
          <c:showCatName val="0"/>
          <c:showSerName val="0"/>
          <c:showPercent val="0"/>
          <c:showBubbleSize val="0"/>
        </c:dLbls>
        <c:gapWidth val="75"/>
        <c:overlap val="-25"/>
        <c:axId val="-425245632"/>
        <c:axId val="-425258144"/>
      </c:barChart>
      <c:lineChart>
        <c:grouping val="standard"/>
        <c:varyColors val="0"/>
        <c:ser>
          <c:idx val="1"/>
          <c:order val="1"/>
          <c:tx>
            <c:strRef>
              <c:f>'Despegar Quarterly'!$A$8</c:f>
              <c:strCache>
                <c:ptCount val="1"/>
                <c:pt idx="0">
                  <c:v>Gross margin</c:v>
                </c:pt>
              </c:strCache>
            </c:strRef>
          </c:tx>
          <c:cat>
            <c:strRef>
              <c:f>'Despegar Quarterly'!$B$1:$K$1</c:f>
              <c:strCache>
                <c:ptCount val="10"/>
                <c:pt idx="0">
                  <c:v> Q1-15 </c:v>
                </c:pt>
                <c:pt idx="1">
                  <c:v> Q2-15 </c:v>
                </c:pt>
                <c:pt idx="2">
                  <c:v> Q3-15 </c:v>
                </c:pt>
                <c:pt idx="3">
                  <c:v> Q4-15 </c:v>
                </c:pt>
                <c:pt idx="4">
                  <c:v> Q1-16 </c:v>
                </c:pt>
                <c:pt idx="5">
                  <c:v> Q2-16 </c:v>
                </c:pt>
                <c:pt idx="6">
                  <c:v> Q3-16 </c:v>
                </c:pt>
                <c:pt idx="7">
                  <c:v> Q4-16 </c:v>
                </c:pt>
                <c:pt idx="8">
                  <c:v> Q1-17 </c:v>
                </c:pt>
                <c:pt idx="9">
                  <c:v> Q2-17 </c:v>
                </c:pt>
              </c:strCache>
            </c:strRef>
          </c:cat>
          <c:val>
            <c:numRef>
              <c:f>'Despegar Quarterly'!$B$8:$K$8</c:f>
              <c:numCache>
                <c:formatCode>0%</c:formatCode>
                <c:ptCount val="10"/>
                <c:pt idx="0">
                  <c:v>0.69777943106316576</c:v>
                </c:pt>
                <c:pt idx="1">
                  <c:v>0.73065779590084778</c:v>
                </c:pt>
                <c:pt idx="2">
                  <c:v>0.67996714867072083</c:v>
                </c:pt>
                <c:pt idx="3">
                  <c:v>0.45050763646565783</c:v>
                </c:pt>
                <c:pt idx="4">
                  <c:v>0.64785785627924086</c:v>
                </c:pt>
                <c:pt idx="5">
                  <c:v>0.65837019342692582</c:v>
                </c:pt>
                <c:pt idx="6">
                  <c:v>0.75350652288666009</c:v>
                </c:pt>
                <c:pt idx="7">
                  <c:v>0.70062611324013602</c:v>
                </c:pt>
                <c:pt idx="8">
                  <c:v>0.75087800702405616</c:v>
                </c:pt>
                <c:pt idx="9">
                  <c:v>0.71580729293223821</c:v>
                </c:pt>
              </c:numCache>
            </c:numRef>
          </c:val>
          <c:smooth val="0"/>
          <c:extLst>
            <c:ext xmlns:c16="http://schemas.microsoft.com/office/drawing/2014/chart" uri="{C3380CC4-5D6E-409C-BE32-E72D297353CC}">
              <c16:uniqueId val="{00000001-0726-4929-B53C-FD1CD16FEF8C}"/>
            </c:ext>
          </c:extLst>
        </c:ser>
        <c:dLbls>
          <c:showLegendKey val="0"/>
          <c:showVal val="0"/>
          <c:showCatName val="0"/>
          <c:showSerName val="0"/>
          <c:showPercent val="0"/>
          <c:showBubbleSize val="0"/>
        </c:dLbls>
        <c:marker val="1"/>
        <c:smooth val="0"/>
        <c:axId val="-425254336"/>
        <c:axId val="-425254880"/>
      </c:lineChart>
      <c:catAx>
        <c:axId val="-425245632"/>
        <c:scaling>
          <c:orientation val="minMax"/>
        </c:scaling>
        <c:delete val="0"/>
        <c:axPos val="b"/>
        <c:numFmt formatCode="General" sourceLinked="0"/>
        <c:majorTickMark val="none"/>
        <c:minorTickMark val="none"/>
        <c:tickLblPos val="nextTo"/>
        <c:crossAx val="-425258144"/>
        <c:crosses val="autoZero"/>
        <c:auto val="1"/>
        <c:lblAlgn val="ctr"/>
        <c:lblOffset val="100"/>
        <c:noMultiLvlLbl val="0"/>
      </c:catAx>
      <c:valAx>
        <c:axId val="-425258144"/>
        <c:scaling>
          <c:orientation val="minMax"/>
        </c:scaling>
        <c:delete val="0"/>
        <c:axPos val="l"/>
        <c:majorGridlines/>
        <c:numFmt formatCode="_(* #,##0.00_);_(* \(#,##0.00\);_(* &quot;-&quot;??_);_(@_)" sourceLinked="1"/>
        <c:majorTickMark val="none"/>
        <c:minorTickMark val="none"/>
        <c:tickLblPos val="nextTo"/>
        <c:spPr>
          <a:ln w="9525">
            <a:noFill/>
          </a:ln>
        </c:spPr>
        <c:crossAx val="-425245632"/>
        <c:crosses val="autoZero"/>
        <c:crossBetween val="between"/>
      </c:valAx>
      <c:valAx>
        <c:axId val="-425254880"/>
        <c:scaling>
          <c:orientation val="minMax"/>
        </c:scaling>
        <c:delete val="0"/>
        <c:axPos val="r"/>
        <c:numFmt formatCode="0%" sourceLinked="1"/>
        <c:majorTickMark val="out"/>
        <c:minorTickMark val="none"/>
        <c:tickLblPos val="nextTo"/>
        <c:crossAx val="-425254336"/>
        <c:crosses val="max"/>
        <c:crossBetween val="between"/>
      </c:valAx>
      <c:catAx>
        <c:axId val="-425254336"/>
        <c:scaling>
          <c:orientation val="minMax"/>
        </c:scaling>
        <c:delete val="1"/>
        <c:axPos val="b"/>
        <c:numFmt formatCode="General" sourceLinked="1"/>
        <c:majorTickMark val="out"/>
        <c:minorTickMark val="none"/>
        <c:tickLblPos val="nextTo"/>
        <c:crossAx val="-425254880"/>
        <c:crosses val="autoZero"/>
        <c:auto val="1"/>
        <c:lblAlgn val="ctr"/>
        <c:lblOffset val="100"/>
        <c:noMultiLvlLbl val="0"/>
      </c:catAx>
    </c:plotArea>
    <c:legend>
      <c:legendPos val="b"/>
      <c:overlay val="0"/>
    </c:legend>
    <c:plotVisOnly val="1"/>
    <c:dispBlanksAs val="gap"/>
    <c:showDLblsOverMax val="0"/>
  </c:chart>
  <c:printSettings>
    <c:headerFooter/>
    <c:pageMargins b="0.75" l="0.7" r="0.7" t="0.75" header="0.3" footer="0.3"/>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en-US"/>
              <a:t>Despegar's</a:t>
            </a:r>
            <a:r>
              <a:rPr lang="en-US" altLang="en-US" baseline="0"/>
              <a:t> Transaction Volume, by Segment</a:t>
            </a:r>
            <a:endParaRPr lang="en-US" altLang="en-US"/>
          </a:p>
        </c:rich>
      </c:tx>
      <c:overlay val="0"/>
    </c:title>
    <c:autoTitleDeleted val="0"/>
    <c:plotArea>
      <c:layout/>
      <c:barChart>
        <c:barDir val="col"/>
        <c:grouping val="clustered"/>
        <c:varyColors val="0"/>
        <c:ser>
          <c:idx val="0"/>
          <c:order val="0"/>
          <c:tx>
            <c:strRef>
              <c:f>'Despegar Annual'!$A$106</c:f>
              <c:strCache>
                <c:ptCount val="1"/>
                <c:pt idx="0">
                  <c:v>    Air </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'Despegar Annual'!$B$1:$E$2</c:f>
              <c:multiLvlStrCache>
                <c:ptCount val="4"/>
                <c:lvl>
                  <c:pt idx="0">
                    <c:v> HKD 2,015.00 </c:v>
                  </c:pt>
                  <c:pt idx="1">
                    <c:v> HKD 2,016.00 </c:v>
                  </c:pt>
                  <c:pt idx="2">
                    <c:v>Jun-16</c:v>
                  </c:pt>
                  <c:pt idx="3">
                    <c:v>Jun-17</c:v>
                  </c:pt>
                </c:lvl>
                <c:lvl>
                  <c:pt idx="0">
                    <c:v> Full year </c:v>
                  </c:pt>
                  <c:pt idx="2">
                    <c:v> Half year </c:v>
                  </c:pt>
                </c:lvl>
              </c:multiLvlStrCache>
            </c:multiLvlStrRef>
          </c:cat>
          <c:val>
            <c:numRef>
              <c:f>'Despegar Annual'!$B$106:$E$106</c:f>
              <c:numCache>
                <c:formatCode>_(* #,##0.00_);_(* \(#,##0.00\);_(* "-"??_);_(@_)</c:formatCode>
                <c:ptCount val="4"/>
                <c:pt idx="0">
                  <c:v>4.3849999999999998</c:v>
                </c:pt>
                <c:pt idx="1">
                  <c:v>4.25</c:v>
                </c:pt>
                <c:pt idx="2">
                  <c:v>1.9359999999999999</c:v>
                </c:pt>
                <c:pt idx="3">
                  <c:v>2.57</c:v>
                </c:pt>
              </c:numCache>
            </c:numRef>
          </c:val>
          <c:extLst>
            <c:ext xmlns:c16="http://schemas.microsoft.com/office/drawing/2014/chart" uri="{C3380CC4-5D6E-409C-BE32-E72D297353CC}">
              <c16:uniqueId val="{00000000-12F0-4F52-B237-5C0A02EBE12F}"/>
            </c:ext>
          </c:extLst>
        </c:ser>
        <c:ser>
          <c:idx val="1"/>
          <c:order val="1"/>
          <c:tx>
            <c:strRef>
              <c:f>'Despegar Annual'!$A$107</c:f>
              <c:strCache>
                <c:ptCount val="1"/>
                <c:pt idx="0">
                  <c:v>    Hotels and packages </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'Despegar Annual'!$B$1:$E$2</c:f>
              <c:multiLvlStrCache>
                <c:ptCount val="4"/>
                <c:lvl>
                  <c:pt idx="0">
                    <c:v> HKD 2,015.00 </c:v>
                  </c:pt>
                  <c:pt idx="1">
                    <c:v> HKD 2,016.00 </c:v>
                  </c:pt>
                  <c:pt idx="2">
                    <c:v>Jun-16</c:v>
                  </c:pt>
                  <c:pt idx="3">
                    <c:v>Jun-17</c:v>
                  </c:pt>
                </c:lvl>
                <c:lvl>
                  <c:pt idx="0">
                    <c:v> Full year </c:v>
                  </c:pt>
                  <c:pt idx="2">
                    <c:v> Half year </c:v>
                  </c:pt>
                </c:lvl>
              </c:multiLvlStrCache>
            </c:multiLvlStrRef>
          </c:cat>
          <c:val>
            <c:numRef>
              <c:f>'Despegar Annual'!$B$107:$E$107</c:f>
              <c:numCache>
                <c:formatCode>_(* #,##0.00_);_(* \(#,##0.00\);_(* "-"??_);_(@_)</c:formatCode>
                <c:ptCount val="4"/>
                <c:pt idx="0">
                  <c:v>3.32</c:v>
                </c:pt>
                <c:pt idx="1">
                  <c:v>2.3500000000000005</c:v>
                </c:pt>
                <c:pt idx="2">
                  <c:v>1.4019999999999999</c:v>
                </c:pt>
                <c:pt idx="3">
                  <c:v>1.3698999999999997</c:v>
                </c:pt>
              </c:numCache>
            </c:numRef>
          </c:val>
          <c:extLst>
            <c:ext xmlns:c16="http://schemas.microsoft.com/office/drawing/2014/chart" uri="{C3380CC4-5D6E-409C-BE32-E72D297353CC}">
              <c16:uniqueId val="{00000001-12F0-4F52-B237-5C0A02EBE12F}"/>
            </c:ext>
          </c:extLst>
        </c:ser>
        <c:dLbls>
          <c:showLegendKey val="0"/>
          <c:showVal val="0"/>
          <c:showCatName val="0"/>
          <c:showSerName val="0"/>
          <c:showPercent val="0"/>
          <c:showBubbleSize val="0"/>
        </c:dLbls>
        <c:gapWidth val="75"/>
        <c:overlap val="-25"/>
        <c:axId val="-425257600"/>
        <c:axId val="-425253792"/>
      </c:barChart>
      <c:catAx>
        <c:axId val="-425257600"/>
        <c:scaling>
          <c:orientation val="minMax"/>
        </c:scaling>
        <c:delete val="0"/>
        <c:axPos val="b"/>
        <c:numFmt formatCode="General" sourceLinked="0"/>
        <c:majorTickMark val="none"/>
        <c:minorTickMark val="none"/>
        <c:tickLblPos val="nextTo"/>
        <c:crossAx val="-425253792"/>
        <c:crosses val="autoZero"/>
        <c:auto val="1"/>
        <c:lblAlgn val="ctr"/>
        <c:lblOffset val="100"/>
        <c:noMultiLvlLbl val="0"/>
      </c:catAx>
      <c:valAx>
        <c:axId val="-425253792"/>
        <c:scaling>
          <c:orientation val="minMax"/>
        </c:scaling>
        <c:delete val="0"/>
        <c:axPos val="l"/>
        <c:numFmt formatCode="_(* #,##0.00_);_(* \(#,##0.00\);_(* &quot;-&quot;??_);_(@_)" sourceLinked="1"/>
        <c:majorTickMark val="none"/>
        <c:minorTickMark val="none"/>
        <c:tickLblPos val="nextTo"/>
        <c:spPr>
          <a:ln w="9525">
            <a:noFill/>
          </a:ln>
        </c:spPr>
        <c:crossAx val="-42525760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Tuniu</a:t>
            </a:r>
            <a:r>
              <a:rPr lang="zh-CN" altLang="en-US"/>
              <a:t>季度净收入及增速</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'TOUR (RMB)'!$A$12</c:f>
              <c:strCache>
                <c:ptCount val="1"/>
                <c:pt idx="0">
                  <c:v>Total revenues</c:v>
                </c:pt>
              </c:strCache>
            </c:strRef>
          </c:tx>
          <c:spPr>
            <a:solidFill>
              <a:schemeClr val="accent1"/>
            </a:solidFill>
            <a:ln>
              <a:noFill/>
            </a:ln>
            <a:effectLst/>
          </c:spPr>
          <c:invertIfNegative val="0"/>
          <c:cat>
            <c:strRef>
              <c:f>'TOUR (RMB)'!$Y$2:$AF$2</c:f>
              <c:strCache>
                <c:ptCount val="8"/>
                <c:pt idx="0">
                  <c:v> 2018Q1 </c:v>
                </c:pt>
                <c:pt idx="1">
                  <c:v> 2018Q2 </c:v>
                </c:pt>
                <c:pt idx="2">
                  <c:v> 2018Q3 </c:v>
                </c:pt>
                <c:pt idx="3">
                  <c:v> 2018Q4 </c:v>
                </c:pt>
                <c:pt idx="4">
                  <c:v> 2019Q1 </c:v>
                </c:pt>
                <c:pt idx="5">
                  <c:v> 2019Q2 </c:v>
                </c:pt>
                <c:pt idx="6">
                  <c:v> 2019Q3 </c:v>
                </c:pt>
                <c:pt idx="7">
                  <c:v> 2019Q4 </c:v>
                </c:pt>
              </c:strCache>
            </c:strRef>
          </c:cat>
          <c:val>
            <c:numRef>
              <c:f>'TOUR (RMB)'!$Y$210:$AF$210</c:f>
              <c:numCache>
                <c:formatCode>_(* #,##0.00_);_(* \(#,##0.00\);_(* "-"??_);_(@_)</c:formatCode>
                <c:ptCount val="8"/>
                <c:pt idx="0">
                  <c:v>480.53299999999996</c:v>
                </c:pt>
                <c:pt idx="1">
                  <c:v>525.25</c:v>
                </c:pt>
                <c:pt idx="2">
                  <c:v>763.13099999999997</c:v>
                </c:pt>
                <c:pt idx="3">
                  <c:v>471.23500000000001</c:v>
                </c:pt>
                <c:pt idx="4">
                  <c:v>456.85699999999997</c:v>
                </c:pt>
                <c:pt idx="5">
                  <c:v>520.33000000000004</c:v>
                </c:pt>
                <c:pt idx="6">
                  <c:v>852.51699999999994</c:v>
                </c:pt>
                <c:pt idx="7">
                  <c:v>451.28300000000002</c:v>
                </c:pt>
              </c:numCache>
            </c:numRef>
          </c:val>
          <c:extLst>
            <c:ext xmlns:c16="http://schemas.microsoft.com/office/drawing/2014/chart" uri="{C3380CC4-5D6E-409C-BE32-E72D297353CC}">
              <c16:uniqueId val="{00000000-870D-480E-BE71-FAE0A50E146D}"/>
            </c:ext>
          </c:extLst>
        </c:ser>
        <c:dLbls>
          <c:showLegendKey val="0"/>
          <c:showVal val="0"/>
          <c:showCatName val="0"/>
          <c:showSerName val="0"/>
          <c:showPercent val="0"/>
          <c:showBubbleSize val="0"/>
        </c:dLbls>
        <c:gapWidth val="75"/>
        <c:overlap val="-25"/>
        <c:axId val="528398448"/>
        <c:axId val="528405520"/>
      </c:barChart>
      <c:lineChart>
        <c:grouping val="standard"/>
        <c:varyColors val="0"/>
        <c:ser>
          <c:idx val="1"/>
          <c:order val="1"/>
          <c:tx>
            <c:strRef>
              <c:f>'TOUR (RMB)'!$A$51</c:f>
              <c:strCache>
                <c:ptCount val="1"/>
                <c:pt idx="0">
                  <c:v> YoY Growth </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cat>
            <c:strRef>
              <c:f>'TOUR (RMB)'!$Y$2:$AF$2</c:f>
              <c:strCache>
                <c:ptCount val="8"/>
                <c:pt idx="0">
                  <c:v> 2018Q1 </c:v>
                </c:pt>
                <c:pt idx="1">
                  <c:v> 2018Q2 </c:v>
                </c:pt>
                <c:pt idx="2">
                  <c:v> 2018Q3 </c:v>
                </c:pt>
                <c:pt idx="3">
                  <c:v> 2018Q4 </c:v>
                </c:pt>
                <c:pt idx="4">
                  <c:v> 2019Q1 </c:v>
                </c:pt>
                <c:pt idx="5">
                  <c:v> 2019Q2 </c:v>
                </c:pt>
                <c:pt idx="6">
                  <c:v> 2019Q3 </c:v>
                </c:pt>
                <c:pt idx="7">
                  <c:v> 2019Q4 </c:v>
                </c:pt>
              </c:strCache>
            </c:strRef>
          </c:cat>
          <c:val>
            <c:numRef>
              <c:f>'TOUR (RMB)'!$Y$211:$AF$211</c:f>
              <c:numCache>
                <c:formatCode>0%</c:formatCode>
                <c:ptCount val="8"/>
                <c:pt idx="0">
                  <c:v>5.3705697514039308E-2</c:v>
                </c:pt>
                <c:pt idx="1">
                  <c:v>0.14162942741388607</c:v>
                </c:pt>
                <c:pt idx="2">
                  <c:v>-5.3287184354007366E-2</c:v>
                </c:pt>
                <c:pt idx="3">
                  <c:v>2.8709091141256859E-3</c:v>
                </c:pt>
                <c:pt idx="4">
                  <c:v>-4.9270289449423799E-2</c:v>
                </c:pt>
                <c:pt idx="5">
                  <c:v>-9.3669681104234792E-3</c:v>
                </c:pt>
                <c:pt idx="6">
                  <c:v>0.11713061060289776</c:v>
                </c:pt>
                <c:pt idx="7">
                  <c:v>-4.2339809224696823E-2</c:v>
                </c:pt>
              </c:numCache>
            </c:numRef>
          </c:val>
          <c:smooth val="0"/>
          <c:extLst>
            <c:ext xmlns:c16="http://schemas.microsoft.com/office/drawing/2014/chart" uri="{C3380CC4-5D6E-409C-BE32-E72D297353CC}">
              <c16:uniqueId val="{00000001-870D-480E-BE71-FAE0A50E146D}"/>
            </c:ext>
          </c:extLst>
        </c:ser>
        <c:dLbls>
          <c:showLegendKey val="0"/>
          <c:showVal val="0"/>
          <c:showCatName val="0"/>
          <c:showSerName val="0"/>
          <c:showPercent val="0"/>
          <c:showBubbleSize val="0"/>
        </c:dLbls>
        <c:marker val="1"/>
        <c:smooth val="0"/>
        <c:axId val="585818064"/>
        <c:axId val="585815152"/>
      </c:lineChart>
      <c:catAx>
        <c:axId val="52839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28405520"/>
        <c:crosses val="autoZero"/>
        <c:auto val="1"/>
        <c:lblAlgn val="ctr"/>
        <c:lblOffset val="100"/>
        <c:noMultiLvlLbl val="0"/>
      </c:catAx>
      <c:valAx>
        <c:axId val="52840552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28398448"/>
        <c:crosses val="autoZero"/>
        <c:crossBetween val="between"/>
      </c:valAx>
      <c:valAx>
        <c:axId val="58581515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85818064"/>
        <c:crosses val="max"/>
        <c:crossBetween val="between"/>
      </c:valAx>
      <c:catAx>
        <c:axId val="585818064"/>
        <c:scaling>
          <c:orientation val="minMax"/>
        </c:scaling>
        <c:delete val="1"/>
        <c:axPos val="b"/>
        <c:numFmt formatCode="General" sourceLinked="1"/>
        <c:majorTickMark val="out"/>
        <c:minorTickMark val="none"/>
        <c:tickLblPos val="nextTo"/>
        <c:crossAx val="5858151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Tuniu</a:t>
            </a:r>
            <a:r>
              <a:rPr lang="zh-CN" altLang="en-US"/>
              <a:t>季度各业务净收入增速</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0.10776181102362203"/>
          <c:y val="0.1537037037037037"/>
          <c:w val="0.80135148731408568"/>
          <c:h val="0.53456948089822109"/>
        </c:manualLayout>
      </c:layout>
      <c:lineChart>
        <c:grouping val="standard"/>
        <c:varyColors val="0"/>
        <c:ser>
          <c:idx val="2"/>
          <c:order val="0"/>
          <c:tx>
            <c:v>Packaged Tours YoY (RHS)</c:v>
          </c:tx>
          <c:spPr>
            <a:ln w="28575" cap="rnd">
              <a:solidFill>
                <a:srgbClr val="C00000"/>
              </a:solidFill>
              <a:round/>
            </a:ln>
            <a:effectLst/>
          </c:spPr>
          <c:marker>
            <c:symbol val="triangle"/>
            <c:size val="5"/>
            <c:spPr>
              <a:solidFill>
                <a:srgbClr val="C00000"/>
              </a:solidFill>
              <a:ln w="9525">
                <a:solidFill>
                  <a:srgbClr val="C00000"/>
                </a:solidFill>
              </a:ln>
              <a:effectLst/>
            </c:spPr>
          </c:marker>
          <c:cat>
            <c:strRef>
              <c:f>'TOUR (RMB)'!$Y$2:$AF$2</c:f>
              <c:strCache>
                <c:ptCount val="8"/>
                <c:pt idx="0">
                  <c:v> 2018Q1 </c:v>
                </c:pt>
                <c:pt idx="1">
                  <c:v> 2018Q2 </c:v>
                </c:pt>
                <c:pt idx="2">
                  <c:v> 2018Q3 </c:v>
                </c:pt>
                <c:pt idx="3">
                  <c:v> 2018Q4 </c:v>
                </c:pt>
                <c:pt idx="4">
                  <c:v> 2019Q1 </c:v>
                </c:pt>
                <c:pt idx="5">
                  <c:v> 2019Q2 </c:v>
                </c:pt>
                <c:pt idx="6">
                  <c:v> 2019Q3 </c:v>
                </c:pt>
                <c:pt idx="7">
                  <c:v> 2019Q4 </c:v>
                </c:pt>
              </c:strCache>
            </c:strRef>
          </c:cat>
          <c:val>
            <c:numRef>
              <c:f>'TOUR (RMB)'!$Y$55:$AF$55</c:f>
              <c:numCache>
                <c:formatCode>0%</c:formatCode>
                <c:ptCount val="8"/>
                <c:pt idx="0">
                  <c:v>0.13128603054378729</c:v>
                </c:pt>
                <c:pt idx="1">
                  <c:v>0.289725437955344</c:v>
                </c:pt>
                <c:pt idx="2">
                  <c:v>4.747312709110374E-2</c:v>
                </c:pt>
                <c:pt idx="3">
                  <c:v>0.23293938370096634</c:v>
                </c:pt>
                <c:pt idx="4">
                  <c:v>-9.1353162196191051E-2</c:v>
                </c:pt>
                <c:pt idx="5">
                  <c:v>-1.8571373075050857E-2</c:v>
                </c:pt>
                <c:pt idx="6">
                  <c:v>0.18080423818953961</c:v>
                </c:pt>
                <c:pt idx="7">
                  <c:v>-3.7173640103014716E-2</c:v>
                </c:pt>
              </c:numCache>
            </c:numRef>
          </c:val>
          <c:smooth val="0"/>
          <c:extLst>
            <c:ext xmlns:c16="http://schemas.microsoft.com/office/drawing/2014/chart" uri="{C3380CC4-5D6E-409C-BE32-E72D297353CC}">
              <c16:uniqueId val="{00000002-3566-4FC0-B515-0587867E2208}"/>
            </c:ext>
          </c:extLst>
        </c:ser>
        <c:ser>
          <c:idx val="3"/>
          <c:order val="1"/>
          <c:tx>
            <c:v>Other revenue YoY (RHS)</c:v>
          </c:tx>
          <c:spPr>
            <a:ln w="28575" cap="rnd">
              <a:solidFill>
                <a:srgbClr val="7030A0"/>
              </a:solidFill>
              <a:round/>
            </a:ln>
            <a:effectLst/>
          </c:spPr>
          <c:marker>
            <c:symbol val="square"/>
            <c:size val="5"/>
            <c:spPr>
              <a:solidFill>
                <a:srgbClr val="7030A0"/>
              </a:solidFill>
              <a:ln w="9525">
                <a:solidFill>
                  <a:srgbClr val="7030A0"/>
                </a:solidFill>
              </a:ln>
              <a:effectLst/>
            </c:spPr>
          </c:marker>
          <c:cat>
            <c:strRef>
              <c:f>'TOUR (RMB)'!$Y$2:$AF$2</c:f>
              <c:strCache>
                <c:ptCount val="8"/>
                <c:pt idx="0">
                  <c:v> 2018Q1 </c:v>
                </c:pt>
                <c:pt idx="1">
                  <c:v> 2018Q2 </c:v>
                </c:pt>
                <c:pt idx="2">
                  <c:v> 2018Q3 </c:v>
                </c:pt>
                <c:pt idx="3">
                  <c:v> 2018Q4 </c:v>
                </c:pt>
                <c:pt idx="4">
                  <c:v> 2019Q1 </c:v>
                </c:pt>
                <c:pt idx="5">
                  <c:v> 2019Q2 </c:v>
                </c:pt>
                <c:pt idx="6">
                  <c:v> 2019Q3 </c:v>
                </c:pt>
                <c:pt idx="7">
                  <c:v> 2019Q4 </c:v>
                </c:pt>
              </c:strCache>
            </c:strRef>
          </c:cat>
          <c:val>
            <c:numRef>
              <c:f>'TOUR (RMB)'!$Y$56:$AF$56</c:f>
              <c:numCache>
                <c:formatCode>0%</c:formatCode>
                <c:ptCount val="8"/>
                <c:pt idx="0">
                  <c:v>-0.22218336946639627</c:v>
                </c:pt>
                <c:pt idx="1">
                  <c:v>-0.27439892701019997</c:v>
                </c:pt>
                <c:pt idx="2">
                  <c:v>-0.35453726526693008</c:v>
                </c:pt>
                <c:pt idx="3">
                  <c:v>-0.3682103296409982</c:v>
                </c:pt>
                <c:pt idx="4">
                  <c:v>0.16839211858093361</c:v>
                </c:pt>
                <c:pt idx="5">
                  <c:v>3.6592462431966677E-2</c:v>
                </c:pt>
                <c:pt idx="6">
                  <c:v>-0.19180571744064778</c:v>
                </c:pt>
                <c:pt idx="7">
                  <c:v>-5.8600901281509632E-2</c:v>
                </c:pt>
              </c:numCache>
            </c:numRef>
          </c:val>
          <c:smooth val="0"/>
          <c:extLst>
            <c:ext xmlns:c16="http://schemas.microsoft.com/office/drawing/2014/chart" uri="{C3380CC4-5D6E-409C-BE32-E72D297353CC}">
              <c16:uniqueId val="{00000003-3566-4FC0-B515-0587867E2208}"/>
            </c:ext>
          </c:extLst>
        </c:ser>
        <c:dLbls>
          <c:showLegendKey val="0"/>
          <c:showVal val="0"/>
          <c:showCatName val="0"/>
          <c:showSerName val="0"/>
          <c:showPercent val="0"/>
          <c:showBubbleSize val="0"/>
        </c:dLbls>
        <c:marker val="1"/>
        <c:smooth val="0"/>
        <c:axId val="585820144"/>
        <c:axId val="585821808"/>
      </c:lineChart>
      <c:catAx>
        <c:axId val="58582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85821808"/>
        <c:crossesAt val="-0.4"/>
        <c:auto val="1"/>
        <c:lblAlgn val="ctr"/>
        <c:lblOffset val="100"/>
        <c:noMultiLvlLbl val="0"/>
      </c:catAx>
      <c:valAx>
        <c:axId val="585821808"/>
        <c:scaling>
          <c:orientation val="minMax"/>
          <c:min val="-0.4"/>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85820144"/>
        <c:crosses val="autoZero"/>
        <c:crossBetween val="between"/>
      </c:valAx>
      <c:spPr>
        <a:noFill/>
        <a:ln>
          <a:noFill/>
        </a:ln>
        <a:effectLst/>
      </c:spPr>
    </c:plotArea>
    <c:legend>
      <c:legendPos val="b"/>
      <c:layout>
        <c:manualLayout>
          <c:xMode val="edge"/>
          <c:yMode val="edge"/>
          <c:x val="0"/>
          <c:y val="0.85184966462525513"/>
          <c:w val="1"/>
          <c:h val="0.148150335374744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Tuniu</a:t>
            </a:r>
            <a:r>
              <a:rPr lang="zh-CN" altLang="en-US"/>
              <a:t>毛利润及毛利率</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'TOUR (RMB)'!$A$17</c:f>
              <c:strCache>
                <c:ptCount val="1"/>
                <c:pt idx="0">
                  <c:v>Gross profit</c:v>
                </c:pt>
              </c:strCache>
            </c:strRef>
          </c:tx>
          <c:spPr>
            <a:solidFill>
              <a:schemeClr val="accent1"/>
            </a:solidFill>
            <a:ln>
              <a:noFill/>
            </a:ln>
            <a:effectLst/>
          </c:spPr>
          <c:invertIfNegative val="0"/>
          <c:cat>
            <c:strRef>
              <c:f>'TOUR (RMB)'!$Y$2:$AF$2</c:f>
              <c:strCache>
                <c:ptCount val="8"/>
                <c:pt idx="0">
                  <c:v> 2018Q1 </c:v>
                </c:pt>
                <c:pt idx="1">
                  <c:v> 2018Q2 </c:v>
                </c:pt>
                <c:pt idx="2">
                  <c:v> 2018Q3 </c:v>
                </c:pt>
                <c:pt idx="3">
                  <c:v> 2018Q4 </c:v>
                </c:pt>
                <c:pt idx="4">
                  <c:v> 2019Q1 </c:v>
                </c:pt>
                <c:pt idx="5">
                  <c:v> 2019Q2 </c:v>
                </c:pt>
                <c:pt idx="6">
                  <c:v> 2019Q3 </c:v>
                </c:pt>
                <c:pt idx="7">
                  <c:v> 2019Q4 </c:v>
                </c:pt>
              </c:strCache>
            </c:strRef>
          </c:cat>
          <c:val>
            <c:numRef>
              <c:f>'TOUR (RMB)'!$Y$17:$AF$17</c:f>
              <c:numCache>
                <c:formatCode>_(* #,##0.00_);_(* \(#,##0.00\);_(* "-"??_);_(@_)</c:formatCode>
                <c:ptCount val="8"/>
                <c:pt idx="0">
                  <c:v>262.62599999999998</c:v>
                </c:pt>
                <c:pt idx="1">
                  <c:v>250.77499999999998</c:v>
                </c:pt>
                <c:pt idx="2">
                  <c:v>391.50899999999996</c:v>
                </c:pt>
                <c:pt idx="3">
                  <c:v>270.21699999999998</c:v>
                </c:pt>
                <c:pt idx="4">
                  <c:v>250.83799999999997</c:v>
                </c:pt>
                <c:pt idx="5">
                  <c:v>233.00000000000006</c:v>
                </c:pt>
                <c:pt idx="6">
                  <c:v>380.47699999999992</c:v>
                </c:pt>
                <c:pt idx="7">
                  <c:v>216.66000000000003</c:v>
                </c:pt>
              </c:numCache>
            </c:numRef>
          </c:val>
          <c:extLst>
            <c:ext xmlns:c16="http://schemas.microsoft.com/office/drawing/2014/chart" uri="{C3380CC4-5D6E-409C-BE32-E72D297353CC}">
              <c16:uniqueId val="{00000000-9CE7-4CD8-8D9D-53EC15137DA1}"/>
            </c:ext>
          </c:extLst>
        </c:ser>
        <c:dLbls>
          <c:showLegendKey val="0"/>
          <c:showVal val="0"/>
          <c:showCatName val="0"/>
          <c:showSerName val="0"/>
          <c:showPercent val="0"/>
          <c:showBubbleSize val="0"/>
        </c:dLbls>
        <c:gapWidth val="75"/>
        <c:overlap val="-25"/>
        <c:axId val="581656832"/>
        <c:axId val="581654752"/>
      </c:barChart>
      <c:lineChart>
        <c:grouping val="standard"/>
        <c:varyColors val="0"/>
        <c:ser>
          <c:idx val="1"/>
          <c:order val="1"/>
          <c:tx>
            <c:v>Gross Margin</c:v>
          </c:tx>
          <c:spPr>
            <a:ln w="28575" cap="rnd">
              <a:solidFill>
                <a:schemeClr val="accent2"/>
              </a:solidFill>
              <a:round/>
            </a:ln>
            <a:effectLst/>
          </c:spPr>
          <c:marker>
            <c:symbol val="square"/>
            <c:size val="5"/>
            <c:spPr>
              <a:solidFill>
                <a:schemeClr val="accent2"/>
              </a:solidFill>
              <a:ln w="9525">
                <a:solidFill>
                  <a:schemeClr val="accent2"/>
                </a:solidFill>
              </a:ln>
              <a:effectLst/>
            </c:spPr>
          </c:marker>
          <c:cat>
            <c:strRef>
              <c:f>'TOUR (RMB)'!$Y$2:$AF$2</c:f>
              <c:strCache>
                <c:ptCount val="8"/>
                <c:pt idx="0">
                  <c:v> 2018Q1 </c:v>
                </c:pt>
                <c:pt idx="1">
                  <c:v> 2018Q2 </c:v>
                </c:pt>
                <c:pt idx="2">
                  <c:v> 2018Q3 </c:v>
                </c:pt>
                <c:pt idx="3">
                  <c:v> 2018Q4 </c:v>
                </c:pt>
                <c:pt idx="4">
                  <c:v> 2019Q1 </c:v>
                </c:pt>
                <c:pt idx="5">
                  <c:v> 2019Q2 </c:v>
                </c:pt>
                <c:pt idx="6">
                  <c:v> 2019Q3 </c:v>
                </c:pt>
                <c:pt idx="7">
                  <c:v> 2019Q4 </c:v>
                </c:pt>
              </c:strCache>
            </c:strRef>
          </c:cat>
          <c:val>
            <c:numRef>
              <c:f>'TOUR (RMB)'!$Y$66:$AF$66</c:f>
              <c:numCache>
                <c:formatCode>0%</c:formatCode>
                <c:ptCount val="8"/>
                <c:pt idx="0">
                  <c:v>0.54653062328705837</c:v>
                </c:pt>
                <c:pt idx="1">
                  <c:v>0.47743931461208944</c:v>
                </c:pt>
                <c:pt idx="2">
                  <c:v>0.51302987298379965</c:v>
                </c:pt>
                <c:pt idx="3">
                  <c:v>0.57342302672764112</c:v>
                </c:pt>
                <c:pt idx="4">
                  <c:v>0.54905145373716502</c:v>
                </c:pt>
                <c:pt idx="5">
                  <c:v>0.44779274691061449</c:v>
                </c:pt>
                <c:pt idx="6">
                  <c:v>0.44629843158552845</c:v>
                </c:pt>
                <c:pt idx="7">
                  <c:v>0.48009785433973806</c:v>
                </c:pt>
              </c:numCache>
            </c:numRef>
          </c:val>
          <c:smooth val="0"/>
          <c:extLst>
            <c:ext xmlns:c16="http://schemas.microsoft.com/office/drawing/2014/chart" uri="{C3380CC4-5D6E-409C-BE32-E72D297353CC}">
              <c16:uniqueId val="{00000001-9CE7-4CD8-8D9D-53EC15137DA1}"/>
            </c:ext>
          </c:extLst>
        </c:ser>
        <c:dLbls>
          <c:showLegendKey val="0"/>
          <c:showVal val="0"/>
          <c:showCatName val="0"/>
          <c:showSerName val="0"/>
          <c:showPercent val="0"/>
          <c:showBubbleSize val="0"/>
        </c:dLbls>
        <c:marker val="1"/>
        <c:smooth val="0"/>
        <c:axId val="581665984"/>
        <c:axId val="581663072"/>
      </c:lineChart>
      <c:catAx>
        <c:axId val="58165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81654752"/>
        <c:crosses val="autoZero"/>
        <c:auto val="1"/>
        <c:lblAlgn val="ctr"/>
        <c:lblOffset val="100"/>
        <c:noMultiLvlLbl val="0"/>
      </c:catAx>
      <c:valAx>
        <c:axId val="581654752"/>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81656832"/>
        <c:crosses val="autoZero"/>
        <c:crossBetween val="between"/>
      </c:valAx>
      <c:valAx>
        <c:axId val="58166307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81665984"/>
        <c:crosses val="max"/>
        <c:crossBetween val="between"/>
      </c:valAx>
      <c:catAx>
        <c:axId val="581665984"/>
        <c:scaling>
          <c:orientation val="minMax"/>
        </c:scaling>
        <c:delete val="1"/>
        <c:axPos val="b"/>
        <c:numFmt formatCode="General" sourceLinked="1"/>
        <c:majorTickMark val="out"/>
        <c:minorTickMark val="none"/>
        <c:tickLblPos val="nextTo"/>
        <c:crossAx val="5816630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Tuniu</a:t>
            </a:r>
            <a:r>
              <a:rPr lang="zh-CN" altLang="en-US"/>
              <a:t>季度主要费用占收入比例</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v>R&amp;D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'TOUR (RMB)'!$Y$2:$AF$2</c:f>
              <c:strCache>
                <c:ptCount val="8"/>
                <c:pt idx="0">
                  <c:v> 2018Q1 </c:v>
                </c:pt>
                <c:pt idx="1">
                  <c:v> 2018Q2 </c:v>
                </c:pt>
                <c:pt idx="2">
                  <c:v> 2018Q3 </c:v>
                </c:pt>
                <c:pt idx="3">
                  <c:v> 2018Q4 </c:v>
                </c:pt>
                <c:pt idx="4">
                  <c:v> 2019Q1 </c:v>
                </c:pt>
                <c:pt idx="5">
                  <c:v> 2019Q2 </c:v>
                </c:pt>
                <c:pt idx="6">
                  <c:v> 2019Q3 </c:v>
                </c:pt>
                <c:pt idx="7">
                  <c:v> 2019Q4 </c:v>
                </c:pt>
              </c:strCache>
            </c:strRef>
          </c:cat>
          <c:val>
            <c:numRef>
              <c:f>'TOUR (RMB)'!$Y$69:$AF$69</c:f>
              <c:numCache>
                <c:formatCode>0%</c:formatCode>
                <c:ptCount val="8"/>
                <c:pt idx="0">
                  <c:v>0.31525439217746914</c:v>
                </c:pt>
                <c:pt idx="1">
                  <c:v>0.29964310637025227</c:v>
                </c:pt>
                <c:pt idx="2">
                  <c:v>0.19023828315568736</c:v>
                </c:pt>
                <c:pt idx="3">
                  <c:v>0.27267344393579973</c:v>
                </c:pt>
                <c:pt idx="4">
                  <c:v>0.29889809359028546</c:v>
                </c:pt>
                <c:pt idx="5">
                  <c:v>0.32654506437768238</c:v>
                </c:pt>
                <c:pt idx="6">
                  <c:v>0.16359727394822821</c:v>
                </c:pt>
                <c:pt idx="7">
                  <c:v>0.36092956706360191</c:v>
                </c:pt>
              </c:numCache>
            </c:numRef>
          </c:val>
          <c:smooth val="0"/>
          <c:extLst>
            <c:ext xmlns:c16="http://schemas.microsoft.com/office/drawing/2014/chart" uri="{C3380CC4-5D6E-409C-BE32-E72D297353CC}">
              <c16:uniqueId val="{00000006-A88C-414F-8C3A-583A2C695C5E}"/>
            </c:ext>
          </c:extLst>
        </c:ser>
        <c:ser>
          <c:idx val="1"/>
          <c:order val="1"/>
          <c:tx>
            <c:v>G&amp;A</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'TOUR (RMB)'!$Y$2:$AF$2</c:f>
              <c:strCache>
                <c:ptCount val="8"/>
                <c:pt idx="0">
                  <c:v> 2018Q1 </c:v>
                </c:pt>
                <c:pt idx="1">
                  <c:v> 2018Q2 </c:v>
                </c:pt>
                <c:pt idx="2">
                  <c:v> 2018Q3 </c:v>
                </c:pt>
                <c:pt idx="3">
                  <c:v> 2018Q4 </c:v>
                </c:pt>
                <c:pt idx="4">
                  <c:v> 2019Q1 </c:v>
                </c:pt>
                <c:pt idx="5">
                  <c:v> 2019Q2 </c:v>
                </c:pt>
                <c:pt idx="6">
                  <c:v> 2019Q3 </c:v>
                </c:pt>
                <c:pt idx="7">
                  <c:v> 2019Q4 </c:v>
                </c:pt>
              </c:strCache>
            </c:strRef>
          </c:cat>
          <c:val>
            <c:numRef>
              <c:f>'TOUR (RMB)'!$Y$70:$AF$70</c:f>
              <c:numCache>
                <c:formatCode>0%</c:formatCode>
                <c:ptCount val="8"/>
                <c:pt idx="0">
                  <c:v>0.70688355303739925</c:v>
                </c:pt>
                <c:pt idx="1">
                  <c:v>0.69148439836506836</c:v>
                </c:pt>
                <c:pt idx="2">
                  <c:v>0.53384979655640097</c:v>
                </c:pt>
                <c:pt idx="3">
                  <c:v>0.77256797314750736</c:v>
                </c:pt>
                <c:pt idx="4">
                  <c:v>0.86671078544718116</c:v>
                </c:pt>
                <c:pt idx="5">
                  <c:v>0.95735193133047181</c:v>
                </c:pt>
                <c:pt idx="6">
                  <c:v>0.6304034146610703</c:v>
                </c:pt>
                <c:pt idx="7">
                  <c:v>1.106023262254223</c:v>
                </c:pt>
              </c:numCache>
            </c:numRef>
          </c:val>
          <c:smooth val="0"/>
          <c:extLst>
            <c:ext xmlns:c16="http://schemas.microsoft.com/office/drawing/2014/chart" uri="{C3380CC4-5D6E-409C-BE32-E72D297353CC}">
              <c16:uniqueId val="{00000007-A88C-414F-8C3A-583A2C695C5E}"/>
            </c:ext>
          </c:extLst>
        </c:ser>
        <c:ser>
          <c:idx val="2"/>
          <c:order val="2"/>
          <c:tx>
            <c:v>S&amp;M</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'TOUR (RMB)'!$Y$2:$AF$2</c:f>
              <c:strCache>
                <c:ptCount val="8"/>
                <c:pt idx="0">
                  <c:v> 2018Q1 </c:v>
                </c:pt>
                <c:pt idx="1">
                  <c:v> 2018Q2 </c:v>
                </c:pt>
                <c:pt idx="2">
                  <c:v> 2018Q3 </c:v>
                </c:pt>
                <c:pt idx="3">
                  <c:v> 2018Q4 </c:v>
                </c:pt>
                <c:pt idx="4">
                  <c:v> 2019Q1 </c:v>
                </c:pt>
                <c:pt idx="5">
                  <c:v> 2019Q2 </c:v>
                </c:pt>
                <c:pt idx="6">
                  <c:v> 2019Q3 </c:v>
                </c:pt>
                <c:pt idx="7">
                  <c:v> 2019Q4 </c:v>
                </c:pt>
              </c:strCache>
            </c:strRef>
          </c:cat>
          <c:val>
            <c:numRef>
              <c:f>'TOUR (RMB)'!$Y$71:$AF$71</c:f>
              <c:numCache>
                <c:formatCode>0%</c:formatCode>
                <c:ptCount val="8"/>
                <c:pt idx="0">
                  <c:v>0.39561962638885717</c:v>
                </c:pt>
                <c:pt idx="1">
                  <c:v>0.42600737713089432</c:v>
                </c:pt>
                <c:pt idx="2">
                  <c:v>0.27637934249276525</c:v>
                </c:pt>
                <c:pt idx="3">
                  <c:v>0.4130347091411718</c:v>
                </c:pt>
                <c:pt idx="4">
                  <c:v>0.47934124813624734</c:v>
                </c:pt>
                <c:pt idx="5">
                  <c:v>0.53933905579399133</c:v>
                </c:pt>
                <c:pt idx="6">
                  <c:v>0.32896075189827512</c:v>
                </c:pt>
                <c:pt idx="7">
                  <c:v>1.5507569463675805</c:v>
                </c:pt>
              </c:numCache>
            </c:numRef>
          </c:val>
          <c:smooth val="0"/>
          <c:extLst>
            <c:ext xmlns:c16="http://schemas.microsoft.com/office/drawing/2014/chart" uri="{C3380CC4-5D6E-409C-BE32-E72D297353CC}">
              <c16:uniqueId val="{00000008-A88C-414F-8C3A-583A2C695C5E}"/>
            </c:ext>
          </c:extLst>
        </c:ser>
        <c:dLbls>
          <c:showLegendKey val="0"/>
          <c:showVal val="0"/>
          <c:showCatName val="0"/>
          <c:showSerName val="0"/>
          <c:showPercent val="0"/>
          <c:showBubbleSize val="0"/>
        </c:dLbls>
        <c:marker val="1"/>
        <c:smooth val="0"/>
        <c:axId val="502180672"/>
        <c:axId val="502179840"/>
      </c:lineChart>
      <c:catAx>
        <c:axId val="50218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02179840"/>
        <c:crosses val="autoZero"/>
        <c:auto val="1"/>
        <c:lblAlgn val="ctr"/>
        <c:lblOffset val="100"/>
        <c:noMultiLvlLbl val="0"/>
      </c:catAx>
      <c:valAx>
        <c:axId val="502179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02180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Tuniu</a:t>
            </a:r>
            <a:r>
              <a:rPr lang="zh-CN" altLang="en-US"/>
              <a:t>运营利润</a:t>
            </a:r>
            <a:r>
              <a:rPr lang="en-US" altLang="zh-CN"/>
              <a:t>/</a:t>
            </a:r>
            <a:r>
              <a:rPr lang="zh-CN" altLang="en-US"/>
              <a:t>亏损</a:t>
            </a:r>
            <a:r>
              <a:rPr lang="en-US" altLang="zh-CN"/>
              <a:t>(GAAP)</a:t>
            </a:r>
          </a:p>
        </c:rich>
      </c:tx>
      <c:layout>
        <c:manualLayout>
          <c:xMode val="edge"/>
          <c:yMode val="edge"/>
          <c:x val="0.266451224846894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'TOUR (RMB)'!$A$40</c:f>
              <c:strCache>
                <c:ptCount val="1"/>
                <c:pt idx="0">
                  <c:v>Income (loss) from Operations (GAAP)</c:v>
                </c:pt>
              </c:strCache>
            </c:strRef>
          </c:tx>
          <c:spPr>
            <a:solidFill>
              <a:schemeClr val="accent1"/>
            </a:solidFill>
            <a:ln>
              <a:noFill/>
            </a:ln>
            <a:effectLst/>
          </c:spPr>
          <c:invertIfNegative val="0"/>
          <c:cat>
            <c:strRef>
              <c:f>'TOUR (RMB)'!$Y$2:$AF$2</c:f>
              <c:strCache>
                <c:ptCount val="8"/>
                <c:pt idx="0">
                  <c:v> 2018Q1 </c:v>
                </c:pt>
                <c:pt idx="1">
                  <c:v> 2018Q2 </c:v>
                </c:pt>
                <c:pt idx="2">
                  <c:v> 2018Q3 </c:v>
                </c:pt>
                <c:pt idx="3">
                  <c:v> 2018Q4 </c:v>
                </c:pt>
                <c:pt idx="4">
                  <c:v> 2019Q1 </c:v>
                </c:pt>
                <c:pt idx="5">
                  <c:v> 2019Q2 </c:v>
                </c:pt>
                <c:pt idx="6">
                  <c:v> 2019Q3 </c:v>
                </c:pt>
                <c:pt idx="7">
                  <c:v> 2019Q4 </c:v>
                </c:pt>
              </c:strCache>
            </c:strRef>
          </c:cat>
          <c:val>
            <c:numRef>
              <c:f>'TOUR (RMB)'!$Y$40:$AF$40</c:f>
              <c:numCache>
                <c:formatCode>_(* #,##0.00_);_(* \(#,##0.00\);_(* "-"??_);_(@_)</c:formatCode>
                <c:ptCount val="8"/>
                <c:pt idx="0">
                  <c:v>-121.13299999999998</c:v>
                </c:pt>
                <c:pt idx="1">
                  <c:v>-121.14600000000007</c:v>
                </c:pt>
                <c:pt idx="2">
                  <c:v>-3.6040000000000418</c:v>
                </c:pt>
                <c:pt idx="3">
                  <c:v>-103.11099999999999</c:v>
                </c:pt>
                <c:pt idx="4">
                  <c:v>-180.52700000000004</c:v>
                </c:pt>
                <c:pt idx="5">
                  <c:v>-199.24299999999994</c:v>
                </c:pt>
                <c:pt idx="6">
                  <c:v>-56.856000000000108</c:v>
                </c:pt>
                <c:pt idx="7">
                  <c:v>-434.21800000000002</c:v>
                </c:pt>
              </c:numCache>
            </c:numRef>
          </c:val>
          <c:extLst>
            <c:ext xmlns:c16="http://schemas.microsoft.com/office/drawing/2014/chart" uri="{C3380CC4-5D6E-409C-BE32-E72D297353CC}">
              <c16:uniqueId val="{00000002-3A08-4CFB-8462-844123EDF711}"/>
            </c:ext>
          </c:extLst>
        </c:ser>
        <c:dLbls>
          <c:showLegendKey val="0"/>
          <c:showVal val="0"/>
          <c:showCatName val="0"/>
          <c:showSerName val="0"/>
          <c:showPercent val="0"/>
          <c:showBubbleSize val="0"/>
        </c:dLbls>
        <c:gapWidth val="75"/>
        <c:axId val="562876064"/>
        <c:axId val="562872736"/>
      </c:barChart>
      <c:lineChart>
        <c:grouping val="standard"/>
        <c:varyColors val="0"/>
        <c:ser>
          <c:idx val="1"/>
          <c:order val="1"/>
          <c:tx>
            <c:strRef>
              <c:f>'TOUR (RMB)'!$A$82</c:f>
              <c:strCache>
                <c:ptCount val="1"/>
                <c:pt idx="0">
                  <c:v>Operating Margin (GAAP)</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cat>
            <c:strRef>
              <c:f>'TOUR (RMB)'!$Y$2:$AF$2</c:f>
              <c:strCache>
                <c:ptCount val="8"/>
                <c:pt idx="0">
                  <c:v> 2018Q1 </c:v>
                </c:pt>
                <c:pt idx="1">
                  <c:v> 2018Q2 </c:v>
                </c:pt>
                <c:pt idx="2">
                  <c:v> 2018Q3 </c:v>
                </c:pt>
                <c:pt idx="3">
                  <c:v> 2018Q4 </c:v>
                </c:pt>
                <c:pt idx="4">
                  <c:v> 2019Q1 </c:v>
                </c:pt>
                <c:pt idx="5">
                  <c:v> 2019Q2 </c:v>
                </c:pt>
                <c:pt idx="6">
                  <c:v> 2019Q3 </c:v>
                </c:pt>
                <c:pt idx="7">
                  <c:v> 2019Q4 </c:v>
                </c:pt>
              </c:strCache>
            </c:strRef>
          </c:cat>
          <c:val>
            <c:numRef>
              <c:f>'TOUR (RMB)'!$Y$82:$AF$82</c:f>
              <c:numCache>
                <c:formatCode>0%</c:formatCode>
                <c:ptCount val="8"/>
                <c:pt idx="0">
                  <c:v>-0.25208050227559814</c:v>
                </c:pt>
                <c:pt idx="1">
                  <c:v>-0.2306444550214185</c:v>
                </c:pt>
                <c:pt idx="2">
                  <c:v>-4.7226491912922448E-3</c:v>
                </c:pt>
                <c:pt idx="3">
                  <c:v>-0.21881014780311306</c:v>
                </c:pt>
                <c:pt idx="4" formatCode="0.0%">
                  <c:v>-0.39514990467476707</c:v>
                </c:pt>
                <c:pt idx="5" formatCode="0.0%">
                  <c:v>-0.38291661061249577</c:v>
                </c:pt>
                <c:pt idx="6" formatCode="0.0%">
                  <c:v>-6.6691925205010702E-2</c:v>
                </c:pt>
                <c:pt idx="7" formatCode="0.0%">
                  <c:v>-0.96218559085983746</c:v>
                </c:pt>
              </c:numCache>
            </c:numRef>
          </c:val>
          <c:smooth val="0"/>
          <c:extLst>
            <c:ext xmlns:c16="http://schemas.microsoft.com/office/drawing/2014/chart" uri="{C3380CC4-5D6E-409C-BE32-E72D297353CC}">
              <c16:uniqueId val="{00000001-A49C-4161-842A-883357496F70}"/>
            </c:ext>
          </c:extLst>
        </c:ser>
        <c:dLbls>
          <c:showLegendKey val="0"/>
          <c:showVal val="0"/>
          <c:showCatName val="0"/>
          <c:showSerName val="0"/>
          <c:showPercent val="0"/>
          <c:showBubbleSize val="0"/>
        </c:dLbls>
        <c:marker val="1"/>
        <c:smooth val="0"/>
        <c:axId val="854709696"/>
        <c:axId val="854706368"/>
      </c:lineChart>
      <c:catAx>
        <c:axId val="562876064"/>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62872736"/>
        <c:crosses val="autoZero"/>
        <c:auto val="1"/>
        <c:lblAlgn val="ctr"/>
        <c:lblOffset val="100"/>
        <c:noMultiLvlLbl val="0"/>
      </c:catAx>
      <c:valAx>
        <c:axId val="56287273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62876064"/>
        <c:crosses val="autoZero"/>
        <c:crossBetween val="between"/>
        <c:majorUnit val="150"/>
      </c:valAx>
      <c:valAx>
        <c:axId val="85470636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54709696"/>
        <c:crosses val="max"/>
        <c:crossBetween val="between"/>
      </c:valAx>
      <c:catAx>
        <c:axId val="854709696"/>
        <c:scaling>
          <c:orientation val="minMax"/>
        </c:scaling>
        <c:delete val="1"/>
        <c:axPos val="b"/>
        <c:numFmt formatCode="General" sourceLinked="1"/>
        <c:majorTickMark val="out"/>
        <c:minorTickMark val="none"/>
        <c:tickLblPos val="nextTo"/>
        <c:crossAx val="8547063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200"/>
              <a:t>Tuniu</a:t>
            </a:r>
            <a:r>
              <a:rPr lang="zh-CN" altLang="en-US" sz="1200"/>
              <a:t>运营利润</a:t>
            </a:r>
            <a:r>
              <a:rPr lang="en-US" altLang="zh-CN" sz="1200"/>
              <a:t>/</a:t>
            </a:r>
            <a:r>
              <a:rPr lang="zh-CN" altLang="en-US" sz="1200"/>
              <a:t>亏损</a:t>
            </a:r>
            <a:r>
              <a:rPr lang="en-US" altLang="zh-CN" sz="1200"/>
              <a:t>(non-GAAP - comparable to Ctrip)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'TOUR (RMB)'!$A$41</c:f>
              <c:strCache>
                <c:ptCount val="1"/>
                <c:pt idx="0">
                  <c:v>Income (loss) from Operations (non-GAAP - comparable to Ctrip)</c:v>
                </c:pt>
              </c:strCache>
            </c:strRef>
          </c:tx>
          <c:spPr>
            <a:solidFill>
              <a:schemeClr val="accent1"/>
            </a:solidFill>
            <a:ln>
              <a:noFill/>
            </a:ln>
            <a:effectLst/>
          </c:spPr>
          <c:invertIfNegative val="0"/>
          <c:cat>
            <c:strRef>
              <c:f>'TOUR (RMB)'!$Y$2:$AF$2</c:f>
              <c:strCache>
                <c:ptCount val="8"/>
                <c:pt idx="0">
                  <c:v> 2018Q1 </c:v>
                </c:pt>
                <c:pt idx="1">
                  <c:v> 2018Q2 </c:v>
                </c:pt>
                <c:pt idx="2">
                  <c:v> 2018Q3 </c:v>
                </c:pt>
                <c:pt idx="3">
                  <c:v> 2018Q4 </c:v>
                </c:pt>
                <c:pt idx="4">
                  <c:v> 2019Q1 </c:v>
                </c:pt>
                <c:pt idx="5">
                  <c:v> 2019Q2 </c:v>
                </c:pt>
                <c:pt idx="6">
                  <c:v> 2019Q3 </c:v>
                </c:pt>
                <c:pt idx="7">
                  <c:v> 2019Q4 </c:v>
                </c:pt>
              </c:strCache>
            </c:strRef>
          </c:cat>
          <c:val>
            <c:numRef>
              <c:f>'TOUR (RMB)'!$Y$216:$AF$216</c:f>
              <c:numCache>
                <c:formatCode>General</c:formatCode>
                <c:ptCount val="8"/>
                <c:pt idx="0" formatCode="_ [$HKD]\ * #,##0.00_ ;_ [$HKD]\ * \-#,##0.00_ ;_ [$HKD]\ * &quot;-&quot;??_ ;_ @_ ">
                  <c:v>-109.71399999999998</c:v>
                </c:pt>
                <c:pt idx="1">
                  <c:v>-104.60700000000006</c:v>
                </c:pt>
                <c:pt idx="2">
                  <c:v>-0.18300000000004424</c:v>
                </c:pt>
                <c:pt idx="3">
                  <c:v>-123.83400000000006</c:v>
                </c:pt>
                <c:pt idx="4">
                  <c:v>-161.77800000000002</c:v>
                </c:pt>
                <c:pt idx="5">
                  <c:v>-191.81399999999996</c:v>
                </c:pt>
                <c:pt idx="6">
                  <c:v>-46.784000000000098</c:v>
                </c:pt>
                <c:pt idx="7">
                  <c:v>-437.15700000000004</c:v>
                </c:pt>
              </c:numCache>
            </c:numRef>
          </c:val>
          <c:extLst>
            <c:ext xmlns:c16="http://schemas.microsoft.com/office/drawing/2014/chart" uri="{C3380CC4-5D6E-409C-BE32-E72D297353CC}">
              <c16:uniqueId val="{00000000-169E-4E29-9E10-B9C9F41039BB}"/>
            </c:ext>
          </c:extLst>
        </c:ser>
        <c:dLbls>
          <c:showLegendKey val="0"/>
          <c:showVal val="0"/>
          <c:showCatName val="0"/>
          <c:showSerName val="0"/>
          <c:showPercent val="0"/>
          <c:showBubbleSize val="0"/>
        </c:dLbls>
        <c:gapWidth val="75"/>
        <c:axId val="562867328"/>
        <c:axId val="562870240"/>
      </c:barChart>
      <c:lineChart>
        <c:grouping val="standard"/>
        <c:varyColors val="0"/>
        <c:ser>
          <c:idx val="1"/>
          <c:order val="1"/>
          <c:tx>
            <c:strRef>
              <c:f>'TOUR (RMB)'!$A$83</c:f>
              <c:strCache>
                <c:ptCount val="1"/>
                <c:pt idx="0">
                  <c:v>Operating Margin (Non-GAAP, comprable to Ctrip)</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cat>
            <c:strRef>
              <c:f>'TOUR (RMB)'!$Y$2:$AF$2</c:f>
              <c:strCache>
                <c:ptCount val="8"/>
                <c:pt idx="0">
                  <c:v> 2018Q1 </c:v>
                </c:pt>
                <c:pt idx="1">
                  <c:v> 2018Q2 </c:v>
                </c:pt>
                <c:pt idx="2">
                  <c:v> 2018Q3 </c:v>
                </c:pt>
                <c:pt idx="3">
                  <c:v> 2018Q4 </c:v>
                </c:pt>
                <c:pt idx="4">
                  <c:v> 2019Q1 </c:v>
                </c:pt>
                <c:pt idx="5">
                  <c:v> 2019Q2 </c:v>
                </c:pt>
                <c:pt idx="6">
                  <c:v> 2019Q3 </c:v>
                </c:pt>
                <c:pt idx="7">
                  <c:v> 2019Q4 </c:v>
                </c:pt>
              </c:strCache>
            </c:strRef>
          </c:cat>
          <c:val>
            <c:numRef>
              <c:f>'TOUR (RMB)'!$Y$217:$AF$217</c:f>
              <c:numCache>
                <c:formatCode>0%</c:formatCode>
                <c:ptCount val="8"/>
                <c:pt idx="0">
                  <c:v>-0.22831730599147196</c:v>
                </c:pt>
                <c:pt idx="1">
                  <c:v>-0.19915659209900058</c:v>
                </c:pt>
                <c:pt idx="2">
                  <c:v>-2.3980155438587116E-4</c:v>
                </c:pt>
                <c:pt idx="3">
                  <c:v>-0.26278608337665932</c:v>
                </c:pt>
                <c:pt idx="4">
                  <c:v>-0.35411080491269703</c:v>
                </c:pt>
                <c:pt idx="5">
                  <c:v>-0.36863913285799388</c:v>
                </c:pt>
                <c:pt idx="6">
                  <c:v>-5.4877498044027397E-2</c:v>
                </c:pt>
                <c:pt idx="7">
                  <c:v>-0.96869813398687743</c:v>
                </c:pt>
              </c:numCache>
            </c:numRef>
          </c:val>
          <c:smooth val="0"/>
          <c:extLst>
            <c:ext xmlns:c16="http://schemas.microsoft.com/office/drawing/2014/chart" uri="{C3380CC4-5D6E-409C-BE32-E72D297353CC}">
              <c16:uniqueId val="{00000000-C3EA-4971-9A69-33E7BA6F4FE6}"/>
            </c:ext>
          </c:extLst>
        </c:ser>
        <c:dLbls>
          <c:showLegendKey val="0"/>
          <c:showVal val="0"/>
          <c:showCatName val="0"/>
          <c:showSerName val="0"/>
          <c:showPercent val="0"/>
          <c:showBubbleSize val="0"/>
        </c:dLbls>
        <c:marker val="1"/>
        <c:smooth val="0"/>
        <c:axId val="854715520"/>
        <c:axId val="854711360"/>
      </c:lineChart>
      <c:catAx>
        <c:axId val="562867328"/>
        <c:scaling>
          <c:orientation val="minMax"/>
        </c:scaling>
        <c:delete val="0"/>
        <c:axPos val="b"/>
        <c:numFmt formatCode="#,##0_);[Red]\(#,##0\)" sourceLinked="0"/>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62870240"/>
        <c:crosses val="autoZero"/>
        <c:auto val="1"/>
        <c:lblAlgn val="ctr"/>
        <c:lblOffset val="100"/>
        <c:noMultiLvlLbl val="0"/>
      </c:catAx>
      <c:valAx>
        <c:axId val="56287024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62867328"/>
        <c:crosses val="autoZero"/>
        <c:crossBetween val="between"/>
        <c:majorUnit val="150"/>
      </c:valAx>
      <c:valAx>
        <c:axId val="85471136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854715520"/>
        <c:crosses val="max"/>
        <c:crossBetween val="between"/>
      </c:valAx>
      <c:catAx>
        <c:axId val="854715520"/>
        <c:scaling>
          <c:orientation val="minMax"/>
        </c:scaling>
        <c:delete val="1"/>
        <c:axPos val="b"/>
        <c:numFmt formatCode="General" sourceLinked="1"/>
        <c:majorTickMark val="out"/>
        <c:minorTickMark val="none"/>
        <c:tickLblPos val="nextTo"/>
        <c:crossAx val="8547113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Tuniu</a:t>
            </a:r>
            <a:r>
              <a:rPr lang="zh-CN" altLang="en-US"/>
              <a:t>归属股东净利润</a:t>
            </a:r>
            <a:r>
              <a:rPr lang="en-US" altLang="zh-CN"/>
              <a:t>(GAAP)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'TOUR (RMB)'!$A$43</c:f>
              <c:strCache>
                <c:ptCount val="1"/>
                <c:pt idx="0">
                  <c:v>Net (loss)/income attributable to ordinary shareholders (GAAP)</c:v>
                </c:pt>
              </c:strCache>
            </c:strRef>
          </c:tx>
          <c:spPr>
            <a:solidFill>
              <a:schemeClr val="accent1"/>
            </a:solidFill>
            <a:ln>
              <a:noFill/>
            </a:ln>
            <a:effectLst/>
          </c:spPr>
          <c:invertIfNegative val="0"/>
          <c:cat>
            <c:strRef>
              <c:f>'TOUR (RMB)'!$Y$2:$AF$2</c:f>
              <c:strCache>
                <c:ptCount val="8"/>
                <c:pt idx="0">
                  <c:v> 2018Q1 </c:v>
                </c:pt>
                <c:pt idx="1">
                  <c:v> 2018Q2 </c:v>
                </c:pt>
                <c:pt idx="2">
                  <c:v> 2018Q3 </c:v>
                </c:pt>
                <c:pt idx="3">
                  <c:v> 2018Q4 </c:v>
                </c:pt>
                <c:pt idx="4">
                  <c:v> 2019Q1 </c:v>
                </c:pt>
                <c:pt idx="5">
                  <c:v> 2019Q2 </c:v>
                </c:pt>
                <c:pt idx="6">
                  <c:v> 2019Q3 </c:v>
                </c:pt>
                <c:pt idx="7">
                  <c:v> 2019Q4 </c:v>
                </c:pt>
              </c:strCache>
            </c:strRef>
          </c:cat>
          <c:val>
            <c:numRef>
              <c:f>'TOUR (RMB)'!$Y$43:$AF$43</c:f>
              <c:numCache>
                <c:formatCode>_(* #,##0.00_);_(* \(#,##0.00\);_(* "-"??_);_(@_)</c:formatCode>
                <c:ptCount val="8"/>
                <c:pt idx="0">
                  <c:v>-74.673000000000002</c:v>
                </c:pt>
                <c:pt idx="1">
                  <c:v>-79.620999999999995</c:v>
                </c:pt>
                <c:pt idx="2">
                  <c:v>31.021000000000001</c:v>
                </c:pt>
                <c:pt idx="3">
                  <c:v>-64.661000000000001</c:v>
                </c:pt>
                <c:pt idx="4">
                  <c:v>-150.602</c:v>
                </c:pt>
                <c:pt idx="5">
                  <c:v>-167.988</c:v>
                </c:pt>
                <c:pt idx="6">
                  <c:v>-13.472</c:v>
                </c:pt>
                <c:pt idx="7" formatCode="_(* #,##0.00_);[Red]_(* \(#,##0.00\);_(* &quot;-&quot;??_)">
                  <c:v>-367.137</c:v>
                </c:pt>
              </c:numCache>
            </c:numRef>
          </c:val>
          <c:extLst>
            <c:ext xmlns:c16="http://schemas.microsoft.com/office/drawing/2014/chart" uri="{C3380CC4-5D6E-409C-BE32-E72D297353CC}">
              <c16:uniqueId val="{00000000-1738-4331-9629-D8EE74D3888C}"/>
            </c:ext>
          </c:extLst>
        </c:ser>
        <c:dLbls>
          <c:showLegendKey val="0"/>
          <c:showVal val="0"/>
          <c:showCatName val="0"/>
          <c:showSerName val="0"/>
          <c:showPercent val="0"/>
          <c:showBubbleSize val="0"/>
        </c:dLbls>
        <c:gapWidth val="75"/>
        <c:overlap val="-25"/>
        <c:axId val="620478800"/>
        <c:axId val="620479216"/>
      </c:barChart>
      <c:catAx>
        <c:axId val="620478800"/>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20479216"/>
        <c:crosses val="autoZero"/>
        <c:auto val="1"/>
        <c:lblAlgn val="ctr"/>
        <c:lblOffset val="100"/>
        <c:noMultiLvlLbl val="0"/>
      </c:catAx>
      <c:valAx>
        <c:axId val="62047921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20478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Tuniu</a:t>
            </a:r>
            <a:r>
              <a:rPr lang="zh-CN" altLang="en-US"/>
              <a:t>归属股东净利润</a:t>
            </a:r>
            <a:r>
              <a:rPr lang="en-US" altLang="zh-CN"/>
              <a:t>(Non-GAAP)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spPr>
            <a:solidFill>
              <a:schemeClr val="accent1"/>
            </a:solidFill>
            <a:ln>
              <a:noFill/>
            </a:ln>
            <a:effectLst/>
          </c:spPr>
          <c:invertIfNegative val="0"/>
          <c:cat>
            <c:strRef>
              <c:f>'TOUR (RMB)'!$Y$2:$AF$2</c:f>
              <c:strCache>
                <c:ptCount val="8"/>
                <c:pt idx="0">
                  <c:v> 2018Q1 </c:v>
                </c:pt>
                <c:pt idx="1">
                  <c:v> 2018Q2 </c:v>
                </c:pt>
                <c:pt idx="2">
                  <c:v> 2018Q3 </c:v>
                </c:pt>
                <c:pt idx="3">
                  <c:v> 2018Q4 </c:v>
                </c:pt>
                <c:pt idx="4">
                  <c:v> 2019Q1 </c:v>
                </c:pt>
                <c:pt idx="5">
                  <c:v> 2019Q2 </c:v>
                </c:pt>
                <c:pt idx="6">
                  <c:v> 2019Q3 </c:v>
                </c:pt>
                <c:pt idx="7">
                  <c:v> 2019Q4 </c:v>
                </c:pt>
              </c:strCache>
            </c:strRef>
          </c:cat>
          <c:val>
            <c:numRef>
              <c:f>'TOUR (RMB)'!$Y$44:$AF$44</c:f>
              <c:numCache>
                <c:formatCode>_(* #,##0.00_);_(* \(#,##0.00\);_(* "-"??_);_(@_)</c:formatCode>
                <c:ptCount val="8"/>
                <c:pt idx="0">
                  <c:v>-26.949000000000002</c:v>
                </c:pt>
                <c:pt idx="1">
                  <c:v>-19.411000000000001</c:v>
                </c:pt>
                <c:pt idx="2">
                  <c:v>86.055000000000007</c:v>
                </c:pt>
                <c:pt idx="3">
                  <c:v>-17.329000000000001</c:v>
                </c:pt>
                <c:pt idx="4">
                  <c:v>-92.061999999999998</c:v>
                </c:pt>
                <c:pt idx="5">
                  <c:v>-116.42700000000001</c:v>
                </c:pt>
                <c:pt idx="6" formatCode="_(* #,##0.00_);[Red]_(* \(#,##0.00\);_(* &quot;-&quot;??_)">
                  <c:v>38.183</c:v>
                </c:pt>
                <c:pt idx="7" formatCode="_(* #,##0.00_);[Red]_(* \(#,##0.00\);_(* &quot;-&quot;??_)">
                  <c:v>-292.11200000000002</c:v>
                </c:pt>
              </c:numCache>
            </c:numRef>
          </c:val>
          <c:extLst>
            <c:ext xmlns:c15="http://schemas.microsoft.com/office/drawing/2012/chart" uri="{02D57815-91ED-43cb-92C2-25804820EDAC}">
              <c15:filteredSeriesTitle>
                <c15:tx>
                  <c:v>Net(loss)/income attributable to ordinary shareholders(Non-GAAP)</c:v>
                </c15:tx>
              </c15:filteredSeriesTitle>
            </c:ext>
            <c:ext xmlns:c16="http://schemas.microsoft.com/office/drawing/2014/chart" uri="{C3380CC4-5D6E-409C-BE32-E72D297353CC}">
              <c16:uniqueId val="{00000000-2D65-4F6A-9C44-2D919174EF26}"/>
            </c:ext>
          </c:extLst>
        </c:ser>
        <c:dLbls>
          <c:showLegendKey val="0"/>
          <c:showVal val="0"/>
          <c:showCatName val="0"/>
          <c:showSerName val="0"/>
          <c:showPercent val="0"/>
          <c:showBubbleSize val="0"/>
        </c:dLbls>
        <c:gapWidth val="219"/>
        <c:overlap val="-27"/>
        <c:axId val="620480880"/>
        <c:axId val="620480464"/>
      </c:barChart>
      <c:catAx>
        <c:axId val="620480880"/>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20480464"/>
        <c:crosses val="autoZero"/>
        <c:auto val="1"/>
        <c:lblAlgn val="ctr"/>
        <c:lblOffset val="100"/>
        <c:noMultiLvlLbl val="0"/>
      </c:catAx>
      <c:valAx>
        <c:axId val="620480464"/>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20480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Tuniu</a:t>
            </a:r>
            <a:r>
              <a:rPr lang="en-US" altLang="zh-CN" baseline="0"/>
              <a:t> vs. Ctrip GMV</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0.12212292213473316"/>
          <c:y val="0.17661904761904762"/>
          <c:w val="0.79410148731408559"/>
          <c:h val="0.64123697037870264"/>
        </c:manualLayout>
      </c:layout>
      <c:barChart>
        <c:barDir val="col"/>
        <c:grouping val="clustered"/>
        <c:varyColors val="0"/>
        <c:ser>
          <c:idx val="0"/>
          <c:order val="0"/>
          <c:tx>
            <c:strRef>
              <c:f>'TOUR VS. CTRIP'!$B$3</c:f>
              <c:strCache>
                <c:ptCount val="1"/>
                <c:pt idx="0">
                  <c:v> Tuniu Package GMV  </c:v>
                </c:pt>
              </c:strCache>
            </c:strRef>
          </c:tx>
          <c:spPr>
            <a:solidFill>
              <a:schemeClr val="accent1"/>
            </a:solidFill>
            <a:ln>
              <a:noFill/>
            </a:ln>
            <a:effectLst/>
          </c:spPr>
          <c:invertIfNegative val="0"/>
          <c:cat>
            <c:strRef>
              <c:f>'TOUR VS. CTRIP'!$C$2:$M$2</c:f>
              <c:strCache>
                <c:ptCount val="11"/>
                <c:pt idx="0">
                  <c:v>1Q17</c:v>
                </c:pt>
                <c:pt idx="1">
                  <c:v>2Q17</c:v>
                </c:pt>
                <c:pt idx="2">
                  <c:v>3Q17</c:v>
                </c:pt>
                <c:pt idx="3">
                  <c:v>4Q17</c:v>
                </c:pt>
                <c:pt idx="4">
                  <c:v>1Q18</c:v>
                </c:pt>
                <c:pt idx="5">
                  <c:v>2Q18</c:v>
                </c:pt>
                <c:pt idx="6">
                  <c:v>3Q18</c:v>
                </c:pt>
                <c:pt idx="7">
                  <c:v>4Q18</c:v>
                </c:pt>
                <c:pt idx="8">
                  <c:v>1Q19</c:v>
                </c:pt>
                <c:pt idx="9">
                  <c:v>2Q19</c:v>
                </c:pt>
                <c:pt idx="10">
                  <c:v>3Q19</c:v>
                </c:pt>
              </c:strCache>
            </c:strRef>
          </c:cat>
          <c:val>
            <c:numRef>
              <c:f>'TOUR VS. CTRIP'!$C$3:$M$3</c:f>
              <c:numCache>
                <c:formatCode>_(* #,##0_);_(* \(#,##0\);_(* "-"??_);_(@_)</c:formatCode>
                <c:ptCount val="11"/>
                <c:pt idx="0">
                  <c:v>4009.3308279999997</c:v>
                </c:pt>
                <c:pt idx="1">
                  <c:v>3997.1284568000005</c:v>
                </c:pt>
                <c:pt idx="2">
                  <c:v>6678.1897592208843</c:v>
                </c:pt>
                <c:pt idx="3">
                  <c:v>3072.6211542219726</c:v>
                </c:pt>
                <c:pt idx="4">
                  <c:v>4227.0034045367993</c:v>
                </c:pt>
                <c:pt idx="5">
                  <c:v>4405.2352722392816</c:v>
                </c:pt>
                <c:pt idx="6">
                  <c:v>6789.9812510415613</c:v>
                </c:pt>
                <c:pt idx="7">
                  <c:v>3090.0164167813091</c:v>
                </c:pt>
                <c:pt idx="8">
                  <c:v>4031.7715461582548</c:v>
                </c:pt>
                <c:pt idx="9">
                  <c:v>4130.7300048585539</c:v>
                </c:pt>
              </c:numCache>
            </c:numRef>
          </c:val>
          <c:extLst>
            <c:ext xmlns:c16="http://schemas.microsoft.com/office/drawing/2014/chart" uri="{C3380CC4-5D6E-409C-BE32-E72D297353CC}">
              <c16:uniqueId val="{00000000-3822-4101-A318-927D0DB9EDF7}"/>
            </c:ext>
          </c:extLst>
        </c:ser>
        <c:ser>
          <c:idx val="1"/>
          <c:order val="1"/>
          <c:tx>
            <c:strRef>
              <c:f>'TOUR VS. CTRIP'!$B$4</c:f>
              <c:strCache>
                <c:ptCount val="1"/>
                <c:pt idx="0">
                  <c:v> C-Group Package GMV </c:v>
                </c:pt>
              </c:strCache>
            </c:strRef>
          </c:tx>
          <c:spPr>
            <a:solidFill>
              <a:schemeClr val="accent2"/>
            </a:solidFill>
            <a:ln>
              <a:noFill/>
            </a:ln>
            <a:effectLst/>
          </c:spPr>
          <c:invertIfNegative val="0"/>
          <c:cat>
            <c:strRef>
              <c:f>'TOUR VS. CTRIP'!$C$2:$M$2</c:f>
              <c:strCache>
                <c:ptCount val="11"/>
                <c:pt idx="0">
                  <c:v>1Q17</c:v>
                </c:pt>
                <c:pt idx="1">
                  <c:v>2Q17</c:v>
                </c:pt>
                <c:pt idx="2">
                  <c:v>3Q17</c:v>
                </c:pt>
                <c:pt idx="3">
                  <c:v>4Q17</c:v>
                </c:pt>
                <c:pt idx="4">
                  <c:v>1Q18</c:v>
                </c:pt>
                <c:pt idx="5">
                  <c:v>2Q18</c:v>
                </c:pt>
                <c:pt idx="6">
                  <c:v>3Q18</c:v>
                </c:pt>
                <c:pt idx="7">
                  <c:v>4Q18</c:v>
                </c:pt>
                <c:pt idx="8">
                  <c:v>1Q19</c:v>
                </c:pt>
                <c:pt idx="9">
                  <c:v>2Q19</c:v>
                </c:pt>
                <c:pt idx="10">
                  <c:v>3Q19</c:v>
                </c:pt>
              </c:strCache>
            </c:strRef>
          </c:cat>
          <c:val>
            <c:numRef>
              <c:f>'TOUR VS. CTRIP'!$C$4:$M$4</c:f>
              <c:numCache>
                <c:formatCode>_(* #,##0_);_(* \(#,##0\);_(* "-"??_);_(@_)</c:formatCode>
                <c:ptCount val="11"/>
                <c:pt idx="0">
                  <c:v>5780</c:v>
                </c:pt>
                <c:pt idx="1">
                  <c:v>5465.0117515602169</c:v>
                </c:pt>
                <c:pt idx="2">
                  <c:v>9713.0733379777303</c:v>
                </c:pt>
                <c:pt idx="3">
                  <c:v>6470.3782444145054</c:v>
                </c:pt>
                <c:pt idx="4">
                  <c:v>6967.2610856100646</c:v>
                </c:pt>
                <c:pt idx="5">
                  <c:v>8533.0112006254876</c:v>
                </c:pt>
                <c:pt idx="6">
                  <c:v>13982.81405681564</c:v>
                </c:pt>
                <c:pt idx="7">
                  <c:v>8256.9014894612374</c:v>
                </c:pt>
                <c:pt idx="8">
                  <c:v>10346.282952842381</c:v>
                </c:pt>
                <c:pt idx="9">
                  <c:v>11031.9</c:v>
                </c:pt>
              </c:numCache>
            </c:numRef>
          </c:val>
          <c:extLst>
            <c:ext xmlns:c16="http://schemas.microsoft.com/office/drawing/2014/chart" uri="{C3380CC4-5D6E-409C-BE32-E72D297353CC}">
              <c16:uniqueId val="{00000001-3822-4101-A318-927D0DB9EDF7}"/>
            </c:ext>
          </c:extLst>
        </c:ser>
        <c:dLbls>
          <c:showLegendKey val="0"/>
          <c:showVal val="0"/>
          <c:showCatName val="0"/>
          <c:showSerName val="0"/>
          <c:showPercent val="0"/>
          <c:showBubbleSize val="0"/>
        </c:dLbls>
        <c:gapWidth val="219"/>
        <c:overlap val="-27"/>
        <c:axId val="431456256"/>
        <c:axId val="431455840"/>
      </c:barChart>
      <c:lineChart>
        <c:grouping val="standard"/>
        <c:varyColors val="0"/>
        <c:ser>
          <c:idx val="2"/>
          <c:order val="2"/>
          <c:tx>
            <c:strRef>
              <c:f>'TOUR VS. CTRIP'!$B$5</c:f>
              <c:strCache>
                <c:ptCount val="1"/>
                <c:pt idx="0">
                  <c:v> Tuniu YoY % chg </c:v>
                </c:pt>
              </c:strCache>
            </c:strRef>
          </c:tx>
          <c:spPr>
            <a:ln w="28575" cap="rnd">
              <a:solidFill>
                <a:schemeClr val="accent3"/>
              </a:solidFill>
              <a:round/>
            </a:ln>
            <a:effectLst/>
          </c:spPr>
          <c:marker>
            <c:symbol val="star"/>
            <c:size val="8"/>
            <c:spPr>
              <a:noFill/>
              <a:ln w="9525">
                <a:solidFill>
                  <a:schemeClr val="accent3"/>
                </a:solidFill>
              </a:ln>
              <a:effectLst/>
            </c:spPr>
          </c:marker>
          <c:cat>
            <c:strRef>
              <c:f>'TOUR VS. CTRIP'!$C$2:$L$2</c:f>
              <c:strCache>
                <c:ptCount val="10"/>
                <c:pt idx="0">
                  <c:v>1Q17</c:v>
                </c:pt>
                <c:pt idx="1">
                  <c:v>2Q17</c:v>
                </c:pt>
                <c:pt idx="2">
                  <c:v>3Q17</c:v>
                </c:pt>
                <c:pt idx="3">
                  <c:v>4Q17</c:v>
                </c:pt>
                <c:pt idx="4">
                  <c:v>1Q18</c:v>
                </c:pt>
                <c:pt idx="5">
                  <c:v>2Q18</c:v>
                </c:pt>
                <c:pt idx="6">
                  <c:v>3Q18</c:v>
                </c:pt>
                <c:pt idx="7">
                  <c:v>4Q18</c:v>
                </c:pt>
                <c:pt idx="8">
                  <c:v>1Q19</c:v>
                </c:pt>
                <c:pt idx="9">
                  <c:v>2Q19</c:v>
                </c:pt>
              </c:strCache>
            </c:strRef>
          </c:cat>
          <c:val>
            <c:numRef>
              <c:f>'TOUR VS. CTRIP'!$C$5:$M$5</c:f>
              <c:numCache>
                <c:formatCode>0%</c:formatCode>
                <c:ptCount val="11"/>
                <c:pt idx="0">
                  <c:v>0.29856868923076907</c:v>
                </c:pt>
                <c:pt idx="1">
                  <c:v>0.22958301242771029</c:v>
                </c:pt>
                <c:pt idx="2">
                  <c:v>0.25373899881772832</c:v>
                </c:pt>
                <c:pt idx="3">
                  <c:v>-1.3432212121997633E-3</c:v>
                </c:pt>
                <c:pt idx="4">
                  <c:v>5.4291497976828973E-2</c:v>
                </c:pt>
                <c:pt idx="5">
                  <c:v>0.1021000000000003</c:v>
                </c:pt>
                <c:pt idx="6">
                  <c:v>1.6739789651277981E-2</c:v>
                </c:pt>
                <c:pt idx="7">
                  <c:v>5.6613756419121586E-3</c:v>
                </c:pt>
                <c:pt idx="8">
                  <c:v>-4.6186823074001793E-2</c:v>
                </c:pt>
                <c:pt idx="9">
                  <c:v>-6.2313418107448837E-2</c:v>
                </c:pt>
              </c:numCache>
            </c:numRef>
          </c:val>
          <c:smooth val="0"/>
          <c:extLst>
            <c:ext xmlns:c16="http://schemas.microsoft.com/office/drawing/2014/chart" uri="{C3380CC4-5D6E-409C-BE32-E72D297353CC}">
              <c16:uniqueId val="{00000002-3822-4101-A318-927D0DB9EDF7}"/>
            </c:ext>
          </c:extLst>
        </c:ser>
        <c:ser>
          <c:idx val="3"/>
          <c:order val="3"/>
          <c:tx>
            <c:strRef>
              <c:f>'TOUR VS. CTRIP'!$B$6</c:f>
              <c:strCache>
                <c:ptCount val="1"/>
                <c:pt idx="0">
                  <c:v> C-Group YoY % chg </c:v>
                </c:pt>
              </c:strCache>
            </c:strRef>
          </c:tx>
          <c:spPr>
            <a:ln w="28575" cap="sq">
              <a:solidFill>
                <a:schemeClr val="accent4"/>
              </a:solidFill>
              <a:bevel/>
            </a:ln>
            <a:effectLst/>
          </c:spPr>
          <c:marker>
            <c:symbol val="square"/>
            <c:size val="7"/>
            <c:spPr>
              <a:solidFill>
                <a:schemeClr val="accent4"/>
              </a:solidFill>
              <a:ln w="9525">
                <a:solidFill>
                  <a:schemeClr val="accent4"/>
                </a:solidFill>
              </a:ln>
              <a:effectLst/>
            </c:spPr>
          </c:marker>
          <c:cat>
            <c:strRef>
              <c:f>'TOUR VS. CTRIP'!$C$2:$L$2</c:f>
              <c:strCache>
                <c:ptCount val="10"/>
                <c:pt idx="0">
                  <c:v>1Q17</c:v>
                </c:pt>
                <c:pt idx="1">
                  <c:v>2Q17</c:v>
                </c:pt>
                <c:pt idx="2">
                  <c:v>3Q17</c:v>
                </c:pt>
                <c:pt idx="3">
                  <c:v>4Q17</c:v>
                </c:pt>
                <c:pt idx="4">
                  <c:v>1Q18</c:v>
                </c:pt>
                <c:pt idx="5">
                  <c:v>2Q18</c:v>
                </c:pt>
                <c:pt idx="6">
                  <c:v>3Q18</c:v>
                </c:pt>
                <c:pt idx="7">
                  <c:v>4Q18</c:v>
                </c:pt>
                <c:pt idx="8">
                  <c:v>1Q19</c:v>
                </c:pt>
                <c:pt idx="9">
                  <c:v>2Q19</c:v>
                </c:pt>
              </c:strCache>
            </c:strRef>
          </c:cat>
          <c:val>
            <c:numRef>
              <c:f>'TOUR VS. CTRIP'!$C$6:$M$6</c:f>
              <c:numCache>
                <c:formatCode>0%</c:formatCode>
                <c:ptCount val="11"/>
                <c:pt idx="0">
                  <c:v>0.28997830179314277</c:v>
                </c:pt>
                <c:pt idx="1">
                  <c:v>0.36270781391523976</c:v>
                </c:pt>
                <c:pt idx="2">
                  <c:v>0.49006193327100367</c:v>
                </c:pt>
                <c:pt idx="3">
                  <c:v>0.67704271642616964</c:v>
                </c:pt>
                <c:pt idx="4">
                  <c:v>0.19444778801539053</c:v>
                </c:pt>
                <c:pt idx="5">
                  <c:v>0.56138935990199523</c:v>
                </c:pt>
                <c:pt idx="6">
                  <c:v>0.43958699479220376</c:v>
                </c:pt>
                <c:pt idx="7">
                  <c:v>0.27610800753247022</c:v>
                </c:pt>
                <c:pt idx="8">
                  <c:v>0.48498568170657896</c:v>
                </c:pt>
                <c:pt idx="9">
                  <c:v>0.29284958622711499</c:v>
                </c:pt>
              </c:numCache>
            </c:numRef>
          </c:val>
          <c:smooth val="0"/>
          <c:extLst>
            <c:ext xmlns:c16="http://schemas.microsoft.com/office/drawing/2014/chart" uri="{C3380CC4-5D6E-409C-BE32-E72D297353CC}">
              <c16:uniqueId val="{00000003-3822-4101-A318-927D0DB9EDF7}"/>
            </c:ext>
          </c:extLst>
        </c:ser>
        <c:dLbls>
          <c:showLegendKey val="0"/>
          <c:showVal val="0"/>
          <c:showCatName val="0"/>
          <c:showSerName val="0"/>
          <c:showPercent val="0"/>
          <c:showBubbleSize val="0"/>
        </c:dLbls>
        <c:marker val="1"/>
        <c:smooth val="0"/>
        <c:axId val="259989696"/>
        <c:axId val="259989280"/>
      </c:lineChart>
      <c:catAx>
        <c:axId val="43145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31455840"/>
        <c:crosses val="autoZero"/>
        <c:auto val="1"/>
        <c:lblAlgn val="ctr"/>
        <c:lblOffset val="100"/>
        <c:noMultiLvlLbl val="0"/>
      </c:catAx>
      <c:valAx>
        <c:axId val="431455840"/>
        <c:scaling>
          <c:orientation val="minMax"/>
          <c:min val="-200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31456256"/>
        <c:crosses val="autoZero"/>
        <c:crossBetween val="between"/>
      </c:valAx>
      <c:valAx>
        <c:axId val="25998928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59989696"/>
        <c:crosses val="max"/>
        <c:crossBetween val="between"/>
      </c:valAx>
      <c:catAx>
        <c:axId val="259989696"/>
        <c:scaling>
          <c:orientation val="minMax"/>
        </c:scaling>
        <c:delete val="1"/>
        <c:axPos val="b"/>
        <c:numFmt formatCode="General" sourceLinked="1"/>
        <c:majorTickMark val="out"/>
        <c:minorTickMark val="none"/>
        <c:tickLblPos val="nextTo"/>
        <c:crossAx val="259989280"/>
        <c:crosses val="autoZero"/>
        <c:auto val="1"/>
        <c:lblAlgn val="ctr"/>
        <c:lblOffset val="100"/>
        <c:noMultiLvlLbl val="0"/>
      </c:catAx>
      <c:spPr>
        <a:noFill/>
        <a:ln>
          <a:noFill/>
        </a:ln>
        <a:effectLst/>
      </c:spPr>
    </c:plotArea>
    <c:legend>
      <c:legendPos val="b"/>
      <c:layout>
        <c:manualLayout>
          <c:xMode val="edge"/>
          <c:yMode val="edge"/>
          <c:x val="0.20274912510936133"/>
          <c:y val="0.86071316085489313"/>
          <c:w val="0.68339063867016625"/>
          <c:h val="0.110715410573678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userShapes r:id="rId3"/>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Tuniu Total GMV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[3]Assumptions!$A$40</c:f>
              <c:strCache>
                <c:ptCount val="1"/>
                <c:pt idx="0">
                  <c:v>Total GMV</c:v>
                </c:pt>
              </c:strCache>
            </c:strRef>
          </c:tx>
          <c:spPr>
            <a:solidFill>
              <a:schemeClr val="accent1"/>
            </a:solidFill>
            <a:ln>
              <a:noFill/>
            </a:ln>
            <a:effectLst/>
          </c:spPr>
          <c:invertIfNegative val="0"/>
          <c:cat>
            <c:strRef>
              <c:f>[3]Assumptions!$AD$6:$AK$6</c:f>
              <c:strCache>
                <c:ptCount val="8"/>
                <c:pt idx="0">
                  <c:v>1Q17</c:v>
                </c:pt>
                <c:pt idx="1">
                  <c:v>2Q17</c:v>
                </c:pt>
                <c:pt idx="2">
                  <c:v>3Q17</c:v>
                </c:pt>
                <c:pt idx="3">
                  <c:v>4Q17</c:v>
                </c:pt>
                <c:pt idx="4">
                  <c:v>1Q18</c:v>
                </c:pt>
                <c:pt idx="5">
                  <c:v>2Q18</c:v>
                </c:pt>
                <c:pt idx="6">
                  <c:v>3Q18</c:v>
                </c:pt>
                <c:pt idx="7">
                  <c:v>4Q18</c:v>
                </c:pt>
              </c:strCache>
            </c:strRef>
          </c:cat>
          <c:val>
            <c:numRef>
              <c:f>[3]Assumptions!$AD$40:$AK$40</c:f>
              <c:numCache>
                <c:formatCode>General</c:formatCode>
                <c:ptCount val="8"/>
                <c:pt idx="0">
                  <c:v>5449.3308280000001</c:v>
                </c:pt>
                <c:pt idx="1">
                  <c:v>5746.0084568000002</c:v>
                </c:pt>
                <c:pt idx="2">
                  <c:v>9426.9305724575206</c:v>
                </c:pt>
                <c:pt idx="3">
                  <c:v>5634.4641065995602</c:v>
                </c:pt>
                <c:pt idx="4">
                  <c:v>5695.8034045368004</c:v>
                </c:pt>
                <c:pt idx="5">
                  <c:v>6241.5592722392803</c:v>
                </c:pt>
                <c:pt idx="6">
                  <c:v>8988.9739016308704</c:v>
                </c:pt>
                <c:pt idx="7">
                  <c:v>5660.3903435255097</c:v>
                </c:pt>
              </c:numCache>
            </c:numRef>
          </c:val>
          <c:extLst>
            <c:ext xmlns:c16="http://schemas.microsoft.com/office/drawing/2014/chart" uri="{C3380CC4-5D6E-409C-BE32-E72D297353CC}">
              <c16:uniqueId val="{00000000-0D92-40AA-829D-D35B72775771}"/>
            </c:ext>
          </c:extLst>
        </c:ser>
        <c:dLbls>
          <c:showLegendKey val="0"/>
          <c:showVal val="0"/>
          <c:showCatName val="0"/>
          <c:showSerName val="0"/>
          <c:showPercent val="0"/>
          <c:showBubbleSize val="0"/>
        </c:dLbls>
        <c:gapWidth val="219"/>
        <c:axId val="435488864"/>
        <c:axId val="435499680"/>
      </c:barChart>
      <c:lineChart>
        <c:grouping val="standard"/>
        <c:varyColors val="0"/>
        <c:ser>
          <c:idx val="1"/>
          <c:order val="1"/>
          <c:tx>
            <c:strRef>
              <c:f>[3]Assumptions!$A$41</c:f>
              <c:strCache>
                <c:ptCount val="1"/>
                <c:pt idx="0">
                  <c:v>YoY % chg</c:v>
                </c:pt>
              </c:strCache>
            </c:strRef>
          </c:tx>
          <c:spPr>
            <a:ln w="28575" cap="rnd">
              <a:solidFill>
                <a:schemeClr val="accent2"/>
              </a:solidFill>
              <a:round/>
            </a:ln>
            <a:effectLst/>
          </c:spPr>
          <c:marker>
            <c:symbol val="none"/>
          </c:marker>
          <c:cat>
            <c:strRef>
              <c:f>[3]Assumptions!$AD$6:$AK$6</c:f>
              <c:strCache>
                <c:ptCount val="8"/>
                <c:pt idx="0">
                  <c:v>1Q17</c:v>
                </c:pt>
                <c:pt idx="1">
                  <c:v>2Q17</c:v>
                </c:pt>
                <c:pt idx="2">
                  <c:v>3Q17</c:v>
                </c:pt>
                <c:pt idx="3">
                  <c:v>4Q17</c:v>
                </c:pt>
                <c:pt idx="4">
                  <c:v>1Q18</c:v>
                </c:pt>
                <c:pt idx="5">
                  <c:v>2Q18</c:v>
                </c:pt>
                <c:pt idx="6">
                  <c:v>3Q18</c:v>
                </c:pt>
                <c:pt idx="7">
                  <c:v>4Q18</c:v>
                </c:pt>
              </c:strCache>
            </c:strRef>
          </c:cat>
          <c:val>
            <c:numRef>
              <c:f>[3]Assumptions!$AD$41:$AK$41</c:f>
              <c:numCache>
                <c:formatCode>General</c:formatCode>
                <c:ptCount val="8"/>
                <c:pt idx="0">
                  <c:v>0.36660334244514098</c:v>
                </c:pt>
                <c:pt idx="1">
                  <c:v>0.27689076817777802</c:v>
                </c:pt>
                <c:pt idx="2">
                  <c:v>0.32773670034613001</c:v>
                </c:pt>
                <c:pt idx="3">
                  <c:v>0.25210313479990298</c:v>
                </c:pt>
                <c:pt idx="4">
                  <c:v>4.52298794689363E-2</c:v>
                </c:pt>
                <c:pt idx="5">
                  <c:v>8.6242618535103496E-2</c:v>
                </c:pt>
                <c:pt idx="6">
                  <c:v>-4.6458035037005498E-2</c:v>
                </c:pt>
                <c:pt idx="7">
                  <c:v>4.6013669508664402E-3</c:v>
                </c:pt>
              </c:numCache>
            </c:numRef>
          </c:val>
          <c:smooth val="0"/>
          <c:extLst>
            <c:ext xmlns:c16="http://schemas.microsoft.com/office/drawing/2014/chart" uri="{C3380CC4-5D6E-409C-BE32-E72D297353CC}">
              <c16:uniqueId val="{00000001-0D92-40AA-829D-D35B72775771}"/>
            </c:ext>
          </c:extLst>
        </c:ser>
        <c:dLbls>
          <c:showLegendKey val="0"/>
          <c:showVal val="0"/>
          <c:showCatName val="0"/>
          <c:showSerName val="0"/>
          <c:showPercent val="0"/>
          <c:showBubbleSize val="0"/>
        </c:dLbls>
        <c:marker val="1"/>
        <c:smooth val="0"/>
        <c:axId val="435506336"/>
        <c:axId val="435505088"/>
      </c:lineChart>
      <c:catAx>
        <c:axId val="43548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35499680"/>
        <c:crossesAt val="0"/>
        <c:auto val="1"/>
        <c:lblAlgn val="ctr"/>
        <c:lblOffset val="100"/>
        <c:noMultiLvlLbl val="0"/>
      </c:catAx>
      <c:valAx>
        <c:axId val="435499680"/>
        <c:scaling>
          <c:orientation val="minMax"/>
          <c:max val="12000"/>
          <c:min val="-3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35488864"/>
        <c:crosses val="autoZero"/>
        <c:crossBetween val="between"/>
        <c:majorUnit val="3000"/>
        <c:minorUnit val="100"/>
      </c:valAx>
      <c:valAx>
        <c:axId val="4355050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35506336"/>
        <c:crosses val="max"/>
        <c:crossBetween val="between"/>
      </c:valAx>
      <c:catAx>
        <c:axId val="435506336"/>
        <c:scaling>
          <c:orientation val="minMax"/>
        </c:scaling>
        <c:delete val="1"/>
        <c:axPos val="b"/>
        <c:numFmt formatCode="General" sourceLinked="1"/>
        <c:majorTickMark val="out"/>
        <c:minorTickMark val="none"/>
        <c:tickLblPos val="nextTo"/>
        <c:crossAx val="4355050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userShapes r:id="rId3"/>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Tuniu</a:t>
            </a:r>
            <a:r>
              <a:rPr lang="en-US" altLang="zh-CN" baseline="0"/>
              <a:t> vs. Ctrip GMV</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0.12212292213473316"/>
          <c:y val="0.17661904761904762"/>
          <c:w val="0.79410148731408559"/>
          <c:h val="0.64123697037870264"/>
        </c:manualLayout>
      </c:layout>
      <c:barChart>
        <c:barDir val="col"/>
        <c:grouping val="clustered"/>
        <c:varyColors val="0"/>
        <c:ser>
          <c:idx val="0"/>
          <c:order val="0"/>
          <c:tx>
            <c:strRef>
              <c:f>'TOUR VS. CTRIP'!$B$3</c:f>
              <c:strCache>
                <c:ptCount val="1"/>
                <c:pt idx="0">
                  <c:v> Tuniu Package GMV  </c:v>
                </c:pt>
              </c:strCache>
            </c:strRef>
          </c:tx>
          <c:spPr>
            <a:solidFill>
              <a:schemeClr val="accent1"/>
            </a:solidFill>
            <a:ln>
              <a:noFill/>
            </a:ln>
            <a:effectLst/>
          </c:spPr>
          <c:invertIfNegative val="0"/>
          <c:cat>
            <c:strRef>
              <c:f>'TOUR VS. CTRIP'!$G$2:$M$2</c:f>
              <c:strCache>
                <c:ptCount val="7"/>
                <c:pt idx="0">
                  <c:v>1Q18</c:v>
                </c:pt>
                <c:pt idx="1">
                  <c:v>2Q18</c:v>
                </c:pt>
                <c:pt idx="2">
                  <c:v>3Q18</c:v>
                </c:pt>
                <c:pt idx="3">
                  <c:v>4Q18</c:v>
                </c:pt>
                <c:pt idx="4">
                  <c:v>1Q19</c:v>
                </c:pt>
                <c:pt idx="5">
                  <c:v>2Q19</c:v>
                </c:pt>
                <c:pt idx="6">
                  <c:v>3Q19</c:v>
                </c:pt>
              </c:strCache>
            </c:strRef>
          </c:cat>
          <c:val>
            <c:numRef>
              <c:f>'TOUR VS. CTRIP'!$G$3:$M$3</c:f>
              <c:numCache>
                <c:formatCode>_(* #,##0_);_(* \(#,##0\);_(* "-"??_);_(@_)</c:formatCode>
                <c:ptCount val="7"/>
                <c:pt idx="0">
                  <c:v>4227.0034045367993</c:v>
                </c:pt>
                <c:pt idx="1">
                  <c:v>4405.2352722392816</c:v>
                </c:pt>
                <c:pt idx="2">
                  <c:v>6789.9812510415613</c:v>
                </c:pt>
                <c:pt idx="3">
                  <c:v>3090.0164167813091</c:v>
                </c:pt>
                <c:pt idx="4">
                  <c:v>4031.7715461582548</c:v>
                </c:pt>
                <c:pt idx="5">
                  <c:v>4130.7300048585539</c:v>
                </c:pt>
              </c:numCache>
            </c:numRef>
          </c:val>
          <c:extLst>
            <c:ext xmlns:c16="http://schemas.microsoft.com/office/drawing/2014/chart" uri="{C3380CC4-5D6E-409C-BE32-E72D297353CC}">
              <c16:uniqueId val="{00000000-FA1B-4A40-9331-55ECADB71741}"/>
            </c:ext>
          </c:extLst>
        </c:ser>
        <c:ser>
          <c:idx val="1"/>
          <c:order val="1"/>
          <c:tx>
            <c:strRef>
              <c:f>'TOUR VS. CTRIP'!$B$4</c:f>
              <c:strCache>
                <c:ptCount val="1"/>
                <c:pt idx="0">
                  <c:v> C-Group Package GMV </c:v>
                </c:pt>
              </c:strCache>
            </c:strRef>
          </c:tx>
          <c:spPr>
            <a:solidFill>
              <a:schemeClr val="accent2"/>
            </a:solidFill>
            <a:ln>
              <a:noFill/>
            </a:ln>
            <a:effectLst/>
          </c:spPr>
          <c:invertIfNegative val="0"/>
          <c:cat>
            <c:strRef>
              <c:f>'TOUR VS. CTRIP'!$G$2:$M$2</c:f>
              <c:strCache>
                <c:ptCount val="7"/>
                <c:pt idx="0">
                  <c:v>1Q18</c:v>
                </c:pt>
                <c:pt idx="1">
                  <c:v>2Q18</c:v>
                </c:pt>
                <c:pt idx="2">
                  <c:v>3Q18</c:v>
                </c:pt>
                <c:pt idx="3">
                  <c:v>4Q18</c:v>
                </c:pt>
                <c:pt idx="4">
                  <c:v>1Q19</c:v>
                </c:pt>
                <c:pt idx="5">
                  <c:v>2Q19</c:v>
                </c:pt>
                <c:pt idx="6">
                  <c:v>3Q19</c:v>
                </c:pt>
              </c:strCache>
            </c:strRef>
          </c:cat>
          <c:val>
            <c:numRef>
              <c:f>'TOUR VS. CTRIP'!$G$4:$M$4</c:f>
              <c:numCache>
                <c:formatCode>_(* #,##0_);_(* \(#,##0\);_(* "-"??_);_(@_)</c:formatCode>
                <c:ptCount val="7"/>
                <c:pt idx="0">
                  <c:v>6967.2610856100646</c:v>
                </c:pt>
                <c:pt idx="1">
                  <c:v>8533.0112006254876</c:v>
                </c:pt>
                <c:pt idx="2">
                  <c:v>13982.81405681564</c:v>
                </c:pt>
                <c:pt idx="3">
                  <c:v>8256.9014894612374</c:v>
                </c:pt>
                <c:pt idx="4">
                  <c:v>10346.282952842381</c:v>
                </c:pt>
                <c:pt idx="5">
                  <c:v>11031.9</c:v>
                </c:pt>
              </c:numCache>
            </c:numRef>
          </c:val>
          <c:extLst>
            <c:ext xmlns:c16="http://schemas.microsoft.com/office/drawing/2014/chart" uri="{C3380CC4-5D6E-409C-BE32-E72D297353CC}">
              <c16:uniqueId val="{00000001-FA1B-4A40-9331-55ECADB71741}"/>
            </c:ext>
          </c:extLst>
        </c:ser>
        <c:dLbls>
          <c:showLegendKey val="0"/>
          <c:showVal val="0"/>
          <c:showCatName val="0"/>
          <c:showSerName val="0"/>
          <c:showPercent val="0"/>
          <c:showBubbleSize val="0"/>
        </c:dLbls>
        <c:gapWidth val="219"/>
        <c:overlap val="-27"/>
        <c:axId val="431456256"/>
        <c:axId val="431455840"/>
      </c:barChart>
      <c:lineChart>
        <c:grouping val="standard"/>
        <c:varyColors val="0"/>
        <c:ser>
          <c:idx val="2"/>
          <c:order val="2"/>
          <c:tx>
            <c:strRef>
              <c:f>'TOUR VS. CTRIP'!$B$5</c:f>
              <c:strCache>
                <c:ptCount val="1"/>
                <c:pt idx="0">
                  <c:v> Tuniu YoY % chg </c:v>
                </c:pt>
              </c:strCache>
            </c:strRef>
          </c:tx>
          <c:spPr>
            <a:ln w="28575" cap="rnd">
              <a:solidFill>
                <a:schemeClr val="accent3"/>
              </a:solidFill>
              <a:round/>
            </a:ln>
            <a:effectLst/>
          </c:spPr>
          <c:marker>
            <c:symbol val="star"/>
            <c:size val="8"/>
            <c:spPr>
              <a:noFill/>
              <a:ln w="9525">
                <a:solidFill>
                  <a:schemeClr val="accent3"/>
                </a:solidFill>
              </a:ln>
              <a:effectLst/>
            </c:spPr>
          </c:marker>
          <c:cat>
            <c:strRef>
              <c:f>'TOUR VS. CTRIP'!$G$2:$L$2</c:f>
              <c:strCache>
                <c:ptCount val="6"/>
                <c:pt idx="0">
                  <c:v>1Q18</c:v>
                </c:pt>
                <c:pt idx="1">
                  <c:v>2Q18</c:v>
                </c:pt>
                <c:pt idx="2">
                  <c:v>3Q18</c:v>
                </c:pt>
                <c:pt idx="3">
                  <c:v>4Q18</c:v>
                </c:pt>
                <c:pt idx="4">
                  <c:v>1Q19</c:v>
                </c:pt>
                <c:pt idx="5">
                  <c:v>2Q19</c:v>
                </c:pt>
              </c:strCache>
            </c:strRef>
          </c:cat>
          <c:val>
            <c:numRef>
              <c:f>'TOUR VS. CTRIP'!$G$5:$M$5</c:f>
              <c:numCache>
                <c:formatCode>0%</c:formatCode>
                <c:ptCount val="7"/>
                <c:pt idx="0">
                  <c:v>5.4291497976828973E-2</c:v>
                </c:pt>
                <c:pt idx="1">
                  <c:v>0.1021000000000003</c:v>
                </c:pt>
                <c:pt idx="2">
                  <c:v>1.6739789651277981E-2</c:v>
                </c:pt>
                <c:pt idx="3">
                  <c:v>5.6613756419121586E-3</c:v>
                </c:pt>
                <c:pt idx="4">
                  <c:v>-4.6186823074001793E-2</c:v>
                </c:pt>
                <c:pt idx="5">
                  <c:v>-6.2313418107448837E-2</c:v>
                </c:pt>
              </c:numCache>
            </c:numRef>
          </c:val>
          <c:smooth val="0"/>
          <c:extLst>
            <c:ext xmlns:c16="http://schemas.microsoft.com/office/drawing/2014/chart" uri="{C3380CC4-5D6E-409C-BE32-E72D297353CC}">
              <c16:uniqueId val="{00000002-FA1B-4A40-9331-55ECADB71741}"/>
            </c:ext>
          </c:extLst>
        </c:ser>
        <c:ser>
          <c:idx val="3"/>
          <c:order val="3"/>
          <c:tx>
            <c:strRef>
              <c:f>'TOUR VS. CTRIP'!$B$6</c:f>
              <c:strCache>
                <c:ptCount val="1"/>
                <c:pt idx="0">
                  <c:v> C-Group YoY % chg </c:v>
                </c:pt>
              </c:strCache>
            </c:strRef>
          </c:tx>
          <c:spPr>
            <a:ln w="28575" cap="sq">
              <a:solidFill>
                <a:schemeClr val="accent4"/>
              </a:solidFill>
              <a:bevel/>
            </a:ln>
            <a:effectLst/>
          </c:spPr>
          <c:marker>
            <c:symbol val="square"/>
            <c:size val="7"/>
            <c:spPr>
              <a:solidFill>
                <a:schemeClr val="accent4"/>
              </a:solidFill>
              <a:ln w="9525">
                <a:solidFill>
                  <a:schemeClr val="accent4"/>
                </a:solidFill>
              </a:ln>
              <a:effectLst/>
            </c:spPr>
          </c:marker>
          <c:cat>
            <c:strRef>
              <c:f>'TOUR VS. CTRIP'!$G$2:$L$2</c:f>
              <c:strCache>
                <c:ptCount val="6"/>
                <c:pt idx="0">
                  <c:v>1Q18</c:v>
                </c:pt>
                <c:pt idx="1">
                  <c:v>2Q18</c:v>
                </c:pt>
                <c:pt idx="2">
                  <c:v>3Q18</c:v>
                </c:pt>
                <c:pt idx="3">
                  <c:v>4Q18</c:v>
                </c:pt>
                <c:pt idx="4">
                  <c:v>1Q19</c:v>
                </c:pt>
                <c:pt idx="5">
                  <c:v>2Q19</c:v>
                </c:pt>
              </c:strCache>
            </c:strRef>
          </c:cat>
          <c:val>
            <c:numRef>
              <c:f>'TOUR VS. CTRIP'!$G$6:$M$6</c:f>
              <c:numCache>
                <c:formatCode>0%</c:formatCode>
                <c:ptCount val="7"/>
                <c:pt idx="0">
                  <c:v>0.19444778801539053</c:v>
                </c:pt>
                <c:pt idx="1">
                  <c:v>0.56138935990199523</c:v>
                </c:pt>
                <c:pt idx="2">
                  <c:v>0.43958699479220376</c:v>
                </c:pt>
                <c:pt idx="3">
                  <c:v>0.27610800753247022</c:v>
                </c:pt>
                <c:pt idx="4">
                  <c:v>0.48498568170657896</c:v>
                </c:pt>
                <c:pt idx="5">
                  <c:v>0.29284958622711499</c:v>
                </c:pt>
              </c:numCache>
            </c:numRef>
          </c:val>
          <c:smooth val="0"/>
          <c:extLst>
            <c:ext xmlns:c16="http://schemas.microsoft.com/office/drawing/2014/chart" uri="{C3380CC4-5D6E-409C-BE32-E72D297353CC}">
              <c16:uniqueId val="{00000003-FA1B-4A40-9331-55ECADB71741}"/>
            </c:ext>
          </c:extLst>
        </c:ser>
        <c:dLbls>
          <c:showLegendKey val="0"/>
          <c:showVal val="0"/>
          <c:showCatName val="0"/>
          <c:showSerName val="0"/>
          <c:showPercent val="0"/>
          <c:showBubbleSize val="0"/>
        </c:dLbls>
        <c:marker val="1"/>
        <c:smooth val="0"/>
        <c:axId val="259989696"/>
        <c:axId val="259989280"/>
      </c:lineChart>
      <c:catAx>
        <c:axId val="43145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31455840"/>
        <c:crosses val="autoZero"/>
        <c:auto val="1"/>
        <c:lblAlgn val="ctr"/>
        <c:lblOffset val="100"/>
        <c:noMultiLvlLbl val="0"/>
      </c:catAx>
      <c:valAx>
        <c:axId val="431455840"/>
        <c:scaling>
          <c:orientation val="minMax"/>
          <c:min val="-200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31456256"/>
        <c:crosses val="autoZero"/>
        <c:crossBetween val="between"/>
      </c:valAx>
      <c:valAx>
        <c:axId val="25998928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59989696"/>
        <c:crosses val="max"/>
        <c:crossBetween val="between"/>
      </c:valAx>
      <c:catAx>
        <c:axId val="259989696"/>
        <c:scaling>
          <c:orientation val="minMax"/>
        </c:scaling>
        <c:delete val="1"/>
        <c:axPos val="b"/>
        <c:numFmt formatCode="General" sourceLinked="1"/>
        <c:majorTickMark val="out"/>
        <c:minorTickMark val="none"/>
        <c:tickLblPos val="nextTo"/>
        <c:crossAx val="259989280"/>
        <c:crosses val="autoZero"/>
        <c:auto val="1"/>
        <c:lblAlgn val="ctr"/>
        <c:lblOffset val="100"/>
        <c:noMultiLvlLbl val="0"/>
      </c:catAx>
      <c:spPr>
        <a:noFill/>
        <a:ln>
          <a:noFill/>
        </a:ln>
        <a:effectLst/>
      </c:spPr>
    </c:plotArea>
    <c:legend>
      <c:legendPos val="b"/>
      <c:layout>
        <c:manualLayout>
          <c:xMode val="edge"/>
          <c:yMode val="edge"/>
          <c:x val="0.20274912510936133"/>
          <c:y val="0.86071316085489313"/>
          <c:w val="0.68339063867016625"/>
          <c:h val="0.110715410573678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userShapes r:id="rId3"/>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altLang="zh-CN" sz="1400"/>
              <a:t>Net Revenue</a:t>
            </a:r>
            <a:endParaRPr lang="zh-CN" altLang="en-US" sz="1400"/>
          </a:p>
        </c:rich>
      </c:tx>
      <c:overlay val="0"/>
    </c:title>
    <c:autoTitleDeleted val="0"/>
    <c:plotArea>
      <c:layout>
        <c:manualLayout>
          <c:layoutTarget val="inner"/>
          <c:xMode val="edge"/>
          <c:yMode val="edge"/>
          <c:x val="2.5931164545025937E-2"/>
          <c:y val="0.19923073953991044"/>
          <c:w val="0.95520980669495537"/>
          <c:h val="0.55341400339663427"/>
        </c:manualLayout>
      </c:layout>
      <c:lineChart>
        <c:grouping val="standard"/>
        <c:varyColors val="0"/>
        <c:ser>
          <c:idx val="0"/>
          <c:order val="0"/>
          <c:tx>
            <c:strRef>
              <c:f>Comparison!$B$3</c:f>
              <c:strCache>
                <c:ptCount val="1"/>
                <c:pt idx="0">
                  <c:v> Ctrip as % of Priceline </c:v>
                </c:pt>
              </c:strCache>
            </c:strRef>
          </c:tx>
          <c:marker>
            <c:symbol val="triangle"/>
            <c:size val="10"/>
          </c:marker>
          <c:dLbls>
            <c:dLbl>
              <c:idx val="2"/>
              <c:layout>
                <c:manualLayout>
                  <c:x val="-4.5132106011501034E-2"/>
                  <c:y val="-6.43401866433362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348-49AE-BDE3-4C246CC0F365}"/>
                </c:ext>
              </c:extLst>
            </c:dLbl>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Comparison!$C$2:$L$2</c:f>
              <c:strCache>
                <c:ptCount val="10"/>
                <c:pt idx="0">
                  <c:v> 15Q1 </c:v>
                </c:pt>
                <c:pt idx="1">
                  <c:v> 15Q2 </c:v>
                </c:pt>
                <c:pt idx="2">
                  <c:v> 15Q3 </c:v>
                </c:pt>
                <c:pt idx="3">
                  <c:v> 15Q4 </c:v>
                </c:pt>
                <c:pt idx="4">
                  <c:v> 16Q1 </c:v>
                </c:pt>
                <c:pt idx="5">
                  <c:v> 16Q2 </c:v>
                </c:pt>
                <c:pt idx="6">
                  <c:v> 16Q3 </c:v>
                </c:pt>
                <c:pt idx="7">
                  <c:v> 16Q4 </c:v>
                </c:pt>
                <c:pt idx="8">
                  <c:v> 17Q1 </c:v>
                </c:pt>
                <c:pt idx="9">
                  <c:v> 17Q2 </c:v>
                </c:pt>
              </c:strCache>
            </c:strRef>
          </c:cat>
          <c:val>
            <c:numRef>
              <c:f>Comparison!$C$3:$L$3</c:f>
              <c:numCache>
                <c:formatCode>0%</c:formatCode>
                <c:ptCount val="10"/>
                <c:pt idx="0">
                  <c:v>0.22330055925120615</c:v>
                </c:pt>
                <c:pt idx="1">
                  <c:v>0.19475438457341132</c:v>
                </c:pt>
                <c:pt idx="2">
                  <c:v>0.16985072008718541</c:v>
                </c:pt>
                <c:pt idx="3">
                  <c:v>0.23607623140147591</c:v>
                </c:pt>
                <c:pt idx="4">
                  <c:v>0.32085660452103298</c:v>
                </c:pt>
                <c:pt idx="5">
                  <c:v>0.27317285944873232</c:v>
                </c:pt>
                <c:pt idx="6">
                  <c:v>0.23280455650959594</c:v>
                </c:pt>
                <c:pt idx="7">
                  <c:v>0.32061715650549277</c:v>
                </c:pt>
                <c:pt idx="8">
                  <c:v>0</c:v>
                </c:pt>
                <c:pt idx="9">
                  <c:v>0</c:v>
                </c:pt>
              </c:numCache>
            </c:numRef>
          </c:val>
          <c:smooth val="0"/>
          <c:extLst>
            <c:ext xmlns:c16="http://schemas.microsoft.com/office/drawing/2014/chart" uri="{C3380CC4-5D6E-409C-BE32-E72D297353CC}">
              <c16:uniqueId val="{00000001-3348-49AE-BDE3-4C246CC0F365}"/>
            </c:ext>
          </c:extLst>
        </c:ser>
        <c:ser>
          <c:idx val="1"/>
          <c:order val="1"/>
          <c:tx>
            <c:strRef>
              <c:f>Comparison!$B$4</c:f>
              <c:strCache>
                <c:ptCount val="1"/>
                <c:pt idx="0">
                  <c:v> Ctrip as % of Expedia </c:v>
                </c:pt>
              </c:strCache>
            </c:strRef>
          </c:tx>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Comparison!$C$2:$L$2</c:f>
              <c:strCache>
                <c:ptCount val="10"/>
                <c:pt idx="0">
                  <c:v> 15Q1 </c:v>
                </c:pt>
                <c:pt idx="1">
                  <c:v> 15Q2 </c:v>
                </c:pt>
                <c:pt idx="2">
                  <c:v> 15Q3 </c:v>
                </c:pt>
                <c:pt idx="3">
                  <c:v> 15Q4 </c:v>
                </c:pt>
                <c:pt idx="4">
                  <c:v> 16Q1 </c:v>
                </c:pt>
                <c:pt idx="5">
                  <c:v> 16Q2 </c:v>
                </c:pt>
                <c:pt idx="6">
                  <c:v> 16Q3 </c:v>
                </c:pt>
                <c:pt idx="7">
                  <c:v> 16Q4 </c:v>
                </c:pt>
                <c:pt idx="8">
                  <c:v> 17Q1 </c:v>
                </c:pt>
                <c:pt idx="9">
                  <c:v> 17Q2 </c:v>
                </c:pt>
              </c:strCache>
            </c:strRef>
          </c:cat>
          <c:val>
            <c:numRef>
              <c:f>Comparison!$C$4:$L$4</c:f>
              <c:numCache>
                <c:formatCode>0%</c:formatCode>
                <c:ptCount val="10"/>
                <c:pt idx="0">
                  <c:v>0.27188877942794398</c:v>
                </c:pt>
                <c:pt idx="1">
                  <c:v>0.24515976181883797</c:v>
                </c:pt>
                <c:pt idx="2">
                  <c:v>0.25833941167940394</c:v>
                </c:pt>
                <c:pt idx="3">
                  <c:v>0.26120703863904104</c:v>
                </c:pt>
                <c:pt idx="4">
                  <c:v>0.34031887732994531</c:v>
                </c:pt>
                <c:pt idx="5">
                  <c:v>0.30227683482029205</c:v>
                </c:pt>
                <c:pt idx="6">
                  <c:v>0.32374311336527301</c:v>
                </c:pt>
                <c:pt idx="7">
                  <c:v>0.34870539464882944</c:v>
                </c:pt>
                <c:pt idx="8">
                  <c:v>0</c:v>
                </c:pt>
                <c:pt idx="9">
                  <c:v>0</c:v>
                </c:pt>
              </c:numCache>
            </c:numRef>
          </c:val>
          <c:smooth val="0"/>
          <c:extLst>
            <c:ext xmlns:c16="http://schemas.microsoft.com/office/drawing/2014/chart" uri="{C3380CC4-5D6E-409C-BE32-E72D297353CC}">
              <c16:uniqueId val="{00000002-3348-49AE-BDE3-4C246CC0F365}"/>
            </c:ext>
          </c:extLst>
        </c:ser>
        <c:dLbls>
          <c:showLegendKey val="0"/>
          <c:showVal val="0"/>
          <c:showCatName val="0"/>
          <c:showSerName val="0"/>
          <c:showPercent val="0"/>
          <c:showBubbleSize val="0"/>
        </c:dLbls>
        <c:marker val="1"/>
        <c:smooth val="0"/>
        <c:axId val="-422203216"/>
        <c:axId val="-422190160"/>
      </c:lineChart>
      <c:catAx>
        <c:axId val="-422203216"/>
        <c:scaling>
          <c:orientation val="minMax"/>
        </c:scaling>
        <c:delete val="0"/>
        <c:axPos val="b"/>
        <c:numFmt formatCode="General" sourceLinked="0"/>
        <c:majorTickMark val="none"/>
        <c:minorTickMark val="none"/>
        <c:tickLblPos val="nextTo"/>
        <c:crossAx val="-422190160"/>
        <c:crosses val="autoZero"/>
        <c:auto val="1"/>
        <c:lblAlgn val="ctr"/>
        <c:lblOffset val="100"/>
        <c:noMultiLvlLbl val="0"/>
      </c:catAx>
      <c:valAx>
        <c:axId val="-422190160"/>
        <c:scaling>
          <c:orientation val="minMax"/>
          <c:max val="0.5"/>
          <c:min val="0.15000000000000005"/>
        </c:scaling>
        <c:delete val="1"/>
        <c:axPos val="l"/>
        <c:numFmt formatCode="0%" sourceLinked="1"/>
        <c:majorTickMark val="out"/>
        <c:minorTickMark val="none"/>
        <c:tickLblPos val="none"/>
        <c:crossAx val="-422203216"/>
        <c:crosses val="autoZero"/>
        <c:crossBetween val="between"/>
      </c:valAx>
    </c:plotArea>
    <c:legend>
      <c:legendPos val="b"/>
      <c:layout>
        <c:manualLayout>
          <c:xMode val="edge"/>
          <c:yMode val="edge"/>
          <c:x val="0.20514966569772841"/>
          <c:y val="0.13251389532190824"/>
          <c:w val="0.62408999617622063"/>
          <c:h val="8.8641732283464586E-2"/>
        </c:manualLayout>
      </c:layout>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userShapes r:id="rId1"/>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altLang="zh-CN" sz="1400"/>
              <a:t>Non-GAAP OP Margin</a:t>
            </a:r>
            <a:endParaRPr lang="zh-CN" altLang="en-US" sz="1400"/>
          </a:p>
        </c:rich>
      </c:tx>
      <c:overlay val="0"/>
    </c:title>
    <c:autoTitleDeleted val="0"/>
    <c:plotArea>
      <c:layout>
        <c:manualLayout>
          <c:layoutTarget val="inner"/>
          <c:xMode val="edge"/>
          <c:yMode val="edge"/>
          <c:x val="2.0348839279419651E-2"/>
          <c:y val="0.28880168153226787"/>
          <c:w val="0.95025839287252978"/>
          <c:h val="0.64169477624980342"/>
        </c:manualLayout>
      </c:layout>
      <c:lineChart>
        <c:grouping val="standard"/>
        <c:varyColors val="0"/>
        <c:ser>
          <c:idx val="0"/>
          <c:order val="0"/>
          <c:tx>
            <c:strRef>
              <c:f>Comparison!$B$7</c:f>
              <c:strCache>
                <c:ptCount val="1"/>
                <c:pt idx="0">
                  <c:v> Priceline - Ctrip </c:v>
                </c:pt>
              </c:strCache>
            </c:strRef>
          </c:tx>
          <c:marker>
            <c:symbol val="triangle"/>
            <c:size val="10"/>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Comparison!$C$6:$L$6</c:f>
              <c:strCache>
                <c:ptCount val="10"/>
                <c:pt idx="0">
                  <c:v> 15Q1 </c:v>
                </c:pt>
                <c:pt idx="1">
                  <c:v> 15Q2 </c:v>
                </c:pt>
                <c:pt idx="2">
                  <c:v> 15Q3 </c:v>
                </c:pt>
                <c:pt idx="3">
                  <c:v> 15Q4 </c:v>
                </c:pt>
                <c:pt idx="4">
                  <c:v> 16Q1 </c:v>
                </c:pt>
                <c:pt idx="5">
                  <c:v> 16Q2 </c:v>
                </c:pt>
                <c:pt idx="6">
                  <c:v> 16Q3 </c:v>
                </c:pt>
                <c:pt idx="7">
                  <c:v> 16Q4 </c:v>
                </c:pt>
                <c:pt idx="8">
                  <c:v> 17Q1 </c:v>
                </c:pt>
                <c:pt idx="9">
                  <c:v> 17Q2 </c:v>
                </c:pt>
              </c:strCache>
            </c:strRef>
          </c:cat>
          <c:val>
            <c:numRef>
              <c:f>Comparison!$C$7:$L$7</c:f>
              <c:numCache>
                <c:formatCode>0%</c:formatCode>
                <c:ptCount val="10"/>
                <c:pt idx="0">
                  <c:v>0.30081108408143348</c:v>
                </c:pt>
                <c:pt idx="1">
                  <c:v>0.26785626779224675</c:v>
                </c:pt>
                <c:pt idx="2">
                  <c:v>0.35488394391849842</c:v>
                </c:pt>
                <c:pt idx="3">
                  <c:v>0.28894127327958163</c:v>
                </c:pt>
                <c:pt idx="4">
                  <c:v>0.30319101735621085</c:v>
                </c:pt>
                <c:pt idx="5">
                  <c:v>0.28305019635215478</c:v>
                </c:pt>
                <c:pt idx="6">
                  <c:v>6.722357896754666E-2</c:v>
                </c:pt>
                <c:pt idx="7">
                  <c:v>0.2234480045124653</c:v>
                </c:pt>
                <c:pt idx="8">
                  <c:v>0</c:v>
                </c:pt>
                <c:pt idx="9">
                  <c:v>0</c:v>
                </c:pt>
              </c:numCache>
            </c:numRef>
          </c:val>
          <c:smooth val="0"/>
          <c:extLst>
            <c:ext xmlns:c16="http://schemas.microsoft.com/office/drawing/2014/chart" uri="{C3380CC4-5D6E-409C-BE32-E72D297353CC}">
              <c16:uniqueId val="{00000000-1F7A-4CF7-88E7-83EEF6AA8B0C}"/>
            </c:ext>
          </c:extLst>
        </c:ser>
        <c:ser>
          <c:idx val="1"/>
          <c:order val="1"/>
          <c:tx>
            <c:strRef>
              <c:f>Comparison!$B$8</c:f>
              <c:strCache>
                <c:ptCount val="1"/>
                <c:pt idx="0">
                  <c:v> Expedia - Ctrip </c:v>
                </c:pt>
              </c:strCache>
            </c:strRef>
          </c:tx>
          <c:dLbls>
            <c:dLbl>
              <c:idx val="3"/>
              <c:layout>
                <c:manualLayout>
                  <c:x val="-3.8753233916583654E-2"/>
                  <c:y val="-9.4835198814139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7A-4CF7-88E7-83EEF6AA8B0C}"/>
                </c:ext>
              </c:extLst>
            </c:dLbl>
            <c:dLbl>
              <c:idx val="6"/>
              <c:layout>
                <c:manualLayout>
                  <c:x val="-3.8753233916583654E-2"/>
                  <c:y val="0.1186399665694998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7A-4CF7-88E7-83EEF6AA8B0C}"/>
                </c:ext>
              </c:extLst>
            </c:dLbl>
            <c:dLbl>
              <c:idx val="7"/>
              <c:layout>
                <c:manualLayout>
                  <c:x val="-3.6492251774425916E-2"/>
                  <c:y val="6.8994579270978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7A-4CF7-88E7-83EEF6AA8B0C}"/>
                </c:ext>
              </c:extLst>
            </c:dLbl>
            <c:dLbl>
              <c:idx val="8"/>
              <c:layout>
                <c:manualLayout>
                  <c:x val="-3.9525122123520891E-2"/>
                  <c:y val="-4.94446343020920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7A-4CF7-88E7-83EEF6AA8B0C}"/>
                </c:ext>
              </c:extLst>
            </c:dLbl>
            <c:dLbl>
              <c:idx val="9"/>
              <c:layout>
                <c:manualLayout>
                  <c:x val="-3.3498431953289831E-2"/>
                  <c:y val="5.37628383808616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7A-4CF7-88E7-83EEF6AA8B0C}"/>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Comparison!$C$6:$L$6</c:f>
              <c:strCache>
                <c:ptCount val="10"/>
                <c:pt idx="0">
                  <c:v> 15Q1 </c:v>
                </c:pt>
                <c:pt idx="1">
                  <c:v> 15Q2 </c:v>
                </c:pt>
                <c:pt idx="2">
                  <c:v> 15Q3 </c:v>
                </c:pt>
                <c:pt idx="3">
                  <c:v> 15Q4 </c:v>
                </c:pt>
                <c:pt idx="4">
                  <c:v> 16Q1 </c:v>
                </c:pt>
                <c:pt idx="5">
                  <c:v> 16Q2 </c:v>
                </c:pt>
                <c:pt idx="6">
                  <c:v> 16Q3 </c:v>
                </c:pt>
                <c:pt idx="7">
                  <c:v> 16Q4 </c:v>
                </c:pt>
                <c:pt idx="8">
                  <c:v> 17Q1 </c:v>
                </c:pt>
                <c:pt idx="9">
                  <c:v> 17Q2 </c:v>
                </c:pt>
              </c:strCache>
            </c:strRef>
          </c:cat>
          <c:val>
            <c:numRef>
              <c:f>Comparison!$C$8:$L$8</c:f>
              <c:numCache>
                <c:formatCode>0%</c:formatCode>
                <c:ptCount val="10"/>
                <c:pt idx="0">
                  <c:v>-9.9311612010219933E-3</c:v>
                </c:pt>
                <c:pt idx="1">
                  <c:v>-5.8552869000360885E-3</c:v>
                </c:pt>
                <c:pt idx="2">
                  <c:v>4.089065531055816E-2</c:v>
                </c:pt>
                <c:pt idx="3">
                  <c:v>-5.7722931741874185E-2</c:v>
                </c:pt>
                <c:pt idx="4">
                  <c:v>-2.7415436555685749E-2</c:v>
                </c:pt>
                <c:pt idx="5">
                  <c:v>1.6422824403459393E-2</c:v>
                </c:pt>
                <c:pt idx="6">
                  <c:v>-1.1681135105709062E-2</c:v>
                </c:pt>
                <c:pt idx="7">
                  <c:v>-9.0339225991399902E-2</c:v>
                </c:pt>
                <c:pt idx="8">
                  <c:v>0</c:v>
                </c:pt>
                <c:pt idx="9">
                  <c:v>0</c:v>
                </c:pt>
              </c:numCache>
            </c:numRef>
          </c:val>
          <c:smooth val="0"/>
          <c:extLst>
            <c:ext xmlns:c16="http://schemas.microsoft.com/office/drawing/2014/chart" uri="{C3380CC4-5D6E-409C-BE32-E72D297353CC}">
              <c16:uniqueId val="{00000006-1F7A-4CF7-88E7-83EEF6AA8B0C}"/>
            </c:ext>
          </c:extLst>
        </c:ser>
        <c:dLbls>
          <c:showLegendKey val="0"/>
          <c:showVal val="1"/>
          <c:showCatName val="0"/>
          <c:showSerName val="0"/>
          <c:showPercent val="0"/>
          <c:showBubbleSize val="0"/>
        </c:dLbls>
        <c:marker val="1"/>
        <c:smooth val="0"/>
        <c:axId val="-422189072"/>
        <c:axId val="-422202128"/>
      </c:lineChart>
      <c:catAx>
        <c:axId val="-422189072"/>
        <c:scaling>
          <c:orientation val="minMax"/>
        </c:scaling>
        <c:delete val="0"/>
        <c:axPos val="b"/>
        <c:numFmt formatCode="General" sourceLinked="0"/>
        <c:majorTickMark val="none"/>
        <c:minorTickMark val="none"/>
        <c:tickLblPos val="nextTo"/>
        <c:crossAx val="-422202128"/>
        <c:crosses val="autoZero"/>
        <c:auto val="1"/>
        <c:lblAlgn val="ctr"/>
        <c:lblOffset val="100"/>
        <c:noMultiLvlLbl val="0"/>
      </c:catAx>
      <c:valAx>
        <c:axId val="-422202128"/>
        <c:scaling>
          <c:orientation val="minMax"/>
        </c:scaling>
        <c:delete val="1"/>
        <c:axPos val="l"/>
        <c:numFmt formatCode="0%" sourceLinked="1"/>
        <c:majorTickMark val="none"/>
        <c:minorTickMark val="none"/>
        <c:tickLblPos val="none"/>
        <c:crossAx val="-422189072"/>
        <c:crosses val="autoZero"/>
        <c:crossBetween val="between"/>
      </c:valAx>
    </c:plotArea>
    <c:legend>
      <c:legendPos val="t"/>
      <c:layout>
        <c:manualLayout>
          <c:xMode val="edge"/>
          <c:yMode val="edge"/>
          <c:x val="0.27026730149823003"/>
          <c:y val="0.12952481546184089"/>
          <c:w val="0.45946521897345005"/>
          <c:h val="8.9773323852497713E-2"/>
        </c:manualLayout>
      </c:layout>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userShapes r:id="rId1"/>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altLang="zh-CN" sz="1400"/>
              <a:t>Room nights</a:t>
            </a:r>
            <a:endParaRPr lang="zh-CN" altLang="en-US" sz="1400"/>
          </a:p>
        </c:rich>
      </c:tx>
      <c:layout>
        <c:manualLayout>
          <c:xMode val="edge"/>
          <c:yMode val="edge"/>
          <c:x val="0.41324608980910837"/>
          <c:y val="0.10051641191817223"/>
        </c:manualLayout>
      </c:layout>
      <c:overlay val="0"/>
    </c:title>
    <c:autoTitleDeleted val="0"/>
    <c:plotArea>
      <c:layout>
        <c:manualLayout>
          <c:layoutTarget val="inner"/>
          <c:xMode val="edge"/>
          <c:yMode val="edge"/>
          <c:x val="2.5978397205416229E-2"/>
          <c:y val="0.1824138514943697"/>
          <c:w val="0.94804320558916766"/>
          <c:h val="0.56639949696810854"/>
        </c:manualLayout>
      </c:layout>
      <c:lineChart>
        <c:grouping val="standard"/>
        <c:varyColors val="0"/>
        <c:ser>
          <c:idx val="0"/>
          <c:order val="0"/>
          <c:tx>
            <c:strRef>
              <c:f>Comparison!$B$11</c:f>
              <c:strCache>
                <c:ptCount val="1"/>
                <c:pt idx="0">
                  <c:v> Ctrip as % of Priceline </c:v>
                </c:pt>
              </c:strCache>
            </c:strRef>
          </c:tx>
          <c:marker>
            <c:symbol val="triangle"/>
            <c:size val="10"/>
          </c:marker>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Comparison!$C$10:$L$10</c:f>
              <c:strCache>
                <c:ptCount val="10"/>
                <c:pt idx="0">
                  <c:v> 15Q1 </c:v>
                </c:pt>
                <c:pt idx="1">
                  <c:v> 15Q2 </c:v>
                </c:pt>
                <c:pt idx="2">
                  <c:v> 15Q3 </c:v>
                </c:pt>
                <c:pt idx="3">
                  <c:v> 15Q4 </c:v>
                </c:pt>
                <c:pt idx="4">
                  <c:v> 16Q1 </c:v>
                </c:pt>
                <c:pt idx="5">
                  <c:v> 16Q2 </c:v>
                </c:pt>
                <c:pt idx="6">
                  <c:v> 16Q3 </c:v>
                </c:pt>
                <c:pt idx="7">
                  <c:v> 16Q4 </c:v>
                </c:pt>
                <c:pt idx="8">
                  <c:v> 17Q1 </c:v>
                </c:pt>
                <c:pt idx="9">
                  <c:v> 17Q2 </c:v>
                </c:pt>
              </c:strCache>
            </c:strRef>
          </c:cat>
          <c:val>
            <c:numRef>
              <c:f>Comparison!$C$11:$L$11</c:f>
              <c:numCache>
                <c:formatCode>0%</c:formatCode>
                <c:ptCount val="10"/>
                <c:pt idx="0">
                  <c:v>0.19565965583173997</c:v>
                </c:pt>
                <c:pt idx="1">
                  <c:v>0.20997347480106102</c:v>
                </c:pt>
                <c:pt idx="2">
                  <c:v>0.26077854671280276</c:v>
                </c:pt>
                <c:pt idx="3">
                  <c:v>0.26884964682139256</c:v>
                </c:pt>
                <c:pt idx="4">
                  <c:v>0.29191208791208789</c:v>
                </c:pt>
                <c:pt idx="5">
                  <c:v>0.31513859275053308</c:v>
                </c:pt>
                <c:pt idx="6">
                  <c:v>0.36155080213903745</c:v>
                </c:pt>
                <c:pt idx="7">
                  <c:v>0.37309946029298385</c:v>
                </c:pt>
                <c:pt idx="8">
                  <c:v>0</c:v>
                </c:pt>
                <c:pt idx="9">
                  <c:v>0</c:v>
                </c:pt>
              </c:numCache>
            </c:numRef>
          </c:val>
          <c:smooth val="0"/>
          <c:extLst>
            <c:ext xmlns:c16="http://schemas.microsoft.com/office/drawing/2014/chart" uri="{C3380CC4-5D6E-409C-BE32-E72D297353CC}">
              <c16:uniqueId val="{00000000-5240-4638-B25A-50829AD2968F}"/>
            </c:ext>
          </c:extLst>
        </c:ser>
        <c:ser>
          <c:idx val="1"/>
          <c:order val="1"/>
          <c:tx>
            <c:strRef>
              <c:f>Comparison!$B$12</c:f>
              <c:strCache>
                <c:ptCount val="1"/>
                <c:pt idx="0">
                  <c:v> Ctrip as % of Expedia </c:v>
                </c:pt>
              </c:strCache>
            </c:strRef>
          </c:tx>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Comparison!$C$10:$L$10</c:f>
              <c:strCache>
                <c:ptCount val="10"/>
                <c:pt idx="0">
                  <c:v> 15Q1 </c:v>
                </c:pt>
                <c:pt idx="1">
                  <c:v> 15Q2 </c:v>
                </c:pt>
                <c:pt idx="2">
                  <c:v> 15Q3 </c:v>
                </c:pt>
                <c:pt idx="3">
                  <c:v> 15Q4 </c:v>
                </c:pt>
                <c:pt idx="4">
                  <c:v> 16Q1 </c:v>
                </c:pt>
                <c:pt idx="5">
                  <c:v> 16Q2 </c:v>
                </c:pt>
                <c:pt idx="6">
                  <c:v> 16Q3 </c:v>
                </c:pt>
                <c:pt idx="7">
                  <c:v> 16Q4 </c:v>
                </c:pt>
                <c:pt idx="8">
                  <c:v> 17Q1 </c:v>
                </c:pt>
                <c:pt idx="9">
                  <c:v> 17Q2 </c:v>
                </c:pt>
              </c:strCache>
            </c:strRef>
          </c:cat>
          <c:val>
            <c:numRef>
              <c:f>Comparison!$C$12:$L$12</c:f>
              <c:numCache>
                <c:formatCode>0%</c:formatCode>
                <c:ptCount val="10"/>
                <c:pt idx="0">
                  <c:v>0.42995798319327733</c:v>
                </c:pt>
                <c:pt idx="1">
                  <c:v>0.41390849673202618</c:v>
                </c:pt>
                <c:pt idx="2">
                  <c:v>0.49017886178861791</c:v>
                </c:pt>
                <c:pt idx="3">
                  <c:v>0.50460227272727276</c:v>
                </c:pt>
                <c:pt idx="4">
                  <c:v>0.75752851711026603</c:v>
                </c:pt>
                <c:pt idx="5">
                  <c:v>0.72807881773399019</c:v>
                </c:pt>
                <c:pt idx="6">
                  <c:v>0.75122222222222224</c:v>
                </c:pt>
                <c:pt idx="7">
                  <c:v>0.79985123966942151</c:v>
                </c:pt>
                <c:pt idx="8">
                  <c:v>0</c:v>
                </c:pt>
                <c:pt idx="9">
                  <c:v>0</c:v>
                </c:pt>
              </c:numCache>
            </c:numRef>
          </c:val>
          <c:smooth val="0"/>
          <c:extLst>
            <c:ext xmlns:c16="http://schemas.microsoft.com/office/drawing/2014/chart" uri="{C3380CC4-5D6E-409C-BE32-E72D297353CC}">
              <c16:uniqueId val="{00000001-5240-4638-B25A-50829AD2968F}"/>
            </c:ext>
          </c:extLst>
        </c:ser>
        <c:dLbls>
          <c:showLegendKey val="0"/>
          <c:showVal val="1"/>
          <c:showCatName val="0"/>
          <c:showSerName val="0"/>
          <c:showPercent val="0"/>
          <c:showBubbleSize val="0"/>
        </c:dLbls>
        <c:marker val="1"/>
        <c:smooth val="0"/>
        <c:axId val="-422202672"/>
        <c:axId val="-422199952"/>
      </c:lineChart>
      <c:catAx>
        <c:axId val="-422202672"/>
        <c:scaling>
          <c:orientation val="minMax"/>
        </c:scaling>
        <c:delete val="0"/>
        <c:axPos val="b"/>
        <c:numFmt formatCode="General" sourceLinked="0"/>
        <c:majorTickMark val="none"/>
        <c:minorTickMark val="none"/>
        <c:tickLblPos val="nextTo"/>
        <c:crossAx val="-422199952"/>
        <c:crosses val="autoZero"/>
        <c:auto val="1"/>
        <c:lblAlgn val="ctr"/>
        <c:lblOffset val="100"/>
        <c:noMultiLvlLbl val="0"/>
      </c:catAx>
      <c:valAx>
        <c:axId val="-422199952"/>
        <c:scaling>
          <c:orientation val="minMax"/>
        </c:scaling>
        <c:delete val="1"/>
        <c:axPos val="l"/>
        <c:numFmt formatCode="0%" sourceLinked="1"/>
        <c:majorTickMark val="none"/>
        <c:minorTickMark val="none"/>
        <c:tickLblPos val="none"/>
        <c:crossAx val="-422202672"/>
        <c:crosses val="autoZero"/>
        <c:crossBetween val="between"/>
      </c:valAx>
    </c:plotArea>
    <c:legend>
      <c:legendPos val="t"/>
      <c:layout>
        <c:manualLayout>
          <c:xMode val="edge"/>
          <c:yMode val="edge"/>
          <c:x val="0.18738662344991996"/>
          <c:y val="0.13119969780074014"/>
          <c:w val="0.62522675310016018"/>
          <c:h val="9.7219964439928849E-2"/>
        </c:manualLayout>
      </c:layout>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userShapes r:id="rId1"/>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ltLang="zh-CN"/>
              <a:t>PCLN/EXPE/CTRP</a:t>
            </a:r>
            <a:r>
              <a:rPr lang="en-US" altLang="zh-CN" baseline="0"/>
              <a:t> GMVs</a:t>
            </a:r>
            <a:endParaRPr lang="zh-CN" altLang="en-US"/>
          </a:p>
        </c:rich>
      </c:tx>
      <c:overlay val="0"/>
    </c:title>
    <c:autoTitleDeleted val="0"/>
    <c:plotArea>
      <c:layout/>
      <c:barChart>
        <c:barDir val="col"/>
        <c:grouping val="clustered"/>
        <c:varyColors val="0"/>
        <c:ser>
          <c:idx val="0"/>
          <c:order val="0"/>
          <c:tx>
            <c:strRef>
              <c:f>'Annual Charts'!$A$3</c:f>
              <c:strCache>
                <c:ptCount val="1"/>
                <c:pt idx="0">
                  <c:v> PCLN Gross booking value </c:v>
                </c:pt>
              </c:strCache>
            </c:strRef>
          </c:tx>
          <c:spPr>
            <a:solidFill>
              <a:schemeClr val="accent2">
                <a:lumMod val="75000"/>
              </a:schemeClr>
            </a:solidFill>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miter lim="800000"/>
            </a:ln>
          </c:spPr>
          <c:invertIfNegative val="0"/>
          <c:dPt>
            <c:idx val="0"/>
            <c:invertIfNegative val="0"/>
            <c:bubble3D val="0"/>
            <c:spPr>
              <a:solidFill>
                <a:schemeClr val="accent2">
                  <a:lumMod val="75000"/>
                </a:schemeClr>
              </a:solidFill>
              <a:ln cap="rnd">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miter lim="800000"/>
              </a:ln>
            </c:spPr>
            <c:extLst>
              <c:ext xmlns:c16="http://schemas.microsoft.com/office/drawing/2014/chart" uri="{C3380CC4-5D6E-409C-BE32-E72D297353CC}">
                <c16:uniqueId val="{00000001-7C4A-48A0-A8A0-E6D65D4BD6B1}"/>
              </c:ext>
            </c:extLst>
          </c:dPt>
          <c:cat>
            <c:numRef>
              <c:f>'Annual Charts'!$B$1:$C$1</c:f>
              <c:numCache>
                <c:formatCode>_ [$HKD]\ * #,##0.00_ ;_ [$HKD]\ * \-#,##0.00_ ;_ [$HKD]\ * "-"??_ ;_ @_ </c:formatCode>
                <c:ptCount val="2"/>
                <c:pt idx="0">
                  <c:v>2015</c:v>
                </c:pt>
                <c:pt idx="1">
                  <c:v>2016</c:v>
                </c:pt>
              </c:numCache>
            </c:numRef>
          </c:cat>
          <c:val>
            <c:numRef>
              <c:f>'Annual Charts'!$B$3:$C$3</c:f>
              <c:numCache>
                <c:formatCode>_(* #,##0_);_(* \(#,##0\);_(* "-"??_);_(@_)</c:formatCode>
                <c:ptCount val="2"/>
                <c:pt idx="0">
                  <c:v>0</c:v>
                </c:pt>
                <c:pt idx="1">
                  <c:v>0</c:v>
                </c:pt>
              </c:numCache>
            </c:numRef>
          </c:val>
          <c:extLst>
            <c:ext xmlns:c16="http://schemas.microsoft.com/office/drawing/2014/chart" uri="{C3380CC4-5D6E-409C-BE32-E72D297353CC}">
              <c16:uniqueId val="{00000002-7C4A-48A0-A8A0-E6D65D4BD6B1}"/>
            </c:ext>
          </c:extLst>
        </c:ser>
        <c:ser>
          <c:idx val="1"/>
          <c:order val="1"/>
          <c:tx>
            <c:strRef>
              <c:f>'Annual Charts'!$A$8</c:f>
              <c:strCache>
                <c:ptCount val="1"/>
                <c:pt idx="0">
                  <c:v> EXPE Gross booking value </c:v>
                </c:pt>
              </c:strCache>
            </c:strRef>
          </c:tx>
          <c:invertIfNegative val="0"/>
          <c:val>
            <c:numRef>
              <c:f>'Annual Charts'!$B$8:$C$8</c:f>
              <c:numCache>
                <c:formatCode>_(* #,##0_);_(* \(#,##0\);_(* "-"??_);_(@_)</c:formatCode>
                <c:ptCount val="2"/>
                <c:pt idx="0">
                  <c:v>0</c:v>
                </c:pt>
                <c:pt idx="1">
                  <c:v>0</c:v>
                </c:pt>
              </c:numCache>
            </c:numRef>
          </c:val>
          <c:extLst>
            <c:ext xmlns:c16="http://schemas.microsoft.com/office/drawing/2014/chart" uri="{C3380CC4-5D6E-409C-BE32-E72D297353CC}">
              <c16:uniqueId val="{00000003-7C4A-48A0-A8A0-E6D65D4BD6B1}"/>
            </c:ext>
          </c:extLst>
        </c:ser>
        <c:ser>
          <c:idx val="2"/>
          <c:order val="2"/>
          <c:tx>
            <c:strRef>
              <c:f>'Annual Charts'!$A$13</c:f>
              <c:strCache>
                <c:ptCount val="1"/>
                <c:pt idx="0">
                  <c:v> CTRP Gross booking value </c:v>
                </c:pt>
              </c:strCache>
            </c:strRef>
          </c:tx>
          <c:spPr>
            <a:solidFill>
              <a:srgbClr val="FF8F8F"/>
            </a:solidFill>
          </c:spPr>
          <c:invertIfNegative val="0"/>
          <c:val>
            <c:numRef>
              <c:f>'Annual Charts'!$B$13:$C$13</c:f>
              <c:numCache>
                <c:formatCode>_(* #,##0_);_(* \(#,##0\);_(* "-"??_);_(@_)</c:formatCode>
                <c:ptCount val="2"/>
                <c:pt idx="0">
                  <c:v>0</c:v>
                </c:pt>
                <c:pt idx="1">
                  <c:v>61932.88203946421</c:v>
                </c:pt>
              </c:numCache>
            </c:numRef>
          </c:val>
          <c:extLst>
            <c:ext xmlns:c16="http://schemas.microsoft.com/office/drawing/2014/chart" uri="{C3380CC4-5D6E-409C-BE32-E72D297353CC}">
              <c16:uniqueId val="{00000004-7C4A-48A0-A8A0-E6D65D4BD6B1}"/>
            </c:ext>
          </c:extLst>
        </c:ser>
        <c:dLbls>
          <c:showLegendKey val="0"/>
          <c:showVal val="0"/>
          <c:showCatName val="0"/>
          <c:showSerName val="0"/>
          <c:showPercent val="0"/>
          <c:showBubbleSize val="0"/>
        </c:dLbls>
        <c:gapWidth val="150"/>
        <c:axId val="-422197776"/>
        <c:axId val="-422197232"/>
      </c:barChart>
      <c:lineChart>
        <c:grouping val="standard"/>
        <c:varyColors val="0"/>
        <c:ser>
          <c:idx val="3"/>
          <c:order val="3"/>
          <c:tx>
            <c:strRef>
              <c:f>'Annual Charts'!$A$16</c:f>
              <c:strCache>
                <c:ptCount val="1"/>
                <c:pt idx="0">
                  <c:v> CTRP's GMV as a pencentage of PCLN's  </c:v>
                </c:pt>
              </c:strCache>
            </c:strRef>
          </c:tx>
          <c:spPr>
            <a:ln>
              <a:solidFill>
                <a:schemeClr val="tx2">
                  <a:lumMod val="40000"/>
                  <a:lumOff val="60000"/>
                </a:schemeClr>
              </a:solidFill>
            </a:ln>
          </c:spPr>
          <c:marker>
            <c:symbol val="triangle"/>
            <c:size val="5"/>
            <c:spPr>
              <a:solidFill>
                <a:schemeClr val="tx2">
                  <a:lumMod val="40000"/>
                  <a:lumOff val="60000"/>
                </a:schemeClr>
              </a:solidFill>
            </c:spPr>
          </c:marker>
          <c:val>
            <c:numRef>
              <c:f>'Annual Charts'!$B$16:$C$16</c:f>
              <c:numCache>
                <c:formatCode>0%</c:formatCode>
                <c:ptCount val="2"/>
                <c:pt idx="0">
                  <c:v>0</c:v>
                </c:pt>
                <c:pt idx="1">
                  <c:v>0</c:v>
                </c:pt>
              </c:numCache>
            </c:numRef>
          </c:val>
          <c:smooth val="0"/>
          <c:extLst>
            <c:ext xmlns:c16="http://schemas.microsoft.com/office/drawing/2014/chart" uri="{C3380CC4-5D6E-409C-BE32-E72D297353CC}">
              <c16:uniqueId val="{00000005-7C4A-48A0-A8A0-E6D65D4BD6B1}"/>
            </c:ext>
          </c:extLst>
        </c:ser>
        <c:ser>
          <c:idx val="4"/>
          <c:order val="4"/>
          <c:tx>
            <c:strRef>
              <c:f>'Annual Charts'!$A$17</c:f>
              <c:strCache>
                <c:ptCount val="1"/>
                <c:pt idx="0">
                  <c:v> CTRP's GMV as a pencentage of EXPE's  </c:v>
                </c:pt>
              </c:strCache>
            </c:strRef>
          </c:tx>
          <c:spPr>
            <a:ln>
              <a:solidFill>
                <a:srgbClr val="FF8F8F"/>
              </a:solidFill>
            </a:ln>
          </c:spPr>
          <c:marker>
            <c:symbol val="circle"/>
            <c:size val="5"/>
            <c:spPr>
              <a:solidFill>
                <a:srgbClr val="FF8F8F"/>
              </a:solidFill>
            </c:spPr>
          </c:marker>
          <c:val>
            <c:numRef>
              <c:f>'Annual Charts'!$B$17:$C$17</c:f>
              <c:numCache>
                <c:formatCode>0%</c:formatCode>
                <c:ptCount val="2"/>
                <c:pt idx="0">
                  <c:v>0</c:v>
                </c:pt>
                <c:pt idx="1">
                  <c:v>0</c:v>
                </c:pt>
              </c:numCache>
            </c:numRef>
          </c:val>
          <c:smooth val="0"/>
          <c:extLst>
            <c:ext xmlns:c16="http://schemas.microsoft.com/office/drawing/2014/chart" uri="{C3380CC4-5D6E-409C-BE32-E72D297353CC}">
              <c16:uniqueId val="{00000006-7C4A-48A0-A8A0-E6D65D4BD6B1}"/>
            </c:ext>
          </c:extLst>
        </c:ser>
        <c:dLbls>
          <c:showLegendKey val="0"/>
          <c:showVal val="0"/>
          <c:showCatName val="0"/>
          <c:showSerName val="0"/>
          <c:showPercent val="0"/>
          <c:showBubbleSize val="0"/>
        </c:dLbls>
        <c:marker val="1"/>
        <c:smooth val="0"/>
        <c:axId val="-421415744"/>
        <c:axId val="-421408672"/>
      </c:lineChart>
      <c:catAx>
        <c:axId val="-422197776"/>
        <c:scaling>
          <c:orientation val="minMax"/>
        </c:scaling>
        <c:delete val="0"/>
        <c:axPos val="b"/>
        <c:numFmt formatCode="_ [$HKD]\ * #,##0.00_ ;_ [$HKD]\ * \-#,##0.00_ ;_ [$HKD]\ * &quot;-&quot;??_ ;_ @_ " sourceLinked="1"/>
        <c:majorTickMark val="out"/>
        <c:minorTickMark val="none"/>
        <c:tickLblPos val="nextTo"/>
        <c:crossAx val="-422197232"/>
        <c:crosses val="autoZero"/>
        <c:auto val="1"/>
        <c:lblAlgn val="ctr"/>
        <c:lblOffset val="100"/>
        <c:noMultiLvlLbl val="0"/>
      </c:catAx>
      <c:valAx>
        <c:axId val="-422197232"/>
        <c:scaling>
          <c:orientation val="minMax"/>
        </c:scaling>
        <c:delete val="0"/>
        <c:axPos val="l"/>
        <c:majorGridlines/>
        <c:numFmt formatCode="_(* #,##0_);_(* \(#,##0\);_(* &quot;-&quot;??_);_(@_)" sourceLinked="1"/>
        <c:majorTickMark val="out"/>
        <c:minorTickMark val="none"/>
        <c:tickLblPos val="nextTo"/>
        <c:crossAx val="-422197776"/>
        <c:crosses val="autoZero"/>
        <c:crossBetween val="between"/>
      </c:valAx>
      <c:valAx>
        <c:axId val="-421408672"/>
        <c:scaling>
          <c:orientation val="minMax"/>
        </c:scaling>
        <c:delete val="0"/>
        <c:axPos val="r"/>
        <c:numFmt formatCode="0%" sourceLinked="1"/>
        <c:majorTickMark val="out"/>
        <c:minorTickMark val="none"/>
        <c:tickLblPos val="nextTo"/>
        <c:crossAx val="-421415744"/>
        <c:crosses val="max"/>
        <c:crossBetween val="between"/>
      </c:valAx>
      <c:catAx>
        <c:axId val="-421415744"/>
        <c:scaling>
          <c:orientation val="minMax"/>
        </c:scaling>
        <c:delete val="1"/>
        <c:axPos val="b"/>
        <c:majorTickMark val="out"/>
        <c:minorTickMark val="none"/>
        <c:tickLblPos val="none"/>
        <c:crossAx val="-421408672"/>
        <c:crosses val="autoZero"/>
        <c:auto val="1"/>
        <c:lblAlgn val="ctr"/>
        <c:lblOffset val="100"/>
        <c:noMultiLvlLbl val="0"/>
      </c:catAx>
    </c:plotArea>
    <c:legend>
      <c:legendPos val="b"/>
      <c:overlay val="0"/>
    </c:legend>
    <c:plotVisOnly val="1"/>
    <c:dispBlanksAs val="gap"/>
    <c:showDLblsOverMax val="0"/>
  </c:chart>
  <c:printSettings>
    <c:headerFooter/>
    <c:pageMargins b="0.75000000000000011" l="0.70000000000000007" r="0.70000000000000007" t="0.75000000000000011" header="0.30000000000000004" footer="0.30000000000000004"/>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chart" Target="../charts/chart28.xml"/><Relationship Id="rId18" Type="http://schemas.openxmlformats.org/officeDocument/2006/relationships/chart" Target="../charts/chart33.xml"/><Relationship Id="rId3" Type="http://schemas.openxmlformats.org/officeDocument/2006/relationships/chart" Target="../charts/chart18.xml"/><Relationship Id="rId21" Type="http://schemas.openxmlformats.org/officeDocument/2006/relationships/chart" Target="../charts/chart36.xml"/><Relationship Id="rId7" Type="http://schemas.openxmlformats.org/officeDocument/2006/relationships/chart" Target="../charts/chart22.xml"/><Relationship Id="rId12" Type="http://schemas.openxmlformats.org/officeDocument/2006/relationships/chart" Target="../charts/chart27.xml"/><Relationship Id="rId17" Type="http://schemas.openxmlformats.org/officeDocument/2006/relationships/chart" Target="../charts/chart32.xml"/><Relationship Id="rId2" Type="http://schemas.openxmlformats.org/officeDocument/2006/relationships/chart" Target="../charts/chart17.xml"/><Relationship Id="rId16" Type="http://schemas.openxmlformats.org/officeDocument/2006/relationships/chart" Target="../charts/chart31.xml"/><Relationship Id="rId20" Type="http://schemas.openxmlformats.org/officeDocument/2006/relationships/chart" Target="../charts/chart35.xml"/><Relationship Id="rId1" Type="http://schemas.openxmlformats.org/officeDocument/2006/relationships/image" Target="../media/image8.emf"/><Relationship Id="rId6" Type="http://schemas.openxmlformats.org/officeDocument/2006/relationships/chart" Target="../charts/chart21.xml"/><Relationship Id="rId11" Type="http://schemas.openxmlformats.org/officeDocument/2006/relationships/chart" Target="../charts/chart26.xml"/><Relationship Id="rId5" Type="http://schemas.openxmlformats.org/officeDocument/2006/relationships/chart" Target="../charts/chart20.xml"/><Relationship Id="rId15" Type="http://schemas.openxmlformats.org/officeDocument/2006/relationships/chart" Target="../charts/chart30.xml"/><Relationship Id="rId23" Type="http://schemas.openxmlformats.org/officeDocument/2006/relationships/chart" Target="../charts/chart38.xml"/><Relationship Id="rId10" Type="http://schemas.openxmlformats.org/officeDocument/2006/relationships/chart" Target="../charts/chart25.xml"/><Relationship Id="rId19" Type="http://schemas.openxmlformats.org/officeDocument/2006/relationships/chart" Target="../charts/chart34.xml"/><Relationship Id="rId4" Type="http://schemas.openxmlformats.org/officeDocument/2006/relationships/chart" Target="../charts/chart19.xml"/><Relationship Id="rId9" Type="http://schemas.openxmlformats.org/officeDocument/2006/relationships/chart" Target="../charts/chart24.xml"/><Relationship Id="rId14" Type="http://schemas.openxmlformats.org/officeDocument/2006/relationships/chart" Target="../charts/chart29.xml"/><Relationship Id="rId22" Type="http://schemas.openxmlformats.org/officeDocument/2006/relationships/chart" Target="../charts/chart37.xml"/></Relationships>
</file>

<file path=xl/drawings/_rels/drawing5.xml.rels><?xml version="1.0" encoding="UTF-8" standalone="yes"?>
<Relationships xmlns="http://schemas.openxmlformats.org/package/2006/relationships"><Relationship Id="rId8" Type="http://schemas.openxmlformats.org/officeDocument/2006/relationships/chart" Target="../charts/chart46.xml"/><Relationship Id="rId13" Type="http://schemas.openxmlformats.org/officeDocument/2006/relationships/chart" Target="../charts/chart51.xml"/><Relationship Id="rId18" Type="http://schemas.openxmlformats.org/officeDocument/2006/relationships/chart" Target="../charts/chart56.xml"/><Relationship Id="rId3" Type="http://schemas.openxmlformats.org/officeDocument/2006/relationships/chart" Target="../charts/chart41.xml"/><Relationship Id="rId21" Type="http://schemas.openxmlformats.org/officeDocument/2006/relationships/chart" Target="../charts/chart59.xml"/><Relationship Id="rId7" Type="http://schemas.openxmlformats.org/officeDocument/2006/relationships/chart" Target="../charts/chart45.xml"/><Relationship Id="rId12" Type="http://schemas.openxmlformats.org/officeDocument/2006/relationships/chart" Target="../charts/chart50.xml"/><Relationship Id="rId17" Type="http://schemas.openxmlformats.org/officeDocument/2006/relationships/chart" Target="../charts/chart55.xml"/><Relationship Id="rId2" Type="http://schemas.openxmlformats.org/officeDocument/2006/relationships/chart" Target="../charts/chart40.xml"/><Relationship Id="rId16" Type="http://schemas.openxmlformats.org/officeDocument/2006/relationships/chart" Target="../charts/chart54.xml"/><Relationship Id="rId20" Type="http://schemas.openxmlformats.org/officeDocument/2006/relationships/chart" Target="../charts/chart58.xml"/><Relationship Id="rId1" Type="http://schemas.openxmlformats.org/officeDocument/2006/relationships/chart" Target="../charts/chart39.xml"/><Relationship Id="rId6" Type="http://schemas.openxmlformats.org/officeDocument/2006/relationships/chart" Target="../charts/chart44.xml"/><Relationship Id="rId11" Type="http://schemas.openxmlformats.org/officeDocument/2006/relationships/chart" Target="../charts/chart49.xml"/><Relationship Id="rId5" Type="http://schemas.openxmlformats.org/officeDocument/2006/relationships/chart" Target="../charts/chart43.xml"/><Relationship Id="rId15" Type="http://schemas.openxmlformats.org/officeDocument/2006/relationships/chart" Target="../charts/chart53.xml"/><Relationship Id="rId23" Type="http://schemas.openxmlformats.org/officeDocument/2006/relationships/chart" Target="../charts/chart61.xml"/><Relationship Id="rId10" Type="http://schemas.openxmlformats.org/officeDocument/2006/relationships/chart" Target="../charts/chart48.xml"/><Relationship Id="rId19" Type="http://schemas.openxmlformats.org/officeDocument/2006/relationships/chart" Target="../charts/chart57.xml"/><Relationship Id="rId4" Type="http://schemas.openxmlformats.org/officeDocument/2006/relationships/chart" Target="../charts/chart42.xml"/><Relationship Id="rId9" Type="http://schemas.openxmlformats.org/officeDocument/2006/relationships/chart" Target="../charts/chart47.xml"/><Relationship Id="rId14" Type="http://schemas.openxmlformats.org/officeDocument/2006/relationships/chart" Target="../charts/chart52.xml"/><Relationship Id="rId22" Type="http://schemas.openxmlformats.org/officeDocument/2006/relationships/chart" Target="../charts/chart60.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69.xml"/><Relationship Id="rId3" Type="http://schemas.openxmlformats.org/officeDocument/2006/relationships/chart" Target="../charts/chart64.xml"/><Relationship Id="rId7" Type="http://schemas.openxmlformats.org/officeDocument/2006/relationships/chart" Target="../charts/chart68.xml"/><Relationship Id="rId2" Type="http://schemas.openxmlformats.org/officeDocument/2006/relationships/chart" Target="../charts/chart63.xml"/><Relationship Id="rId1" Type="http://schemas.openxmlformats.org/officeDocument/2006/relationships/chart" Target="../charts/chart62.xml"/><Relationship Id="rId6" Type="http://schemas.openxmlformats.org/officeDocument/2006/relationships/chart" Target="../charts/chart67.xml"/><Relationship Id="rId5" Type="http://schemas.openxmlformats.org/officeDocument/2006/relationships/chart" Target="../charts/chart66.xml"/><Relationship Id="rId4" Type="http://schemas.openxmlformats.org/officeDocument/2006/relationships/chart" Target="../charts/chart65.xml"/><Relationship Id="rId9" Type="http://schemas.openxmlformats.org/officeDocument/2006/relationships/chart" Target="../charts/chart70.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72.xml"/><Relationship Id="rId1" Type="http://schemas.openxmlformats.org/officeDocument/2006/relationships/chart" Target="../charts/chart71.xml"/></Relationships>
</file>

<file path=xl/drawings/_rels/drawing19.xml.rels><?xml version="1.0" encoding="UTF-8" standalone="yes"?>
<Relationships xmlns="http://schemas.openxmlformats.org/package/2006/relationships"><Relationship Id="rId8" Type="http://schemas.openxmlformats.org/officeDocument/2006/relationships/chart" Target="../charts/chart80.xml"/><Relationship Id="rId13" Type="http://schemas.openxmlformats.org/officeDocument/2006/relationships/chart" Target="../charts/chart85.xml"/><Relationship Id="rId3" Type="http://schemas.openxmlformats.org/officeDocument/2006/relationships/chart" Target="../charts/chart75.xml"/><Relationship Id="rId7" Type="http://schemas.openxmlformats.org/officeDocument/2006/relationships/chart" Target="../charts/chart79.xml"/><Relationship Id="rId12" Type="http://schemas.openxmlformats.org/officeDocument/2006/relationships/chart" Target="../charts/chart84.xml"/><Relationship Id="rId2" Type="http://schemas.openxmlformats.org/officeDocument/2006/relationships/chart" Target="../charts/chart74.xml"/><Relationship Id="rId1" Type="http://schemas.openxmlformats.org/officeDocument/2006/relationships/chart" Target="../charts/chart73.xml"/><Relationship Id="rId6" Type="http://schemas.openxmlformats.org/officeDocument/2006/relationships/chart" Target="../charts/chart78.xml"/><Relationship Id="rId11" Type="http://schemas.openxmlformats.org/officeDocument/2006/relationships/chart" Target="../charts/chart83.xml"/><Relationship Id="rId5" Type="http://schemas.openxmlformats.org/officeDocument/2006/relationships/chart" Target="../charts/chart77.xml"/><Relationship Id="rId15" Type="http://schemas.openxmlformats.org/officeDocument/2006/relationships/chart" Target="../charts/chart87.xml"/><Relationship Id="rId10" Type="http://schemas.openxmlformats.org/officeDocument/2006/relationships/chart" Target="../charts/chart82.xml"/><Relationship Id="rId4" Type="http://schemas.openxmlformats.org/officeDocument/2006/relationships/chart" Target="../charts/chart76.xml"/><Relationship Id="rId9" Type="http://schemas.openxmlformats.org/officeDocument/2006/relationships/chart" Target="../charts/chart81.xml"/><Relationship Id="rId14" Type="http://schemas.openxmlformats.org/officeDocument/2006/relationships/chart" Target="../charts/chart86.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90.xml"/><Relationship Id="rId2" Type="http://schemas.openxmlformats.org/officeDocument/2006/relationships/chart" Target="../charts/chart89.xml"/><Relationship Id="rId1" Type="http://schemas.openxmlformats.org/officeDocument/2006/relationships/chart" Target="../charts/chart88.xml"/><Relationship Id="rId6" Type="http://schemas.openxmlformats.org/officeDocument/2006/relationships/chart" Target="../charts/chart93.xml"/><Relationship Id="rId5" Type="http://schemas.openxmlformats.org/officeDocument/2006/relationships/chart" Target="../charts/chart92.xml"/><Relationship Id="rId4" Type="http://schemas.openxmlformats.org/officeDocument/2006/relationships/chart" Target="../charts/chart91.xml"/></Relationships>
</file>

<file path=xl/drawings/_rels/drawing21.xml.rels><?xml version="1.0" encoding="UTF-8" standalone="yes"?>
<Relationships xmlns="http://schemas.openxmlformats.org/package/2006/relationships"><Relationship Id="rId8" Type="http://schemas.openxmlformats.org/officeDocument/2006/relationships/chart" Target="../charts/chart101.xml"/><Relationship Id="rId3" Type="http://schemas.openxmlformats.org/officeDocument/2006/relationships/chart" Target="../charts/chart96.xml"/><Relationship Id="rId7" Type="http://schemas.openxmlformats.org/officeDocument/2006/relationships/chart" Target="../charts/chart100.xml"/><Relationship Id="rId2" Type="http://schemas.openxmlformats.org/officeDocument/2006/relationships/chart" Target="../charts/chart95.xml"/><Relationship Id="rId1" Type="http://schemas.openxmlformats.org/officeDocument/2006/relationships/chart" Target="../charts/chart94.xml"/><Relationship Id="rId6" Type="http://schemas.openxmlformats.org/officeDocument/2006/relationships/chart" Target="../charts/chart99.xml"/><Relationship Id="rId11" Type="http://schemas.openxmlformats.org/officeDocument/2006/relationships/chart" Target="../charts/chart104.xml"/><Relationship Id="rId5" Type="http://schemas.openxmlformats.org/officeDocument/2006/relationships/chart" Target="../charts/chart98.xml"/><Relationship Id="rId10" Type="http://schemas.openxmlformats.org/officeDocument/2006/relationships/chart" Target="../charts/chart103.xml"/><Relationship Id="rId4" Type="http://schemas.openxmlformats.org/officeDocument/2006/relationships/chart" Target="../charts/chart97.xml"/><Relationship Id="rId9" Type="http://schemas.openxmlformats.org/officeDocument/2006/relationships/chart" Target="../charts/chart102.xml"/></Relationships>
</file>

<file path=xl/drawings/_rels/drawing22.xml.rels><?xml version="1.0" encoding="UTF-8" standalone="yes"?>
<Relationships xmlns="http://schemas.openxmlformats.org/package/2006/relationships"><Relationship Id="rId8" Type="http://schemas.openxmlformats.org/officeDocument/2006/relationships/chart" Target="../charts/chart112.xml"/><Relationship Id="rId13" Type="http://schemas.openxmlformats.org/officeDocument/2006/relationships/chart" Target="../charts/chart117.xml"/><Relationship Id="rId18" Type="http://schemas.openxmlformats.org/officeDocument/2006/relationships/chart" Target="../charts/chart122.xml"/><Relationship Id="rId3" Type="http://schemas.openxmlformats.org/officeDocument/2006/relationships/chart" Target="../charts/chart107.xml"/><Relationship Id="rId21" Type="http://schemas.openxmlformats.org/officeDocument/2006/relationships/chart" Target="../charts/chart125.xml"/><Relationship Id="rId7" Type="http://schemas.openxmlformats.org/officeDocument/2006/relationships/chart" Target="../charts/chart111.xml"/><Relationship Id="rId12" Type="http://schemas.openxmlformats.org/officeDocument/2006/relationships/chart" Target="../charts/chart116.xml"/><Relationship Id="rId17" Type="http://schemas.openxmlformats.org/officeDocument/2006/relationships/chart" Target="../charts/chart121.xml"/><Relationship Id="rId2" Type="http://schemas.openxmlformats.org/officeDocument/2006/relationships/chart" Target="../charts/chart106.xml"/><Relationship Id="rId16" Type="http://schemas.openxmlformats.org/officeDocument/2006/relationships/chart" Target="../charts/chart120.xml"/><Relationship Id="rId20" Type="http://schemas.openxmlformats.org/officeDocument/2006/relationships/chart" Target="../charts/chart124.xml"/><Relationship Id="rId1" Type="http://schemas.openxmlformats.org/officeDocument/2006/relationships/chart" Target="../charts/chart105.xml"/><Relationship Id="rId6" Type="http://schemas.openxmlformats.org/officeDocument/2006/relationships/chart" Target="../charts/chart110.xml"/><Relationship Id="rId11" Type="http://schemas.openxmlformats.org/officeDocument/2006/relationships/chart" Target="../charts/chart115.xml"/><Relationship Id="rId5" Type="http://schemas.openxmlformats.org/officeDocument/2006/relationships/chart" Target="../charts/chart109.xml"/><Relationship Id="rId15" Type="http://schemas.openxmlformats.org/officeDocument/2006/relationships/chart" Target="../charts/chart119.xml"/><Relationship Id="rId23" Type="http://schemas.openxmlformats.org/officeDocument/2006/relationships/chart" Target="../charts/chart127.xml"/><Relationship Id="rId10" Type="http://schemas.openxmlformats.org/officeDocument/2006/relationships/chart" Target="../charts/chart114.xml"/><Relationship Id="rId19" Type="http://schemas.openxmlformats.org/officeDocument/2006/relationships/chart" Target="../charts/chart123.xml"/><Relationship Id="rId4" Type="http://schemas.openxmlformats.org/officeDocument/2006/relationships/chart" Target="../charts/chart108.xml"/><Relationship Id="rId9" Type="http://schemas.openxmlformats.org/officeDocument/2006/relationships/chart" Target="../charts/chart113.xml"/><Relationship Id="rId14" Type="http://schemas.openxmlformats.org/officeDocument/2006/relationships/chart" Target="../charts/chart118.xml"/><Relationship Id="rId22" Type="http://schemas.openxmlformats.org/officeDocument/2006/relationships/chart" Target="../charts/chart126.xml"/></Relationships>
</file>

<file path=xl/drawings/_rels/drawing33.xml.rels><?xml version="1.0" encoding="UTF-8" standalone="yes"?>
<Relationships xmlns="http://schemas.openxmlformats.org/package/2006/relationships"><Relationship Id="rId3" Type="http://schemas.openxmlformats.org/officeDocument/2006/relationships/chart" Target="../charts/chart129.xml"/><Relationship Id="rId7" Type="http://schemas.openxmlformats.org/officeDocument/2006/relationships/chart" Target="../charts/chart133.xml"/><Relationship Id="rId2" Type="http://schemas.openxmlformats.org/officeDocument/2006/relationships/chart" Target="../charts/chart128.xml"/><Relationship Id="rId1" Type="http://schemas.openxmlformats.org/officeDocument/2006/relationships/image" Target="../media/image8.emf"/><Relationship Id="rId6" Type="http://schemas.openxmlformats.org/officeDocument/2006/relationships/chart" Target="../charts/chart132.xml"/><Relationship Id="rId5" Type="http://schemas.openxmlformats.org/officeDocument/2006/relationships/chart" Target="../charts/chart131.xml"/><Relationship Id="rId4" Type="http://schemas.openxmlformats.org/officeDocument/2006/relationships/chart" Target="../charts/chart130.xml"/></Relationships>
</file>

<file path=xl/drawings/_rels/drawing34.xml.rels><?xml version="1.0" encoding="UTF-8" standalone="yes"?>
<Relationships xmlns="http://schemas.openxmlformats.org/package/2006/relationships"><Relationship Id="rId8" Type="http://schemas.openxmlformats.org/officeDocument/2006/relationships/chart" Target="../charts/chart141.xml"/><Relationship Id="rId3" Type="http://schemas.openxmlformats.org/officeDocument/2006/relationships/chart" Target="../charts/chart136.xml"/><Relationship Id="rId7" Type="http://schemas.openxmlformats.org/officeDocument/2006/relationships/chart" Target="../charts/chart140.xml"/><Relationship Id="rId2" Type="http://schemas.openxmlformats.org/officeDocument/2006/relationships/chart" Target="../charts/chart135.xml"/><Relationship Id="rId1" Type="http://schemas.openxmlformats.org/officeDocument/2006/relationships/chart" Target="../charts/chart134.xml"/><Relationship Id="rId6" Type="http://schemas.openxmlformats.org/officeDocument/2006/relationships/chart" Target="../charts/chart139.xml"/><Relationship Id="rId5" Type="http://schemas.openxmlformats.org/officeDocument/2006/relationships/chart" Target="../charts/chart138.xml"/><Relationship Id="rId4" Type="http://schemas.openxmlformats.org/officeDocument/2006/relationships/chart" Target="../charts/chart137.xml"/></Relationships>
</file>

<file path=xl/drawings/_rels/drawing35.xml.rels><?xml version="1.0" encoding="UTF-8" standalone="yes"?>
<Relationships xmlns="http://schemas.openxmlformats.org/package/2006/relationships"><Relationship Id="rId3" Type="http://schemas.openxmlformats.org/officeDocument/2006/relationships/chart" Target="../charts/chart144.xml"/><Relationship Id="rId2" Type="http://schemas.openxmlformats.org/officeDocument/2006/relationships/chart" Target="../charts/chart143.xml"/><Relationship Id="rId1" Type="http://schemas.openxmlformats.org/officeDocument/2006/relationships/chart" Target="../charts/chart142.xml"/></Relationships>
</file>

<file path=xl/drawings/_rels/drawing39.xml.rels><?xml version="1.0" encoding="UTF-8" standalone="yes"?>
<Relationships xmlns="http://schemas.openxmlformats.org/package/2006/relationships"><Relationship Id="rId3" Type="http://schemas.openxmlformats.org/officeDocument/2006/relationships/chart" Target="../charts/chart147.xml"/><Relationship Id="rId2" Type="http://schemas.openxmlformats.org/officeDocument/2006/relationships/chart" Target="../charts/chart146.xml"/><Relationship Id="rId1" Type="http://schemas.openxmlformats.org/officeDocument/2006/relationships/chart" Target="../charts/chart145.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148.xml"/></Relationships>
</file>

<file path=xl/drawings/drawing1.xml><?xml version="1.0" encoding="utf-8"?>
<xdr:wsDr xmlns:xdr="http://schemas.openxmlformats.org/drawingml/2006/spreadsheetDrawing" xmlns:a="http://schemas.openxmlformats.org/drawingml/2006/main">
  <xdr:twoCellAnchor editAs="oneCell">
    <xdr:from>
      <xdr:col>32</xdr:col>
      <xdr:colOff>40665</xdr:colOff>
      <xdr:row>2</xdr:row>
      <xdr:rowOff>61077</xdr:rowOff>
    </xdr:from>
    <xdr:to>
      <xdr:col>43</xdr:col>
      <xdr:colOff>203626</xdr:colOff>
      <xdr:row>35</xdr:row>
      <xdr:rowOff>47485</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7596490" y="384927"/>
          <a:ext cx="7392436" cy="5329933"/>
        </a:xfrm>
        <a:prstGeom prst="rect">
          <a:avLst/>
        </a:prstGeom>
      </xdr:spPr>
    </xdr:pic>
    <xdr:clientData/>
  </xdr:twoCellAnchor>
  <xdr:twoCellAnchor editAs="oneCell">
    <xdr:from>
      <xdr:col>39</xdr:col>
      <xdr:colOff>389226</xdr:colOff>
      <xdr:row>94</xdr:row>
      <xdr:rowOff>38255</xdr:rowOff>
    </xdr:from>
    <xdr:to>
      <xdr:col>52</xdr:col>
      <xdr:colOff>273793</xdr:colOff>
      <xdr:row>128</xdr:row>
      <xdr:rowOff>7420</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32545626" y="15259205"/>
          <a:ext cx="8428492" cy="5474615"/>
        </a:xfrm>
        <a:prstGeom prst="rect">
          <a:avLst/>
        </a:prstGeom>
      </xdr:spPr>
    </xdr:pic>
    <xdr:clientData/>
  </xdr:twoCellAnchor>
  <xdr:twoCellAnchor editAs="oneCell">
    <xdr:from>
      <xdr:col>39</xdr:col>
      <xdr:colOff>505834</xdr:colOff>
      <xdr:row>200</xdr:row>
      <xdr:rowOff>7215</xdr:rowOff>
    </xdr:from>
    <xdr:to>
      <xdr:col>52</xdr:col>
      <xdr:colOff>410585</xdr:colOff>
      <xdr:row>245</xdr:row>
      <xdr:rowOff>132597</xdr:rowOff>
    </xdr:to>
    <xdr:pic>
      <xdr:nvPicPr>
        <xdr:cNvPr id="4" name="图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32662234" y="27696390"/>
          <a:ext cx="8448676" cy="7412007"/>
        </a:xfrm>
        <a:prstGeom prst="rect">
          <a:avLst/>
        </a:prstGeom>
      </xdr:spPr>
    </xdr:pic>
    <xdr:clientData/>
  </xdr:twoCellAnchor>
  <xdr:twoCellAnchor editAs="oneCell">
    <xdr:from>
      <xdr:col>32</xdr:col>
      <xdr:colOff>562778</xdr:colOff>
      <xdr:row>57</xdr:row>
      <xdr:rowOff>88996</xdr:rowOff>
    </xdr:from>
    <xdr:to>
      <xdr:col>45</xdr:col>
      <xdr:colOff>508512</xdr:colOff>
      <xdr:row>92</xdr:row>
      <xdr:rowOff>54347</xdr:rowOff>
    </xdr:to>
    <xdr:pic>
      <xdr:nvPicPr>
        <xdr:cNvPr id="5" name="图片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28118603" y="9318721"/>
          <a:ext cx="8489659" cy="5632726"/>
        </a:xfrm>
        <a:prstGeom prst="rect">
          <a:avLst/>
        </a:prstGeom>
      </xdr:spPr>
    </xdr:pic>
    <xdr:clientData/>
  </xdr:twoCellAnchor>
  <xdr:twoCellAnchor editAs="oneCell">
    <xdr:from>
      <xdr:col>20</xdr:col>
      <xdr:colOff>674900</xdr:colOff>
      <xdr:row>6</xdr:row>
      <xdr:rowOff>50273</xdr:rowOff>
    </xdr:from>
    <xdr:to>
      <xdr:col>32</xdr:col>
      <xdr:colOff>280058</xdr:colOff>
      <xdr:row>35</xdr:row>
      <xdr:rowOff>155200</xdr:rowOff>
    </xdr:to>
    <xdr:pic>
      <xdr:nvPicPr>
        <xdr:cNvPr id="6" name="图片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19324850" y="1021823"/>
          <a:ext cx="8511033" cy="4800752"/>
        </a:xfrm>
        <a:prstGeom prst="rect">
          <a:avLst/>
        </a:prstGeom>
      </xdr:spPr>
    </xdr:pic>
    <xdr:clientData/>
  </xdr:twoCellAnchor>
  <xdr:twoCellAnchor editAs="oneCell">
    <xdr:from>
      <xdr:col>21</xdr:col>
      <xdr:colOff>0</xdr:colOff>
      <xdr:row>96</xdr:row>
      <xdr:rowOff>0</xdr:rowOff>
    </xdr:from>
    <xdr:to>
      <xdr:col>29</xdr:col>
      <xdr:colOff>580187</xdr:colOff>
      <xdr:row>136</xdr:row>
      <xdr:rowOff>113452</xdr:rowOff>
    </xdr:to>
    <xdr:pic>
      <xdr:nvPicPr>
        <xdr:cNvPr id="7" name="图片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19812000" y="15544800"/>
          <a:ext cx="6352337" cy="6590452"/>
        </a:xfrm>
        <a:prstGeom prst="rect">
          <a:avLst/>
        </a:prstGeom>
      </xdr:spPr>
    </xdr:pic>
    <xdr:clientData/>
  </xdr:twoCellAnchor>
  <xdr:twoCellAnchor editAs="oneCell">
    <xdr:from>
      <xdr:col>18</xdr:col>
      <xdr:colOff>185058</xdr:colOff>
      <xdr:row>195</xdr:row>
      <xdr:rowOff>13607</xdr:rowOff>
    </xdr:from>
    <xdr:to>
      <xdr:col>24</xdr:col>
      <xdr:colOff>59047</xdr:colOff>
      <xdr:row>218</xdr:row>
      <xdr:rowOff>98856</xdr:rowOff>
    </xdr:to>
    <xdr:pic>
      <xdr:nvPicPr>
        <xdr:cNvPr id="8" name="图片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16006083" y="26893157"/>
          <a:ext cx="6350989" cy="38095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5</xdr:col>
      <xdr:colOff>1</xdr:colOff>
      <xdr:row>12</xdr:row>
      <xdr:rowOff>0</xdr:rowOff>
    </xdr:to>
    <xdr:graphicFrame macro="">
      <xdr:nvGraphicFramePr>
        <xdr:cNvPr id="2" name="图表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514350</xdr:colOff>
      <xdr:row>18</xdr:row>
      <xdr:rowOff>28575</xdr:rowOff>
    </xdr:from>
    <xdr:to>
      <xdr:col>19</xdr:col>
      <xdr:colOff>428625</xdr:colOff>
      <xdr:row>33</xdr:row>
      <xdr:rowOff>57150</xdr:rowOff>
    </xdr:to>
    <xdr:graphicFrame macro="">
      <xdr:nvGraphicFramePr>
        <xdr:cNvPr id="3" name="图表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571499</xdr:colOff>
      <xdr:row>37</xdr:row>
      <xdr:rowOff>85725</xdr:rowOff>
    </xdr:from>
    <xdr:to>
      <xdr:col>16</xdr:col>
      <xdr:colOff>504824</xdr:colOff>
      <xdr:row>56</xdr:row>
      <xdr:rowOff>38100</xdr:rowOff>
    </xdr:to>
    <xdr:graphicFrame macro="">
      <xdr:nvGraphicFramePr>
        <xdr:cNvPr id="4" name="图表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381000</xdr:colOff>
      <xdr:row>54</xdr:row>
      <xdr:rowOff>19050</xdr:rowOff>
    </xdr:from>
    <xdr:to>
      <xdr:col>14</xdr:col>
      <xdr:colOff>190500</xdr:colOff>
      <xdr:row>69</xdr:row>
      <xdr:rowOff>47625</xdr:rowOff>
    </xdr:to>
    <xdr:graphicFrame macro="">
      <xdr:nvGraphicFramePr>
        <xdr:cNvPr id="5" name="图表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466725</xdr:colOff>
      <xdr:row>64</xdr:row>
      <xdr:rowOff>104775</xdr:rowOff>
    </xdr:from>
    <xdr:to>
      <xdr:col>17</xdr:col>
      <xdr:colOff>238125</xdr:colOff>
      <xdr:row>79</xdr:row>
      <xdr:rowOff>133350</xdr:rowOff>
    </xdr:to>
    <xdr:graphicFrame macro="">
      <xdr:nvGraphicFramePr>
        <xdr:cNvPr id="6" name="图表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85725</xdr:colOff>
      <xdr:row>74</xdr:row>
      <xdr:rowOff>104775</xdr:rowOff>
    </xdr:from>
    <xdr:to>
      <xdr:col>12</xdr:col>
      <xdr:colOff>381000</xdr:colOff>
      <xdr:row>89</xdr:row>
      <xdr:rowOff>133350</xdr:rowOff>
    </xdr:to>
    <xdr:graphicFrame macro="">
      <xdr:nvGraphicFramePr>
        <xdr:cNvPr id="7" name="图表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457200</xdr:colOff>
      <xdr:row>72</xdr:row>
      <xdr:rowOff>171450</xdr:rowOff>
    </xdr:from>
    <xdr:to>
      <xdr:col>23</xdr:col>
      <xdr:colOff>447675</xdr:colOff>
      <xdr:row>88</xdr:row>
      <xdr:rowOff>19050</xdr:rowOff>
    </xdr:to>
    <xdr:graphicFrame macro="">
      <xdr:nvGraphicFramePr>
        <xdr:cNvPr id="8" name="图表 7">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114300</xdr:colOff>
      <xdr:row>90</xdr:row>
      <xdr:rowOff>9525</xdr:rowOff>
    </xdr:from>
    <xdr:to>
      <xdr:col>19</xdr:col>
      <xdr:colOff>571500</xdr:colOff>
      <xdr:row>105</xdr:row>
      <xdr:rowOff>38100</xdr:rowOff>
    </xdr:to>
    <xdr:graphicFrame macro="">
      <xdr:nvGraphicFramePr>
        <xdr:cNvPr id="9" name="图表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228600</xdr:colOff>
      <xdr:row>95</xdr:row>
      <xdr:rowOff>119062</xdr:rowOff>
    </xdr:from>
    <xdr:to>
      <xdr:col>9</xdr:col>
      <xdr:colOff>219075</xdr:colOff>
      <xdr:row>110</xdr:row>
      <xdr:rowOff>147637</xdr:rowOff>
    </xdr:to>
    <xdr:graphicFrame macro="">
      <xdr:nvGraphicFramePr>
        <xdr:cNvPr id="10" name="图表 9">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12</xdr:row>
      <xdr:rowOff>38100</xdr:rowOff>
    </xdr:from>
    <xdr:to>
      <xdr:col>2</xdr:col>
      <xdr:colOff>114071</xdr:colOff>
      <xdr:row>27</xdr:row>
      <xdr:rowOff>66675</xdr:rowOff>
    </xdr:to>
    <xdr:graphicFrame macro="">
      <xdr:nvGraphicFramePr>
        <xdr:cNvPr id="11" name="图表 10">
          <a:extLst>
            <a:ext uri="{FF2B5EF4-FFF2-40B4-BE49-F238E27FC236}">
              <a16:creationId xmlns:a16="http://schemas.microsoft.com/office/drawing/2014/main" id="{00000000-0008-0000-0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125861</xdr:colOff>
      <xdr:row>12</xdr:row>
      <xdr:rowOff>38100</xdr:rowOff>
    </xdr:from>
    <xdr:to>
      <xdr:col>14</xdr:col>
      <xdr:colOff>609371</xdr:colOff>
      <xdr:row>27</xdr:row>
      <xdr:rowOff>66675</xdr:rowOff>
    </xdr:to>
    <xdr:grpSp>
      <xdr:nvGrpSpPr>
        <xdr:cNvPr id="12" name="组合 11">
          <a:extLst>
            <a:ext uri="{FF2B5EF4-FFF2-40B4-BE49-F238E27FC236}">
              <a16:creationId xmlns:a16="http://schemas.microsoft.com/office/drawing/2014/main" id="{00000000-0008-0000-0200-00000C000000}"/>
            </a:ext>
          </a:extLst>
        </xdr:cNvPr>
        <xdr:cNvGrpSpPr/>
      </xdr:nvGrpSpPr>
      <xdr:grpSpPr>
        <a:xfrm>
          <a:off x="3351661" y="2324100"/>
          <a:ext cx="10125985" cy="2882900"/>
          <a:chOff x="3354836" y="2209800"/>
          <a:chExt cx="10046610" cy="2743200"/>
        </a:xfrm>
      </xdr:grpSpPr>
      <xdr:graphicFrame macro="">
        <xdr:nvGraphicFramePr>
          <xdr:cNvPr id="13" name="图表 12">
            <a:extLst>
              <a:ext uri="{FF2B5EF4-FFF2-40B4-BE49-F238E27FC236}">
                <a16:creationId xmlns:a16="http://schemas.microsoft.com/office/drawing/2014/main" id="{00000000-0008-0000-0200-00000D000000}"/>
              </a:ext>
            </a:extLst>
          </xdr:cNvPr>
          <xdr:cNvGraphicFramePr/>
        </xdr:nvGraphicFramePr>
        <xdr:xfrm>
          <a:off x="3354836" y="2209800"/>
          <a:ext cx="3343046" cy="274320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4" name="图表 13">
            <a:extLst>
              <a:ext uri="{FF2B5EF4-FFF2-40B4-BE49-F238E27FC236}">
                <a16:creationId xmlns:a16="http://schemas.microsoft.com/office/drawing/2014/main" id="{00000000-0008-0000-0200-00000E000000}"/>
              </a:ext>
            </a:extLst>
          </xdr:cNvPr>
          <xdr:cNvGraphicFramePr/>
        </xdr:nvGraphicFramePr>
        <xdr:xfrm>
          <a:off x="6715991" y="2209800"/>
          <a:ext cx="3343046" cy="274320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15" name="图表 14">
            <a:extLst>
              <a:ext uri="{FF2B5EF4-FFF2-40B4-BE49-F238E27FC236}">
                <a16:creationId xmlns:a16="http://schemas.microsoft.com/office/drawing/2014/main" id="{00000000-0008-0000-0200-00000F000000}"/>
              </a:ext>
            </a:extLst>
          </xdr:cNvPr>
          <xdr:cNvGraphicFramePr>
            <a:graphicFrameLocks/>
          </xdr:cNvGraphicFramePr>
        </xdr:nvGraphicFramePr>
        <xdr:xfrm>
          <a:off x="10058400" y="2209800"/>
          <a:ext cx="3343046" cy="274320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wsDr>
</file>

<file path=xl/drawings/drawing3.xml><?xml version="1.0" encoding="utf-8"?>
<xdr:wsDr xmlns:xdr="http://schemas.openxmlformats.org/drawingml/2006/spreadsheetDrawing" xmlns:a="http://schemas.openxmlformats.org/drawingml/2006/main">
  <xdr:twoCellAnchor>
    <xdr:from>
      <xdr:col>23</xdr:col>
      <xdr:colOff>439208</xdr:colOff>
      <xdr:row>54</xdr:row>
      <xdr:rowOff>67732</xdr:rowOff>
    </xdr:from>
    <xdr:to>
      <xdr:col>30</xdr:col>
      <xdr:colOff>301625</xdr:colOff>
      <xdr:row>71</xdr:row>
      <xdr:rowOff>112182</xdr:rowOff>
    </xdr:to>
    <xdr:graphicFrame macro="">
      <xdr:nvGraphicFramePr>
        <xdr:cNvPr id="2" name="图表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497416</xdr:colOff>
      <xdr:row>78</xdr:row>
      <xdr:rowOff>116416</xdr:rowOff>
    </xdr:from>
    <xdr:to>
      <xdr:col>30</xdr:col>
      <xdr:colOff>359833</xdr:colOff>
      <xdr:row>96</xdr:row>
      <xdr:rowOff>2116</xdr:rowOff>
    </xdr:to>
    <xdr:graphicFrame macro="">
      <xdr:nvGraphicFramePr>
        <xdr:cNvPr id="3" name="图表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7</xdr:colOff>
      <xdr:row>1</xdr:row>
      <xdr:rowOff>4233</xdr:rowOff>
    </xdr:from>
    <xdr:to>
      <xdr:col>28</xdr:col>
      <xdr:colOff>412757</xdr:colOff>
      <xdr:row>20</xdr:row>
      <xdr:rowOff>48683</xdr:rowOff>
    </xdr:to>
    <xdr:graphicFrame macro="">
      <xdr:nvGraphicFramePr>
        <xdr:cNvPr id="4" name="图表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112058</xdr:rowOff>
    </xdr:from>
    <xdr:to>
      <xdr:col>4</xdr:col>
      <xdr:colOff>487456</xdr:colOff>
      <xdr:row>24</xdr:row>
      <xdr:rowOff>136909</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 y="293033"/>
          <a:ext cx="6259605" cy="4187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16860</xdr:colOff>
      <xdr:row>1</xdr:row>
      <xdr:rowOff>19254</xdr:rowOff>
    </xdr:from>
    <xdr:to>
      <xdr:col>21</xdr:col>
      <xdr:colOff>521685</xdr:colOff>
      <xdr:row>24</xdr:row>
      <xdr:rowOff>155685</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428625</xdr:colOff>
      <xdr:row>26</xdr:row>
      <xdr:rowOff>85725</xdr:rowOff>
    </xdr:from>
    <xdr:to>
      <xdr:col>9</xdr:col>
      <xdr:colOff>371475</xdr:colOff>
      <xdr:row>45</xdr:row>
      <xdr:rowOff>171444</xdr:rowOff>
    </xdr:to>
    <xdr:graphicFrame macro="">
      <xdr:nvGraphicFramePr>
        <xdr:cNvPr id="4" name="Chart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28575</xdr:colOff>
      <xdr:row>73</xdr:row>
      <xdr:rowOff>104775</xdr:rowOff>
    </xdr:from>
    <xdr:to>
      <xdr:col>20</xdr:col>
      <xdr:colOff>200026</xdr:colOff>
      <xdr:row>96</xdr:row>
      <xdr:rowOff>123825</xdr:rowOff>
    </xdr:to>
    <xdr:graphicFrame macro="">
      <xdr:nvGraphicFramePr>
        <xdr:cNvPr id="5" name="Chart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123825</xdr:colOff>
      <xdr:row>47</xdr:row>
      <xdr:rowOff>76200</xdr:rowOff>
    </xdr:from>
    <xdr:to>
      <xdr:col>10</xdr:col>
      <xdr:colOff>19050</xdr:colOff>
      <xdr:row>72</xdr:row>
      <xdr:rowOff>9525</xdr:rowOff>
    </xdr:to>
    <xdr:graphicFrame macro="">
      <xdr:nvGraphicFramePr>
        <xdr:cNvPr id="6" name="Chart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581025</xdr:colOff>
      <xdr:row>47</xdr:row>
      <xdr:rowOff>28575</xdr:rowOff>
    </xdr:from>
    <xdr:to>
      <xdr:col>20</xdr:col>
      <xdr:colOff>400050</xdr:colOff>
      <xdr:row>67</xdr:row>
      <xdr:rowOff>85731</xdr:rowOff>
    </xdr:to>
    <xdr:graphicFrame macro="">
      <xdr:nvGraphicFramePr>
        <xdr:cNvPr id="7" name="Chart 6">
          <a:extLst>
            <a:ext uri="{FF2B5EF4-FFF2-40B4-BE49-F238E27FC236}">
              <a16:creationId xmlns:a16="http://schemas.microsoft.com/office/drawing/2014/main"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552450</xdr:colOff>
      <xdr:row>73</xdr:row>
      <xdr:rowOff>85725</xdr:rowOff>
    </xdr:from>
    <xdr:to>
      <xdr:col>9</xdr:col>
      <xdr:colOff>228600</xdr:colOff>
      <xdr:row>96</xdr:row>
      <xdr:rowOff>4763</xdr:rowOff>
    </xdr:to>
    <xdr:graphicFrame macro="">
      <xdr:nvGraphicFramePr>
        <xdr:cNvPr id="8" name="Chart 7">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683557</xdr:colOff>
      <xdr:row>86</xdr:row>
      <xdr:rowOff>73961</xdr:rowOff>
    </xdr:from>
    <xdr:to>
      <xdr:col>17</xdr:col>
      <xdr:colOff>470646</xdr:colOff>
      <xdr:row>101</xdr:row>
      <xdr:rowOff>127749</xdr:rowOff>
    </xdr:to>
    <xdr:graphicFrame macro="">
      <xdr:nvGraphicFramePr>
        <xdr:cNvPr id="9" name="图表 8">
          <a:extLst>
            <a:ext uri="{FF2B5EF4-FFF2-40B4-BE49-F238E27FC236}">
              <a16:creationId xmlns:a16="http://schemas.microsoft.com/office/drawing/2014/main" id="{00000000-0008-0000-0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11207</xdr:colOff>
      <xdr:row>101</xdr:row>
      <xdr:rowOff>141194</xdr:rowOff>
    </xdr:from>
    <xdr:to>
      <xdr:col>17</xdr:col>
      <xdr:colOff>481855</xdr:colOff>
      <xdr:row>117</xdr:row>
      <xdr:rowOff>15688</xdr:rowOff>
    </xdr:to>
    <xdr:graphicFrame macro="">
      <xdr:nvGraphicFramePr>
        <xdr:cNvPr id="10" name="图表 9">
          <a:extLst>
            <a:ext uri="{FF2B5EF4-FFF2-40B4-BE49-F238E27FC236}">
              <a16:creationId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0</xdr:colOff>
      <xdr:row>117</xdr:row>
      <xdr:rowOff>40340</xdr:rowOff>
    </xdr:from>
    <xdr:to>
      <xdr:col>17</xdr:col>
      <xdr:colOff>470648</xdr:colOff>
      <xdr:row>132</xdr:row>
      <xdr:rowOff>94128</xdr:rowOff>
    </xdr:to>
    <xdr:graphicFrame macro="">
      <xdr:nvGraphicFramePr>
        <xdr:cNvPr id="11" name="图表 10">
          <a:extLst>
            <a:ext uri="{FF2B5EF4-FFF2-40B4-BE49-F238E27FC236}">
              <a16:creationId xmlns:a16="http://schemas.microsoft.com/office/drawing/2014/main" id="{00000000-0008-0000-0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xdr:colOff>
      <xdr:row>133</xdr:row>
      <xdr:rowOff>6723</xdr:rowOff>
    </xdr:from>
    <xdr:to>
      <xdr:col>17</xdr:col>
      <xdr:colOff>479816</xdr:colOff>
      <xdr:row>150</xdr:row>
      <xdr:rowOff>60512</xdr:rowOff>
    </xdr:to>
    <xdr:graphicFrame macro="">
      <xdr:nvGraphicFramePr>
        <xdr:cNvPr id="12" name="图表 11">
          <a:extLst>
            <a:ext uri="{FF2B5EF4-FFF2-40B4-BE49-F238E27FC236}">
              <a16:creationId xmlns:a16="http://schemas.microsoft.com/office/drawing/2014/main" id="{00000000-0008-0000-0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22412</xdr:colOff>
      <xdr:row>150</xdr:row>
      <xdr:rowOff>129987</xdr:rowOff>
    </xdr:from>
    <xdr:to>
      <xdr:col>17</xdr:col>
      <xdr:colOff>493059</xdr:colOff>
      <xdr:row>169</xdr:row>
      <xdr:rowOff>4481</xdr:rowOff>
    </xdr:to>
    <xdr:graphicFrame macro="">
      <xdr:nvGraphicFramePr>
        <xdr:cNvPr id="13" name="图表 12">
          <a:extLst>
            <a:ext uri="{FF2B5EF4-FFF2-40B4-BE49-F238E27FC236}">
              <a16:creationId xmlns:a16="http://schemas.microsoft.com/office/drawing/2014/main" id="{00000000-0008-0000-0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224116</xdr:colOff>
      <xdr:row>177</xdr:row>
      <xdr:rowOff>29137</xdr:rowOff>
    </xdr:from>
    <xdr:to>
      <xdr:col>19</xdr:col>
      <xdr:colOff>11205</xdr:colOff>
      <xdr:row>192</xdr:row>
      <xdr:rowOff>82925</xdr:rowOff>
    </xdr:to>
    <xdr:graphicFrame macro="">
      <xdr:nvGraphicFramePr>
        <xdr:cNvPr id="14" name="图表 13">
          <a:extLst>
            <a:ext uri="{FF2B5EF4-FFF2-40B4-BE49-F238E27FC236}">
              <a16:creationId xmlns:a16="http://schemas.microsoft.com/office/drawing/2014/main" id="{00000000-0008-0000-0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616324</xdr:colOff>
      <xdr:row>101</xdr:row>
      <xdr:rowOff>163606</xdr:rowOff>
    </xdr:from>
    <xdr:to>
      <xdr:col>24</xdr:col>
      <xdr:colOff>403412</xdr:colOff>
      <xdr:row>117</xdr:row>
      <xdr:rowOff>38100</xdr:rowOff>
    </xdr:to>
    <xdr:graphicFrame macro="">
      <xdr:nvGraphicFramePr>
        <xdr:cNvPr id="15" name="图表 14">
          <a:extLst>
            <a:ext uri="{FF2B5EF4-FFF2-40B4-BE49-F238E27FC236}">
              <a16:creationId xmlns:a16="http://schemas.microsoft.com/office/drawing/2014/main" id="{00000000-0008-0000-05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24</xdr:col>
      <xdr:colOff>414618</xdr:colOff>
      <xdr:row>146</xdr:row>
      <xdr:rowOff>156883</xdr:rowOff>
    </xdr:from>
    <xdr:to>
      <xdr:col>31</xdr:col>
      <xdr:colOff>201706</xdr:colOff>
      <xdr:row>167</xdr:row>
      <xdr:rowOff>31377</xdr:rowOff>
    </xdr:to>
    <xdr:graphicFrame macro="">
      <xdr:nvGraphicFramePr>
        <xdr:cNvPr id="16" name="图表 15">
          <a:extLst>
            <a:ext uri="{FF2B5EF4-FFF2-40B4-BE49-F238E27FC236}">
              <a16:creationId xmlns:a16="http://schemas.microsoft.com/office/drawing/2014/main" id="{00000000-0008-0000-05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1</xdr:colOff>
      <xdr:row>126</xdr:row>
      <xdr:rowOff>89646</xdr:rowOff>
    </xdr:from>
    <xdr:to>
      <xdr:col>25</xdr:col>
      <xdr:colOff>470648</xdr:colOff>
      <xdr:row>141</xdr:row>
      <xdr:rowOff>143434</xdr:rowOff>
    </xdr:to>
    <xdr:graphicFrame macro="">
      <xdr:nvGraphicFramePr>
        <xdr:cNvPr id="17" name="图表 16">
          <a:extLst>
            <a:ext uri="{FF2B5EF4-FFF2-40B4-BE49-F238E27FC236}">
              <a16:creationId xmlns:a16="http://schemas.microsoft.com/office/drawing/2014/main" id="{00000000-0008-0000-0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549087</xdr:colOff>
      <xdr:row>168</xdr:row>
      <xdr:rowOff>33617</xdr:rowOff>
    </xdr:from>
    <xdr:to>
      <xdr:col>30</xdr:col>
      <xdr:colOff>336176</xdr:colOff>
      <xdr:row>183</xdr:row>
      <xdr:rowOff>87406</xdr:rowOff>
    </xdr:to>
    <xdr:graphicFrame macro="">
      <xdr:nvGraphicFramePr>
        <xdr:cNvPr id="18" name="图表 17">
          <a:extLst>
            <a:ext uri="{FF2B5EF4-FFF2-40B4-BE49-F238E27FC236}">
              <a16:creationId xmlns:a16="http://schemas.microsoft.com/office/drawing/2014/main" id="{00000000-0008-0000-05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672353</xdr:colOff>
      <xdr:row>132</xdr:row>
      <xdr:rowOff>141194</xdr:rowOff>
    </xdr:from>
    <xdr:to>
      <xdr:col>24</xdr:col>
      <xdr:colOff>459441</xdr:colOff>
      <xdr:row>150</xdr:row>
      <xdr:rowOff>15689</xdr:rowOff>
    </xdr:to>
    <xdr:graphicFrame macro="">
      <xdr:nvGraphicFramePr>
        <xdr:cNvPr id="19" name="图表 18">
          <a:extLst>
            <a:ext uri="{FF2B5EF4-FFF2-40B4-BE49-F238E27FC236}">
              <a16:creationId xmlns:a16="http://schemas.microsoft.com/office/drawing/2014/main" id="{00000000-0008-0000-05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17</xdr:col>
      <xdr:colOff>672354</xdr:colOff>
      <xdr:row>150</xdr:row>
      <xdr:rowOff>85165</xdr:rowOff>
    </xdr:from>
    <xdr:to>
      <xdr:col>24</xdr:col>
      <xdr:colOff>459442</xdr:colOff>
      <xdr:row>168</xdr:row>
      <xdr:rowOff>138953</xdr:rowOff>
    </xdr:to>
    <xdr:graphicFrame macro="">
      <xdr:nvGraphicFramePr>
        <xdr:cNvPr id="20" name="图表 19">
          <a:extLst>
            <a:ext uri="{FF2B5EF4-FFF2-40B4-BE49-F238E27FC236}">
              <a16:creationId xmlns:a16="http://schemas.microsoft.com/office/drawing/2014/main" id="{00000000-0008-0000-05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xdr:col>
      <xdr:colOff>582706</xdr:colOff>
      <xdr:row>166</xdr:row>
      <xdr:rowOff>152400</xdr:rowOff>
    </xdr:from>
    <xdr:to>
      <xdr:col>10</xdr:col>
      <xdr:colOff>470648</xdr:colOff>
      <xdr:row>182</xdr:row>
      <xdr:rowOff>26894</xdr:rowOff>
    </xdr:to>
    <xdr:graphicFrame macro="">
      <xdr:nvGraphicFramePr>
        <xdr:cNvPr id="21" name="图表 2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1075764</xdr:colOff>
      <xdr:row>161</xdr:row>
      <xdr:rowOff>40341</xdr:rowOff>
    </xdr:from>
    <xdr:to>
      <xdr:col>10</xdr:col>
      <xdr:colOff>638735</xdr:colOff>
      <xdr:row>176</xdr:row>
      <xdr:rowOff>94129</xdr:rowOff>
    </xdr:to>
    <xdr:graphicFrame macro="">
      <xdr:nvGraphicFramePr>
        <xdr:cNvPr id="22" name="图表 21">
          <a:extLst>
            <a:ext uri="{FF2B5EF4-FFF2-40B4-BE49-F238E27FC236}">
              <a16:creationId xmlns:a16="http://schemas.microsoft.com/office/drawing/2014/main" id="{00000000-0008-0000-05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672353</xdr:colOff>
      <xdr:row>158</xdr:row>
      <xdr:rowOff>73958</xdr:rowOff>
    </xdr:from>
    <xdr:to>
      <xdr:col>17</xdr:col>
      <xdr:colOff>459441</xdr:colOff>
      <xdr:row>173</xdr:row>
      <xdr:rowOff>127747</xdr:rowOff>
    </xdr:to>
    <xdr:graphicFrame macro="">
      <xdr:nvGraphicFramePr>
        <xdr:cNvPr id="23" name="图表 22">
          <a:extLst>
            <a:ext uri="{FF2B5EF4-FFF2-40B4-BE49-F238E27FC236}">
              <a16:creationId xmlns:a16="http://schemas.microsoft.com/office/drawing/2014/main" id="{00000000-0008-0000-05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7</xdr:col>
      <xdr:colOff>168088</xdr:colOff>
      <xdr:row>162</xdr:row>
      <xdr:rowOff>174812</xdr:rowOff>
    </xdr:from>
    <xdr:to>
      <xdr:col>13</xdr:col>
      <xdr:colOff>403412</xdr:colOff>
      <xdr:row>178</xdr:row>
      <xdr:rowOff>49306</xdr:rowOff>
    </xdr:to>
    <xdr:graphicFrame macro="">
      <xdr:nvGraphicFramePr>
        <xdr:cNvPr id="24" name="图表 23">
          <a:extLst>
            <a:ext uri="{FF2B5EF4-FFF2-40B4-BE49-F238E27FC236}">
              <a16:creationId xmlns:a16="http://schemas.microsoft.com/office/drawing/2014/main" id="{00000000-0008-0000-05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38</xdr:col>
      <xdr:colOff>540682</xdr:colOff>
      <xdr:row>29</xdr:row>
      <xdr:rowOff>167528</xdr:rowOff>
    </xdr:from>
    <xdr:to>
      <xdr:col>51</xdr:col>
      <xdr:colOff>466725</xdr:colOff>
      <xdr:row>51</xdr:row>
      <xdr:rowOff>119902</xdr:rowOff>
    </xdr:to>
    <xdr:graphicFrame macro="">
      <xdr:nvGraphicFramePr>
        <xdr:cNvPr id="4" name="图表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231028</xdr:colOff>
      <xdr:row>88</xdr:row>
      <xdr:rowOff>12325</xdr:rowOff>
    </xdr:from>
    <xdr:to>
      <xdr:col>61</xdr:col>
      <xdr:colOff>227106</xdr:colOff>
      <xdr:row>108</xdr:row>
      <xdr:rowOff>11205</xdr:rowOff>
    </xdr:to>
    <xdr:graphicFrame macro="">
      <xdr:nvGraphicFramePr>
        <xdr:cNvPr id="5" name="图表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5788</xdr:colOff>
      <xdr:row>2</xdr:row>
      <xdr:rowOff>1046</xdr:rowOff>
    </xdr:from>
    <xdr:to>
      <xdr:col>9</xdr:col>
      <xdr:colOff>0</xdr:colOff>
      <xdr:row>20</xdr:row>
      <xdr:rowOff>22412</xdr:rowOff>
    </xdr:to>
    <xdr:graphicFrame macro="">
      <xdr:nvGraphicFramePr>
        <xdr:cNvPr id="7" name="图表 6">
          <a:extLst>
            <a:ext uri="{FF2B5EF4-FFF2-40B4-BE49-F238E27FC236}">
              <a16:creationId xmlns:a16="http://schemas.microsoft.com/office/drawing/2014/main" id="{00000000-0008-0000-07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20171</xdr:colOff>
      <xdr:row>0</xdr:row>
      <xdr:rowOff>140074</xdr:rowOff>
    </xdr:from>
    <xdr:to>
      <xdr:col>17</xdr:col>
      <xdr:colOff>134441</xdr:colOff>
      <xdr:row>2</xdr:row>
      <xdr:rowOff>27464</xdr:rowOff>
    </xdr:to>
    <xdr:sp macro="" textlink="">
      <xdr:nvSpPr>
        <xdr:cNvPr id="12" name="TextBox 1">
          <a:extLst>
            <a:ext uri="{FF2B5EF4-FFF2-40B4-BE49-F238E27FC236}">
              <a16:creationId xmlns:a16="http://schemas.microsoft.com/office/drawing/2014/main" id="{00000000-0008-0000-0700-00000C000000}"/>
            </a:ext>
          </a:extLst>
        </xdr:cNvPr>
        <xdr:cNvSpPr txBox="1"/>
      </xdr:nvSpPr>
      <xdr:spPr>
        <a:xfrm>
          <a:off x="10992971" y="140074"/>
          <a:ext cx="800070" cy="24934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altLang="zh-CN" sz="1100"/>
            <a:t>Unit: $mn</a:t>
          </a:r>
          <a:endParaRPr lang="zh-CN" altLang="en-US" sz="1100"/>
        </a:p>
      </xdr:txBody>
    </xdr:sp>
    <xdr:clientData/>
  </xdr:twoCellAnchor>
  <xdr:twoCellAnchor>
    <xdr:from>
      <xdr:col>11</xdr:col>
      <xdr:colOff>19050</xdr:colOff>
      <xdr:row>131</xdr:row>
      <xdr:rowOff>24092</xdr:rowOff>
    </xdr:from>
    <xdr:to>
      <xdr:col>20</xdr:col>
      <xdr:colOff>11206</xdr:colOff>
      <xdr:row>151</xdr:row>
      <xdr:rowOff>33617</xdr:rowOff>
    </xdr:to>
    <xdr:graphicFrame macro="">
      <xdr:nvGraphicFramePr>
        <xdr:cNvPr id="15" name="图表 14">
          <a:extLst>
            <a:ext uri="{FF2B5EF4-FFF2-40B4-BE49-F238E27FC236}">
              <a16:creationId xmlns:a16="http://schemas.microsoft.com/office/drawing/2014/main" id="{00000000-0008-0000-07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156883</xdr:colOff>
      <xdr:row>2</xdr:row>
      <xdr:rowOff>11206</xdr:rowOff>
    </xdr:from>
    <xdr:to>
      <xdr:col>16</xdr:col>
      <xdr:colOff>560294</xdr:colOff>
      <xdr:row>20</xdr:row>
      <xdr:rowOff>11207</xdr:rowOff>
    </xdr:to>
    <xdr:graphicFrame macro="">
      <xdr:nvGraphicFramePr>
        <xdr:cNvPr id="17" name="图表 16">
          <a:extLst>
            <a:ext uri="{FF2B5EF4-FFF2-40B4-BE49-F238E27FC236}">
              <a16:creationId xmlns:a16="http://schemas.microsoft.com/office/drawing/2014/main" id="{00000000-0008-0000-07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45</xdr:col>
      <xdr:colOff>329848</xdr:colOff>
      <xdr:row>11</xdr:row>
      <xdr:rowOff>62706</xdr:rowOff>
    </xdr:from>
    <xdr:to>
      <xdr:col>55</xdr:col>
      <xdr:colOff>610837</xdr:colOff>
      <xdr:row>28</xdr:row>
      <xdr:rowOff>123639</xdr:rowOff>
    </xdr:to>
    <xdr:graphicFrame macro="">
      <xdr:nvGraphicFramePr>
        <xdr:cNvPr id="18" name="图表 17">
          <a:extLst>
            <a:ext uri="{FF2B5EF4-FFF2-40B4-BE49-F238E27FC236}">
              <a16:creationId xmlns:a16="http://schemas.microsoft.com/office/drawing/2014/main" id="{00000000-0008-0000-07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86959</xdr:colOff>
      <xdr:row>70</xdr:row>
      <xdr:rowOff>175710</xdr:rowOff>
    </xdr:from>
    <xdr:to>
      <xdr:col>49</xdr:col>
      <xdr:colOff>408567</xdr:colOff>
      <xdr:row>90</xdr:row>
      <xdr:rowOff>158341</xdr:rowOff>
    </xdr:to>
    <xdr:graphicFrame macro="">
      <xdr:nvGraphicFramePr>
        <xdr:cNvPr id="19" name="图表 18">
          <a:extLst>
            <a:ext uri="{FF2B5EF4-FFF2-40B4-BE49-F238E27FC236}">
              <a16:creationId xmlns:a16="http://schemas.microsoft.com/office/drawing/2014/main" id="{00000000-0008-0000-07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672354</xdr:colOff>
      <xdr:row>110</xdr:row>
      <xdr:rowOff>11205</xdr:rowOff>
    </xdr:from>
    <xdr:to>
      <xdr:col>9</xdr:col>
      <xdr:colOff>649942</xdr:colOff>
      <xdr:row>129</xdr:row>
      <xdr:rowOff>22411</xdr:rowOff>
    </xdr:to>
    <xdr:grpSp>
      <xdr:nvGrpSpPr>
        <xdr:cNvPr id="20" name="组合 19">
          <a:extLst>
            <a:ext uri="{FF2B5EF4-FFF2-40B4-BE49-F238E27FC236}">
              <a16:creationId xmlns:a16="http://schemas.microsoft.com/office/drawing/2014/main" id="{00000000-0008-0000-0700-000014000000}"/>
            </a:ext>
          </a:extLst>
        </xdr:cNvPr>
        <xdr:cNvGrpSpPr/>
      </xdr:nvGrpSpPr>
      <xdr:grpSpPr>
        <a:xfrm>
          <a:off x="675529" y="20867780"/>
          <a:ext cx="6146613" cy="3637056"/>
          <a:chOff x="685800" y="20726400"/>
          <a:chExt cx="6600825" cy="4114800"/>
        </a:xfrm>
      </xdr:grpSpPr>
      <xdr:graphicFrame macro="">
        <xdr:nvGraphicFramePr>
          <xdr:cNvPr id="21" name="图表 20">
            <a:extLst>
              <a:ext uri="{FF2B5EF4-FFF2-40B4-BE49-F238E27FC236}">
                <a16:creationId xmlns:a16="http://schemas.microsoft.com/office/drawing/2014/main" id="{00000000-0008-0000-0700-000015000000}"/>
              </a:ext>
            </a:extLst>
          </xdr:cNvPr>
          <xdr:cNvGraphicFramePr/>
        </xdr:nvGraphicFramePr>
        <xdr:xfrm>
          <a:off x="685800" y="20726400"/>
          <a:ext cx="6600825" cy="4114800"/>
        </xdr:xfrm>
        <a:graphic>
          <a:graphicData uri="http://schemas.openxmlformats.org/drawingml/2006/chart">
            <c:chart xmlns:c="http://schemas.openxmlformats.org/drawingml/2006/chart" xmlns:r="http://schemas.openxmlformats.org/officeDocument/2006/relationships" r:id="rId8"/>
          </a:graphicData>
        </a:graphic>
      </xdr:graphicFrame>
      <xdr:cxnSp macro="">
        <xdr:nvCxnSpPr>
          <xdr:cNvPr id="22" name="直接连接符 21">
            <a:extLst>
              <a:ext uri="{FF2B5EF4-FFF2-40B4-BE49-F238E27FC236}">
                <a16:creationId xmlns:a16="http://schemas.microsoft.com/office/drawing/2014/main" id="{00000000-0008-0000-0700-000016000000}"/>
              </a:ext>
            </a:extLst>
          </xdr:cNvPr>
          <xdr:cNvCxnSpPr/>
        </xdr:nvCxnSpPr>
        <xdr:spPr>
          <a:xfrm flipH="1">
            <a:off x="2191928" y="21179652"/>
            <a:ext cx="19050" cy="3267076"/>
          </a:xfrm>
          <a:prstGeom prst="line">
            <a:avLst/>
          </a:prstGeom>
          <a:ln w="15875">
            <a:solidFill>
              <a:schemeClr val="accent1">
                <a:shade val="95000"/>
                <a:satMod val="105000"/>
              </a:schemeClr>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23" name="直接箭头连接符 22">
            <a:extLst>
              <a:ext uri="{FF2B5EF4-FFF2-40B4-BE49-F238E27FC236}">
                <a16:creationId xmlns:a16="http://schemas.microsoft.com/office/drawing/2014/main" id="{00000000-0008-0000-0700-000017000000}"/>
              </a:ext>
            </a:extLst>
          </xdr:cNvPr>
          <xdr:cNvCxnSpPr/>
        </xdr:nvCxnSpPr>
        <xdr:spPr>
          <a:xfrm flipV="1">
            <a:off x="2192038" y="23700945"/>
            <a:ext cx="533400" cy="2952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4" name="文本框 23">
            <a:extLst>
              <a:ext uri="{FF2B5EF4-FFF2-40B4-BE49-F238E27FC236}">
                <a16:creationId xmlns:a16="http://schemas.microsoft.com/office/drawing/2014/main" id="{00000000-0008-0000-0700-000018000000}"/>
              </a:ext>
            </a:extLst>
          </xdr:cNvPr>
          <xdr:cNvSpPr txBox="1"/>
        </xdr:nvSpPr>
        <xdr:spPr>
          <a:xfrm>
            <a:off x="2788449" y="23282829"/>
            <a:ext cx="1862682" cy="943516"/>
          </a:xfrm>
          <a:prstGeom prst="rect">
            <a:avLst/>
          </a:prstGeom>
          <a:solidFill>
            <a:schemeClr val="lt1"/>
          </a:solidFill>
          <a:ln w="25400" cmpd="sng">
            <a:solidFill>
              <a:schemeClr val="tx2">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600"/>
              <a:t>PayTM reported</a:t>
            </a:r>
            <a:r>
              <a:rPr lang="en-US" altLang="zh-CN" sz="1600" baseline="0"/>
              <a:t> MAU of 80m in Dec 16.</a:t>
            </a:r>
            <a:endParaRPr lang="zh-CN" altLang="en-US" sz="1600"/>
          </a:p>
        </xdr:txBody>
      </xdr:sp>
    </xdr:grpSp>
    <xdr:clientData/>
  </xdr:twoCellAnchor>
  <xdr:twoCellAnchor>
    <xdr:from>
      <xdr:col>40</xdr:col>
      <xdr:colOff>168089</xdr:colOff>
      <xdr:row>91</xdr:row>
      <xdr:rowOff>0</xdr:rowOff>
    </xdr:from>
    <xdr:to>
      <xdr:col>46</xdr:col>
      <xdr:colOff>638736</xdr:colOff>
      <xdr:row>106</xdr:row>
      <xdr:rowOff>53788</xdr:rowOff>
    </xdr:to>
    <xdr:graphicFrame macro="">
      <xdr:nvGraphicFramePr>
        <xdr:cNvPr id="26" name="图表 25">
          <a:extLst>
            <a:ext uri="{FF2B5EF4-FFF2-40B4-BE49-F238E27FC236}">
              <a16:creationId xmlns:a16="http://schemas.microsoft.com/office/drawing/2014/main" id="{00000000-0008-0000-07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40</xdr:col>
      <xdr:colOff>78440</xdr:colOff>
      <xdr:row>52</xdr:row>
      <xdr:rowOff>22413</xdr:rowOff>
    </xdr:from>
    <xdr:to>
      <xdr:col>47</xdr:col>
      <xdr:colOff>537881</xdr:colOff>
      <xdr:row>70</xdr:row>
      <xdr:rowOff>112059</xdr:rowOff>
    </xdr:to>
    <xdr:graphicFrame macro="">
      <xdr:nvGraphicFramePr>
        <xdr:cNvPr id="27" name="图表 26">
          <a:extLst>
            <a:ext uri="{FF2B5EF4-FFF2-40B4-BE49-F238E27FC236}">
              <a16:creationId xmlns:a16="http://schemas.microsoft.com/office/drawing/2014/main" id="{00000000-0008-0000-07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649941</xdr:colOff>
      <xdr:row>110</xdr:row>
      <xdr:rowOff>33617</xdr:rowOff>
    </xdr:from>
    <xdr:to>
      <xdr:col>2</xdr:col>
      <xdr:colOff>352667</xdr:colOff>
      <xdr:row>111</xdr:row>
      <xdr:rowOff>99612</xdr:rowOff>
    </xdr:to>
    <xdr:sp macro="" textlink="">
      <xdr:nvSpPr>
        <xdr:cNvPr id="28" name="矩形 27">
          <a:extLst>
            <a:ext uri="{FF2B5EF4-FFF2-40B4-BE49-F238E27FC236}">
              <a16:creationId xmlns:a16="http://schemas.microsoft.com/office/drawing/2014/main" id="{00000000-0008-0000-0700-00001C000000}"/>
            </a:ext>
          </a:extLst>
        </xdr:cNvPr>
        <xdr:cNvSpPr/>
      </xdr:nvSpPr>
      <xdr:spPr>
        <a:xfrm>
          <a:off x="649941" y="19855142"/>
          <a:ext cx="1074326" cy="24697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altLang="zh-CN" sz="1100"/>
            <a:t>Unit: mn</a:t>
          </a:r>
          <a:endParaRPr lang="zh-CN" altLang="en-US" sz="1100"/>
        </a:p>
      </xdr:txBody>
    </xdr:sp>
    <xdr:clientData/>
  </xdr:twoCellAnchor>
  <xdr:twoCellAnchor>
    <xdr:from>
      <xdr:col>27</xdr:col>
      <xdr:colOff>112056</xdr:colOff>
      <xdr:row>24</xdr:row>
      <xdr:rowOff>90766</xdr:rowOff>
    </xdr:from>
    <xdr:to>
      <xdr:col>36</xdr:col>
      <xdr:colOff>95250</xdr:colOff>
      <xdr:row>43</xdr:row>
      <xdr:rowOff>0</xdr:rowOff>
    </xdr:to>
    <xdr:graphicFrame macro="">
      <xdr:nvGraphicFramePr>
        <xdr:cNvPr id="30" name="图表 29">
          <a:extLst>
            <a:ext uri="{FF2B5EF4-FFF2-40B4-BE49-F238E27FC236}">
              <a16:creationId xmlns:a16="http://schemas.microsoft.com/office/drawing/2014/main" id="{00000000-0008-0000-07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482600</xdr:colOff>
      <xdr:row>31</xdr:row>
      <xdr:rowOff>1</xdr:rowOff>
    </xdr:from>
    <xdr:to>
      <xdr:col>26</xdr:col>
      <xdr:colOff>435427</xdr:colOff>
      <xdr:row>41</xdr:row>
      <xdr:rowOff>133350</xdr:rowOff>
    </xdr:to>
    <xdr:sp macro="" textlink="">
      <xdr:nvSpPr>
        <xdr:cNvPr id="32" name="矩形 31">
          <a:extLst>
            <a:ext uri="{FF2B5EF4-FFF2-40B4-BE49-F238E27FC236}">
              <a16:creationId xmlns:a16="http://schemas.microsoft.com/office/drawing/2014/main" id="{00000000-0008-0000-0700-000020000000}"/>
            </a:ext>
          </a:extLst>
        </xdr:cNvPr>
        <xdr:cNvSpPr/>
      </xdr:nvSpPr>
      <xdr:spPr>
        <a:xfrm>
          <a:off x="17627600" y="5791201"/>
          <a:ext cx="638627" cy="203834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xdr:col>
      <xdr:colOff>12700</xdr:colOff>
      <xdr:row>25</xdr:row>
      <xdr:rowOff>38100</xdr:rowOff>
    </xdr:from>
    <xdr:to>
      <xdr:col>9</xdr:col>
      <xdr:colOff>644417</xdr:colOff>
      <xdr:row>43</xdr:row>
      <xdr:rowOff>128271</xdr:rowOff>
    </xdr:to>
    <xdr:grpSp>
      <xdr:nvGrpSpPr>
        <xdr:cNvPr id="33" name="组合 32">
          <a:extLst>
            <a:ext uri="{FF2B5EF4-FFF2-40B4-BE49-F238E27FC236}">
              <a16:creationId xmlns:a16="http://schemas.microsoft.com/office/drawing/2014/main" id="{00000000-0008-0000-0700-000021000000}"/>
            </a:ext>
          </a:extLst>
        </xdr:cNvPr>
        <xdr:cNvGrpSpPr/>
      </xdr:nvGrpSpPr>
      <xdr:grpSpPr>
        <a:xfrm>
          <a:off x="695325" y="4705350"/>
          <a:ext cx="6118117" cy="3515996"/>
          <a:chOff x="703483" y="4329241"/>
          <a:chExt cx="6102341" cy="3370084"/>
        </a:xfrm>
      </xdr:grpSpPr>
      <xdr:grpSp>
        <xdr:nvGrpSpPr>
          <xdr:cNvPr id="34" name="组合 33">
            <a:extLst>
              <a:ext uri="{FF2B5EF4-FFF2-40B4-BE49-F238E27FC236}">
                <a16:creationId xmlns:a16="http://schemas.microsoft.com/office/drawing/2014/main" id="{00000000-0008-0000-0700-000022000000}"/>
              </a:ext>
            </a:extLst>
          </xdr:cNvPr>
          <xdr:cNvGrpSpPr/>
        </xdr:nvGrpSpPr>
        <xdr:grpSpPr>
          <a:xfrm>
            <a:off x="703483" y="4329241"/>
            <a:ext cx="6102341" cy="3370084"/>
            <a:chOff x="703483" y="4329241"/>
            <a:chExt cx="6102341" cy="3370084"/>
          </a:xfrm>
        </xdr:grpSpPr>
        <xdr:graphicFrame macro="">
          <xdr:nvGraphicFramePr>
            <xdr:cNvPr id="36" name="图表 35">
              <a:extLst>
                <a:ext uri="{FF2B5EF4-FFF2-40B4-BE49-F238E27FC236}">
                  <a16:creationId xmlns:a16="http://schemas.microsoft.com/office/drawing/2014/main" id="{00000000-0008-0000-0700-000024000000}"/>
                </a:ext>
              </a:extLst>
            </xdr:cNvPr>
            <xdr:cNvGraphicFramePr>
              <a:graphicFrameLocks/>
            </xdr:cNvGraphicFramePr>
          </xdr:nvGraphicFramePr>
          <xdr:xfrm>
            <a:off x="703483" y="4329241"/>
            <a:ext cx="6102341" cy="3370084"/>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37" name="等腰三角形 36">
              <a:extLst>
                <a:ext uri="{FF2B5EF4-FFF2-40B4-BE49-F238E27FC236}">
                  <a16:creationId xmlns:a16="http://schemas.microsoft.com/office/drawing/2014/main" id="{00000000-0008-0000-0700-000025000000}"/>
                </a:ext>
              </a:extLst>
            </xdr:cNvPr>
            <xdr:cNvSpPr/>
          </xdr:nvSpPr>
          <xdr:spPr>
            <a:xfrm>
              <a:off x="5556349" y="6904590"/>
              <a:ext cx="148457" cy="127724"/>
            </a:xfrm>
            <a:prstGeom prst="triangl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38" name="等腰三角形 37">
              <a:extLst>
                <a:ext uri="{FF2B5EF4-FFF2-40B4-BE49-F238E27FC236}">
                  <a16:creationId xmlns:a16="http://schemas.microsoft.com/office/drawing/2014/main" id="{00000000-0008-0000-0700-000026000000}"/>
                </a:ext>
              </a:extLst>
            </xdr:cNvPr>
            <xdr:cNvSpPr/>
          </xdr:nvSpPr>
          <xdr:spPr>
            <a:xfrm>
              <a:off x="6026646" y="6839106"/>
              <a:ext cx="148457" cy="124100"/>
            </a:xfrm>
            <a:prstGeom prst="triangl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macro="" textlink="">
          <xdr:nvSpPr>
            <xdr:cNvPr id="39" name="等腰三角形 38">
              <a:extLst>
                <a:ext uri="{FF2B5EF4-FFF2-40B4-BE49-F238E27FC236}">
                  <a16:creationId xmlns:a16="http://schemas.microsoft.com/office/drawing/2014/main" id="{00000000-0008-0000-0700-000027000000}"/>
                </a:ext>
              </a:extLst>
            </xdr:cNvPr>
            <xdr:cNvSpPr/>
          </xdr:nvSpPr>
          <xdr:spPr>
            <a:xfrm>
              <a:off x="3469132" y="7136503"/>
              <a:ext cx="148457" cy="127724"/>
            </a:xfrm>
            <a:prstGeom prst="triangl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grpSp>
      <xdr:sp macro="" textlink="">
        <xdr:nvSpPr>
          <xdr:cNvPr id="35" name="TextBox 34">
            <a:extLst>
              <a:ext uri="{FF2B5EF4-FFF2-40B4-BE49-F238E27FC236}">
                <a16:creationId xmlns:a16="http://schemas.microsoft.com/office/drawing/2014/main" id="{00000000-0008-0000-0700-000023000000}"/>
              </a:ext>
            </a:extLst>
          </xdr:cNvPr>
          <xdr:cNvSpPr txBox="1"/>
        </xdr:nvSpPr>
        <xdr:spPr>
          <a:xfrm>
            <a:off x="3594652" y="7073348"/>
            <a:ext cx="1755914" cy="222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altLang="zh-CN" sz="1000">
                <a:solidFill>
                  <a:srgbClr val="C00000"/>
                </a:solidFill>
              </a:rPr>
              <a:t>Non-constant</a:t>
            </a:r>
            <a:r>
              <a:rPr lang="en-US" altLang="zh-CN" sz="1000" baseline="0">
                <a:solidFill>
                  <a:srgbClr val="C00000"/>
                </a:solidFill>
              </a:rPr>
              <a:t> currenty growth</a:t>
            </a:r>
            <a:endParaRPr lang="zh-CN" altLang="en-US" sz="1000">
              <a:solidFill>
                <a:srgbClr val="C00000"/>
              </a:solidFill>
            </a:endParaRPr>
          </a:p>
        </xdr:txBody>
      </xdr:sp>
    </xdr:grpSp>
    <xdr:clientData/>
  </xdr:twoCellAnchor>
  <xdr:twoCellAnchor>
    <xdr:from>
      <xdr:col>10</xdr:col>
      <xdr:colOff>0</xdr:colOff>
      <xdr:row>25</xdr:row>
      <xdr:rowOff>0</xdr:rowOff>
    </xdr:from>
    <xdr:to>
      <xdr:col>18</xdr:col>
      <xdr:colOff>11952</xdr:colOff>
      <xdr:row>43</xdr:row>
      <xdr:rowOff>88527</xdr:rowOff>
    </xdr:to>
    <xdr:graphicFrame macro="">
      <xdr:nvGraphicFramePr>
        <xdr:cNvPr id="40" name="图表 39">
          <a:extLst>
            <a:ext uri="{FF2B5EF4-FFF2-40B4-BE49-F238E27FC236}">
              <a16:creationId xmlns:a16="http://schemas.microsoft.com/office/drawing/2014/main" id="{00000000-0008-0000-07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228600</xdr:colOff>
      <xdr:row>25</xdr:row>
      <xdr:rowOff>50800</xdr:rowOff>
    </xdr:from>
    <xdr:to>
      <xdr:col>26</xdr:col>
      <xdr:colOff>448129</xdr:colOff>
      <xdr:row>43</xdr:row>
      <xdr:rowOff>140447</xdr:rowOff>
    </xdr:to>
    <xdr:graphicFrame macro="">
      <xdr:nvGraphicFramePr>
        <xdr:cNvPr id="41" name="图表 40">
          <a:extLst>
            <a:ext uri="{FF2B5EF4-FFF2-40B4-BE49-F238E27FC236}">
              <a16:creationId xmlns:a16="http://schemas.microsoft.com/office/drawing/2014/main" id="{00000000-0008-0000-07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622300</xdr:colOff>
      <xdr:row>42</xdr:row>
      <xdr:rowOff>152400</xdr:rowOff>
    </xdr:from>
    <xdr:to>
      <xdr:col>10</xdr:col>
      <xdr:colOff>410931</xdr:colOff>
      <xdr:row>45</xdr:row>
      <xdr:rowOff>188955</xdr:rowOff>
    </xdr:to>
    <xdr:sp macro="" textlink="">
      <xdr:nvSpPr>
        <xdr:cNvPr id="42" name="TextBox 32">
          <a:extLst>
            <a:ext uri="{FF2B5EF4-FFF2-40B4-BE49-F238E27FC236}">
              <a16:creationId xmlns:a16="http://schemas.microsoft.com/office/drawing/2014/main" id="{00000000-0008-0000-0700-00002A000000}"/>
            </a:ext>
          </a:extLst>
        </xdr:cNvPr>
        <xdr:cNvSpPr txBox="1"/>
      </xdr:nvSpPr>
      <xdr:spPr>
        <a:xfrm>
          <a:off x="6108700" y="8077200"/>
          <a:ext cx="1160231" cy="6080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altLang="zh-CN" sz="1100">
              <a:solidFill>
                <a:srgbClr val="FF0000"/>
              </a:solidFill>
            </a:rPr>
            <a:t>-86% </a:t>
          </a:r>
        </a:p>
        <a:p>
          <a:pPr algn="ctr"/>
          <a:r>
            <a:rPr lang="en-US" altLang="zh-CN" sz="1100">
              <a:solidFill>
                <a:srgbClr val="FF0000"/>
              </a:solidFill>
            </a:rPr>
            <a:t>(non-constant</a:t>
          </a:r>
          <a:r>
            <a:rPr lang="en-US" altLang="zh-CN" sz="1100" baseline="0">
              <a:solidFill>
                <a:srgbClr val="FF0000"/>
              </a:solidFill>
            </a:rPr>
            <a:t> </a:t>
          </a:r>
        </a:p>
        <a:p>
          <a:pPr algn="ctr"/>
          <a:r>
            <a:rPr lang="en-US" altLang="zh-CN" sz="1100" baseline="0">
              <a:solidFill>
                <a:srgbClr val="FF0000"/>
              </a:solidFill>
            </a:rPr>
            <a:t>currenty growth)</a:t>
          </a:r>
          <a:endParaRPr lang="zh-CN" altLang="en-US" sz="1100">
            <a:solidFill>
              <a:srgbClr val="FF0000"/>
            </a:solidFill>
          </a:endParaRPr>
        </a:p>
      </xdr:txBody>
    </xdr:sp>
    <xdr:clientData/>
  </xdr:twoCellAnchor>
  <xdr:twoCellAnchor>
    <xdr:from>
      <xdr:col>1</xdr:col>
      <xdr:colOff>0</xdr:colOff>
      <xdr:row>46</xdr:row>
      <xdr:rowOff>0</xdr:rowOff>
    </xdr:from>
    <xdr:to>
      <xdr:col>9</xdr:col>
      <xdr:colOff>368087</xdr:colOff>
      <xdr:row>62</xdr:row>
      <xdr:rowOff>135912</xdr:rowOff>
    </xdr:to>
    <xdr:graphicFrame macro="">
      <xdr:nvGraphicFramePr>
        <xdr:cNvPr id="44" name="图表 43">
          <a:extLst>
            <a:ext uri="{FF2B5EF4-FFF2-40B4-BE49-F238E27FC236}">
              <a16:creationId xmlns:a16="http://schemas.microsoft.com/office/drawing/2014/main" id="{00000000-0008-0000-07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0</xdr:colOff>
      <xdr:row>46</xdr:row>
      <xdr:rowOff>0</xdr:rowOff>
    </xdr:from>
    <xdr:to>
      <xdr:col>18</xdr:col>
      <xdr:colOff>376408</xdr:colOff>
      <xdr:row>63</xdr:row>
      <xdr:rowOff>0</xdr:rowOff>
    </xdr:to>
    <xdr:graphicFrame macro="">
      <xdr:nvGraphicFramePr>
        <xdr:cNvPr id="45" name="图表 44">
          <a:extLst>
            <a:ext uri="{FF2B5EF4-FFF2-40B4-BE49-F238E27FC236}">
              <a16:creationId xmlns:a16="http://schemas.microsoft.com/office/drawing/2014/main" id="{00000000-0008-0000-07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0</xdr:colOff>
      <xdr:row>65</xdr:row>
      <xdr:rowOff>0</xdr:rowOff>
    </xdr:from>
    <xdr:to>
      <xdr:col>9</xdr:col>
      <xdr:colOff>658506</xdr:colOff>
      <xdr:row>84</xdr:row>
      <xdr:rowOff>145583</xdr:rowOff>
    </xdr:to>
    <xdr:graphicFrame macro="">
      <xdr:nvGraphicFramePr>
        <xdr:cNvPr id="46" name="图表 45">
          <a:extLst>
            <a:ext uri="{FF2B5EF4-FFF2-40B4-BE49-F238E27FC236}">
              <a16:creationId xmlns:a16="http://schemas.microsoft.com/office/drawing/2014/main" id="{00000000-0008-0000-07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368300</xdr:colOff>
      <xdr:row>81</xdr:row>
      <xdr:rowOff>177800</xdr:rowOff>
    </xdr:from>
    <xdr:to>
      <xdr:col>9</xdr:col>
      <xdr:colOff>71900</xdr:colOff>
      <xdr:row>83</xdr:row>
      <xdr:rowOff>29068</xdr:rowOff>
    </xdr:to>
    <xdr:sp macro="" textlink="">
      <xdr:nvSpPr>
        <xdr:cNvPr id="47" name="TextBox 34">
          <a:extLst>
            <a:ext uri="{FF2B5EF4-FFF2-40B4-BE49-F238E27FC236}">
              <a16:creationId xmlns:a16="http://schemas.microsoft.com/office/drawing/2014/main" id="{00000000-0008-0000-0700-00002F000000}"/>
            </a:ext>
          </a:extLst>
        </xdr:cNvPr>
        <xdr:cNvSpPr txBox="1"/>
      </xdr:nvSpPr>
      <xdr:spPr>
        <a:xfrm>
          <a:off x="4483100" y="15532100"/>
          <a:ext cx="1761000" cy="2322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altLang="zh-CN" sz="1000">
              <a:solidFill>
                <a:srgbClr val="C00000"/>
              </a:solidFill>
            </a:rPr>
            <a:t>Non-constant</a:t>
          </a:r>
          <a:r>
            <a:rPr lang="en-US" altLang="zh-CN" sz="1000" baseline="0">
              <a:solidFill>
                <a:srgbClr val="C00000"/>
              </a:solidFill>
            </a:rPr>
            <a:t> currenty growth</a:t>
          </a:r>
          <a:endParaRPr lang="zh-CN" altLang="en-US" sz="1000">
            <a:solidFill>
              <a:srgbClr val="C00000"/>
            </a:solidFill>
          </a:endParaRPr>
        </a:p>
      </xdr:txBody>
    </xdr:sp>
    <xdr:clientData/>
  </xdr:twoCellAnchor>
  <xdr:twoCellAnchor>
    <xdr:from>
      <xdr:col>6</xdr:col>
      <xdr:colOff>279400</xdr:colOff>
      <xdr:row>82</xdr:row>
      <xdr:rowOff>63500</xdr:rowOff>
    </xdr:from>
    <xdr:to>
      <xdr:col>6</xdr:col>
      <xdr:colOff>429948</xdr:colOff>
      <xdr:row>83</xdr:row>
      <xdr:rowOff>6602</xdr:rowOff>
    </xdr:to>
    <xdr:sp macro="" textlink="">
      <xdr:nvSpPr>
        <xdr:cNvPr id="48" name="等腰三角形 47">
          <a:extLst>
            <a:ext uri="{FF2B5EF4-FFF2-40B4-BE49-F238E27FC236}">
              <a16:creationId xmlns:a16="http://schemas.microsoft.com/office/drawing/2014/main" id="{00000000-0008-0000-0700-000030000000}"/>
            </a:ext>
          </a:extLst>
        </xdr:cNvPr>
        <xdr:cNvSpPr/>
      </xdr:nvSpPr>
      <xdr:spPr>
        <a:xfrm>
          <a:off x="4394200" y="15608300"/>
          <a:ext cx="150548" cy="133602"/>
        </a:xfrm>
        <a:prstGeom prst="triangl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7</xdr:col>
      <xdr:colOff>609600</xdr:colOff>
      <xdr:row>80</xdr:row>
      <xdr:rowOff>152400</xdr:rowOff>
    </xdr:from>
    <xdr:to>
      <xdr:col>8</xdr:col>
      <xdr:colOff>74348</xdr:colOff>
      <xdr:row>81</xdr:row>
      <xdr:rowOff>95502</xdr:rowOff>
    </xdr:to>
    <xdr:sp macro="" textlink="">
      <xdr:nvSpPr>
        <xdr:cNvPr id="49" name="等腰三角形 48">
          <a:extLst>
            <a:ext uri="{FF2B5EF4-FFF2-40B4-BE49-F238E27FC236}">
              <a16:creationId xmlns:a16="http://schemas.microsoft.com/office/drawing/2014/main" id="{00000000-0008-0000-0700-000031000000}"/>
            </a:ext>
          </a:extLst>
        </xdr:cNvPr>
        <xdr:cNvSpPr/>
      </xdr:nvSpPr>
      <xdr:spPr>
        <a:xfrm>
          <a:off x="5410200" y="15316200"/>
          <a:ext cx="150548" cy="133602"/>
        </a:xfrm>
        <a:prstGeom prst="triangl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8</xdr:col>
      <xdr:colOff>393700</xdr:colOff>
      <xdr:row>80</xdr:row>
      <xdr:rowOff>114300</xdr:rowOff>
    </xdr:from>
    <xdr:to>
      <xdr:col>8</xdr:col>
      <xdr:colOff>542587</xdr:colOff>
      <xdr:row>81</xdr:row>
      <xdr:rowOff>54912</xdr:rowOff>
    </xdr:to>
    <xdr:sp macro="" textlink="">
      <xdr:nvSpPr>
        <xdr:cNvPr id="50" name="等腰三角形 49">
          <a:extLst>
            <a:ext uri="{FF2B5EF4-FFF2-40B4-BE49-F238E27FC236}">
              <a16:creationId xmlns:a16="http://schemas.microsoft.com/office/drawing/2014/main" id="{00000000-0008-0000-0700-000032000000}"/>
            </a:ext>
          </a:extLst>
        </xdr:cNvPr>
        <xdr:cNvSpPr/>
      </xdr:nvSpPr>
      <xdr:spPr>
        <a:xfrm>
          <a:off x="5880100" y="15278100"/>
          <a:ext cx="148887" cy="131112"/>
        </a:xfrm>
        <a:prstGeom prst="triangl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11</xdr:col>
      <xdr:colOff>0</xdr:colOff>
      <xdr:row>65</xdr:row>
      <xdr:rowOff>0</xdr:rowOff>
    </xdr:from>
    <xdr:to>
      <xdr:col>20</xdr:col>
      <xdr:colOff>44422</xdr:colOff>
      <xdr:row>84</xdr:row>
      <xdr:rowOff>90207</xdr:rowOff>
    </xdr:to>
    <xdr:graphicFrame macro="">
      <xdr:nvGraphicFramePr>
        <xdr:cNvPr id="51" name="图表 50">
          <a:extLst>
            <a:ext uri="{FF2B5EF4-FFF2-40B4-BE49-F238E27FC236}">
              <a16:creationId xmlns:a16="http://schemas.microsoft.com/office/drawing/2014/main" id="{00000000-0008-0000-07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21</xdr:col>
      <xdr:colOff>0</xdr:colOff>
      <xdr:row>65</xdr:row>
      <xdr:rowOff>0</xdr:rowOff>
    </xdr:from>
    <xdr:to>
      <xdr:col>28</xdr:col>
      <xdr:colOff>1721433</xdr:colOff>
      <xdr:row>84</xdr:row>
      <xdr:rowOff>100853</xdr:rowOff>
    </xdr:to>
    <xdr:grpSp>
      <xdr:nvGrpSpPr>
        <xdr:cNvPr id="52" name="Group 37">
          <a:extLst>
            <a:ext uri="{FF2B5EF4-FFF2-40B4-BE49-F238E27FC236}">
              <a16:creationId xmlns:a16="http://schemas.microsoft.com/office/drawing/2014/main" id="{00000000-0008-0000-0700-000034000000}"/>
            </a:ext>
          </a:extLst>
        </xdr:cNvPr>
        <xdr:cNvGrpSpPr/>
      </xdr:nvGrpSpPr>
      <xdr:grpSpPr>
        <a:xfrm>
          <a:off x="14401800" y="12287250"/>
          <a:ext cx="6525208" cy="3723528"/>
          <a:chOff x="13655585" y="11615629"/>
          <a:chExt cx="6504285" cy="3562984"/>
        </a:xfrm>
      </xdr:grpSpPr>
      <xdr:graphicFrame macro="">
        <xdr:nvGraphicFramePr>
          <xdr:cNvPr id="53" name="图表 52">
            <a:extLst>
              <a:ext uri="{FF2B5EF4-FFF2-40B4-BE49-F238E27FC236}">
                <a16:creationId xmlns:a16="http://schemas.microsoft.com/office/drawing/2014/main" id="{00000000-0008-0000-0700-000035000000}"/>
              </a:ext>
            </a:extLst>
          </xdr:cNvPr>
          <xdr:cNvGraphicFramePr>
            <a:graphicFrameLocks/>
          </xdr:cNvGraphicFramePr>
        </xdr:nvGraphicFramePr>
        <xdr:xfrm>
          <a:off x="13655585" y="11615629"/>
          <a:ext cx="6321578" cy="3562984"/>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54" name="TextBox 36">
            <a:extLst>
              <a:ext uri="{FF2B5EF4-FFF2-40B4-BE49-F238E27FC236}">
                <a16:creationId xmlns:a16="http://schemas.microsoft.com/office/drawing/2014/main" id="{00000000-0008-0000-0700-000036000000}"/>
              </a:ext>
            </a:extLst>
          </xdr:cNvPr>
          <xdr:cNvSpPr txBox="1"/>
        </xdr:nvSpPr>
        <xdr:spPr>
          <a:xfrm>
            <a:off x="18772155" y="13169347"/>
            <a:ext cx="1387715" cy="613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altLang="zh-CN" sz="1100">
                <a:solidFill>
                  <a:srgbClr val="FF0000"/>
                </a:solidFill>
              </a:rPr>
              <a:t>no constant</a:t>
            </a:r>
            <a:r>
              <a:rPr lang="en-US" altLang="zh-CN" sz="1100" baseline="0">
                <a:solidFill>
                  <a:srgbClr val="FF0000"/>
                </a:solidFill>
              </a:rPr>
              <a:t> </a:t>
            </a:r>
          </a:p>
          <a:p>
            <a:pPr algn="ctr"/>
            <a:r>
              <a:rPr lang="en-US" altLang="zh-CN" sz="1100" baseline="0">
                <a:solidFill>
                  <a:srgbClr val="FF0000"/>
                </a:solidFill>
              </a:rPr>
              <a:t>currenty growth </a:t>
            </a:r>
          </a:p>
          <a:p>
            <a:pPr algn="ctr"/>
            <a:r>
              <a:rPr lang="en-US" altLang="zh-CN" sz="1100" baseline="0">
                <a:solidFill>
                  <a:srgbClr val="FF0000"/>
                </a:solidFill>
              </a:rPr>
              <a:t>data available</a:t>
            </a:r>
            <a:endParaRPr lang="zh-CN" altLang="en-US" sz="1100">
              <a:solidFill>
                <a:srgbClr val="FF0000"/>
              </a:solidFill>
            </a:endParaRPr>
          </a:p>
        </xdr:txBody>
      </xdr:sp>
    </xdr:grpSp>
    <xdr:clientData/>
  </xdr:twoCellAnchor>
  <xdr:twoCellAnchor>
    <xdr:from>
      <xdr:col>1</xdr:col>
      <xdr:colOff>0</xdr:colOff>
      <xdr:row>87</xdr:row>
      <xdr:rowOff>0</xdr:rowOff>
    </xdr:from>
    <xdr:to>
      <xdr:col>9</xdr:col>
      <xdr:colOff>636387</xdr:colOff>
      <xdr:row>107</xdr:row>
      <xdr:rowOff>54350</xdr:rowOff>
    </xdr:to>
    <xdr:graphicFrame macro="">
      <xdr:nvGraphicFramePr>
        <xdr:cNvPr id="55" name="图表 54">
          <a:extLst>
            <a:ext uri="{FF2B5EF4-FFF2-40B4-BE49-F238E27FC236}">
              <a16:creationId xmlns:a16="http://schemas.microsoft.com/office/drawing/2014/main" id="{00000000-0008-0000-07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431800</xdr:colOff>
      <xdr:row>84</xdr:row>
      <xdr:rowOff>139700</xdr:rowOff>
    </xdr:from>
    <xdr:to>
      <xdr:col>10</xdr:col>
      <xdr:colOff>224098</xdr:colOff>
      <xdr:row>88</xdr:row>
      <xdr:rowOff>24060</xdr:rowOff>
    </xdr:to>
    <xdr:sp macro="" textlink="">
      <xdr:nvSpPr>
        <xdr:cNvPr id="56" name="TextBox 34">
          <a:extLst>
            <a:ext uri="{FF2B5EF4-FFF2-40B4-BE49-F238E27FC236}">
              <a16:creationId xmlns:a16="http://schemas.microsoft.com/office/drawing/2014/main" id="{00000000-0008-0000-0700-000038000000}"/>
            </a:ext>
          </a:extLst>
        </xdr:cNvPr>
        <xdr:cNvSpPr txBox="1"/>
      </xdr:nvSpPr>
      <xdr:spPr>
        <a:xfrm>
          <a:off x="5918200" y="16065500"/>
          <a:ext cx="1163898" cy="646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altLang="zh-CN" sz="1100">
              <a:solidFill>
                <a:srgbClr val="FF0000"/>
              </a:solidFill>
            </a:rPr>
            <a:t>-87% </a:t>
          </a:r>
        </a:p>
        <a:p>
          <a:pPr algn="ctr"/>
          <a:r>
            <a:rPr lang="en-US" altLang="zh-CN" sz="1100">
              <a:solidFill>
                <a:srgbClr val="FF0000"/>
              </a:solidFill>
            </a:rPr>
            <a:t>(non-constant</a:t>
          </a:r>
          <a:r>
            <a:rPr lang="en-US" altLang="zh-CN" sz="1100" baseline="0">
              <a:solidFill>
                <a:srgbClr val="FF0000"/>
              </a:solidFill>
            </a:rPr>
            <a:t> </a:t>
          </a:r>
        </a:p>
        <a:p>
          <a:pPr algn="ctr"/>
          <a:r>
            <a:rPr lang="en-US" altLang="zh-CN" sz="1100" baseline="0">
              <a:solidFill>
                <a:srgbClr val="FF0000"/>
              </a:solidFill>
            </a:rPr>
            <a:t>currenty growth)</a:t>
          </a:r>
          <a:endParaRPr lang="zh-CN" altLang="en-US" sz="1100">
            <a:solidFill>
              <a:srgbClr val="FF0000"/>
            </a:solidFill>
          </a:endParaRPr>
        </a:p>
      </xdr:txBody>
    </xdr:sp>
    <xdr:clientData/>
  </xdr:twoCellAnchor>
  <xdr:twoCellAnchor>
    <xdr:from>
      <xdr:col>11</xdr:col>
      <xdr:colOff>0</xdr:colOff>
      <xdr:row>110</xdr:row>
      <xdr:rowOff>0</xdr:rowOff>
    </xdr:from>
    <xdr:to>
      <xdr:col>20</xdr:col>
      <xdr:colOff>38708</xdr:colOff>
      <xdr:row>128</xdr:row>
      <xdr:rowOff>158563</xdr:rowOff>
    </xdr:to>
    <xdr:graphicFrame macro="">
      <xdr:nvGraphicFramePr>
        <xdr:cNvPr id="57" name="图表 56">
          <a:extLst>
            <a:ext uri="{FF2B5EF4-FFF2-40B4-BE49-F238E27FC236}">
              <a16:creationId xmlns:a16="http://schemas.microsoft.com/office/drawing/2014/main" id="{00000000-0008-0000-0700-00003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12700</xdr:colOff>
      <xdr:row>131</xdr:row>
      <xdr:rowOff>38100</xdr:rowOff>
    </xdr:from>
    <xdr:to>
      <xdr:col>10</xdr:col>
      <xdr:colOff>65529</xdr:colOff>
      <xdr:row>151</xdr:row>
      <xdr:rowOff>26893</xdr:rowOff>
    </xdr:to>
    <xdr:graphicFrame macro="">
      <xdr:nvGraphicFramePr>
        <xdr:cNvPr id="58" name="图表 57">
          <a:extLst>
            <a:ext uri="{FF2B5EF4-FFF2-40B4-BE49-F238E27FC236}">
              <a16:creationId xmlns:a16="http://schemas.microsoft.com/office/drawing/2014/main" id="{00000000-0008-0000-0700-00003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17</xdr:col>
      <xdr:colOff>0</xdr:colOff>
      <xdr:row>2</xdr:row>
      <xdr:rowOff>0</xdr:rowOff>
    </xdr:from>
    <xdr:to>
      <xdr:col>24</xdr:col>
      <xdr:colOff>418165</xdr:colOff>
      <xdr:row>19</xdr:row>
      <xdr:rowOff>158509</xdr:rowOff>
    </xdr:to>
    <xdr:grpSp>
      <xdr:nvGrpSpPr>
        <xdr:cNvPr id="59" name="组合 58">
          <a:extLst>
            <a:ext uri="{FF2B5EF4-FFF2-40B4-BE49-F238E27FC236}">
              <a16:creationId xmlns:a16="http://schemas.microsoft.com/office/drawing/2014/main" id="{00000000-0008-0000-0700-00003B000000}"/>
            </a:ext>
          </a:extLst>
        </xdr:cNvPr>
        <xdr:cNvGrpSpPr/>
      </xdr:nvGrpSpPr>
      <xdr:grpSpPr>
        <a:xfrm>
          <a:off x="11658600" y="381000"/>
          <a:ext cx="5218765" cy="3304934"/>
          <a:chOff x="11765202" y="372840"/>
          <a:chExt cx="5204961" cy="3180399"/>
        </a:xfrm>
      </xdr:grpSpPr>
      <xdr:graphicFrame macro="">
        <xdr:nvGraphicFramePr>
          <xdr:cNvPr id="60" name="图表 59">
            <a:extLst>
              <a:ext uri="{FF2B5EF4-FFF2-40B4-BE49-F238E27FC236}">
                <a16:creationId xmlns:a16="http://schemas.microsoft.com/office/drawing/2014/main" id="{00000000-0008-0000-0700-00003C000000}"/>
              </a:ext>
            </a:extLst>
          </xdr:cNvPr>
          <xdr:cNvGraphicFramePr>
            <a:graphicFrameLocks/>
          </xdr:cNvGraphicFramePr>
        </xdr:nvGraphicFramePr>
        <xdr:xfrm>
          <a:off x="11765202" y="372840"/>
          <a:ext cx="5204961" cy="3180399"/>
        </xdr:xfrm>
        <a:graphic>
          <a:graphicData uri="http://schemas.openxmlformats.org/drawingml/2006/chart">
            <c:chart xmlns:c="http://schemas.openxmlformats.org/drawingml/2006/chart" xmlns:r="http://schemas.openxmlformats.org/officeDocument/2006/relationships" r:id="rId23"/>
          </a:graphicData>
        </a:graphic>
      </xdr:graphicFrame>
      <xdr:sp macro="" textlink="">
        <xdr:nvSpPr>
          <xdr:cNvPr id="61" name="菱形 60">
            <a:extLst>
              <a:ext uri="{FF2B5EF4-FFF2-40B4-BE49-F238E27FC236}">
                <a16:creationId xmlns:a16="http://schemas.microsoft.com/office/drawing/2014/main" id="{00000000-0008-0000-0700-00003D000000}"/>
              </a:ext>
            </a:extLst>
          </xdr:cNvPr>
          <xdr:cNvSpPr/>
        </xdr:nvSpPr>
        <xdr:spPr>
          <a:xfrm>
            <a:off x="16611526" y="927145"/>
            <a:ext cx="118506" cy="118575"/>
          </a:xfrm>
          <a:prstGeom prst="diamond">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grpSp>
    <xdr:clientData/>
  </xdr:twoCellAnchor>
</xdr:wsDr>
</file>

<file path=xl/drawings/drawing6.xml><?xml version="1.0" encoding="utf-8"?>
<c:userShapes xmlns:c="http://schemas.openxmlformats.org/drawingml/2006/chart">
  <cdr:relSizeAnchor xmlns:cdr="http://schemas.openxmlformats.org/drawingml/2006/chartDrawing">
    <cdr:from>
      <cdr:x>0</cdr:x>
      <cdr:y>0.05607</cdr:y>
    </cdr:from>
    <cdr:to>
      <cdr:x>0.12444</cdr:x>
      <cdr:y>0.11598</cdr:y>
    </cdr:to>
    <cdr:sp macro="" textlink="">
      <cdr:nvSpPr>
        <cdr:cNvPr id="2" name="矩形 1"/>
        <cdr:cNvSpPr/>
      </cdr:nvSpPr>
      <cdr:spPr>
        <a:xfrm xmlns:a="http://schemas.openxmlformats.org/drawingml/2006/main">
          <a:off x="0" y="231783"/>
          <a:ext cx="800071" cy="2476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zh-CN" sz="1100"/>
            <a:t>Unit: mn</a:t>
          </a:r>
          <a:endParaRPr lang="zh-CN" altLang="en-US" sz="1100"/>
        </a:p>
      </cdr:txBody>
    </cdr:sp>
  </cdr:relSizeAnchor>
</c:userShapes>
</file>

<file path=xl/drawings/drawing7.xml><?xml version="1.0" encoding="utf-8"?>
<c:userShapes xmlns:c="http://schemas.openxmlformats.org/drawingml/2006/chart">
  <cdr:relSizeAnchor xmlns:cdr="http://schemas.openxmlformats.org/drawingml/2006/chartDrawing">
    <cdr:from>
      <cdr:x>0.00149</cdr:x>
      <cdr:y>0.03533</cdr:y>
    </cdr:from>
    <cdr:to>
      <cdr:x>0.12706</cdr:x>
      <cdr:y>0.09524</cdr:y>
    </cdr:to>
    <cdr:sp macro="" textlink="">
      <cdr:nvSpPr>
        <cdr:cNvPr id="2" name="矩形 1"/>
        <cdr:cNvSpPr/>
      </cdr:nvSpPr>
      <cdr:spPr>
        <a:xfrm xmlns:a="http://schemas.openxmlformats.org/drawingml/2006/main">
          <a:off x="9525" y="146050"/>
          <a:ext cx="800100" cy="24765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zh-CN" sz="1100"/>
            <a:t>$mn</a:t>
          </a:r>
          <a:endParaRPr lang="zh-CN" altLang="en-US" sz="1100"/>
        </a:p>
      </cdr:txBody>
    </cdr:sp>
  </cdr:relSizeAnchor>
</c:userShapes>
</file>

<file path=xl/drawings/drawing8.xml><?xml version="1.0" encoding="utf-8"?>
<c:userShapes xmlns:c="http://schemas.openxmlformats.org/drawingml/2006/chart">
  <cdr:relSizeAnchor xmlns:cdr="http://schemas.openxmlformats.org/drawingml/2006/chartDrawing">
    <cdr:from>
      <cdr:x>0</cdr:x>
      <cdr:y>0.05297</cdr:y>
    </cdr:from>
    <cdr:to>
      <cdr:x>0.16472</cdr:x>
      <cdr:y>0.12267</cdr:y>
    </cdr:to>
    <cdr:sp macro="" textlink="">
      <cdr:nvSpPr>
        <cdr:cNvPr id="2" name="矩形 1"/>
        <cdr:cNvSpPr/>
      </cdr:nvSpPr>
      <cdr:spPr>
        <a:xfrm xmlns:a="http://schemas.openxmlformats.org/drawingml/2006/main">
          <a:off x="0" y="190456"/>
          <a:ext cx="1012070" cy="250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zh-CN" sz="1100"/>
            <a:t>Unit: mn</a:t>
          </a:r>
          <a:endParaRPr lang="zh-CN" altLang="en-US" sz="1100"/>
        </a:p>
      </cdr:txBody>
    </cdr:sp>
  </cdr:relSizeAnchor>
</c:userShapes>
</file>

<file path=xl/drawings/drawing9.xml><?xml version="1.0" encoding="utf-8"?>
<c:userShapes xmlns:c="http://schemas.openxmlformats.org/drawingml/2006/chart">
  <cdr:relSizeAnchor xmlns:cdr="http://schemas.openxmlformats.org/drawingml/2006/chartDrawing">
    <cdr:from>
      <cdr:x>0.00315</cdr:x>
      <cdr:y>0.03844</cdr:y>
    </cdr:from>
    <cdr:to>
      <cdr:x>0.14792</cdr:x>
      <cdr:y>0.14259</cdr:y>
    </cdr:to>
    <cdr:sp macro="" textlink="">
      <cdr:nvSpPr>
        <cdr:cNvPr id="2" name="矩形 1"/>
        <cdr:cNvSpPr/>
      </cdr:nvSpPr>
      <cdr:spPr>
        <a:xfrm xmlns:a="http://schemas.openxmlformats.org/drawingml/2006/main">
          <a:off x="19488" y="132892"/>
          <a:ext cx="894915" cy="36013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altLang="zh-CN" sz="1100"/>
            <a:t>Unit: $mn</a:t>
          </a:r>
          <a:endParaRPr lang="zh-CN" altLang="en-US" sz="1100"/>
        </a:p>
      </cdr:txBody>
    </cdr:sp>
  </cdr:relSizeAnchor>
</c:userShapes>
</file>

<file path=xl/drawings/drawing10.xml><?xml version="1.0" encoding="utf-8"?>
<c:userShapes xmlns:c="http://schemas.openxmlformats.org/drawingml/2006/chart">
  <cdr:relSizeAnchor xmlns:cdr="http://schemas.openxmlformats.org/drawingml/2006/chartDrawing">
    <cdr:from>
      <cdr:x>0</cdr:x>
      <cdr:y>0.0356</cdr:y>
    </cdr:from>
    <cdr:to>
      <cdr:x>0.16103</cdr:x>
      <cdr:y>0.1398</cdr:y>
    </cdr:to>
    <cdr:sp macro="" textlink="">
      <cdr:nvSpPr>
        <cdr:cNvPr id="2" name="矩形 1"/>
        <cdr:cNvSpPr/>
      </cdr:nvSpPr>
      <cdr:spPr>
        <a:xfrm xmlns:a="http://schemas.openxmlformats.org/drawingml/2006/main">
          <a:off x="0" y="118036"/>
          <a:ext cx="878787" cy="34551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zh-CN" sz="1100"/>
            <a:t>Unit: $mn</a:t>
          </a:r>
          <a:endParaRPr lang="zh-CN" altLang="en-US" sz="1100"/>
        </a:p>
      </cdr:txBody>
    </cdr:sp>
  </cdr:relSizeAnchor>
</c:userShapes>
</file>

<file path=xl/drawings/drawing11.xml><?xml version="1.0" encoding="utf-8"?>
<c:userShapes xmlns:c="http://schemas.openxmlformats.org/drawingml/2006/chart">
  <cdr:relSizeAnchor xmlns:cdr="http://schemas.openxmlformats.org/drawingml/2006/chartDrawing">
    <cdr:from>
      <cdr:x>0.11604</cdr:x>
      <cdr:y>0.61686</cdr:y>
    </cdr:from>
    <cdr:to>
      <cdr:x>0.97268</cdr:x>
      <cdr:y>0.62004</cdr:y>
    </cdr:to>
    <cdr:sp macro="" textlink="">
      <cdr:nvSpPr>
        <cdr:cNvPr id="2" name="直接连接符 1"/>
        <cdr:cNvSpPr/>
      </cdr:nvSpPr>
      <cdr:spPr>
        <a:xfrm xmlns:a="http://schemas.openxmlformats.org/drawingml/2006/main" flipV="1">
          <a:off x="635711" y="1888478"/>
          <a:ext cx="4693151" cy="9736"/>
        </a:xfrm>
        <a:prstGeom xmlns:a="http://schemas.openxmlformats.org/drawingml/2006/main" prst="line">
          <a:avLst/>
        </a:prstGeom>
        <a:ln xmlns:a="http://schemas.openxmlformats.org/drawingml/2006/main" w="15875">
          <a:solidFill>
            <a:schemeClr val="accent5">
              <a:lumMod val="60000"/>
              <a:lumOff val="40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sp>
  </cdr:relSizeAnchor>
  <cdr:relSizeAnchor xmlns:cdr="http://schemas.openxmlformats.org/drawingml/2006/chartDrawing">
    <cdr:from>
      <cdr:x>0.11449</cdr:x>
      <cdr:y>0.48235</cdr:y>
    </cdr:from>
    <cdr:to>
      <cdr:x>0.96228</cdr:x>
      <cdr:y>0.48552</cdr:y>
    </cdr:to>
    <cdr:sp macro="" textlink="">
      <cdr:nvSpPr>
        <cdr:cNvPr id="3" name="直接连接符 2"/>
        <cdr:cNvSpPr/>
      </cdr:nvSpPr>
      <cdr:spPr>
        <a:xfrm xmlns:a="http://schemas.openxmlformats.org/drawingml/2006/main">
          <a:off x="627245" y="1476696"/>
          <a:ext cx="4644665" cy="9705"/>
        </a:xfrm>
        <a:prstGeom xmlns:a="http://schemas.openxmlformats.org/drawingml/2006/main" prst="line">
          <a:avLst/>
        </a:prstGeom>
        <a:ln xmlns:a="http://schemas.openxmlformats.org/drawingml/2006/main" w="15875">
          <a:solidFill>
            <a:srgbClr val="FF8F8F"/>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sp>
  </cdr:relSizeAnchor>
  <cdr:relSizeAnchor xmlns:cdr="http://schemas.openxmlformats.org/drawingml/2006/chartDrawing">
    <cdr:from>
      <cdr:x>0.103</cdr:x>
      <cdr:y>0.4137</cdr:y>
    </cdr:from>
    <cdr:to>
      <cdr:x>0.96495</cdr:x>
      <cdr:y>0.41687</cdr:y>
    </cdr:to>
    <cdr:sp macro="" textlink="">
      <cdr:nvSpPr>
        <cdr:cNvPr id="4" name="直接连接符 3"/>
        <cdr:cNvSpPr/>
      </cdr:nvSpPr>
      <cdr:spPr>
        <a:xfrm xmlns:a="http://schemas.openxmlformats.org/drawingml/2006/main" flipV="1">
          <a:off x="564283" y="1266528"/>
          <a:ext cx="4722241" cy="9705"/>
        </a:xfrm>
        <a:prstGeom xmlns:a="http://schemas.openxmlformats.org/drawingml/2006/main" prst="line">
          <a:avLst/>
        </a:prstGeom>
        <a:ln xmlns:a="http://schemas.openxmlformats.org/drawingml/2006/main" w="15875">
          <a:solidFill>
            <a:srgbClr val="FF8F8F"/>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sp>
  </cdr:relSizeAnchor>
  <cdr:relSizeAnchor xmlns:cdr="http://schemas.openxmlformats.org/drawingml/2006/chartDrawing">
    <cdr:from>
      <cdr:x>0.11375</cdr:x>
      <cdr:y>0.68476</cdr:y>
    </cdr:from>
    <cdr:to>
      <cdr:x>0.97039</cdr:x>
      <cdr:y>0.68794</cdr:y>
    </cdr:to>
    <cdr:sp macro="" textlink="">
      <cdr:nvSpPr>
        <cdr:cNvPr id="5" name="直接连接符 4"/>
        <cdr:cNvSpPr/>
      </cdr:nvSpPr>
      <cdr:spPr>
        <a:xfrm xmlns:a="http://schemas.openxmlformats.org/drawingml/2006/main" flipV="1">
          <a:off x="849622" y="3885342"/>
          <a:ext cx="6398417" cy="18043"/>
        </a:xfrm>
        <a:prstGeom xmlns:a="http://schemas.openxmlformats.org/drawingml/2006/main" prst="line">
          <a:avLst/>
        </a:prstGeom>
        <a:ln xmlns:a="http://schemas.openxmlformats.org/drawingml/2006/main" w="15875">
          <a:solidFill>
            <a:schemeClr val="accent5">
              <a:lumMod val="60000"/>
              <a:lumOff val="40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p xmlns:a="http://schemas.openxmlformats.org/drawingml/2006/main">
          <a:endParaRPr lang="zh-CN" altLang="en-US"/>
        </a:p>
      </cdr:txBody>
    </cdr:sp>
  </cdr:relSizeAnchor>
</c:userShapes>
</file>

<file path=xl/drawings/drawing12.xml><?xml version="1.0" encoding="utf-8"?>
<c:userShapes xmlns:c="http://schemas.openxmlformats.org/drawingml/2006/chart">
  <cdr:relSizeAnchor xmlns:cdr="http://schemas.openxmlformats.org/drawingml/2006/chartDrawing">
    <cdr:from>
      <cdr:x>0.00333</cdr:x>
      <cdr:y>0.04461</cdr:y>
    </cdr:from>
    <cdr:to>
      <cdr:x>0.12316</cdr:x>
      <cdr:y>0.10787</cdr:y>
    </cdr:to>
    <cdr:sp macro="" textlink="">
      <cdr:nvSpPr>
        <cdr:cNvPr id="2" name="矩形 1"/>
        <cdr:cNvSpPr/>
      </cdr:nvSpPr>
      <cdr:spPr>
        <a:xfrm xmlns:a="http://schemas.openxmlformats.org/drawingml/2006/main">
          <a:off x="22225" y="174625"/>
          <a:ext cx="800100" cy="24765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zh-CN" sz="1100"/>
            <a:t>Unit: $mn</a:t>
          </a:r>
          <a:endParaRPr lang="zh-CN" altLang="en-US" sz="1100"/>
        </a:p>
      </cdr:txBody>
    </cdr:sp>
  </cdr:relSizeAnchor>
</c:userShapes>
</file>

<file path=xl/drawings/drawing13.xml><?xml version="1.0" encoding="utf-8"?>
<c:userShapes xmlns:c="http://schemas.openxmlformats.org/drawingml/2006/chart">
  <cdr:relSizeAnchor xmlns:cdr="http://schemas.openxmlformats.org/drawingml/2006/chartDrawing">
    <cdr:from>
      <cdr:x>0</cdr:x>
      <cdr:y>0.05031</cdr:y>
    </cdr:from>
    <cdr:to>
      <cdr:x>0.12556</cdr:x>
      <cdr:y>0.11311</cdr:y>
    </cdr:to>
    <cdr:sp macro="" textlink="">
      <cdr:nvSpPr>
        <cdr:cNvPr id="2" name="矩形 1"/>
        <cdr:cNvSpPr/>
      </cdr:nvSpPr>
      <cdr:spPr>
        <a:xfrm xmlns:a="http://schemas.openxmlformats.org/drawingml/2006/main">
          <a:off x="0" y="182133"/>
          <a:ext cx="773926" cy="22734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zh-CN" sz="1100"/>
            <a:t>Unit: $mn</a:t>
          </a:r>
          <a:endParaRPr lang="zh-CN" altLang="en-US" sz="1100"/>
        </a:p>
      </cdr:txBody>
    </cdr:sp>
  </cdr:relSizeAnchor>
</c:userShapes>
</file>

<file path=xl/drawings/drawing14.xml><?xml version="1.0" encoding="utf-8"?>
<c:userShapes xmlns:c="http://schemas.openxmlformats.org/drawingml/2006/chart">
  <cdr:relSizeAnchor xmlns:cdr="http://schemas.openxmlformats.org/drawingml/2006/chartDrawing">
    <cdr:from>
      <cdr:x>0.00556</cdr:x>
      <cdr:y>0.02289</cdr:y>
    </cdr:from>
    <cdr:to>
      <cdr:x>0.13732</cdr:x>
      <cdr:y>0.08161</cdr:y>
    </cdr:to>
    <cdr:sp macro="" textlink="">
      <cdr:nvSpPr>
        <cdr:cNvPr id="3" name="矩形 2"/>
        <cdr:cNvSpPr/>
      </cdr:nvSpPr>
      <cdr:spPr>
        <a:xfrm xmlns:a="http://schemas.openxmlformats.org/drawingml/2006/main">
          <a:off x="33617" y="95624"/>
          <a:ext cx="797346" cy="24534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zh-CN" sz="1100"/>
            <a:t>$mn</a:t>
          </a:r>
          <a:endParaRPr lang="zh-CN" altLang="en-US" sz="1100"/>
        </a:p>
      </cdr:txBody>
    </cdr:sp>
  </cdr:relSizeAnchor>
</c:userShapes>
</file>

<file path=xl/drawings/drawing15.xml><?xml version="1.0" encoding="utf-8"?>
<c:userShapes xmlns:c="http://schemas.openxmlformats.org/drawingml/2006/chart">
  <cdr:relSizeAnchor xmlns:cdr="http://schemas.openxmlformats.org/drawingml/2006/chartDrawing">
    <cdr:from>
      <cdr:x>0.01788</cdr:x>
      <cdr:y>0.0265</cdr:y>
    </cdr:from>
    <cdr:to>
      <cdr:x>0.2128</cdr:x>
      <cdr:y>0.09316</cdr:y>
    </cdr:to>
    <cdr:sp macro="" textlink="">
      <cdr:nvSpPr>
        <cdr:cNvPr id="2" name="矩形 1"/>
        <cdr:cNvSpPr/>
      </cdr:nvSpPr>
      <cdr:spPr>
        <a:xfrm xmlns:a="http://schemas.openxmlformats.org/drawingml/2006/main">
          <a:off x="98117" y="97550"/>
          <a:ext cx="1069627" cy="24538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zh-CN" sz="1100"/>
            <a:t>Unit: thousand</a:t>
          </a:r>
        </a:p>
        <a:p xmlns:a="http://schemas.openxmlformats.org/drawingml/2006/main">
          <a:endParaRPr lang="zh-CN" altLang="en-US" sz="1100"/>
        </a:p>
      </cdr:txBody>
    </cdr:sp>
  </cdr:relSizeAnchor>
</c:userShapes>
</file>

<file path=xl/drawings/drawing16.xml><?xml version="1.0" encoding="utf-8"?>
<xdr:wsDr xmlns:xdr="http://schemas.openxmlformats.org/drawingml/2006/spreadsheetDrawing" xmlns:a="http://schemas.openxmlformats.org/drawingml/2006/main">
  <xdr:twoCellAnchor>
    <xdr:from>
      <xdr:col>1</xdr:col>
      <xdr:colOff>142876</xdr:colOff>
      <xdr:row>1</xdr:row>
      <xdr:rowOff>9525</xdr:rowOff>
    </xdr:from>
    <xdr:to>
      <xdr:col>7</xdr:col>
      <xdr:colOff>447676</xdr:colOff>
      <xdr:row>16</xdr:row>
      <xdr:rowOff>171450</xdr:rowOff>
    </xdr:to>
    <xdr:graphicFrame macro="">
      <xdr:nvGraphicFramePr>
        <xdr:cNvPr id="2" name="图表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2469</xdr:colOff>
      <xdr:row>0</xdr:row>
      <xdr:rowOff>180974</xdr:rowOff>
    </xdr:from>
    <xdr:to>
      <xdr:col>15</xdr:col>
      <xdr:colOff>161925</xdr:colOff>
      <xdr:row>16</xdr:row>
      <xdr:rowOff>171449</xdr:rowOff>
    </xdr:to>
    <xdr:graphicFrame macro="">
      <xdr:nvGraphicFramePr>
        <xdr:cNvPr id="4" name="图表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85725</xdr:colOff>
      <xdr:row>18</xdr:row>
      <xdr:rowOff>9525</xdr:rowOff>
    </xdr:from>
    <xdr:to>
      <xdr:col>8</xdr:col>
      <xdr:colOff>123825</xdr:colOff>
      <xdr:row>34</xdr:row>
      <xdr:rowOff>9525</xdr:rowOff>
    </xdr:to>
    <xdr:graphicFrame macro="">
      <xdr:nvGraphicFramePr>
        <xdr:cNvPr id="5" name="图表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703</xdr:colOff>
      <xdr:row>18</xdr:row>
      <xdr:rowOff>9524</xdr:rowOff>
    </xdr:from>
    <xdr:to>
      <xdr:col>15</xdr:col>
      <xdr:colOff>638175</xdr:colOff>
      <xdr:row>33</xdr:row>
      <xdr:rowOff>180974</xdr:rowOff>
    </xdr:to>
    <xdr:graphicFrame macro="">
      <xdr:nvGraphicFramePr>
        <xdr:cNvPr id="6" name="图表 5">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3173</xdr:colOff>
      <xdr:row>34</xdr:row>
      <xdr:rowOff>171449</xdr:rowOff>
    </xdr:from>
    <xdr:to>
      <xdr:col>9</xdr:col>
      <xdr:colOff>238123</xdr:colOff>
      <xdr:row>52</xdr:row>
      <xdr:rowOff>44449</xdr:rowOff>
    </xdr:to>
    <xdr:graphicFrame macro="">
      <xdr:nvGraphicFramePr>
        <xdr:cNvPr id="7" name="图表 6">
          <a:extLst>
            <a:ext uri="{FF2B5EF4-FFF2-40B4-BE49-F238E27FC236}">
              <a16:creationId xmlns:a16="http://schemas.microsoft.com/office/drawing/2014/main" id="{00000000-0008-0000-09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21329</xdr:colOff>
      <xdr:row>53</xdr:row>
      <xdr:rowOff>126999</xdr:rowOff>
    </xdr:from>
    <xdr:to>
      <xdr:col>10</xdr:col>
      <xdr:colOff>288714</xdr:colOff>
      <xdr:row>106</xdr:row>
      <xdr:rowOff>17131</xdr:rowOff>
    </xdr:to>
    <xdr:graphicFrame macro="">
      <xdr:nvGraphicFramePr>
        <xdr:cNvPr id="8" name="图表 7">
          <a:extLst>
            <a:ext uri="{FF2B5EF4-FFF2-40B4-BE49-F238E27FC236}">
              <a16:creationId xmlns:a16="http://schemas.microsoft.com/office/drawing/2014/main" id="{00000000-0008-0000-09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238124</xdr:colOff>
      <xdr:row>53</xdr:row>
      <xdr:rowOff>142874</xdr:rowOff>
    </xdr:from>
    <xdr:to>
      <xdr:col>19</xdr:col>
      <xdr:colOff>112183</xdr:colOff>
      <xdr:row>105</xdr:row>
      <xdr:rowOff>85725</xdr:rowOff>
    </xdr:to>
    <xdr:graphicFrame macro="">
      <xdr:nvGraphicFramePr>
        <xdr:cNvPr id="9" name="图表 8">
          <a:extLst>
            <a:ext uri="{FF2B5EF4-FFF2-40B4-BE49-F238E27FC236}">
              <a16:creationId xmlns:a16="http://schemas.microsoft.com/office/drawing/2014/main" id="{00000000-0008-0000-09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207433</xdr:colOff>
      <xdr:row>109</xdr:row>
      <xdr:rowOff>53975</xdr:rowOff>
    </xdr:from>
    <xdr:to>
      <xdr:col>16</xdr:col>
      <xdr:colOff>134407</xdr:colOff>
      <xdr:row>125</xdr:row>
      <xdr:rowOff>53975</xdr:rowOff>
    </xdr:to>
    <xdr:graphicFrame macro="">
      <xdr:nvGraphicFramePr>
        <xdr:cNvPr id="11" name="图表 10">
          <a:extLst>
            <a:ext uri="{FF2B5EF4-FFF2-40B4-BE49-F238E27FC236}">
              <a16:creationId xmlns:a16="http://schemas.microsoft.com/office/drawing/2014/main" id="{00000000-0008-0000-09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26458</xdr:colOff>
      <xdr:row>109</xdr:row>
      <xdr:rowOff>47625</xdr:rowOff>
    </xdr:from>
    <xdr:to>
      <xdr:col>7</xdr:col>
      <xdr:colOff>542925</xdr:colOff>
      <xdr:row>125</xdr:row>
      <xdr:rowOff>47625</xdr:rowOff>
    </xdr:to>
    <xdr:graphicFrame macro="">
      <xdr:nvGraphicFramePr>
        <xdr:cNvPr id="12" name="图表 11">
          <a:extLst>
            <a:ext uri="{FF2B5EF4-FFF2-40B4-BE49-F238E27FC236}">
              <a16:creationId xmlns:a16="http://schemas.microsoft.com/office/drawing/2014/main" id="{00000000-0008-0000-09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11</xdr:col>
      <xdr:colOff>412750</xdr:colOff>
      <xdr:row>0</xdr:row>
      <xdr:rowOff>180975</xdr:rowOff>
    </xdr:from>
    <xdr:to>
      <xdr:col>18</xdr:col>
      <xdr:colOff>165100</xdr:colOff>
      <xdr:row>15</xdr:row>
      <xdr:rowOff>66675</xdr:rowOff>
    </xdr:to>
    <xdr:graphicFrame macro="">
      <xdr:nvGraphicFramePr>
        <xdr:cNvPr id="2" name="图表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495300</xdr:colOff>
      <xdr:row>16</xdr:row>
      <xdr:rowOff>57150</xdr:rowOff>
    </xdr:from>
    <xdr:to>
      <xdr:col>18</xdr:col>
      <xdr:colOff>75848</xdr:colOff>
      <xdr:row>32</xdr:row>
      <xdr:rowOff>47625</xdr:rowOff>
    </xdr:to>
    <xdr:graphicFrame macro="">
      <xdr:nvGraphicFramePr>
        <xdr:cNvPr id="3" name="图表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1473200</xdr:colOff>
      <xdr:row>43</xdr:row>
      <xdr:rowOff>62441</xdr:rowOff>
    </xdr:from>
    <xdr:to>
      <xdr:col>33</xdr:col>
      <xdr:colOff>682625</xdr:colOff>
      <xdr:row>45</xdr:row>
      <xdr:rowOff>52916</xdr:rowOff>
    </xdr:to>
    <xdr:sp macro="" textlink="">
      <xdr:nvSpPr>
        <xdr:cNvPr id="2" name="文本框 1">
          <a:extLst>
            <a:ext uri="{FF2B5EF4-FFF2-40B4-BE49-F238E27FC236}">
              <a16:creationId xmlns:a16="http://schemas.microsoft.com/office/drawing/2014/main" id="{00000000-0008-0000-0B00-000002000000}"/>
            </a:ext>
          </a:extLst>
        </xdr:cNvPr>
        <xdr:cNvSpPr txBox="1"/>
      </xdr:nvSpPr>
      <xdr:spPr>
        <a:xfrm>
          <a:off x="1473200" y="6796616"/>
          <a:ext cx="242887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a:t>Check</a:t>
          </a:r>
          <a:r>
            <a:rPr lang="en-US" altLang="zh-CN" sz="1100" baseline="0"/>
            <a:t> 10Q or trsndcript</a:t>
          </a:r>
          <a:endParaRPr lang="zh-CN" alt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73026</xdr:colOff>
      <xdr:row>1</xdr:row>
      <xdr:rowOff>21166</xdr:rowOff>
    </xdr:from>
    <xdr:to>
      <xdr:col>7</xdr:col>
      <xdr:colOff>184150</xdr:colOff>
      <xdr:row>17</xdr:row>
      <xdr:rowOff>97366</xdr:rowOff>
    </xdr:to>
    <xdr:graphicFrame macro="">
      <xdr:nvGraphicFramePr>
        <xdr:cNvPr id="2" name="图表 1">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658887</xdr:colOff>
      <xdr:row>0</xdr:row>
      <xdr:rowOff>184150</xdr:rowOff>
    </xdr:from>
    <xdr:to>
      <xdr:col>16</xdr:col>
      <xdr:colOff>358775</xdr:colOff>
      <xdr:row>17</xdr:row>
      <xdr:rowOff>176437</xdr:rowOff>
    </xdr:to>
    <xdr:graphicFrame macro="">
      <xdr:nvGraphicFramePr>
        <xdr:cNvPr id="6" name="图表 5">
          <a:extLst>
            <a:ext uri="{FF2B5EF4-FFF2-40B4-BE49-F238E27FC236}">
              <a16:creationId xmlns:a16="http://schemas.microsoft.com/office/drawing/2014/main" id="{00000000-0008-0000-0C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547611</xdr:colOff>
      <xdr:row>19</xdr:row>
      <xdr:rowOff>111577</xdr:rowOff>
    </xdr:from>
    <xdr:to>
      <xdr:col>17</xdr:col>
      <xdr:colOff>234950</xdr:colOff>
      <xdr:row>38</xdr:row>
      <xdr:rowOff>107949</xdr:rowOff>
    </xdr:to>
    <xdr:graphicFrame macro="">
      <xdr:nvGraphicFramePr>
        <xdr:cNvPr id="7" name="图表 6">
          <a:extLst>
            <a:ext uri="{FF2B5EF4-FFF2-40B4-BE49-F238E27FC236}">
              <a16:creationId xmlns:a16="http://schemas.microsoft.com/office/drawing/2014/main" id="{00000000-0008-0000-0C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2805</xdr:colOff>
      <xdr:row>18</xdr:row>
      <xdr:rowOff>99292</xdr:rowOff>
    </xdr:from>
    <xdr:to>
      <xdr:col>26</xdr:col>
      <xdr:colOff>210993</xdr:colOff>
      <xdr:row>38</xdr:row>
      <xdr:rowOff>93647</xdr:rowOff>
    </xdr:to>
    <xdr:graphicFrame macro="">
      <xdr:nvGraphicFramePr>
        <xdr:cNvPr id="9" name="图表 8">
          <a:extLst>
            <a:ext uri="{FF2B5EF4-FFF2-40B4-BE49-F238E27FC236}">
              <a16:creationId xmlns:a16="http://schemas.microsoft.com/office/drawing/2014/main" id="{00000000-0008-0000-0C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626381</xdr:colOff>
      <xdr:row>38</xdr:row>
      <xdr:rowOff>177801</xdr:rowOff>
    </xdr:from>
    <xdr:to>
      <xdr:col>8</xdr:col>
      <xdr:colOff>156104</xdr:colOff>
      <xdr:row>55</xdr:row>
      <xdr:rowOff>174625</xdr:rowOff>
    </xdr:to>
    <xdr:graphicFrame macro="">
      <xdr:nvGraphicFramePr>
        <xdr:cNvPr id="10" name="图表 9">
          <a:extLst>
            <a:ext uri="{FF2B5EF4-FFF2-40B4-BE49-F238E27FC236}">
              <a16:creationId xmlns:a16="http://schemas.microsoft.com/office/drawing/2014/main" id="{00000000-0008-0000-0C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5139</xdr:colOff>
      <xdr:row>38</xdr:row>
      <xdr:rowOff>105834</xdr:rowOff>
    </xdr:from>
    <xdr:to>
      <xdr:col>17</xdr:col>
      <xdr:colOff>497417</xdr:colOff>
      <xdr:row>55</xdr:row>
      <xdr:rowOff>158749</xdr:rowOff>
    </xdr:to>
    <xdr:graphicFrame macro="">
      <xdr:nvGraphicFramePr>
        <xdr:cNvPr id="11" name="图表 10">
          <a:extLst>
            <a:ext uri="{FF2B5EF4-FFF2-40B4-BE49-F238E27FC236}">
              <a16:creationId xmlns:a16="http://schemas.microsoft.com/office/drawing/2014/main" id="{00000000-0008-0000-0C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198820</xdr:colOff>
      <xdr:row>57</xdr:row>
      <xdr:rowOff>51073</xdr:rowOff>
    </xdr:from>
    <xdr:to>
      <xdr:col>8</xdr:col>
      <xdr:colOff>21421</xdr:colOff>
      <xdr:row>74</xdr:row>
      <xdr:rowOff>92483</xdr:rowOff>
    </xdr:to>
    <xdr:graphicFrame macro="">
      <xdr:nvGraphicFramePr>
        <xdr:cNvPr id="13" name="图表 12">
          <a:extLst>
            <a:ext uri="{FF2B5EF4-FFF2-40B4-BE49-F238E27FC236}">
              <a16:creationId xmlns:a16="http://schemas.microsoft.com/office/drawing/2014/main" id="{00000000-0008-0000-0C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8283</xdr:colOff>
      <xdr:row>57</xdr:row>
      <xdr:rowOff>61199</xdr:rowOff>
    </xdr:from>
    <xdr:to>
      <xdr:col>25</xdr:col>
      <xdr:colOff>600074</xdr:colOff>
      <xdr:row>75</xdr:row>
      <xdr:rowOff>21167</xdr:rowOff>
    </xdr:to>
    <xdr:graphicFrame macro="">
      <xdr:nvGraphicFramePr>
        <xdr:cNvPr id="14" name="图表 13">
          <a:extLst>
            <a:ext uri="{FF2B5EF4-FFF2-40B4-BE49-F238E27FC236}">
              <a16:creationId xmlns:a16="http://schemas.microsoft.com/office/drawing/2014/main" id="{00000000-0008-0000-0C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274186</xdr:colOff>
      <xdr:row>77</xdr:row>
      <xdr:rowOff>61352</xdr:rowOff>
    </xdr:from>
    <xdr:to>
      <xdr:col>7</xdr:col>
      <xdr:colOff>247649</xdr:colOff>
      <xdr:row>92</xdr:row>
      <xdr:rowOff>130196</xdr:rowOff>
    </xdr:to>
    <xdr:graphicFrame macro="">
      <xdr:nvGraphicFramePr>
        <xdr:cNvPr id="15" name="图表 14">
          <a:extLst>
            <a:ext uri="{FF2B5EF4-FFF2-40B4-BE49-F238E27FC236}">
              <a16:creationId xmlns:a16="http://schemas.microsoft.com/office/drawing/2014/main" id="{00000000-0008-0000-0C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463471</xdr:colOff>
      <xdr:row>77</xdr:row>
      <xdr:rowOff>73843</xdr:rowOff>
    </xdr:from>
    <xdr:to>
      <xdr:col>14</xdr:col>
      <xdr:colOff>508961</xdr:colOff>
      <xdr:row>94</xdr:row>
      <xdr:rowOff>21847</xdr:rowOff>
    </xdr:to>
    <xdr:graphicFrame macro="">
      <xdr:nvGraphicFramePr>
        <xdr:cNvPr id="16" name="图表 15">
          <a:extLst>
            <a:ext uri="{FF2B5EF4-FFF2-40B4-BE49-F238E27FC236}">
              <a16:creationId xmlns:a16="http://schemas.microsoft.com/office/drawing/2014/main" id="{00000000-0008-0000-0C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622116</xdr:colOff>
      <xdr:row>76</xdr:row>
      <xdr:rowOff>186820</xdr:rowOff>
    </xdr:from>
    <xdr:to>
      <xdr:col>29</xdr:col>
      <xdr:colOff>420843</xdr:colOff>
      <xdr:row>93</xdr:row>
      <xdr:rowOff>95711</xdr:rowOff>
    </xdr:to>
    <xdr:graphicFrame macro="">
      <xdr:nvGraphicFramePr>
        <xdr:cNvPr id="17" name="图表 16">
          <a:extLst>
            <a:ext uri="{FF2B5EF4-FFF2-40B4-BE49-F238E27FC236}">
              <a16:creationId xmlns:a16="http://schemas.microsoft.com/office/drawing/2014/main" id="{00000000-0008-0000-0C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18864</xdr:colOff>
      <xdr:row>93</xdr:row>
      <xdr:rowOff>122399</xdr:rowOff>
    </xdr:from>
    <xdr:to>
      <xdr:col>29</xdr:col>
      <xdr:colOff>458817</xdr:colOff>
      <xdr:row>110</xdr:row>
      <xdr:rowOff>89269</xdr:rowOff>
    </xdr:to>
    <xdr:graphicFrame macro="">
      <xdr:nvGraphicFramePr>
        <xdr:cNvPr id="18" name="图表 17">
          <a:extLst>
            <a:ext uri="{FF2B5EF4-FFF2-40B4-BE49-F238E27FC236}">
              <a16:creationId xmlns:a16="http://schemas.microsoft.com/office/drawing/2014/main" id="{00000000-0008-0000-0C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18864</xdr:colOff>
      <xdr:row>143</xdr:row>
      <xdr:rowOff>46936</xdr:rowOff>
    </xdr:from>
    <xdr:to>
      <xdr:col>9</xdr:col>
      <xdr:colOff>436941</xdr:colOff>
      <xdr:row>159</xdr:row>
      <xdr:rowOff>46935</xdr:rowOff>
    </xdr:to>
    <xdr:graphicFrame macro="">
      <xdr:nvGraphicFramePr>
        <xdr:cNvPr id="19" name="图表 18">
          <a:extLst>
            <a:ext uri="{FF2B5EF4-FFF2-40B4-BE49-F238E27FC236}">
              <a16:creationId xmlns:a16="http://schemas.microsoft.com/office/drawing/2014/main" id="{00000000-0008-0000-0C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1</xdr:colOff>
      <xdr:row>40</xdr:row>
      <xdr:rowOff>0</xdr:rowOff>
    </xdr:from>
    <xdr:to>
      <xdr:col>29</xdr:col>
      <xdr:colOff>42334</xdr:colOff>
      <xdr:row>57</xdr:row>
      <xdr:rowOff>31750</xdr:rowOff>
    </xdr:to>
    <xdr:graphicFrame macro="">
      <xdr:nvGraphicFramePr>
        <xdr:cNvPr id="21" name="图表 20">
          <a:extLst>
            <a:ext uri="{FF2B5EF4-FFF2-40B4-BE49-F238E27FC236}">
              <a16:creationId xmlns:a16="http://schemas.microsoft.com/office/drawing/2014/main" id="{00000000-0008-0000-0C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300567</xdr:colOff>
      <xdr:row>19</xdr:row>
      <xdr:rowOff>179917</xdr:rowOff>
    </xdr:from>
    <xdr:to>
      <xdr:col>7</xdr:col>
      <xdr:colOff>107951</xdr:colOff>
      <xdr:row>37</xdr:row>
      <xdr:rowOff>42333</xdr:rowOff>
    </xdr:to>
    <xdr:graphicFrame macro="">
      <xdr:nvGraphicFramePr>
        <xdr:cNvPr id="22" name="图表 21">
          <a:extLst>
            <a:ext uri="{FF2B5EF4-FFF2-40B4-BE49-F238E27FC236}">
              <a16:creationId xmlns:a16="http://schemas.microsoft.com/office/drawing/2014/main" id="{00000000-0008-0000-0C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239890</xdr:colOff>
      <xdr:row>0</xdr:row>
      <xdr:rowOff>0</xdr:rowOff>
    </xdr:from>
    <xdr:to>
      <xdr:col>6</xdr:col>
      <xdr:colOff>430390</xdr:colOff>
      <xdr:row>14</xdr:row>
      <xdr:rowOff>139700</xdr:rowOff>
    </xdr:to>
    <xdr:graphicFrame macro="">
      <xdr:nvGraphicFramePr>
        <xdr:cNvPr id="2" name="图表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223511</xdr:colOff>
      <xdr:row>0</xdr:row>
      <xdr:rowOff>0</xdr:rowOff>
    </xdr:from>
    <xdr:to>
      <xdr:col>14</xdr:col>
      <xdr:colOff>609601</xdr:colOff>
      <xdr:row>14</xdr:row>
      <xdr:rowOff>172356</xdr:rowOff>
    </xdr:to>
    <xdr:graphicFrame macro="">
      <xdr:nvGraphicFramePr>
        <xdr:cNvPr id="3" name="图表 2">
          <a:extLst>
            <a:ext uri="{FF2B5EF4-FFF2-40B4-BE49-F238E27FC236}">
              <a16:creationId xmlns:a16="http://schemas.microsoft.com/office/drawing/2014/main" id="{00000000-0008-0000-1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16</xdr:row>
      <xdr:rowOff>7761</xdr:rowOff>
    </xdr:from>
    <xdr:to>
      <xdr:col>7</xdr:col>
      <xdr:colOff>68791</xdr:colOff>
      <xdr:row>31</xdr:row>
      <xdr:rowOff>167781</xdr:rowOff>
    </xdr:to>
    <xdr:graphicFrame macro="">
      <xdr:nvGraphicFramePr>
        <xdr:cNvPr id="4" name="图表 3">
          <a:extLst>
            <a:ext uri="{FF2B5EF4-FFF2-40B4-BE49-F238E27FC236}">
              <a16:creationId xmlns:a16="http://schemas.microsoft.com/office/drawing/2014/main" id="{00000000-0008-0000-1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537936</xdr:colOff>
      <xdr:row>0</xdr:row>
      <xdr:rowOff>12700</xdr:rowOff>
    </xdr:from>
    <xdr:to>
      <xdr:col>23</xdr:col>
      <xdr:colOff>331864</xdr:colOff>
      <xdr:row>15</xdr:row>
      <xdr:rowOff>22225</xdr:rowOff>
    </xdr:to>
    <xdr:graphicFrame macro="">
      <xdr:nvGraphicFramePr>
        <xdr:cNvPr id="6" name="图表 5">
          <a:extLst>
            <a:ext uri="{FF2B5EF4-FFF2-40B4-BE49-F238E27FC236}">
              <a16:creationId xmlns:a16="http://schemas.microsoft.com/office/drawing/2014/main" id="{00000000-0008-0000-1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658587</xdr:colOff>
      <xdr:row>18</xdr:row>
      <xdr:rowOff>40822</xdr:rowOff>
    </xdr:from>
    <xdr:to>
      <xdr:col>23</xdr:col>
      <xdr:colOff>6350</xdr:colOff>
      <xdr:row>31</xdr:row>
      <xdr:rowOff>159205</xdr:rowOff>
    </xdr:to>
    <xdr:graphicFrame macro="">
      <xdr:nvGraphicFramePr>
        <xdr:cNvPr id="7" name="图表 6">
          <a:extLst>
            <a:ext uri="{FF2B5EF4-FFF2-40B4-BE49-F238E27FC236}">
              <a16:creationId xmlns:a16="http://schemas.microsoft.com/office/drawing/2014/main" id="{00000000-0008-0000-1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200024</xdr:colOff>
      <xdr:row>16</xdr:row>
      <xdr:rowOff>28575</xdr:rowOff>
    </xdr:from>
    <xdr:to>
      <xdr:col>15</xdr:col>
      <xdr:colOff>155574</xdr:colOff>
      <xdr:row>30</xdr:row>
      <xdr:rowOff>104775</xdr:rowOff>
    </xdr:to>
    <xdr:graphicFrame macro="">
      <xdr:nvGraphicFramePr>
        <xdr:cNvPr id="8" name="图表 7">
          <a:extLst>
            <a:ext uri="{FF2B5EF4-FFF2-40B4-BE49-F238E27FC236}">
              <a16:creationId xmlns:a16="http://schemas.microsoft.com/office/drawing/2014/main" id="{00000000-0008-0000-1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57149</xdr:colOff>
      <xdr:row>49</xdr:row>
      <xdr:rowOff>4761</xdr:rowOff>
    </xdr:from>
    <xdr:to>
      <xdr:col>12</xdr:col>
      <xdr:colOff>495300</xdr:colOff>
      <xdr:row>75</xdr:row>
      <xdr:rowOff>0</xdr:rowOff>
    </xdr:to>
    <xdr:graphicFrame macro="">
      <xdr:nvGraphicFramePr>
        <xdr:cNvPr id="3" name="图表 2">
          <a:extLst>
            <a:ext uri="{FF2B5EF4-FFF2-40B4-BE49-F238E27FC236}">
              <a16:creationId xmlns:a16="http://schemas.microsoft.com/office/drawing/2014/main" id="{00000000-0008-0000-1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77</xdr:row>
      <xdr:rowOff>9526</xdr:rowOff>
    </xdr:from>
    <xdr:to>
      <xdr:col>0</xdr:col>
      <xdr:colOff>933450</xdr:colOff>
      <xdr:row>78</xdr:row>
      <xdr:rowOff>95251</xdr:rowOff>
    </xdr:to>
    <xdr:sp macro="" textlink="">
      <xdr:nvSpPr>
        <xdr:cNvPr id="4" name="TextBox 3">
          <a:extLst>
            <a:ext uri="{FF2B5EF4-FFF2-40B4-BE49-F238E27FC236}">
              <a16:creationId xmlns:a16="http://schemas.microsoft.com/office/drawing/2014/main" id="{00000000-0008-0000-1100-000004000000}"/>
            </a:ext>
          </a:extLst>
        </xdr:cNvPr>
        <xdr:cNvSpPr txBox="1"/>
      </xdr:nvSpPr>
      <xdr:spPr>
        <a:xfrm>
          <a:off x="76200" y="8582025"/>
          <a:ext cx="85725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a:t>$, millions</a:t>
          </a:r>
          <a:endParaRPr lang="zh-CN" altLang="en-US" sz="1100"/>
        </a:p>
      </xdr:txBody>
    </xdr:sp>
    <xdr:clientData/>
  </xdr:twoCellAnchor>
  <xdr:twoCellAnchor>
    <xdr:from>
      <xdr:col>6</xdr:col>
      <xdr:colOff>161395</xdr:colOff>
      <xdr:row>75</xdr:row>
      <xdr:rowOff>127001</xdr:rowOff>
    </xdr:from>
    <xdr:to>
      <xdr:col>14</xdr:col>
      <xdr:colOff>309563</xdr:colOff>
      <xdr:row>99</xdr:row>
      <xdr:rowOff>83345</xdr:rowOff>
    </xdr:to>
    <xdr:graphicFrame macro="">
      <xdr:nvGraphicFramePr>
        <xdr:cNvPr id="5" name="图表 4">
          <a:extLst>
            <a:ext uri="{FF2B5EF4-FFF2-40B4-BE49-F238E27FC236}">
              <a16:creationId xmlns:a16="http://schemas.microsoft.com/office/drawing/2014/main" id="{00000000-0008-0000-1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105834</xdr:colOff>
      <xdr:row>77</xdr:row>
      <xdr:rowOff>1</xdr:rowOff>
    </xdr:from>
    <xdr:to>
      <xdr:col>6</xdr:col>
      <xdr:colOff>23284</xdr:colOff>
      <xdr:row>78</xdr:row>
      <xdr:rowOff>84666</xdr:rowOff>
    </xdr:to>
    <xdr:sp macro="" textlink="">
      <xdr:nvSpPr>
        <xdr:cNvPr id="6" name="TextBox 5">
          <a:extLst>
            <a:ext uri="{FF2B5EF4-FFF2-40B4-BE49-F238E27FC236}">
              <a16:creationId xmlns:a16="http://schemas.microsoft.com/office/drawing/2014/main" id="{00000000-0008-0000-1100-000006000000}"/>
            </a:ext>
          </a:extLst>
        </xdr:cNvPr>
        <xdr:cNvSpPr txBox="1"/>
      </xdr:nvSpPr>
      <xdr:spPr>
        <a:xfrm>
          <a:off x="3268134" y="8582025"/>
          <a:ext cx="793750" cy="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a:t>$, millions</a:t>
          </a:r>
          <a:endParaRPr lang="zh-CN" altLang="en-US" sz="1100"/>
        </a:p>
      </xdr:txBody>
    </xdr:sp>
    <xdr:clientData/>
  </xdr:twoCellAnchor>
  <xdr:twoCellAnchor>
    <xdr:from>
      <xdr:col>0</xdr:col>
      <xdr:colOff>63499</xdr:colOff>
      <xdr:row>99</xdr:row>
      <xdr:rowOff>158749</xdr:rowOff>
    </xdr:from>
    <xdr:to>
      <xdr:col>2</xdr:col>
      <xdr:colOff>698499</xdr:colOff>
      <xdr:row>101</xdr:row>
      <xdr:rowOff>105832</xdr:rowOff>
    </xdr:to>
    <xdr:sp macro="" textlink="">
      <xdr:nvSpPr>
        <xdr:cNvPr id="7" name="TextBox 6">
          <a:extLst>
            <a:ext uri="{FF2B5EF4-FFF2-40B4-BE49-F238E27FC236}">
              <a16:creationId xmlns:a16="http://schemas.microsoft.com/office/drawing/2014/main" id="{00000000-0008-0000-1100-000007000000}"/>
            </a:ext>
          </a:extLst>
        </xdr:cNvPr>
        <xdr:cNvSpPr txBox="1"/>
      </xdr:nvSpPr>
      <xdr:spPr>
        <a:xfrm>
          <a:off x="63499" y="8582025"/>
          <a:ext cx="3098801"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a:t>Note: Starting</a:t>
          </a:r>
          <a:r>
            <a:rPr lang="en-US" altLang="zh-CN" sz="1100" baseline="0"/>
            <a:t> from 2016Q3, PCLN has stopped adjusting EBIT for SBC expense.</a:t>
          </a:r>
          <a:endParaRPr lang="zh-CN" altLang="en-US" sz="1100"/>
        </a:p>
      </xdr:txBody>
    </xdr:sp>
    <xdr:clientData/>
  </xdr:twoCellAnchor>
  <xdr:twoCellAnchor>
    <xdr:from>
      <xdr:col>23</xdr:col>
      <xdr:colOff>211665</xdr:colOff>
      <xdr:row>56</xdr:row>
      <xdr:rowOff>14816</xdr:rowOff>
    </xdr:from>
    <xdr:to>
      <xdr:col>45</xdr:col>
      <xdr:colOff>367393</xdr:colOff>
      <xdr:row>81</xdr:row>
      <xdr:rowOff>158749</xdr:rowOff>
    </xdr:to>
    <xdr:graphicFrame macro="">
      <xdr:nvGraphicFramePr>
        <xdr:cNvPr id="9" name="图表 8">
          <a:extLst>
            <a:ext uri="{FF2B5EF4-FFF2-40B4-BE49-F238E27FC236}">
              <a16:creationId xmlns:a16="http://schemas.microsoft.com/office/drawing/2014/main" id="{00000000-0008-0000-1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169332</xdr:colOff>
      <xdr:row>75</xdr:row>
      <xdr:rowOff>78315</xdr:rowOff>
    </xdr:from>
    <xdr:to>
      <xdr:col>25</xdr:col>
      <xdr:colOff>74083</xdr:colOff>
      <xdr:row>98</xdr:row>
      <xdr:rowOff>137583</xdr:rowOff>
    </xdr:to>
    <xdr:graphicFrame macro="">
      <xdr:nvGraphicFramePr>
        <xdr:cNvPr id="10" name="图表 9">
          <a:extLst>
            <a:ext uri="{FF2B5EF4-FFF2-40B4-BE49-F238E27FC236}">
              <a16:creationId xmlns:a16="http://schemas.microsoft.com/office/drawing/2014/main" id="{00000000-0008-0000-1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158750</xdr:colOff>
      <xdr:row>82</xdr:row>
      <xdr:rowOff>88896</xdr:rowOff>
    </xdr:from>
    <xdr:to>
      <xdr:col>45</xdr:col>
      <xdr:colOff>656167</xdr:colOff>
      <xdr:row>105</xdr:row>
      <xdr:rowOff>126999</xdr:rowOff>
    </xdr:to>
    <xdr:graphicFrame macro="">
      <xdr:nvGraphicFramePr>
        <xdr:cNvPr id="11" name="图表 10">
          <a:extLst>
            <a:ext uri="{FF2B5EF4-FFF2-40B4-BE49-F238E27FC236}">
              <a16:creationId xmlns:a16="http://schemas.microsoft.com/office/drawing/2014/main" id="{00000000-0008-0000-11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66675</xdr:colOff>
      <xdr:row>75</xdr:row>
      <xdr:rowOff>157162</xdr:rowOff>
    </xdr:from>
    <xdr:to>
      <xdr:col>5</xdr:col>
      <xdr:colOff>762000</xdr:colOff>
      <xdr:row>99</xdr:row>
      <xdr:rowOff>105833</xdr:rowOff>
    </xdr:to>
    <xdr:graphicFrame macro="">
      <xdr:nvGraphicFramePr>
        <xdr:cNvPr id="12" name="图表 11">
          <a:extLst>
            <a:ext uri="{FF2B5EF4-FFF2-40B4-BE49-F238E27FC236}">
              <a16:creationId xmlns:a16="http://schemas.microsoft.com/office/drawing/2014/main" id="{00000000-0008-0000-1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473377</xdr:colOff>
      <xdr:row>25</xdr:row>
      <xdr:rowOff>74084</xdr:rowOff>
    </xdr:from>
    <xdr:to>
      <xdr:col>54</xdr:col>
      <xdr:colOff>427567</xdr:colOff>
      <xdr:row>54</xdr:row>
      <xdr:rowOff>10584</xdr:rowOff>
    </xdr:to>
    <xdr:graphicFrame macro="">
      <xdr:nvGraphicFramePr>
        <xdr:cNvPr id="14" name="图表 13">
          <a:extLst>
            <a:ext uri="{FF2B5EF4-FFF2-40B4-BE49-F238E27FC236}">
              <a16:creationId xmlns:a16="http://schemas.microsoft.com/office/drawing/2014/main" id="{00000000-0008-0000-11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55</xdr:col>
      <xdr:colOff>45734</xdr:colOff>
      <xdr:row>25</xdr:row>
      <xdr:rowOff>84667</xdr:rowOff>
    </xdr:from>
    <xdr:to>
      <xdr:col>66</xdr:col>
      <xdr:colOff>578908</xdr:colOff>
      <xdr:row>54</xdr:row>
      <xdr:rowOff>21166</xdr:rowOff>
    </xdr:to>
    <xdr:graphicFrame macro="">
      <xdr:nvGraphicFramePr>
        <xdr:cNvPr id="15" name="图表 14">
          <a:extLst>
            <a:ext uri="{FF2B5EF4-FFF2-40B4-BE49-F238E27FC236}">
              <a16:creationId xmlns:a16="http://schemas.microsoft.com/office/drawing/2014/main" id="{00000000-0008-0000-11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54</xdr:col>
      <xdr:colOff>676994</xdr:colOff>
      <xdr:row>3</xdr:row>
      <xdr:rowOff>4649</xdr:rowOff>
    </xdr:from>
    <xdr:to>
      <xdr:col>66</xdr:col>
      <xdr:colOff>355600</xdr:colOff>
      <xdr:row>21</xdr:row>
      <xdr:rowOff>291042</xdr:rowOff>
    </xdr:to>
    <xdr:graphicFrame macro="">
      <xdr:nvGraphicFramePr>
        <xdr:cNvPr id="16" name="图表 15">
          <a:extLst>
            <a:ext uri="{FF2B5EF4-FFF2-40B4-BE49-F238E27FC236}">
              <a16:creationId xmlns:a16="http://schemas.microsoft.com/office/drawing/2014/main" id="{00000000-0008-0000-11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493753</xdr:colOff>
      <xdr:row>2</xdr:row>
      <xdr:rowOff>28046</xdr:rowOff>
    </xdr:from>
    <xdr:to>
      <xdr:col>54</xdr:col>
      <xdr:colOff>411163</xdr:colOff>
      <xdr:row>21</xdr:row>
      <xdr:rowOff>84667</xdr:rowOff>
    </xdr:to>
    <xdr:graphicFrame macro="">
      <xdr:nvGraphicFramePr>
        <xdr:cNvPr id="17" name="图表 16">
          <a:extLst>
            <a:ext uri="{FF2B5EF4-FFF2-40B4-BE49-F238E27FC236}">
              <a16:creationId xmlns:a16="http://schemas.microsoft.com/office/drawing/2014/main" id="{00000000-0008-0000-11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44</xdr:col>
      <xdr:colOff>105833</xdr:colOff>
      <xdr:row>109</xdr:row>
      <xdr:rowOff>116417</xdr:rowOff>
    </xdr:from>
    <xdr:to>
      <xdr:col>55</xdr:col>
      <xdr:colOff>20068</xdr:colOff>
      <xdr:row>136</xdr:row>
      <xdr:rowOff>67923</xdr:rowOff>
    </xdr:to>
    <xdr:graphicFrame macro="">
      <xdr:nvGraphicFramePr>
        <xdr:cNvPr id="18" name="图表 17">
          <a:extLst>
            <a:ext uri="{FF2B5EF4-FFF2-40B4-BE49-F238E27FC236}">
              <a16:creationId xmlns:a16="http://schemas.microsoft.com/office/drawing/2014/main" id="{E8BA0C84-8F53-457C-B1E9-2302EB50E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1</xdr:col>
      <xdr:colOff>3359</xdr:colOff>
      <xdr:row>24</xdr:row>
      <xdr:rowOff>10646</xdr:rowOff>
    </xdr:from>
    <xdr:to>
      <xdr:col>9</xdr:col>
      <xdr:colOff>605118</xdr:colOff>
      <xdr:row>42</xdr:row>
      <xdr:rowOff>100853</xdr:rowOff>
    </xdr:to>
    <xdr:graphicFrame macro="">
      <xdr:nvGraphicFramePr>
        <xdr:cNvPr id="2" name="图表 1">
          <a:extLst>
            <a:ext uri="{FF2B5EF4-FFF2-40B4-BE49-F238E27FC236}">
              <a16:creationId xmlns:a16="http://schemas.microsoft.com/office/drawing/2014/main" i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676276</xdr:colOff>
      <xdr:row>64</xdr:row>
      <xdr:rowOff>56030</xdr:rowOff>
    </xdr:from>
    <xdr:to>
      <xdr:col>9</xdr:col>
      <xdr:colOff>616325</xdr:colOff>
      <xdr:row>84</xdr:row>
      <xdr:rowOff>11206</xdr:rowOff>
    </xdr:to>
    <xdr:graphicFrame macro="">
      <xdr:nvGraphicFramePr>
        <xdr:cNvPr id="3" name="图表 2">
          <a:extLst>
            <a:ext uri="{FF2B5EF4-FFF2-40B4-BE49-F238E27FC236}">
              <a16:creationId xmlns:a16="http://schemas.microsoft.com/office/drawing/2014/main" id="{00000000-0008-0000-1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540682</xdr:colOff>
      <xdr:row>29</xdr:row>
      <xdr:rowOff>167528</xdr:rowOff>
    </xdr:from>
    <xdr:to>
      <xdr:col>51</xdr:col>
      <xdr:colOff>466725</xdr:colOff>
      <xdr:row>51</xdr:row>
      <xdr:rowOff>119902</xdr:rowOff>
    </xdr:to>
    <xdr:graphicFrame macro="">
      <xdr:nvGraphicFramePr>
        <xdr:cNvPr id="5" name="图表 4">
          <a:extLst>
            <a:ext uri="{FF2B5EF4-FFF2-40B4-BE49-F238E27FC236}">
              <a16:creationId xmlns:a16="http://schemas.microsoft.com/office/drawing/2014/main" id="{00000000-0008-0000-1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15128</xdr:colOff>
      <xdr:row>88</xdr:row>
      <xdr:rowOff>12325</xdr:rowOff>
    </xdr:from>
    <xdr:to>
      <xdr:col>10</xdr:col>
      <xdr:colOff>11206</xdr:colOff>
      <xdr:row>108</xdr:row>
      <xdr:rowOff>11205</xdr:rowOff>
    </xdr:to>
    <xdr:graphicFrame macro="">
      <xdr:nvGraphicFramePr>
        <xdr:cNvPr id="6" name="图表 5">
          <a:extLst>
            <a:ext uri="{FF2B5EF4-FFF2-40B4-BE49-F238E27FC236}">
              <a16:creationId xmlns:a16="http://schemas.microsoft.com/office/drawing/2014/main" id="{00000000-0008-0000-1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481293</xdr:colOff>
      <xdr:row>64</xdr:row>
      <xdr:rowOff>66675</xdr:rowOff>
    </xdr:from>
    <xdr:to>
      <xdr:col>19</xdr:col>
      <xdr:colOff>493058</xdr:colOff>
      <xdr:row>83</xdr:row>
      <xdr:rowOff>156882</xdr:rowOff>
    </xdr:to>
    <xdr:graphicFrame macro="">
      <xdr:nvGraphicFramePr>
        <xdr:cNvPr id="7" name="图表 6">
          <a:extLst>
            <a:ext uri="{FF2B5EF4-FFF2-40B4-BE49-F238E27FC236}">
              <a16:creationId xmlns:a16="http://schemas.microsoft.com/office/drawing/2014/main" id="{00000000-0008-0000-1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5788</xdr:colOff>
      <xdr:row>2</xdr:row>
      <xdr:rowOff>1046</xdr:rowOff>
    </xdr:from>
    <xdr:to>
      <xdr:col>9</xdr:col>
      <xdr:colOff>0</xdr:colOff>
      <xdr:row>20</xdr:row>
      <xdr:rowOff>22412</xdr:rowOff>
    </xdr:to>
    <xdr:graphicFrame macro="">
      <xdr:nvGraphicFramePr>
        <xdr:cNvPr id="8" name="图表 7">
          <a:extLst>
            <a:ext uri="{FF2B5EF4-FFF2-40B4-BE49-F238E27FC236}">
              <a16:creationId xmlns:a16="http://schemas.microsoft.com/office/drawing/2014/main" id="{00000000-0008-0000-1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593911</xdr:colOff>
      <xdr:row>64</xdr:row>
      <xdr:rowOff>44825</xdr:rowOff>
    </xdr:from>
    <xdr:to>
      <xdr:col>28</xdr:col>
      <xdr:colOff>728380</xdr:colOff>
      <xdr:row>83</xdr:row>
      <xdr:rowOff>145678</xdr:rowOff>
    </xdr:to>
    <xdr:graphicFrame macro="">
      <xdr:nvGraphicFramePr>
        <xdr:cNvPr id="9" name="图表 8">
          <a:extLst>
            <a:ext uri="{FF2B5EF4-FFF2-40B4-BE49-F238E27FC236}">
              <a16:creationId xmlns:a16="http://schemas.microsoft.com/office/drawing/2014/main" id="{00000000-0008-0000-1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78441</xdr:colOff>
      <xdr:row>2</xdr:row>
      <xdr:rowOff>8405</xdr:rowOff>
    </xdr:from>
    <xdr:to>
      <xdr:col>24</xdr:col>
      <xdr:colOff>471206</xdr:colOff>
      <xdr:row>20</xdr:row>
      <xdr:rowOff>0</xdr:rowOff>
    </xdr:to>
    <xdr:graphicFrame macro="">
      <xdr:nvGraphicFramePr>
        <xdr:cNvPr id="10" name="图表 9">
          <a:extLst>
            <a:ext uri="{FF2B5EF4-FFF2-40B4-BE49-F238E27FC236}">
              <a16:creationId xmlns:a16="http://schemas.microsoft.com/office/drawing/2014/main" id="{00000000-0008-0000-1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1120</xdr:colOff>
      <xdr:row>45</xdr:row>
      <xdr:rowOff>159</xdr:rowOff>
    </xdr:from>
    <xdr:to>
      <xdr:col>9</xdr:col>
      <xdr:colOff>340179</xdr:colOff>
      <xdr:row>61</xdr:row>
      <xdr:rowOff>136071</xdr:rowOff>
    </xdr:to>
    <xdr:graphicFrame macro="">
      <xdr:nvGraphicFramePr>
        <xdr:cNvPr id="11" name="图表 10">
          <a:extLst>
            <a:ext uri="{FF2B5EF4-FFF2-40B4-BE49-F238E27FC236}">
              <a16:creationId xmlns:a16="http://schemas.microsoft.com/office/drawing/2014/main" id="{00000000-0008-0000-13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661146</xdr:colOff>
      <xdr:row>87</xdr:row>
      <xdr:rowOff>158560</xdr:rowOff>
    </xdr:from>
    <xdr:to>
      <xdr:col>19</xdr:col>
      <xdr:colOff>582705</xdr:colOff>
      <xdr:row>108</xdr:row>
      <xdr:rowOff>22410</xdr:rowOff>
    </xdr:to>
    <xdr:graphicFrame macro="">
      <xdr:nvGraphicFramePr>
        <xdr:cNvPr id="12" name="图表 11">
          <a:extLst>
            <a:ext uri="{FF2B5EF4-FFF2-40B4-BE49-F238E27FC236}">
              <a16:creationId xmlns:a16="http://schemas.microsoft.com/office/drawing/2014/main" id="{00000000-0008-0000-1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20171</xdr:colOff>
      <xdr:row>0</xdr:row>
      <xdr:rowOff>140074</xdr:rowOff>
    </xdr:from>
    <xdr:to>
      <xdr:col>17</xdr:col>
      <xdr:colOff>134441</xdr:colOff>
      <xdr:row>2</xdr:row>
      <xdr:rowOff>27464</xdr:rowOff>
    </xdr:to>
    <xdr:sp macro="" textlink="">
      <xdr:nvSpPr>
        <xdr:cNvPr id="13" name="TextBox 1">
          <a:extLst>
            <a:ext uri="{FF2B5EF4-FFF2-40B4-BE49-F238E27FC236}">
              <a16:creationId xmlns:a16="http://schemas.microsoft.com/office/drawing/2014/main" id="{00000000-0008-0000-1300-00000D000000}"/>
            </a:ext>
          </a:extLst>
        </xdr:cNvPr>
        <xdr:cNvSpPr txBox="1"/>
      </xdr:nvSpPr>
      <xdr:spPr>
        <a:xfrm>
          <a:off x="10957112" y="140074"/>
          <a:ext cx="797829" cy="245978"/>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altLang="zh-CN" sz="1100"/>
            <a:t>Unit: $mn</a:t>
          </a:r>
          <a:endParaRPr lang="zh-CN" altLang="en-US" sz="1100"/>
        </a:p>
      </xdr:txBody>
    </xdr:sp>
    <xdr:clientData/>
  </xdr:twoCellAnchor>
  <xdr:twoCellAnchor>
    <xdr:from>
      <xdr:col>10</xdr:col>
      <xdr:colOff>11208</xdr:colOff>
      <xdr:row>45</xdr:row>
      <xdr:rowOff>11206</xdr:rowOff>
    </xdr:from>
    <xdr:to>
      <xdr:col>18</xdr:col>
      <xdr:colOff>358588</xdr:colOff>
      <xdr:row>62</xdr:row>
      <xdr:rowOff>11206</xdr:rowOff>
    </xdr:to>
    <xdr:graphicFrame macro="">
      <xdr:nvGraphicFramePr>
        <xdr:cNvPr id="14" name="图表 13">
          <a:extLst>
            <a:ext uri="{FF2B5EF4-FFF2-40B4-BE49-F238E27FC236}">
              <a16:creationId xmlns:a16="http://schemas.microsoft.com/office/drawing/2014/main" id="{00000000-0008-0000-13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5155</xdr:colOff>
      <xdr:row>110</xdr:row>
      <xdr:rowOff>9524</xdr:rowOff>
    </xdr:from>
    <xdr:to>
      <xdr:col>20</xdr:col>
      <xdr:colOff>11206</xdr:colOff>
      <xdr:row>128</xdr:row>
      <xdr:rowOff>168087</xdr:rowOff>
    </xdr:to>
    <xdr:graphicFrame macro="">
      <xdr:nvGraphicFramePr>
        <xdr:cNvPr id="15" name="图表 14">
          <a:extLst>
            <a:ext uri="{FF2B5EF4-FFF2-40B4-BE49-F238E27FC236}">
              <a16:creationId xmlns:a16="http://schemas.microsoft.com/office/drawing/2014/main" id="{00000000-0008-0000-13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19050</xdr:colOff>
      <xdr:row>131</xdr:row>
      <xdr:rowOff>24092</xdr:rowOff>
    </xdr:from>
    <xdr:to>
      <xdr:col>20</xdr:col>
      <xdr:colOff>11206</xdr:colOff>
      <xdr:row>151</xdr:row>
      <xdr:rowOff>33617</xdr:rowOff>
    </xdr:to>
    <xdr:graphicFrame macro="">
      <xdr:nvGraphicFramePr>
        <xdr:cNvPr id="16" name="图表 15">
          <a:extLst>
            <a:ext uri="{FF2B5EF4-FFF2-40B4-BE49-F238E27FC236}">
              <a16:creationId xmlns:a16="http://schemas.microsoft.com/office/drawing/2014/main" id="{00000000-0008-0000-13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13446</xdr:colOff>
      <xdr:row>131</xdr:row>
      <xdr:rowOff>22413</xdr:rowOff>
    </xdr:from>
    <xdr:to>
      <xdr:col>10</xdr:col>
      <xdr:colOff>33618</xdr:colOff>
      <xdr:row>151</xdr:row>
      <xdr:rowOff>11206</xdr:rowOff>
    </xdr:to>
    <xdr:graphicFrame macro="">
      <xdr:nvGraphicFramePr>
        <xdr:cNvPr id="18" name="图表 17">
          <a:extLst>
            <a:ext uri="{FF2B5EF4-FFF2-40B4-BE49-F238E27FC236}">
              <a16:creationId xmlns:a16="http://schemas.microsoft.com/office/drawing/2014/main" id="{00000000-0008-0000-13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156883</xdr:colOff>
      <xdr:row>2</xdr:row>
      <xdr:rowOff>11206</xdr:rowOff>
    </xdr:from>
    <xdr:to>
      <xdr:col>16</xdr:col>
      <xdr:colOff>560294</xdr:colOff>
      <xdr:row>20</xdr:row>
      <xdr:rowOff>11207</xdr:rowOff>
    </xdr:to>
    <xdr:graphicFrame macro="">
      <xdr:nvGraphicFramePr>
        <xdr:cNvPr id="19" name="图表 18">
          <a:extLst>
            <a:ext uri="{FF2B5EF4-FFF2-40B4-BE49-F238E27FC236}">
              <a16:creationId xmlns:a16="http://schemas.microsoft.com/office/drawing/2014/main" id="{00000000-0008-0000-13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43</xdr:col>
      <xdr:colOff>469548</xdr:colOff>
      <xdr:row>11</xdr:row>
      <xdr:rowOff>88106</xdr:rowOff>
    </xdr:from>
    <xdr:to>
      <xdr:col>54</xdr:col>
      <xdr:colOff>64737</xdr:colOff>
      <xdr:row>28</xdr:row>
      <xdr:rowOff>149039</xdr:rowOff>
    </xdr:to>
    <xdr:graphicFrame macro="">
      <xdr:nvGraphicFramePr>
        <xdr:cNvPr id="21" name="图表 20">
          <a:extLst>
            <a:ext uri="{FF2B5EF4-FFF2-40B4-BE49-F238E27FC236}">
              <a16:creationId xmlns:a16="http://schemas.microsoft.com/office/drawing/2014/main" id="{00000000-0008-0000-13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40</xdr:col>
      <xdr:colOff>86959</xdr:colOff>
      <xdr:row>70</xdr:row>
      <xdr:rowOff>175710</xdr:rowOff>
    </xdr:from>
    <xdr:to>
      <xdr:col>49</xdr:col>
      <xdr:colOff>408567</xdr:colOff>
      <xdr:row>90</xdr:row>
      <xdr:rowOff>158341</xdr:rowOff>
    </xdr:to>
    <xdr:graphicFrame macro="">
      <xdr:nvGraphicFramePr>
        <xdr:cNvPr id="22" name="图表 21">
          <a:extLst>
            <a:ext uri="{FF2B5EF4-FFF2-40B4-BE49-F238E27FC236}">
              <a16:creationId xmlns:a16="http://schemas.microsoft.com/office/drawing/2014/main" id="{00000000-0008-0000-13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672354</xdr:colOff>
      <xdr:row>110</xdr:row>
      <xdr:rowOff>11205</xdr:rowOff>
    </xdr:from>
    <xdr:to>
      <xdr:col>9</xdr:col>
      <xdr:colOff>649942</xdr:colOff>
      <xdr:row>129</xdr:row>
      <xdr:rowOff>22411</xdr:rowOff>
    </xdr:to>
    <xdr:grpSp>
      <xdr:nvGrpSpPr>
        <xdr:cNvPr id="23" name="组合 22">
          <a:extLst>
            <a:ext uri="{FF2B5EF4-FFF2-40B4-BE49-F238E27FC236}">
              <a16:creationId xmlns:a16="http://schemas.microsoft.com/office/drawing/2014/main" id="{00000000-0008-0000-1300-000017000000}"/>
            </a:ext>
          </a:extLst>
        </xdr:cNvPr>
        <xdr:cNvGrpSpPr/>
      </xdr:nvGrpSpPr>
      <xdr:grpSpPr>
        <a:xfrm>
          <a:off x="675529" y="20867780"/>
          <a:ext cx="6146613" cy="3637056"/>
          <a:chOff x="685800" y="20726400"/>
          <a:chExt cx="6600825" cy="4114800"/>
        </a:xfrm>
      </xdr:grpSpPr>
      <xdr:graphicFrame macro="">
        <xdr:nvGraphicFramePr>
          <xdr:cNvPr id="24" name="图表 23">
            <a:extLst>
              <a:ext uri="{FF2B5EF4-FFF2-40B4-BE49-F238E27FC236}">
                <a16:creationId xmlns:a16="http://schemas.microsoft.com/office/drawing/2014/main" id="{00000000-0008-0000-1300-000018000000}"/>
              </a:ext>
            </a:extLst>
          </xdr:cNvPr>
          <xdr:cNvGraphicFramePr/>
        </xdr:nvGraphicFramePr>
        <xdr:xfrm>
          <a:off x="685800" y="20726400"/>
          <a:ext cx="6600825" cy="4114800"/>
        </xdr:xfrm>
        <a:graphic>
          <a:graphicData uri="http://schemas.openxmlformats.org/drawingml/2006/chart">
            <c:chart xmlns:c="http://schemas.openxmlformats.org/drawingml/2006/chart" xmlns:r="http://schemas.openxmlformats.org/officeDocument/2006/relationships" r:id="rId18"/>
          </a:graphicData>
        </a:graphic>
      </xdr:graphicFrame>
      <xdr:cxnSp macro="">
        <xdr:nvCxnSpPr>
          <xdr:cNvPr id="25" name="直接连接符 24">
            <a:extLst>
              <a:ext uri="{FF2B5EF4-FFF2-40B4-BE49-F238E27FC236}">
                <a16:creationId xmlns:a16="http://schemas.microsoft.com/office/drawing/2014/main" id="{00000000-0008-0000-1300-000019000000}"/>
              </a:ext>
            </a:extLst>
          </xdr:cNvPr>
          <xdr:cNvCxnSpPr/>
        </xdr:nvCxnSpPr>
        <xdr:spPr>
          <a:xfrm flipH="1">
            <a:off x="2191928" y="21179652"/>
            <a:ext cx="19050" cy="3267076"/>
          </a:xfrm>
          <a:prstGeom prst="line">
            <a:avLst/>
          </a:prstGeom>
          <a:ln w="15875">
            <a:solidFill>
              <a:schemeClr val="accent1">
                <a:shade val="95000"/>
                <a:satMod val="105000"/>
              </a:schemeClr>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26" name="直接箭头连接符 25">
            <a:extLst>
              <a:ext uri="{FF2B5EF4-FFF2-40B4-BE49-F238E27FC236}">
                <a16:creationId xmlns:a16="http://schemas.microsoft.com/office/drawing/2014/main" id="{00000000-0008-0000-1300-00001A000000}"/>
              </a:ext>
            </a:extLst>
          </xdr:cNvPr>
          <xdr:cNvCxnSpPr/>
        </xdr:nvCxnSpPr>
        <xdr:spPr>
          <a:xfrm flipV="1">
            <a:off x="2192038" y="23700945"/>
            <a:ext cx="533400" cy="2952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7" name="文本框 26">
            <a:extLst>
              <a:ext uri="{FF2B5EF4-FFF2-40B4-BE49-F238E27FC236}">
                <a16:creationId xmlns:a16="http://schemas.microsoft.com/office/drawing/2014/main" id="{00000000-0008-0000-1300-00001B000000}"/>
              </a:ext>
            </a:extLst>
          </xdr:cNvPr>
          <xdr:cNvSpPr txBox="1"/>
        </xdr:nvSpPr>
        <xdr:spPr>
          <a:xfrm>
            <a:off x="2788449" y="23282829"/>
            <a:ext cx="1862682" cy="943516"/>
          </a:xfrm>
          <a:prstGeom prst="rect">
            <a:avLst/>
          </a:prstGeom>
          <a:solidFill>
            <a:schemeClr val="lt1"/>
          </a:solidFill>
          <a:ln w="25400" cmpd="sng">
            <a:solidFill>
              <a:schemeClr val="tx2">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600"/>
              <a:t>PayTM reported</a:t>
            </a:r>
            <a:r>
              <a:rPr lang="en-US" altLang="zh-CN" sz="1600" baseline="0"/>
              <a:t> MAU of 80m in Dec 16.</a:t>
            </a:r>
            <a:endParaRPr lang="zh-CN" altLang="en-US" sz="1600"/>
          </a:p>
        </xdr:txBody>
      </xdr:sp>
    </xdr:grpSp>
    <xdr:clientData/>
  </xdr:twoCellAnchor>
  <xdr:twoCellAnchor>
    <xdr:from>
      <xdr:col>18</xdr:col>
      <xdr:colOff>425823</xdr:colOff>
      <xdr:row>24</xdr:row>
      <xdr:rowOff>78441</xdr:rowOff>
    </xdr:from>
    <xdr:to>
      <xdr:col>26</xdr:col>
      <xdr:colOff>616323</xdr:colOff>
      <xdr:row>42</xdr:row>
      <xdr:rowOff>168088</xdr:rowOff>
    </xdr:to>
    <xdr:graphicFrame macro="">
      <xdr:nvGraphicFramePr>
        <xdr:cNvPr id="28" name="图表 27">
          <a:extLst>
            <a:ext uri="{FF2B5EF4-FFF2-40B4-BE49-F238E27FC236}">
              <a16:creationId xmlns:a16="http://schemas.microsoft.com/office/drawing/2014/main" id="{00000000-0008-0000-13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40</xdr:col>
      <xdr:colOff>168089</xdr:colOff>
      <xdr:row>91</xdr:row>
      <xdr:rowOff>0</xdr:rowOff>
    </xdr:from>
    <xdr:to>
      <xdr:col>46</xdr:col>
      <xdr:colOff>638736</xdr:colOff>
      <xdr:row>106</xdr:row>
      <xdr:rowOff>53788</xdr:rowOff>
    </xdr:to>
    <xdr:graphicFrame macro="">
      <xdr:nvGraphicFramePr>
        <xdr:cNvPr id="29" name="图表 28">
          <a:extLst>
            <a:ext uri="{FF2B5EF4-FFF2-40B4-BE49-F238E27FC236}">
              <a16:creationId xmlns:a16="http://schemas.microsoft.com/office/drawing/2014/main" id="{00000000-0008-0000-13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40</xdr:col>
      <xdr:colOff>78440</xdr:colOff>
      <xdr:row>52</xdr:row>
      <xdr:rowOff>22413</xdr:rowOff>
    </xdr:from>
    <xdr:to>
      <xdr:col>47</xdr:col>
      <xdr:colOff>537881</xdr:colOff>
      <xdr:row>70</xdr:row>
      <xdr:rowOff>112059</xdr:rowOff>
    </xdr:to>
    <xdr:graphicFrame macro="">
      <xdr:nvGraphicFramePr>
        <xdr:cNvPr id="30" name="图表 29">
          <a:extLst>
            <a:ext uri="{FF2B5EF4-FFF2-40B4-BE49-F238E27FC236}">
              <a16:creationId xmlns:a16="http://schemas.microsoft.com/office/drawing/2014/main" id="{00000000-0008-0000-13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649941</xdr:colOff>
      <xdr:row>110</xdr:row>
      <xdr:rowOff>33617</xdr:rowOff>
    </xdr:from>
    <xdr:to>
      <xdr:col>2</xdr:col>
      <xdr:colOff>352667</xdr:colOff>
      <xdr:row>111</xdr:row>
      <xdr:rowOff>99612</xdr:rowOff>
    </xdr:to>
    <xdr:sp macro="" textlink="">
      <xdr:nvSpPr>
        <xdr:cNvPr id="31" name="矩形 30">
          <a:extLst>
            <a:ext uri="{FF2B5EF4-FFF2-40B4-BE49-F238E27FC236}">
              <a16:creationId xmlns:a16="http://schemas.microsoft.com/office/drawing/2014/main" id="{00000000-0008-0000-1300-00001F000000}"/>
            </a:ext>
          </a:extLst>
        </xdr:cNvPr>
        <xdr:cNvSpPr/>
      </xdr:nvSpPr>
      <xdr:spPr>
        <a:xfrm>
          <a:off x="649941" y="19677529"/>
          <a:ext cx="1069844" cy="245289"/>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altLang="zh-CN" sz="1100"/>
            <a:t>Unit: mn</a:t>
          </a:r>
          <a:endParaRPr lang="zh-CN" altLang="en-US" sz="1100"/>
        </a:p>
      </xdr:txBody>
    </xdr:sp>
    <xdr:clientData/>
  </xdr:twoCellAnchor>
  <xdr:twoCellAnchor>
    <xdr:from>
      <xdr:col>10</xdr:col>
      <xdr:colOff>1</xdr:colOff>
      <xdr:row>24</xdr:row>
      <xdr:rowOff>12325</xdr:rowOff>
    </xdr:from>
    <xdr:to>
      <xdr:col>17</xdr:col>
      <xdr:colOff>672353</xdr:colOff>
      <xdr:row>42</xdr:row>
      <xdr:rowOff>100852</xdr:rowOff>
    </xdr:to>
    <xdr:graphicFrame macro="">
      <xdr:nvGraphicFramePr>
        <xdr:cNvPr id="4" name="图表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27</xdr:col>
      <xdr:colOff>112056</xdr:colOff>
      <xdr:row>24</xdr:row>
      <xdr:rowOff>90766</xdr:rowOff>
    </xdr:from>
    <xdr:to>
      <xdr:col>32</xdr:col>
      <xdr:colOff>493058</xdr:colOff>
      <xdr:row>40</xdr:row>
      <xdr:rowOff>168088</xdr:rowOff>
    </xdr:to>
    <xdr:graphicFrame macro="">
      <xdr:nvGraphicFramePr>
        <xdr:cNvPr id="17" name="图表 16">
          <a:extLst>
            <a:ext uri="{FF2B5EF4-FFF2-40B4-BE49-F238E27FC236}">
              <a16:creationId xmlns:a16="http://schemas.microsoft.com/office/drawing/2014/main" id="{00000000-0008-0000-13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27</xdr:col>
      <xdr:colOff>625928</xdr:colOff>
      <xdr:row>72</xdr:row>
      <xdr:rowOff>68037</xdr:rowOff>
    </xdr:from>
    <xdr:to>
      <xdr:col>28</xdr:col>
      <xdr:colOff>571500</xdr:colOff>
      <xdr:row>81</xdr:row>
      <xdr:rowOff>1</xdr:rowOff>
    </xdr:to>
    <xdr:sp macro="" textlink="">
      <xdr:nvSpPr>
        <xdr:cNvPr id="20" name="椭圆 19">
          <a:extLst>
            <a:ext uri="{FF2B5EF4-FFF2-40B4-BE49-F238E27FC236}">
              <a16:creationId xmlns:a16="http://schemas.microsoft.com/office/drawing/2014/main" id="{00000000-0008-0000-1300-000014000000}"/>
            </a:ext>
          </a:extLst>
        </xdr:cNvPr>
        <xdr:cNvSpPr/>
      </xdr:nvSpPr>
      <xdr:spPr>
        <a:xfrm>
          <a:off x="18995571" y="12749894"/>
          <a:ext cx="625929" cy="152400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25</xdr:col>
      <xdr:colOff>600074</xdr:colOff>
      <xdr:row>31</xdr:row>
      <xdr:rowOff>1</xdr:rowOff>
    </xdr:from>
    <xdr:to>
      <xdr:col>26</xdr:col>
      <xdr:colOff>435427</xdr:colOff>
      <xdr:row>39</xdr:row>
      <xdr:rowOff>108858</xdr:rowOff>
    </xdr:to>
    <xdr:sp macro="" textlink="">
      <xdr:nvSpPr>
        <xdr:cNvPr id="32" name="椭圆 31">
          <a:extLst>
            <a:ext uri="{FF2B5EF4-FFF2-40B4-BE49-F238E27FC236}">
              <a16:creationId xmlns:a16="http://schemas.microsoft.com/office/drawing/2014/main" id="{00000000-0008-0000-1300-000020000000}"/>
            </a:ext>
          </a:extLst>
        </xdr:cNvPr>
        <xdr:cNvSpPr/>
      </xdr:nvSpPr>
      <xdr:spPr>
        <a:xfrm>
          <a:off x="17745074" y="5524501"/>
          <a:ext cx="521153" cy="155665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23.xml><?xml version="1.0" encoding="utf-8"?>
<c:userShapes xmlns:c="http://schemas.openxmlformats.org/drawingml/2006/chart">
  <cdr:relSizeAnchor xmlns:cdr="http://schemas.openxmlformats.org/drawingml/2006/chartDrawing">
    <cdr:from>
      <cdr:x>0.00315</cdr:x>
      <cdr:y>0.03844</cdr:y>
    </cdr:from>
    <cdr:to>
      <cdr:x>0.14792</cdr:x>
      <cdr:y>0.14259</cdr:y>
    </cdr:to>
    <cdr:sp macro="" textlink="">
      <cdr:nvSpPr>
        <cdr:cNvPr id="2" name="矩形 1"/>
        <cdr:cNvSpPr/>
      </cdr:nvSpPr>
      <cdr:spPr>
        <a:xfrm xmlns:a="http://schemas.openxmlformats.org/drawingml/2006/main">
          <a:off x="19488" y="132892"/>
          <a:ext cx="894915" cy="36013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altLang="zh-CN" sz="1100"/>
            <a:t>Unit: $mn</a:t>
          </a:r>
          <a:endParaRPr lang="zh-CN" altLang="en-US" sz="1100"/>
        </a:p>
      </cdr:txBody>
    </cdr:sp>
  </cdr:relSizeAnchor>
</c:userShapes>
</file>

<file path=xl/drawings/drawing24.xml><?xml version="1.0" encoding="utf-8"?>
<c:userShapes xmlns:c="http://schemas.openxmlformats.org/drawingml/2006/chart">
  <cdr:relSizeAnchor xmlns:cdr="http://schemas.openxmlformats.org/drawingml/2006/chartDrawing">
    <cdr:from>
      <cdr:x>0.00333</cdr:x>
      <cdr:y>0.04461</cdr:y>
    </cdr:from>
    <cdr:to>
      <cdr:x>0.12316</cdr:x>
      <cdr:y>0.10787</cdr:y>
    </cdr:to>
    <cdr:sp macro="" textlink="">
      <cdr:nvSpPr>
        <cdr:cNvPr id="2" name="矩形 1"/>
        <cdr:cNvSpPr/>
      </cdr:nvSpPr>
      <cdr:spPr>
        <a:xfrm xmlns:a="http://schemas.openxmlformats.org/drawingml/2006/main">
          <a:off x="22225" y="174625"/>
          <a:ext cx="800100" cy="24765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zh-CN" sz="1100"/>
            <a:t>Unit: $mn</a:t>
          </a:r>
          <a:endParaRPr lang="zh-CN" altLang="en-US" sz="1100"/>
        </a:p>
      </cdr:txBody>
    </cdr:sp>
  </cdr:relSizeAnchor>
</c:userShapes>
</file>

<file path=xl/drawings/drawing25.xml><?xml version="1.0" encoding="utf-8"?>
<c:userShapes xmlns:c="http://schemas.openxmlformats.org/drawingml/2006/chart">
  <cdr:relSizeAnchor xmlns:cdr="http://schemas.openxmlformats.org/drawingml/2006/chartDrawing">
    <cdr:from>
      <cdr:x>0</cdr:x>
      <cdr:y>0.05607</cdr:y>
    </cdr:from>
    <cdr:to>
      <cdr:x>0.12444</cdr:x>
      <cdr:y>0.11598</cdr:y>
    </cdr:to>
    <cdr:sp macro="" textlink="">
      <cdr:nvSpPr>
        <cdr:cNvPr id="2" name="矩形 1"/>
        <cdr:cNvSpPr/>
      </cdr:nvSpPr>
      <cdr:spPr>
        <a:xfrm xmlns:a="http://schemas.openxmlformats.org/drawingml/2006/main">
          <a:off x="0" y="231783"/>
          <a:ext cx="800071" cy="2476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zh-CN" sz="1100"/>
            <a:t>Unit: mn</a:t>
          </a:r>
          <a:endParaRPr lang="zh-CN" altLang="en-US" sz="1100"/>
        </a:p>
      </cdr:txBody>
    </cdr:sp>
  </cdr:relSizeAnchor>
</c:userShapes>
</file>

<file path=xl/drawings/drawing26.xml><?xml version="1.0" encoding="utf-8"?>
<c:userShapes xmlns:c="http://schemas.openxmlformats.org/drawingml/2006/chart">
  <cdr:relSizeAnchor xmlns:cdr="http://schemas.openxmlformats.org/drawingml/2006/chartDrawing">
    <cdr:from>
      <cdr:x>0.00149</cdr:x>
      <cdr:y>0.03533</cdr:y>
    </cdr:from>
    <cdr:to>
      <cdr:x>0.12706</cdr:x>
      <cdr:y>0.09524</cdr:y>
    </cdr:to>
    <cdr:sp macro="" textlink="">
      <cdr:nvSpPr>
        <cdr:cNvPr id="2" name="矩形 1"/>
        <cdr:cNvSpPr/>
      </cdr:nvSpPr>
      <cdr:spPr>
        <a:xfrm xmlns:a="http://schemas.openxmlformats.org/drawingml/2006/main">
          <a:off x="9525" y="146050"/>
          <a:ext cx="800100" cy="24765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zh-CN" sz="1100"/>
            <a:t>$mn</a:t>
          </a:r>
          <a:endParaRPr lang="zh-CN" altLang="en-US" sz="1100"/>
        </a:p>
      </cdr:txBody>
    </cdr:sp>
  </cdr:relSizeAnchor>
</c:userShapes>
</file>

<file path=xl/drawings/drawing27.xml><?xml version="1.0" encoding="utf-8"?>
<c:userShapes xmlns:c="http://schemas.openxmlformats.org/drawingml/2006/chart">
  <cdr:relSizeAnchor xmlns:cdr="http://schemas.openxmlformats.org/drawingml/2006/chartDrawing">
    <cdr:from>
      <cdr:x>0</cdr:x>
      <cdr:y>0.05031</cdr:y>
    </cdr:from>
    <cdr:to>
      <cdr:x>0.12556</cdr:x>
      <cdr:y>0.11311</cdr:y>
    </cdr:to>
    <cdr:sp macro="" textlink="">
      <cdr:nvSpPr>
        <cdr:cNvPr id="2" name="矩形 1"/>
        <cdr:cNvSpPr/>
      </cdr:nvSpPr>
      <cdr:spPr>
        <a:xfrm xmlns:a="http://schemas.openxmlformats.org/drawingml/2006/main">
          <a:off x="0" y="182133"/>
          <a:ext cx="773926" cy="22734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zh-CN" sz="1100"/>
            <a:t>Unit: $mn</a:t>
          </a:r>
          <a:endParaRPr lang="zh-CN" altLang="en-US" sz="1100"/>
        </a:p>
      </cdr:txBody>
    </cdr:sp>
  </cdr:relSizeAnchor>
</c:userShapes>
</file>

<file path=xl/drawings/drawing28.xml><?xml version="1.0" encoding="utf-8"?>
<c:userShapes xmlns:c="http://schemas.openxmlformats.org/drawingml/2006/chart">
  <cdr:relSizeAnchor xmlns:cdr="http://schemas.openxmlformats.org/drawingml/2006/chartDrawing">
    <cdr:from>
      <cdr:x>0.11604</cdr:x>
      <cdr:y>0.61686</cdr:y>
    </cdr:from>
    <cdr:to>
      <cdr:x>0.97268</cdr:x>
      <cdr:y>0.62004</cdr:y>
    </cdr:to>
    <cdr:sp macro="" textlink="">
      <cdr:nvSpPr>
        <cdr:cNvPr id="2" name="直接连接符 1"/>
        <cdr:cNvSpPr/>
      </cdr:nvSpPr>
      <cdr:spPr>
        <a:xfrm xmlns:a="http://schemas.openxmlformats.org/drawingml/2006/main" flipV="1">
          <a:off x="635711" y="1888478"/>
          <a:ext cx="4693151" cy="9736"/>
        </a:xfrm>
        <a:prstGeom xmlns:a="http://schemas.openxmlformats.org/drawingml/2006/main" prst="line">
          <a:avLst/>
        </a:prstGeom>
        <a:ln xmlns:a="http://schemas.openxmlformats.org/drawingml/2006/main" w="15875">
          <a:solidFill>
            <a:schemeClr val="accent5">
              <a:lumMod val="60000"/>
              <a:lumOff val="40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sp>
  </cdr:relSizeAnchor>
  <cdr:relSizeAnchor xmlns:cdr="http://schemas.openxmlformats.org/drawingml/2006/chartDrawing">
    <cdr:from>
      <cdr:x>0.11449</cdr:x>
      <cdr:y>0.48235</cdr:y>
    </cdr:from>
    <cdr:to>
      <cdr:x>0.96228</cdr:x>
      <cdr:y>0.48552</cdr:y>
    </cdr:to>
    <cdr:sp macro="" textlink="">
      <cdr:nvSpPr>
        <cdr:cNvPr id="3" name="直接连接符 2"/>
        <cdr:cNvSpPr/>
      </cdr:nvSpPr>
      <cdr:spPr>
        <a:xfrm xmlns:a="http://schemas.openxmlformats.org/drawingml/2006/main">
          <a:off x="627245" y="1476696"/>
          <a:ext cx="4644665" cy="9705"/>
        </a:xfrm>
        <a:prstGeom xmlns:a="http://schemas.openxmlformats.org/drawingml/2006/main" prst="line">
          <a:avLst/>
        </a:prstGeom>
        <a:ln xmlns:a="http://schemas.openxmlformats.org/drawingml/2006/main" w="15875">
          <a:solidFill>
            <a:srgbClr val="FF8F8F"/>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sp>
  </cdr:relSizeAnchor>
  <cdr:relSizeAnchor xmlns:cdr="http://schemas.openxmlformats.org/drawingml/2006/chartDrawing">
    <cdr:from>
      <cdr:x>0.103</cdr:x>
      <cdr:y>0.4137</cdr:y>
    </cdr:from>
    <cdr:to>
      <cdr:x>0.96495</cdr:x>
      <cdr:y>0.41687</cdr:y>
    </cdr:to>
    <cdr:sp macro="" textlink="">
      <cdr:nvSpPr>
        <cdr:cNvPr id="4" name="直接连接符 3"/>
        <cdr:cNvSpPr/>
      </cdr:nvSpPr>
      <cdr:spPr>
        <a:xfrm xmlns:a="http://schemas.openxmlformats.org/drawingml/2006/main" flipV="1">
          <a:off x="564283" y="1266528"/>
          <a:ext cx="4722241" cy="9705"/>
        </a:xfrm>
        <a:prstGeom xmlns:a="http://schemas.openxmlformats.org/drawingml/2006/main" prst="line">
          <a:avLst/>
        </a:prstGeom>
        <a:ln xmlns:a="http://schemas.openxmlformats.org/drawingml/2006/main" w="15875">
          <a:solidFill>
            <a:srgbClr val="FF8F8F"/>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sp>
  </cdr:relSizeAnchor>
  <cdr:relSizeAnchor xmlns:cdr="http://schemas.openxmlformats.org/drawingml/2006/chartDrawing">
    <cdr:from>
      <cdr:x>0.11375</cdr:x>
      <cdr:y>0.68476</cdr:y>
    </cdr:from>
    <cdr:to>
      <cdr:x>0.97039</cdr:x>
      <cdr:y>0.68794</cdr:y>
    </cdr:to>
    <cdr:sp macro="" textlink="">
      <cdr:nvSpPr>
        <cdr:cNvPr id="5" name="直接连接符 4"/>
        <cdr:cNvSpPr/>
      </cdr:nvSpPr>
      <cdr:spPr>
        <a:xfrm xmlns:a="http://schemas.openxmlformats.org/drawingml/2006/main" flipV="1">
          <a:off x="849622" y="3885342"/>
          <a:ext cx="6398417" cy="18043"/>
        </a:xfrm>
        <a:prstGeom xmlns:a="http://schemas.openxmlformats.org/drawingml/2006/main" prst="line">
          <a:avLst/>
        </a:prstGeom>
        <a:ln xmlns:a="http://schemas.openxmlformats.org/drawingml/2006/main" w="15875">
          <a:solidFill>
            <a:schemeClr val="accent5">
              <a:lumMod val="60000"/>
              <a:lumOff val="40000"/>
            </a:schemeClr>
          </a:solidFill>
          <a:prstDash val="sys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p xmlns:a="http://schemas.openxmlformats.org/drawingml/2006/main">
          <a:endParaRPr lang="zh-CN" altLang="en-US"/>
        </a:p>
      </cdr:txBody>
    </cdr:sp>
  </cdr:relSizeAnchor>
</c:userShapes>
</file>

<file path=xl/drawings/drawing29.xml><?xml version="1.0" encoding="utf-8"?>
<c:userShapes xmlns:c="http://schemas.openxmlformats.org/drawingml/2006/chart">
  <cdr:relSizeAnchor xmlns:cdr="http://schemas.openxmlformats.org/drawingml/2006/chartDrawing">
    <cdr:from>
      <cdr:x>0.00556</cdr:x>
      <cdr:y>0.02289</cdr:y>
    </cdr:from>
    <cdr:to>
      <cdr:x>0.13732</cdr:x>
      <cdr:y>0.08161</cdr:y>
    </cdr:to>
    <cdr:sp macro="" textlink="">
      <cdr:nvSpPr>
        <cdr:cNvPr id="3" name="矩形 2"/>
        <cdr:cNvSpPr/>
      </cdr:nvSpPr>
      <cdr:spPr>
        <a:xfrm xmlns:a="http://schemas.openxmlformats.org/drawingml/2006/main">
          <a:off x="33617" y="95624"/>
          <a:ext cx="797346" cy="24534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zh-CN" sz="1100"/>
            <a:t>$mn</a:t>
          </a:r>
          <a:endParaRPr lang="zh-CN" altLang="en-US" sz="1100"/>
        </a:p>
      </cdr:txBody>
    </cdr:sp>
  </cdr:relSizeAnchor>
</c:userShapes>
</file>

<file path=xl/drawings/drawing30.xml><?xml version="1.0" encoding="utf-8"?>
<c:userShapes xmlns:c="http://schemas.openxmlformats.org/drawingml/2006/chart">
  <cdr:relSizeAnchor xmlns:cdr="http://schemas.openxmlformats.org/drawingml/2006/chartDrawing">
    <cdr:from>
      <cdr:x>0.01788</cdr:x>
      <cdr:y>0.0265</cdr:y>
    </cdr:from>
    <cdr:to>
      <cdr:x>0.2128</cdr:x>
      <cdr:y>0.09316</cdr:y>
    </cdr:to>
    <cdr:sp macro="" textlink="">
      <cdr:nvSpPr>
        <cdr:cNvPr id="2" name="矩形 1"/>
        <cdr:cNvSpPr/>
      </cdr:nvSpPr>
      <cdr:spPr>
        <a:xfrm xmlns:a="http://schemas.openxmlformats.org/drawingml/2006/main">
          <a:off x="98117" y="97550"/>
          <a:ext cx="1069627" cy="24538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zh-CN" sz="1100"/>
            <a:t>Unit: thousand</a:t>
          </a:r>
        </a:p>
        <a:p xmlns:a="http://schemas.openxmlformats.org/drawingml/2006/main">
          <a:endParaRPr lang="zh-CN" altLang="en-US" sz="1100"/>
        </a:p>
      </cdr:txBody>
    </cdr:sp>
  </cdr:relSizeAnchor>
</c:userShapes>
</file>

<file path=xl/drawings/drawing31.xml><?xml version="1.0" encoding="utf-8"?>
<c:userShapes xmlns:c="http://schemas.openxmlformats.org/drawingml/2006/chart">
  <cdr:relSizeAnchor xmlns:cdr="http://schemas.openxmlformats.org/drawingml/2006/chartDrawing">
    <cdr:from>
      <cdr:x>0</cdr:x>
      <cdr:y>0.05297</cdr:y>
    </cdr:from>
    <cdr:to>
      <cdr:x>0.16472</cdr:x>
      <cdr:y>0.12267</cdr:y>
    </cdr:to>
    <cdr:sp macro="" textlink="">
      <cdr:nvSpPr>
        <cdr:cNvPr id="2" name="矩形 1"/>
        <cdr:cNvSpPr/>
      </cdr:nvSpPr>
      <cdr:spPr>
        <a:xfrm xmlns:a="http://schemas.openxmlformats.org/drawingml/2006/main">
          <a:off x="0" y="190456"/>
          <a:ext cx="1012070" cy="250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zh-CN" sz="1100"/>
            <a:t>Unit: mn</a:t>
          </a:r>
          <a:endParaRPr lang="zh-CN" altLang="en-US" sz="1100"/>
        </a:p>
      </cdr:txBody>
    </cdr:sp>
  </cdr:relSizeAnchor>
</c:userShapes>
</file>

<file path=xl/drawings/drawing32.xml><?xml version="1.0" encoding="utf-8"?>
<c:userShapes xmlns:c="http://schemas.openxmlformats.org/drawingml/2006/chart">
  <cdr:relSizeAnchor xmlns:cdr="http://schemas.openxmlformats.org/drawingml/2006/chartDrawing">
    <cdr:from>
      <cdr:x>0</cdr:x>
      <cdr:y>0.0356</cdr:y>
    </cdr:from>
    <cdr:to>
      <cdr:x>0.16103</cdr:x>
      <cdr:y>0.1398</cdr:y>
    </cdr:to>
    <cdr:sp macro="" textlink="">
      <cdr:nvSpPr>
        <cdr:cNvPr id="2" name="矩形 1"/>
        <cdr:cNvSpPr/>
      </cdr:nvSpPr>
      <cdr:spPr>
        <a:xfrm xmlns:a="http://schemas.openxmlformats.org/drawingml/2006/main">
          <a:off x="0" y="118036"/>
          <a:ext cx="878787" cy="34551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zh-CN" sz="1100"/>
            <a:t>Unit: $mn</a:t>
          </a:r>
          <a:endParaRPr lang="zh-CN" altLang="en-US" sz="1100"/>
        </a:p>
      </cdr:txBody>
    </cdr:sp>
  </cdr:relSizeAnchor>
</c:userShapes>
</file>

<file path=xl/drawings/drawing33.xml><?xml version="1.0" encoding="utf-8"?>
<xdr:wsDr xmlns:xdr="http://schemas.openxmlformats.org/drawingml/2006/spreadsheetDrawing" xmlns:a="http://schemas.openxmlformats.org/drawingml/2006/main">
  <xdr:twoCellAnchor editAs="oneCell">
    <xdr:from>
      <xdr:col>0</xdr:col>
      <xdr:colOff>1</xdr:colOff>
      <xdr:row>2</xdr:row>
      <xdr:rowOff>0</xdr:rowOff>
    </xdr:from>
    <xdr:to>
      <xdr:col>9</xdr:col>
      <xdr:colOff>95251</xdr:colOff>
      <xdr:row>25</xdr:row>
      <xdr:rowOff>24851</xdr:rowOff>
    </xdr:to>
    <xdr:pic>
      <xdr:nvPicPr>
        <xdr:cNvPr id="2" name="Picture 1">
          <a:extLst>
            <a:ext uri="{FF2B5EF4-FFF2-40B4-BE49-F238E27FC236}">
              <a16:creationId xmlns:a16="http://schemas.microsoft.com/office/drawing/2014/main" id="{00000000-0008-0000-1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361950"/>
          <a:ext cx="6267450" cy="4187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0</xdr:colOff>
      <xdr:row>2</xdr:row>
      <xdr:rowOff>0</xdr:rowOff>
    </xdr:from>
    <xdr:to>
      <xdr:col>20</xdr:col>
      <xdr:colOff>504825</xdr:colOff>
      <xdr:row>25</xdr:row>
      <xdr:rowOff>138112</xdr:rowOff>
    </xdr:to>
    <xdr:graphicFrame macro="">
      <xdr:nvGraphicFramePr>
        <xdr:cNvPr id="3" name="Chart 2">
          <a:extLst>
            <a:ext uri="{FF2B5EF4-FFF2-40B4-BE49-F238E27FC236}">
              <a16:creationId xmlns:a16="http://schemas.microsoft.com/office/drawing/2014/main" id="{00000000-0008-0000-1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428625</xdr:colOff>
      <xdr:row>26</xdr:row>
      <xdr:rowOff>85725</xdr:rowOff>
    </xdr:from>
    <xdr:to>
      <xdr:col>9</xdr:col>
      <xdr:colOff>371475</xdr:colOff>
      <xdr:row>45</xdr:row>
      <xdr:rowOff>171444</xdr:rowOff>
    </xdr:to>
    <xdr:graphicFrame macro="">
      <xdr:nvGraphicFramePr>
        <xdr:cNvPr id="4" name="Chart 3">
          <a:extLst>
            <a:ext uri="{FF2B5EF4-FFF2-40B4-BE49-F238E27FC236}">
              <a16:creationId xmlns:a16="http://schemas.microsoft.com/office/drawing/2014/main" id="{00000000-0008-0000-1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28575</xdr:colOff>
      <xdr:row>73</xdr:row>
      <xdr:rowOff>104775</xdr:rowOff>
    </xdr:from>
    <xdr:to>
      <xdr:col>20</xdr:col>
      <xdr:colOff>200026</xdr:colOff>
      <xdr:row>96</xdr:row>
      <xdr:rowOff>123825</xdr:rowOff>
    </xdr:to>
    <xdr:graphicFrame macro="">
      <xdr:nvGraphicFramePr>
        <xdr:cNvPr id="5" name="Chart 4">
          <a:extLst>
            <a:ext uri="{FF2B5EF4-FFF2-40B4-BE49-F238E27FC236}">
              <a16:creationId xmlns:a16="http://schemas.microsoft.com/office/drawing/2014/main" id="{00000000-0008-0000-1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123825</xdr:colOff>
      <xdr:row>47</xdr:row>
      <xdr:rowOff>76200</xdr:rowOff>
    </xdr:from>
    <xdr:to>
      <xdr:col>10</xdr:col>
      <xdr:colOff>19050</xdr:colOff>
      <xdr:row>72</xdr:row>
      <xdr:rowOff>9525</xdr:rowOff>
    </xdr:to>
    <xdr:graphicFrame macro="">
      <xdr:nvGraphicFramePr>
        <xdr:cNvPr id="6" name="Chart 5">
          <a:extLst>
            <a:ext uri="{FF2B5EF4-FFF2-40B4-BE49-F238E27FC236}">
              <a16:creationId xmlns:a16="http://schemas.microsoft.com/office/drawing/2014/main" id="{00000000-0008-0000-1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581025</xdr:colOff>
      <xdr:row>47</xdr:row>
      <xdr:rowOff>28575</xdr:rowOff>
    </xdr:from>
    <xdr:to>
      <xdr:col>20</xdr:col>
      <xdr:colOff>400050</xdr:colOff>
      <xdr:row>67</xdr:row>
      <xdr:rowOff>85731</xdr:rowOff>
    </xdr:to>
    <xdr:graphicFrame macro="">
      <xdr:nvGraphicFramePr>
        <xdr:cNvPr id="7" name="Chart 6">
          <a:extLst>
            <a:ext uri="{FF2B5EF4-FFF2-40B4-BE49-F238E27FC236}">
              <a16:creationId xmlns:a16="http://schemas.microsoft.com/office/drawing/2014/main" id="{00000000-0008-0000-1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552450</xdr:colOff>
      <xdr:row>73</xdr:row>
      <xdr:rowOff>85725</xdr:rowOff>
    </xdr:from>
    <xdr:to>
      <xdr:col>9</xdr:col>
      <xdr:colOff>228600</xdr:colOff>
      <xdr:row>96</xdr:row>
      <xdr:rowOff>4763</xdr:rowOff>
    </xdr:to>
    <xdr:graphicFrame macro="">
      <xdr:nvGraphicFramePr>
        <xdr:cNvPr id="8" name="Chart 7">
          <a:extLst>
            <a:ext uri="{FF2B5EF4-FFF2-40B4-BE49-F238E27FC236}">
              <a16:creationId xmlns:a16="http://schemas.microsoft.com/office/drawing/2014/main" id="{00000000-0008-0000-1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657225</xdr:colOff>
      <xdr:row>2</xdr:row>
      <xdr:rowOff>14287</xdr:rowOff>
    </xdr:from>
    <xdr:to>
      <xdr:col>7</xdr:col>
      <xdr:colOff>447675</xdr:colOff>
      <xdr:row>17</xdr:row>
      <xdr:rowOff>42862</xdr:rowOff>
    </xdr:to>
    <xdr:graphicFrame macro="">
      <xdr:nvGraphicFramePr>
        <xdr:cNvPr id="2" name="图表 1">
          <a:extLst>
            <a:ext uri="{FF2B5EF4-FFF2-40B4-BE49-F238E27FC236}">
              <a16:creationId xmlns:a16="http://schemas.microsoft.com/office/drawing/2014/main" id="{00000000-0008-0000-1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3175</xdr:colOff>
      <xdr:row>1</xdr:row>
      <xdr:rowOff>176212</xdr:rowOff>
    </xdr:from>
    <xdr:to>
      <xdr:col>14</xdr:col>
      <xdr:colOff>452437</xdr:colOff>
      <xdr:row>17</xdr:row>
      <xdr:rowOff>23812</xdr:rowOff>
    </xdr:to>
    <xdr:graphicFrame macro="">
      <xdr:nvGraphicFramePr>
        <xdr:cNvPr id="3" name="图表 2">
          <a:extLst>
            <a:ext uri="{FF2B5EF4-FFF2-40B4-BE49-F238E27FC236}">
              <a16:creationId xmlns:a16="http://schemas.microsoft.com/office/drawing/2014/main" id="{00000000-0008-0000-1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676275</xdr:colOff>
      <xdr:row>18</xdr:row>
      <xdr:rowOff>4762</xdr:rowOff>
    </xdr:from>
    <xdr:to>
      <xdr:col>7</xdr:col>
      <xdr:colOff>447675</xdr:colOff>
      <xdr:row>33</xdr:row>
      <xdr:rowOff>33337</xdr:rowOff>
    </xdr:to>
    <xdr:graphicFrame macro="">
      <xdr:nvGraphicFramePr>
        <xdr:cNvPr id="4" name="图表 3">
          <a:extLst>
            <a:ext uri="{FF2B5EF4-FFF2-40B4-BE49-F238E27FC236}">
              <a16:creationId xmlns:a16="http://schemas.microsoft.com/office/drawing/2014/main" id="{00000000-0008-0000-1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9525</xdr:colOff>
      <xdr:row>34</xdr:row>
      <xdr:rowOff>9525</xdr:rowOff>
    </xdr:from>
    <xdr:to>
      <xdr:col>7</xdr:col>
      <xdr:colOff>466725</xdr:colOff>
      <xdr:row>49</xdr:row>
      <xdr:rowOff>38100</xdr:rowOff>
    </xdr:to>
    <xdr:graphicFrame macro="">
      <xdr:nvGraphicFramePr>
        <xdr:cNvPr id="6" name="图表 5">
          <a:extLst>
            <a:ext uri="{FF2B5EF4-FFF2-40B4-BE49-F238E27FC236}">
              <a16:creationId xmlns:a16="http://schemas.microsoft.com/office/drawing/2014/main" id="{00000000-0008-0000-1A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19051</xdr:colOff>
      <xdr:row>50</xdr:row>
      <xdr:rowOff>0</xdr:rowOff>
    </xdr:from>
    <xdr:to>
      <xdr:col>7</xdr:col>
      <xdr:colOff>404812</xdr:colOff>
      <xdr:row>65</xdr:row>
      <xdr:rowOff>87313</xdr:rowOff>
    </xdr:to>
    <xdr:graphicFrame macro="">
      <xdr:nvGraphicFramePr>
        <xdr:cNvPr id="7" name="图表 6">
          <a:extLst>
            <a:ext uri="{FF2B5EF4-FFF2-40B4-BE49-F238E27FC236}">
              <a16:creationId xmlns:a16="http://schemas.microsoft.com/office/drawing/2014/main" id="{00000000-0008-0000-1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4762</xdr:colOff>
      <xdr:row>50</xdr:row>
      <xdr:rowOff>0</xdr:rowOff>
    </xdr:from>
    <xdr:to>
      <xdr:col>14</xdr:col>
      <xdr:colOff>461962</xdr:colOff>
      <xdr:row>65</xdr:row>
      <xdr:rowOff>28575</xdr:rowOff>
    </xdr:to>
    <xdr:graphicFrame macro="">
      <xdr:nvGraphicFramePr>
        <xdr:cNvPr id="8" name="图表 7">
          <a:extLst>
            <a:ext uri="{FF2B5EF4-FFF2-40B4-BE49-F238E27FC236}">
              <a16:creationId xmlns:a16="http://schemas.microsoft.com/office/drawing/2014/main" id="{00000000-0008-0000-1A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9525</xdr:colOff>
      <xdr:row>66</xdr:row>
      <xdr:rowOff>0</xdr:rowOff>
    </xdr:from>
    <xdr:to>
      <xdr:col>7</xdr:col>
      <xdr:colOff>466725</xdr:colOff>
      <xdr:row>81</xdr:row>
      <xdr:rowOff>28575</xdr:rowOff>
    </xdr:to>
    <xdr:graphicFrame macro="">
      <xdr:nvGraphicFramePr>
        <xdr:cNvPr id="9" name="图表 8">
          <a:extLst>
            <a:ext uri="{FF2B5EF4-FFF2-40B4-BE49-F238E27FC236}">
              <a16:creationId xmlns:a16="http://schemas.microsoft.com/office/drawing/2014/main" id="{00000000-0008-0000-1A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0</xdr:colOff>
      <xdr:row>66</xdr:row>
      <xdr:rowOff>9525</xdr:rowOff>
    </xdr:from>
    <xdr:to>
      <xdr:col>14</xdr:col>
      <xdr:colOff>457200</xdr:colOff>
      <xdr:row>81</xdr:row>
      <xdr:rowOff>38100</xdr:rowOff>
    </xdr:to>
    <xdr:graphicFrame macro="">
      <xdr:nvGraphicFramePr>
        <xdr:cNvPr id="10" name="图表 9">
          <a:extLst>
            <a:ext uri="{FF2B5EF4-FFF2-40B4-BE49-F238E27FC236}">
              <a16:creationId xmlns:a16="http://schemas.microsoft.com/office/drawing/2014/main" id="{00000000-0008-0000-1A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20</xdr:col>
      <xdr:colOff>361950</xdr:colOff>
      <xdr:row>1</xdr:row>
      <xdr:rowOff>23812</xdr:rowOff>
    </xdr:from>
    <xdr:to>
      <xdr:col>27</xdr:col>
      <xdr:colOff>133350</xdr:colOff>
      <xdr:row>15</xdr:row>
      <xdr:rowOff>119062</xdr:rowOff>
    </xdr:to>
    <xdr:graphicFrame macro="">
      <xdr:nvGraphicFramePr>
        <xdr:cNvPr id="2" name="图表 1">
          <a:extLst>
            <a:ext uri="{FF2B5EF4-FFF2-40B4-BE49-F238E27FC236}">
              <a16:creationId xmlns:a16="http://schemas.microsoft.com/office/drawing/2014/main" id="{00000000-0008-0000-1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190500</xdr:colOff>
      <xdr:row>22</xdr:row>
      <xdr:rowOff>171450</xdr:rowOff>
    </xdr:from>
    <xdr:to>
      <xdr:col>16</xdr:col>
      <xdr:colOff>361950</xdr:colOff>
      <xdr:row>37</xdr:row>
      <xdr:rowOff>161925</xdr:rowOff>
    </xdr:to>
    <xdr:graphicFrame macro="">
      <xdr:nvGraphicFramePr>
        <xdr:cNvPr id="7" name="图表 6">
          <a:extLst>
            <a:ext uri="{FF2B5EF4-FFF2-40B4-BE49-F238E27FC236}">
              <a16:creationId xmlns:a16="http://schemas.microsoft.com/office/drawing/2014/main" id="{00000000-0008-0000-1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xdr:row>
      <xdr:rowOff>0</xdr:rowOff>
    </xdr:from>
    <xdr:to>
      <xdr:col>19</xdr:col>
      <xdr:colOff>457200</xdr:colOff>
      <xdr:row>15</xdr:row>
      <xdr:rowOff>95250</xdr:rowOff>
    </xdr:to>
    <xdr:graphicFrame macro="">
      <xdr:nvGraphicFramePr>
        <xdr:cNvPr id="4" name="图表 3">
          <a:extLst>
            <a:ext uri="{FF2B5EF4-FFF2-40B4-BE49-F238E27FC236}">
              <a16:creationId xmlns:a16="http://schemas.microsoft.com/office/drawing/2014/main" id="{00000000-0008-0000-1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6.xml><?xml version="1.0" encoding="utf-8"?>
<c:userShapes xmlns:c="http://schemas.openxmlformats.org/drawingml/2006/chart">
  <cdr:relSizeAnchor xmlns:cdr="http://schemas.openxmlformats.org/drawingml/2006/chartDrawing">
    <cdr:from>
      <cdr:x>0</cdr:x>
      <cdr:y>0.06424</cdr:y>
    </cdr:from>
    <cdr:to>
      <cdr:x>0.25625</cdr:x>
      <cdr:y>0.14063</cdr:y>
    </cdr:to>
    <cdr:sp macro="" textlink="">
      <cdr:nvSpPr>
        <cdr:cNvPr id="2" name="文本框 1"/>
        <cdr:cNvSpPr txBox="1"/>
      </cdr:nvSpPr>
      <cdr:spPr>
        <a:xfrm xmlns:a="http://schemas.openxmlformats.org/drawingml/2006/main">
          <a:off x="0" y="176213"/>
          <a:ext cx="117157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altLang="zh-CN" sz="800"/>
            <a:t>(</a:t>
          </a:r>
          <a:r>
            <a:rPr lang="zh-CN" altLang="en-US" sz="800"/>
            <a:t>百万人民币</a:t>
          </a:r>
          <a:r>
            <a:rPr lang="en-US" altLang="zh-CN" sz="800"/>
            <a:t>)</a:t>
          </a:r>
          <a:endParaRPr lang="zh-CN" altLang="en-US" sz="800"/>
        </a:p>
      </cdr:txBody>
    </cdr:sp>
  </cdr:relSizeAnchor>
</c:userShapes>
</file>

<file path=xl/drawings/drawing37.xml><?xml version="1.0" encoding="utf-8"?>
<c:userShapes xmlns:c="http://schemas.openxmlformats.org/drawingml/2006/chart">
  <cdr:relSizeAnchor xmlns:cdr="http://schemas.openxmlformats.org/drawingml/2006/chartDrawing">
    <cdr:from>
      <cdr:x>0.73039</cdr:x>
      <cdr:y>0.90441</cdr:y>
    </cdr:from>
    <cdr:to>
      <cdr:x>1</cdr:x>
      <cdr:y>0.99428</cdr:y>
    </cdr:to>
    <cdr:sp macro="" textlink="">
      <cdr:nvSpPr>
        <cdr:cNvPr id="2" name="文本框 1"/>
        <cdr:cNvSpPr txBox="1"/>
      </cdr:nvSpPr>
      <cdr:spPr>
        <a:xfrm xmlns:a="http://schemas.openxmlformats.org/drawingml/2006/main">
          <a:off x="3339352" y="2480981"/>
          <a:ext cx="1232647" cy="24653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altLang="zh-CN" sz="1000"/>
            <a:t>Credit Suisse</a:t>
          </a:r>
          <a:r>
            <a:rPr lang="zh-CN" altLang="en-US" sz="1000"/>
            <a:t>估算</a:t>
          </a:r>
        </a:p>
      </cdr:txBody>
    </cdr:sp>
  </cdr:relSizeAnchor>
  <cdr:relSizeAnchor xmlns:cdr="http://schemas.openxmlformats.org/drawingml/2006/chartDrawing">
    <cdr:from>
      <cdr:x>0.04167</cdr:x>
      <cdr:y>0.05882</cdr:y>
    </cdr:from>
    <cdr:to>
      <cdr:x>0.18627</cdr:x>
      <cdr:y>0.11601</cdr:y>
    </cdr:to>
    <cdr:sp macro="" textlink="">
      <cdr:nvSpPr>
        <cdr:cNvPr id="3" name="文本框 2"/>
        <cdr:cNvSpPr txBox="1"/>
      </cdr:nvSpPr>
      <cdr:spPr>
        <a:xfrm xmlns:a="http://schemas.openxmlformats.org/drawingml/2006/main">
          <a:off x="190500" y="161364"/>
          <a:ext cx="661147" cy="15688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zh-CN" altLang="en-US" sz="1100"/>
        </a:p>
      </cdr:txBody>
    </cdr:sp>
  </cdr:relSizeAnchor>
  <cdr:relSizeAnchor xmlns:cdr="http://schemas.openxmlformats.org/drawingml/2006/chartDrawing">
    <cdr:from>
      <cdr:x>0</cdr:x>
      <cdr:y>0.06699</cdr:y>
    </cdr:from>
    <cdr:to>
      <cdr:x>0.21569</cdr:x>
      <cdr:y>0.13235</cdr:y>
    </cdr:to>
    <cdr:sp macro="" textlink="">
      <cdr:nvSpPr>
        <cdr:cNvPr id="4" name="文本框 3"/>
        <cdr:cNvSpPr txBox="1"/>
      </cdr:nvSpPr>
      <cdr:spPr>
        <a:xfrm xmlns:a="http://schemas.openxmlformats.org/drawingml/2006/main">
          <a:off x="0" y="183775"/>
          <a:ext cx="986118" cy="1792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zh-CN" altLang="en-US" sz="900"/>
            <a:t>（百万人民币）</a:t>
          </a:r>
        </a:p>
      </cdr:txBody>
    </cdr:sp>
  </cdr:relSizeAnchor>
</c:userShapes>
</file>

<file path=xl/drawings/drawing38.xml><?xml version="1.0" encoding="utf-8"?>
<c:userShapes xmlns:c="http://schemas.openxmlformats.org/drawingml/2006/chart">
  <cdr:relSizeAnchor xmlns:cdr="http://schemas.openxmlformats.org/drawingml/2006/chartDrawing">
    <cdr:from>
      <cdr:x>0</cdr:x>
      <cdr:y>0.06424</cdr:y>
    </cdr:from>
    <cdr:to>
      <cdr:x>0.25625</cdr:x>
      <cdr:y>0.14063</cdr:y>
    </cdr:to>
    <cdr:sp macro="" textlink="">
      <cdr:nvSpPr>
        <cdr:cNvPr id="2" name="文本框 1"/>
        <cdr:cNvSpPr txBox="1"/>
      </cdr:nvSpPr>
      <cdr:spPr>
        <a:xfrm xmlns:a="http://schemas.openxmlformats.org/drawingml/2006/main">
          <a:off x="0" y="176213"/>
          <a:ext cx="1171575" cy="209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altLang="zh-CN" sz="800"/>
            <a:t>(</a:t>
          </a:r>
          <a:r>
            <a:rPr lang="zh-CN" altLang="en-US" sz="800"/>
            <a:t>百万人民币</a:t>
          </a:r>
          <a:r>
            <a:rPr lang="en-US" altLang="zh-CN" sz="800"/>
            <a:t>)</a:t>
          </a:r>
          <a:endParaRPr lang="zh-CN" altLang="en-US" sz="800"/>
        </a:p>
      </cdr:txBody>
    </cdr:sp>
  </cdr:relSizeAnchor>
</c:userShapes>
</file>

<file path=xl/drawings/drawing39.xml><?xml version="1.0" encoding="utf-8"?>
<xdr:wsDr xmlns:xdr="http://schemas.openxmlformats.org/drawingml/2006/spreadsheetDrawing" xmlns:a="http://schemas.openxmlformats.org/drawingml/2006/main">
  <xdr:twoCellAnchor>
    <xdr:from>
      <xdr:col>3</xdr:col>
      <xdr:colOff>75111</xdr:colOff>
      <xdr:row>13</xdr:row>
      <xdr:rowOff>155666</xdr:rowOff>
    </xdr:from>
    <xdr:to>
      <xdr:col>11</xdr:col>
      <xdr:colOff>585651</xdr:colOff>
      <xdr:row>27</xdr:row>
      <xdr:rowOff>155666</xdr:rowOff>
    </xdr:to>
    <xdr:graphicFrame macro="">
      <xdr:nvGraphicFramePr>
        <xdr:cNvPr id="2" name="图表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10887</xdr:colOff>
      <xdr:row>13</xdr:row>
      <xdr:rowOff>141513</xdr:rowOff>
    </xdr:from>
    <xdr:to>
      <xdr:col>21</xdr:col>
      <xdr:colOff>141515</xdr:colOff>
      <xdr:row>27</xdr:row>
      <xdr:rowOff>108856</xdr:rowOff>
    </xdr:to>
    <xdr:graphicFrame macro="">
      <xdr:nvGraphicFramePr>
        <xdr:cNvPr id="3" name="图表 2">
          <a:extLst>
            <a:ext uri="{FF2B5EF4-FFF2-40B4-BE49-F238E27FC236}">
              <a16:creationId xmlns:a16="http://schemas.microsoft.com/office/drawing/2014/main" id="{00000000-0008-0000-2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92525</xdr:colOff>
      <xdr:row>27</xdr:row>
      <xdr:rowOff>119743</xdr:rowOff>
    </xdr:from>
    <xdr:to>
      <xdr:col>11</xdr:col>
      <xdr:colOff>639535</xdr:colOff>
      <xdr:row>41</xdr:row>
      <xdr:rowOff>149679</xdr:rowOff>
    </xdr:to>
    <xdr:graphicFrame macro="">
      <xdr:nvGraphicFramePr>
        <xdr:cNvPr id="4" name="图表 3">
          <a:extLst>
            <a:ext uri="{FF2B5EF4-FFF2-40B4-BE49-F238E27FC236}">
              <a16:creationId xmlns:a16="http://schemas.microsoft.com/office/drawing/2014/main" id="{00000000-0008-0000-2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0.xml><?xml version="1.0" encoding="utf-8"?>
<c:userShapes xmlns:c="http://schemas.openxmlformats.org/drawingml/2006/chart">
  <cdr:relSizeAnchor xmlns:cdr="http://schemas.openxmlformats.org/drawingml/2006/chartDrawing">
    <cdr:from>
      <cdr:x>0.03718</cdr:x>
      <cdr:y>0.84657</cdr:y>
    </cdr:from>
    <cdr:to>
      <cdr:x>0.96221</cdr:x>
      <cdr:y>1</cdr:y>
    </cdr:to>
    <cdr:sp macro="" textlink="">
      <cdr:nvSpPr>
        <cdr:cNvPr id="2" name="TextBox 1"/>
        <cdr:cNvSpPr txBox="1"/>
      </cdr:nvSpPr>
      <cdr:spPr>
        <a:xfrm xmlns:a="http://schemas.openxmlformats.org/drawingml/2006/main">
          <a:off x="200298" y="2193290"/>
          <a:ext cx="4983480" cy="3975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altLang="zh-CN" sz="900" b="1"/>
            <a:t>Note: 1)</a:t>
          </a:r>
          <a:r>
            <a:rPr lang="en-US" altLang="zh-CN" sz="900" b="1" baseline="0"/>
            <a:t> </a:t>
          </a:r>
          <a:r>
            <a:rPr lang="en-US" altLang="zh-CN" sz="900"/>
            <a:t>Ctrip's Net Revenue</a:t>
          </a:r>
          <a:r>
            <a:rPr lang="en-US" altLang="zh-CN" sz="900" baseline="0"/>
            <a:t> vs. Priceline's Gross Profit vs. Expedia's Revenues</a:t>
          </a:r>
        </a:p>
        <a:p xmlns:a="http://schemas.openxmlformats.org/drawingml/2006/main">
          <a:r>
            <a:rPr lang="en-US" altLang="zh-CN" sz="900" baseline="0"/>
            <a:t>            2) Ctrip consolidated Qunar's  financial results in 2016</a:t>
          </a:r>
          <a:endParaRPr lang="zh-CN" altLang="en-US" sz="900"/>
        </a:p>
      </cdr:txBody>
    </cdr:sp>
  </cdr:relSizeAnchor>
</c:userShapes>
</file>

<file path=xl/drawings/drawing41.xml><?xml version="1.0" encoding="utf-8"?>
<c:userShapes xmlns:c="http://schemas.openxmlformats.org/drawingml/2006/chart">
  <cdr:relSizeAnchor xmlns:cdr="http://schemas.openxmlformats.org/drawingml/2006/chartDrawing">
    <cdr:from>
      <cdr:x>0.03811</cdr:x>
      <cdr:y>0.81277</cdr:y>
    </cdr:from>
    <cdr:to>
      <cdr:x>0.92532</cdr:x>
      <cdr:y>0.97241</cdr:y>
    </cdr:to>
    <cdr:sp macro="" textlink="">
      <cdr:nvSpPr>
        <cdr:cNvPr id="2" name="TextBox 1"/>
        <cdr:cNvSpPr txBox="1"/>
      </cdr:nvSpPr>
      <cdr:spPr>
        <a:xfrm xmlns:a="http://schemas.openxmlformats.org/drawingml/2006/main">
          <a:off x="214086" y="2079173"/>
          <a:ext cx="4983480" cy="40839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zh-CN" sz="900" b="1"/>
            <a:t>Note:</a:t>
          </a:r>
          <a:r>
            <a:rPr lang="en-US" altLang="zh-CN" sz="900" b="0"/>
            <a:t> 1) </a:t>
          </a:r>
          <a:r>
            <a:rPr lang="en-US" altLang="zh-CN" sz="900"/>
            <a:t>Non-GAAP OP</a:t>
          </a:r>
          <a:r>
            <a:rPr lang="en-US" altLang="zh-CN" sz="900" baseline="0"/>
            <a:t> = GAAP Operating Profit + SBC charges</a:t>
          </a:r>
        </a:p>
        <a:p xmlns:a="http://schemas.openxmlformats.org/drawingml/2006/main">
          <a:r>
            <a:rPr lang="en-US" altLang="zh-CN" sz="900" baseline="0"/>
            <a:t>            2) Ctrip consolidated Qunar's financial results in 2016</a:t>
          </a:r>
        </a:p>
        <a:p xmlns:a="http://schemas.openxmlformats.org/drawingml/2006/main">
          <a:r>
            <a:rPr lang="en-US" altLang="zh-CN" sz="900" baseline="0"/>
            <a:t>            3) Priceline regogized a one-time impariment loss of OpenTable in 16Q3</a:t>
          </a:r>
          <a:endParaRPr lang="zh-CN" altLang="en-US" sz="900"/>
        </a:p>
      </cdr:txBody>
    </cdr:sp>
  </cdr:relSizeAnchor>
</c:userShapes>
</file>

<file path=xl/drawings/drawing42.xml><?xml version="1.0" encoding="utf-8"?>
<c:userShapes xmlns:c="http://schemas.openxmlformats.org/drawingml/2006/chart">
  <cdr:relSizeAnchor xmlns:cdr="http://schemas.openxmlformats.org/drawingml/2006/chartDrawing">
    <cdr:from>
      <cdr:x>0.02159</cdr:x>
      <cdr:y>0.90323</cdr:y>
    </cdr:from>
    <cdr:to>
      <cdr:x>0.94831</cdr:x>
      <cdr:y>1</cdr:y>
    </cdr:to>
    <cdr:sp macro="" textlink="">
      <cdr:nvSpPr>
        <cdr:cNvPr id="2" name="TextBox 1"/>
        <cdr:cNvSpPr txBox="1"/>
      </cdr:nvSpPr>
      <cdr:spPr>
        <a:xfrm xmlns:a="http://schemas.openxmlformats.org/drawingml/2006/main">
          <a:off x="116114" y="2133600"/>
          <a:ext cx="4983480" cy="228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altLang="zh-CN" sz="900" b="1"/>
            <a:t>Note: </a:t>
          </a:r>
          <a:r>
            <a:rPr lang="en-US" altLang="zh-CN" sz="900" baseline="0"/>
            <a:t> 1) Ctrip consolidated Qunar's  financial results since 16Q1</a:t>
          </a:r>
        </a:p>
      </cdr:txBody>
    </cdr:sp>
  </cdr:relSizeAnchor>
</c:userShapes>
</file>

<file path=xl/drawings/drawing43.xml><?xml version="1.0" encoding="utf-8"?>
<xdr:wsDr xmlns:xdr="http://schemas.openxmlformats.org/drawingml/2006/spreadsheetDrawing" xmlns:a="http://schemas.openxmlformats.org/drawingml/2006/main">
  <xdr:twoCellAnchor>
    <xdr:from>
      <xdr:col>3</xdr:col>
      <xdr:colOff>371474</xdr:colOff>
      <xdr:row>1</xdr:row>
      <xdr:rowOff>95250</xdr:rowOff>
    </xdr:from>
    <xdr:to>
      <xdr:col>12</xdr:col>
      <xdr:colOff>361949</xdr:colOff>
      <xdr:row>22</xdr:row>
      <xdr:rowOff>4762</xdr:rowOff>
    </xdr:to>
    <xdr:graphicFrame macro="">
      <xdr:nvGraphicFramePr>
        <xdr:cNvPr id="2" name="图表 1">
          <a:extLst>
            <a:ext uri="{FF2B5EF4-FFF2-40B4-BE49-F238E27FC236}">
              <a16:creationId xmlns:a16="http://schemas.microsoft.com/office/drawing/2014/main" id="{00000000-0008-0000-2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qyan/Desktop/Peers%20data%20collection/CS_20190301_Tuniu%20Mode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f6e0944b1db2e68c/CTRP%20Work%20Sync/Company/Bookings/For%20internal/4Q18/CS_20190301_Tuniu%20Mode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Users/fqyan/Desktop/Peers%20data%20collection/CS_20190301_Tuniu%20Mode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SEN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E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SE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SEN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NDOWS/TEMP/EGR_vdf.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WINDOWS/TEMP/EGR_vdf.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WINDOWS\TEMP\EGR_vdf.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gr_model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rgr_model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rgr_model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DATA\Model\PF_GODA.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n1\ctrip\1&#20250;&#35745;\&#25658;&#31243;&#36153;&#29992;&#21033;&#28070;&#32771;&#26680;\2008&#24180;\0810\2008&#24180;10&#26376;&#36153;&#29992;&#39044;&#31639;&#23454;&#38469;%20-%20&#24191;&#24030;&#20998;&#20844;&#2149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Q:\TEMP\C.Lotus.Notes.Data\LU_mode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Bhincres01\Groups\Mkt_Dev\EXECMKTR\REPORTS\MONDAY\JUL94RI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NDOWS/TEMP/EGR_INC.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WINDOWS\TEMP\EGR_INC.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d.docs.live.net/WINDOWS/TEMP/EGR_INC.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EMP/salomd~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TEMP/salomd~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salomd~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NT/Profiles/peoppaue/Temporary%20Internet%20Files/Content.IE5/OZ4HURSX/RigDflt%20First%20Link(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d.docs.live.net/WINNT/Profiles/peoppaue/Temporary%20Internet%20Files/Content.IE5/OZ4HURSX/RigDflt%20First%20Link(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WINNT\Profiles\peoppaue\Temporary%20Internet%20Files\Content.IE5\OZ4HURSX\RigDflt%20First%20Link(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1&#20250;&#35745;\&#25658;&#31243;&#36153;&#29992;&#21033;&#28070;&#32771;&#26680;\2008&#24180;\0810\2008&#24180;10&#26376;&#36153;&#29992;&#39044;&#31639;&#23454;&#38469;%20-%20&#24191;&#24030;&#20998;&#20844;&#2149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sers/haowangb/Desktop/Latin%20America/Peers%20Data%20comparison_Sep%2003%202018.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jiaying_wu/Desktop/Peers%20Data%20comparison_2020%20Oct.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d.docs.live.net/Users/fqyan/Desktop/Peers%20data%20collection/Peers%20Data%20comparison_1218.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Users/yunmosun/Desktop/IR/21Q4/&#36130;&#21153;&#37096;/0309/Form%206-K%202021%20Q4.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Users/jiaying_wu/Desktop/&#23395;&#25253;/2022/22Q2/Form%206-K%202022%20Q2_EN%20819.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Users/jiaying_wu/Desktop/&#23395;&#25253;/2022/22Q3/&#21512;&#24182;&#32452;&#25552;&#20379;&#36164;&#26009;/Form%206-K%202022%20Q3-EN.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Users/jiaying_wu/Desktop/&#23395;&#25253;/2022/22Q4/Form%206-K%202022%20Q4%20-%20EN.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jiaying_wu/Desktop/&#23395;&#25253;/2023/23Q1/Form%206-K%202023%20Q1%20-%20EN.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Users/jiaying_wu/Desktop/&#23395;&#25253;/2024/24Q3/Quarterly%20analysis%202024%20Q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Users/jiaying_wu/Desktop/&#23395;&#25253;/2024/24Q4/Quarterly%20analysis%202024%20Q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Users/jiaying_wu/Desktop/&#23395;&#25253;/2025/25Q1/Quarterly%20analysis%202025%20Q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Users/shiyuantian.CN1/Documents/IR/0.&#23395;&#25253;/25Q2/ER/Form%206-K%202025%20Q2%20-%20EN%208.1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Users/yunmosun/Desktop/IR/21Q3/&#36130;&#21153;&#37096;/1201/Quarterly%20analysis%202021%20Q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sers/yunmosun/Desktop/IR/21Q4/&#36130;&#21153;&#37096;/0309/Quarterly%20analysis%202021%20Q4.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Users/jiaying_wu/Desktop/&#23395;&#25253;/2022/22Q1/Quarterly%20analysis%202022%20Q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jiaying_wu/Desktop/&#23395;&#25253;/2022/22Q2/Quarterly%20analysis%202022%20Q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Users/jiaying_wu/Desktop/&#23395;&#25253;/2022/22Q3/&#21512;&#24182;&#32452;&#25552;&#20379;&#36164;&#26009;/Quarterly%20analysis%202022%20Q3.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Users/jiaying_wu/AppData/Local/Microsoft/Windows/INetCache/Content.Outlook/JZP29F98/Quarterly%20analysis%202023%20Q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Users/jiaying_wu/Desktop/&#23395;&#25253;/2024/Quarterly%20analysis%202024%20Q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Users/jiaying_wu/Desktop/&#23395;&#25253;/2024/24Q2/Quarterly%20analysis%202024%20Q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jiaying_wu/Desktop/&#23395;&#25253;/2022/22Q2/Form%206-K%202022%20Q2_EN%20825.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Users/yunmosun/Desktop/IR/21Q3/&#36130;&#21153;&#37096;/1206/Earning%20release%20data%20-%202021%20Q3-1203-&#25171;&#21360;&#29256;.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Users/yunmosun/Desktop/IR/21Q4/&#36130;&#21153;&#37096;/0307/OP%20DATA%2021Q4-3.7.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Users/jiaying_wu/Desktop/&#23395;&#25253;/2022/22Q1/OP%20DATA%2022Q1%20-%200607%20V2.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Users/jiaying_wu/Desktop/&#23395;&#25253;/2022/22Q2/OP%20DATA%2022Q2%20-%200829.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jiaying_wu/Desktop/&#23395;&#25253;/2022/22Q3/OP%20DATA%2022Q3%20-%201114-&#26356;&#26032;basicshares.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Users/jiaying_wu/Desktop/&#23395;&#25253;/2022/22Q4/OP%20DATA%2022Q4-V0217-&#20027;&#35201;&#26356;&#26032;IBU+CF-BL-&#25171;&#21360;&#29256;.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Users/jiaying_wu/Desktop/&#23395;&#25253;/2023/23Q1/OP%20DATA%2023Q1-V0509.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Users/shiyuantian.CN1/Documents/IR/0.&#23395;&#25253;/25Q2/Peer%20Analysis/Appendix%2025Q2_0804.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Users/jiaying_wu/Desktop/&#23395;&#25253;/2024/OP%20DATA%2024Q1-0428-BL.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Users/jiaying_wu/Desktop/&#23395;&#25253;/2024/24Q2/OP%20DATA%2024Q2-0806-BL.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Users/jiaying_wu/Desktop/&#23395;&#25253;/2024/24Q3/OP%20DATA%2024Q3-1025-BL.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Users/jiaying_wu/Desktop/&#23395;&#25253;/2024/24Q4/OP%20DATA%2024Q4-V0126BL-DRAFT.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Users/jiaying_wu/Desktop/&#23395;&#25253;/2025/25Q1/OP%20DATA%2025Q1-V0430%20-%20Final%20Version.BL.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Users/shiyuantian.CN1/Documents/IR/0.&#23395;&#25253;/25Q2/OP%20DATA%2025Q2-V0730%20draft_BL.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jiaying_wu/Desktop/&#23395;&#25253;/2022/22Q4/Quarterly%20analysis%202022%20Q4.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Users/jiaying_wu/AppData/Local/Microsoft/Windows/INetCache/Content.Outlook/JZP29F98/Quarterly%20analysis%202023%20Q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Users/shiyuantian.CN1/Documents/IR/0.&#23395;&#25253;/25Q2/ER/Quarterly%20analysis%202025%20Q2_8.12.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Users/zy_ma/Desktop/2024/Q2/Q2%20Financial%20data/Quarterly%20analysis%202024%20Q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s://d.docs.live.net/Travel%20and%20media/Travel/Tuniu/Model/GS%20Tuniu%20Link.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C:\Users\iji\AppData\Roaming\RAVE\RAVE.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VE"/>
      <sheetName val="Cover"/>
      <sheetName val="Finanicals"/>
      <sheetName val="Assumptions"/>
      <sheetName val="C vs. T"/>
      <sheetName val="DCF"/>
      <sheetName val="Market share"/>
      <sheetName val="Result"/>
    </sheetNames>
    <sheetDataSet>
      <sheetData sheetId="0">
        <row r="8">
          <cell r="H8">
            <v>6</v>
          </cell>
        </row>
      </sheetData>
      <sheetData sheetId="1"/>
      <sheetData sheetId="2">
        <row r="14">
          <cell r="H14">
            <v>2192.114</v>
          </cell>
        </row>
      </sheetData>
      <sheetData sheetId="3">
        <row r="6">
          <cell r="AD6" t="str">
            <v>1Q17</v>
          </cell>
        </row>
      </sheetData>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VE"/>
      <sheetName val="Cover"/>
      <sheetName val="Finanicals"/>
      <sheetName val="Assumptions"/>
      <sheetName val="C vs. T"/>
      <sheetName val="DCF"/>
      <sheetName val="Market share"/>
      <sheetName val="Result"/>
    </sheetNames>
    <sheetDataSet>
      <sheetData sheetId="0">
        <row r="8">
          <cell r="H8">
            <v>6</v>
          </cell>
        </row>
      </sheetData>
      <sheetData sheetId="1"/>
      <sheetData sheetId="2">
        <row r="14">
          <cell r="H14">
            <v>2192.114</v>
          </cell>
        </row>
      </sheetData>
      <sheetData sheetId="3">
        <row r="6">
          <cell r="AD6" t="str">
            <v>1Q17</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VE"/>
      <sheetName val="Cover"/>
      <sheetName val="Finanicals"/>
      <sheetName val="Assumptions"/>
      <sheetName val="C vs. T"/>
      <sheetName val="DCF"/>
      <sheetName val="Market share"/>
      <sheetName val="Result"/>
    </sheetNames>
    <sheetDataSet>
      <sheetData sheetId="0">
        <row r="8">
          <cell r="H8">
            <v>6</v>
          </cell>
        </row>
      </sheetData>
      <sheetData sheetId="1"/>
      <sheetData sheetId="2">
        <row r="14">
          <cell r="H14">
            <v>2192.114</v>
          </cell>
          <cell r="I14">
            <v>2186.98247718422</v>
          </cell>
          <cell r="J14">
            <v>2545.9755812459398</v>
          </cell>
        </row>
        <row r="30">
          <cell r="H30">
            <v>-643.24900000000002</v>
          </cell>
          <cell r="I30">
            <v>-192.23452281578099</v>
          </cell>
          <cell r="J30">
            <v>-96.159534874756702</v>
          </cell>
        </row>
        <row r="38">
          <cell r="H38">
            <v>-15.625</v>
          </cell>
          <cell r="I38">
            <v>-0.153</v>
          </cell>
          <cell r="J38">
            <v>0</v>
          </cell>
        </row>
        <row r="61">
          <cell r="P61">
            <v>419.40283499999998</v>
          </cell>
          <cell r="Q61">
            <v>0</v>
          </cell>
          <cell r="R61">
            <v>1195.931456</v>
          </cell>
          <cell r="S61">
            <v>650.38904400000001</v>
          </cell>
          <cell r="T61">
            <v>1457.7223759999999</v>
          </cell>
          <cell r="U61">
            <v>1174.121594</v>
          </cell>
          <cell r="V61">
            <v>3145.3606329999998</v>
          </cell>
          <cell r="W61">
            <v>2615.3596670000002</v>
          </cell>
          <cell r="X61">
            <v>2101.2170000000001</v>
          </cell>
        </row>
        <row r="107">
          <cell r="H107">
            <v>65.703999999999994</v>
          </cell>
          <cell r="I107">
            <v>83.963270817468498</v>
          </cell>
          <cell r="J107">
            <v>94.377539999999996</v>
          </cell>
        </row>
        <row r="115">
          <cell r="H115">
            <v>-12.105</v>
          </cell>
          <cell r="I115">
            <v>-233.04300000000001</v>
          </cell>
          <cell r="J115">
            <v>64.963199999999702</v>
          </cell>
        </row>
        <row r="121">
          <cell r="H121">
            <v>-160.49700000000001</v>
          </cell>
          <cell r="I121">
            <v>-150</v>
          </cell>
          <cell r="J121">
            <v>-180</v>
          </cell>
        </row>
        <row r="150">
          <cell r="B150">
            <v>343.630808</v>
          </cell>
          <cell r="C150">
            <v>336.11253599999998</v>
          </cell>
          <cell r="D150">
            <v>755.65283499999998</v>
          </cell>
          <cell r="E150">
            <v>1970.3223760000001</v>
          </cell>
          <cell r="F150">
            <v>3666.6289999999999</v>
          </cell>
          <cell r="G150">
            <v>4813.2939999999999</v>
          </cell>
          <cell r="J150">
            <v>4525.2895520496804</v>
          </cell>
          <cell r="X150">
            <v>3666.6289999999999</v>
          </cell>
          <cell r="Y150">
            <v>5683.5029999999997</v>
          </cell>
          <cell r="Z150">
            <v>5938.018</v>
          </cell>
          <cell r="AA150">
            <v>5509.4</v>
          </cell>
          <cell r="AB150">
            <v>4813.2939999999999</v>
          </cell>
        </row>
        <row r="152">
          <cell r="H152">
            <v>6.3268000000000004</v>
          </cell>
          <cell r="I152">
            <v>6.6140237547892697</v>
          </cell>
        </row>
        <row r="159">
          <cell r="H159">
            <v>123.071955</v>
          </cell>
          <cell r="I159">
            <v>123.071955</v>
          </cell>
          <cell r="J159">
            <v>123.071955</v>
          </cell>
        </row>
      </sheetData>
      <sheetData sheetId="3">
        <row r="6">
          <cell r="AD6" t="str">
            <v>1Q17</v>
          </cell>
          <cell r="AE6" t="str">
            <v>2Q17</v>
          </cell>
          <cell r="AF6" t="str">
            <v>3Q17</v>
          </cell>
          <cell r="AG6" t="str">
            <v>4Q17</v>
          </cell>
          <cell r="AH6" t="str">
            <v>1Q18</v>
          </cell>
          <cell r="AI6" t="str">
            <v>2Q18</v>
          </cell>
          <cell r="AJ6" t="str">
            <v>3Q18</v>
          </cell>
          <cell r="AK6" t="str">
            <v>4Q18</v>
          </cell>
        </row>
        <row r="33">
          <cell r="E33">
            <v>4966.6442908579502</v>
          </cell>
        </row>
        <row r="40">
          <cell r="A40" t="str">
            <v>Total GMV</v>
          </cell>
          <cell r="F40">
            <v>12100.9036144578</v>
          </cell>
          <cell r="G40">
            <v>20087.5</v>
          </cell>
          <cell r="H40">
            <v>26256.733963857099</v>
          </cell>
          <cell r="I40">
            <v>26586.726921932499</v>
          </cell>
          <cell r="J40">
            <v>28366.779955288101</v>
          </cell>
          <cell r="K40">
            <v>30675.496391417699</v>
          </cell>
          <cell r="AD40">
            <v>5449.3308280000001</v>
          </cell>
          <cell r="AE40">
            <v>5746.0084568000002</v>
          </cell>
          <cell r="AF40">
            <v>9426.9305724575206</v>
          </cell>
          <cell r="AG40">
            <v>5634.4641065995602</v>
          </cell>
          <cell r="AH40">
            <v>5695.8034045368004</v>
          </cell>
          <cell r="AI40">
            <v>6241.5592722392803</v>
          </cell>
          <cell r="AJ40">
            <v>8988.9739016308704</v>
          </cell>
          <cell r="AK40">
            <v>5660.3903435255097</v>
          </cell>
        </row>
        <row r="41">
          <cell r="A41" t="str">
            <v>YoY % chg</v>
          </cell>
          <cell r="AD41">
            <v>0.36660334244514098</v>
          </cell>
          <cell r="AE41">
            <v>0.27689076817777802</v>
          </cell>
          <cell r="AF41">
            <v>0.32773670034613001</v>
          </cell>
          <cell r="AG41">
            <v>0.25210313479990298</v>
          </cell>
          <cell r="AH41">
            <v>4.52298794689363E-2</v>
          </cell>
          <cell r="AI41">
            <v>8.6242618535103496E-2</v>
          </cell>
          <cell r="AJ41">
            <v>-4.6458035037005498E-2</v>
          </cell>
          <cell r="AK41">
            <v>4.6013669508664402E-3</v>
          </cell>
        </row>
        <row r="54">
          <cell r="B54">
            <v>751.38800000000003</v>
          </cell>
          <cell r="C54">
            <v>1075.0940439999999</v>
          </cell>
          <cell r="D54">
            <v>1892.8261279999999</v>
          </cell>
          <cell r="E54">
            <v>3432.8249999999998</v>
          </cell>
          <cell r="F54">
            <v>7358.8789999999999</v>
          </cell>
          <cell r="G54">
            <v>9926.6280000000006</v>
          </cell>
          <cell r="N54">
            <v>353.06599999999997</v>
          </cell>
          <cell r="O54">
            <v>374.714046</v>
          </cell>
          <cell r="P54">
            <v>690.19152399999996</v>
          </cell>
          <cell r="Q54">
            <v>474.854356</v>
          </cell>
          <cell r="R54">
            <v>554.08973300000002</v>
          </cell>
          <cell r="S54">
            <v>696.74443099999996</v>
          </cell>
          <cell r="T54">
            <v>1285.951777</v>
          </cell>
          <cell r="U54">
            <v>896.03953899999999</v>
          </cell>
          <cell r="V54">
            <v>1201.3724259999999</v>
          </cell>
          <cell r="W54">
            <v>1466.4668039999999</v>
          </cell>
          <cell r="X54">
            <v>2886.591085</v>
          </cell>
          <cell r="Y54">
            <v>1804.4486850000001</v>
          </cell>
          <cell r="Z54">
            <v>1914.9559999999999</v>
          </cell>
          <cell r="AA54">
            <v>2213.3240000000001</v>
          </cell>
          <cell r="AB54">
            <v>3850.23</v>
          </cell>
          <cell r="AC54">
            <v>1948.1179999999999</v>
          </cell>
          <cell r="AD54">
            <v>2514.3372279999999</v>
          </cell>
          <cell r="AE54">
            <v>2727.2578328</v>
          </cell>
          <cell r="AF54">
            <v>4758.8842800000002</v>
          </cell>
          <cell r="AG54">
            <v>1945.0010112</v>
          </cell>
          <cell r="AH54">
            <v>2641.5626917367999</v>
          </cell>
          <cell r="AI54">
            <v>3005.7108575288798</v>
          </cell>
          <cell r="AJ54">
            <v>4852.634300316</v>
          </cell>
          <cell r="AK54">
            <v>1937.84574772424</v>
          </cell>
        </row>
        <row r="56">
          <cell r="H56">
            <v>1075.5718602136001</v>
          </cell>
          <cell r="I56">
            <v>1206.4620989386699</v>
          </cell>
          <cell r="J56">
            <v>1465.2917512986101</v>
          </cell>
          <cell r="K56">
            <v>1744.6030007643301</v>
          </cell>
        </row>
        <row r="59">
          <cell r="B59">
            <v>17.559000000000001</v>
          </cell>
          <cell r="C59">
            <v>32.359164</v>
          </cell>
          <cell r="D59">
            <v>48.900512999999997</v>
          </cell>
          <cell r="E59">
            <v>93.126000000000005</v>
          </cell>
          <cell r="F59">
            <v>194.16200000000001</v>
          </cell>
          <cell r="G59">
            <v>253.34899999999999</v>
          </cell>
          <cell r="H59">
            <v>513.82713978640004</v>
          </cell>
          <cell r="I59">
            <v>571.00137824554497</v>
          </cell>
          <cell r="J59">
            <v>656.77307463732302</v>
          </cell>
          <cell r="K59">
            <v>795.85134092252201</v>
          </cell>
          <cell r="N59">
            <v>15.48</v>
          </cell>
          <cell r="O59">
            <v>10.220280000000001</v>
          </cell>
          <cell r="P59">
            <v>15.919199000000001</v>
          </cell>
          <cell r="Q59">
            <v>7.281034</v>
          </cell>
          <cell r="R59">
            <v>22.795794999999998</v>
          </cell>
          <cell r="S59">
            <v>16.519318999999999</v>
          </cell>
          <cell r="T59">
            <v>25.200157000000001</v>
          </cell>
          <cell r="U59">
            <v>28.610275000000001</v>
          </cell>
          <cell r="V59">
            <v>40.407127000000003</v>
          </cell>
          <cell r="W59">
            <v>34.583278999999997</v>
          </cell>
          <cell r="X59">
            <v>66.973785000000007</v>
          </cell>
          <cell r="Y59">
            <v>52.197808999999999</v>
          </cell>
          <cell r="Z59">
            <v>62.302999999999997</v>
          </cell>
          <cell r="AA59">
            <v>67.063000000000002</v>
          </cell>
          <cell r="AB59">
            <v>67.397999999999996</v>
          </cell>
          <cell r="AC59">
            <v>56.585000000000001</v>
          </cell>
          <cell r="AD59">
            <v>117.08596334000001</v>
          </cell>
          <cell r="AE59">
            <v>115.6688577104</v>
          </cell>
          <cell r="AF59">
            <v>175.7474148</v>
          </cell>
          <cell r="AG59">
            <v>105.324903936</v>
          </cell>
          <cell r="AH59">
            <v>159.655232360214</v>
          </cell>
          <cell r="AI59">
            <v>152.06646853475601</v>
          </cell>
          <cell r="AJ59">
            <v>171.72274146998001</v>
          </cell>
          <cell r="AK59">
            <v>140.72345869637499</v>
          </cell>
        </row>
        <row r="64">
          <cell r="B64">
            <v>2.6669999999999998</v>
          </cell>
          <cell r="C64">
            <v>12.874316</v>
          </cell>
          <cell r="D64">
            <v>20.744091999999998</v>
          </cell>
          <cell r="E64">
            <v>28.756</v>
          </cell>
          <cell r="F64">
            <v>127.745</v>
          </cell>
          <cell r="N64">
            <v>3.6219999999999999</v>
          </cell>
          <cell r="O64">
            <v>4.8103220000000002</v>
          </cell>
          <cell r="P64">
            <v>5.3304720000000003</v>
          </cell>
          <cell r="Q64">
            <v>6.9811719999999999</v>
          </cell>
          <cell r="R64">
            <v>5.4551090000000002</v>
          </cell>
          <cell r="S64">
            <v>6.8277679999999998</v>
          </cell>
          <cell r="T64">
            <v>7.6214110000000002</v>
          </cell>
          <cell r="U64">
            <v>8.8520579999999995</v>
          </cell>
          <cell r="V64">
            <v>11.195373</v>
          </cell>
          <cell r="W64">
            <v>24.660592999999999</v>
          </cell>
          <cell r="X64">
            <v>44.591939000000004</v>
          </cell>
          <cell r="Y64">
            <v>47.297094999999999</v>
          </cell>
          <cell r="Z64">
            <v>67.948999999999998</v>
          </cell>
          <cell r="AA64">
            <v>85.656999999999996</v>
          </cell>
          <cell r="AB64">
            <v>130.04499999999999</v>
          </cell>
          <cell r="AC64">
            <v>101.952</v>
          </cell>
          <cell r="AD64">
            <v>0</v>
          </cell>
          <cell r="AG64">
            <v>0</v>
          </cell>
          <cell r="AH64">
            <v>0</v>
          </cell>
          <cell r="AI64">
            <v>0</v>
          </cell>
          <cell r="AJ64">
            <v>0</v>
          </cell>
          <cell r="AK64">
            <v>0</v>
          </cell>
        </row>
        <row r="66">
          <cell r="G66">
            <v>385.60300000000001</v>
          </cell>
          <cell r="H66">
            <v>602.71500000000003</v>
          </cell>
          <cell r="I66">
            <v>409.51900000000001</v>
          </cell>
          <cell r="J66">
            <v>423.91075531001002</v>
          </cell>
          <cell r="K66">
            <v>445.10629307551</v>
          </cell>
        </row>
        <row r="70">
          <cell r="G70">
            <v>1447.5820000000001</v>
          </cell>
        </row>
        <row r="78">
          <cell r="B78">
            <v>-6.0709999999999997</v>
          </cell>
          <cell r="C78">
            <v>-7.4469440000000002</v>
          </cell>
          <cell r="D78">
            <v>-12.783319000000001</v>
          </cell>
          <cell r="E78">
            <v>-19.768000000000001</v>
          </cell>
          <cell r="F78">
            <v>-35.526000000000003</v>
          </cell>
          <cell r="G78">
            <v>-17.306999999999999</v>
          </cell>
          <cell r="H78">
            <v>0</v>
          </cell>
          <cell r="I78">
            <v>0</v>
          </cell>
          <cell r="J78">
            <v>0</v>
          </cell>
          <cell r="K78">
            <v>0</v>
          </cell>
          <cell r="N78">
            <v>-2.8530000000000002</v>
          </cell>
          <cell r="O78">
            <v>-2.393567</v>
          </cell>
          <cell r="P78">
            <v>-4.8305309999999997</v>
          </cell>
          <cell r="Q78">
            <v>-2.7061500000000001</v>
          </cell>
          <cell r="R78">
            <v>-4.1671659999999999</v>
          </cell>
          <cell r="S78">
            <v>-3.7292960000000002</v>
          </cell>
          <cell r="T78">
            <v>-7.0683389999999999</v>
          </cell>
          <cell r="U78">
            <v>-4.8033919999999997</v>
          </cell>
          <cell r="V78">
            <v>-4.7471370000000004</v>
          </cell>
          <cell r="W78">
            <v>-7.479031</v>
          </cell>
          <cell r="X78">
            <v>-14.563243</v>
          </cell>
          <cell r="Y78">
            <v>-8.7368020000000008</v>
          </cell>
          <cell r="Z78">
            <v>-13.552</v>
          </cell>
          <cell r="AA78">
            <v>-3.7549999999999999</v>
          </cell>
          <cell r="AB78">
            <v>0</v>
          </cell>
          <cell r="AC78">
            <v>0</v>
          </cell>
          <cell r="AD78">
            <v>0</v>
          </cell>
          <cell r="AE78">
            <v>0</v>
          </cell>
          <cell r="AF78">
            <v>0</v>
          </cell>
          <cell r="AG78">
            <v>0</v>
          </cell>
          <cell r="AH78">
            <v>0</v>
          </cell>
          <cell r="AI78">
            <v>0</v>
          </cell>
          <cell r="AJ78">
            <v>0</v>
          </cell>
          <cell r="AK78">
            <v>0</v>
          </cell>
        </row>
        <row r="85">
          <cell r="B85">
            <v>-741.71600000000001</v>
          </cell>
          <cell r="C85">
            <v>-1073.7316290000001</v>
          </cell>
          <cell r="D85">
            <v>-1829.6653859999999</v>
          </cell>
          <cell r="E85">
            <v>-3308.0010000000002</v>
          </cell>
          <cell r="F85">
            <v>-7273.598</v>
          </cell>
          <cell r="G85">
            <v>-9955.6049999999996</v>
          </cell>
          <cell r="N85">
            <v>-342.89</v>
          </cell>
          <cell r="O85">
            <v>-356.88007900000002</v>
          </cell>
          <cell r="P85">
            <v>-660.86733400000003</v>
          </cell>
          <cell r="Q85">
            <v>-469.02741700000001</v>
          </cell>
          <cell r="R85">
            <v>-535.87958600000002</v>
          </cell>
          <cell r="S85">
            <v>-674.31793000000005</v>
          </cell>
          <cell r="T85">
            <v>-1231.47345</v>
          </cell>
          <cell r="U85">
            <v>-867.12983099999997</v>
          </cell>
          <cell r="V85">
            <v>-1197.2413570000001</v>
          </cell>
          <cell r="W85">
            <v>-1446.475062</v>
          </cell>
          <cell r="X85">
            <v>-2815.401535</v>
          </cell>
          <cell r="Y85">
            <v>-1814.4800459999999</v>
          </cell>
          <cell r="Z85">
            <v>-1979.741</v>
          </cell>
          <cell r="AA85">
            <v>-2241.4589999999998</v>
          </cell>
          <cell r="AB85">
            <v>-3811.9290000000001</v>
          </cell>
          <cell r="AC85">
            <v>-1922.4760000000001</v>
          </cell>
          <cell r="AD85">
            <v>-2479.8911913400002</v>
          </cell>
          <cell r="AE85">
            <v>-2722.8566905103999</v>
          </cell>
          <cell r="AF85">
            <v>-4695.5626947999999</v>
          </cell>
          <cell r="AG85">
            <v>-1994.6959151359999</v>
          </cell>
          <cell r="AH85">
            <v>-2616.2189240970101</v>
          </cell>
          <cell r="AI85">
            <v>-2994.39332606364</v>
          </cell>
          <cell r="AJ85">
            <v>-4762.6420417859799</v>
          </cell>
          <cell r="AK85">
            <v>-1921.5762064206101</v>
          </cell>
        </row>
        <row r="86">
          <cell r="H86">
            <v>-1023.098</v>
          </cell>
          <cell r="I86">
            <v>-1063.539</v>
          </cell>
          <cell r="J86">
            <v>-1171.1487673731301</v>
          </cell>
          <cell r="K86">
            <v>-1313.64667929544</v>
          </cell>
        </row>
        <row r="103">
          <cell r="B103">
            <v>-21.385999999999999</v>
          </cell>
          <cell r="C103">
            <v>-33.369748999999999</v>
          </cell>
          <cell r="D103">
            <v>-38.994362000000002</v>
          </cell>
          <cell r="E103">
            <v>-102.90900000000001</v>
          </cell>
          <cell r="F103">
            <v>-293.94600000000003</v>
          </cell>
          <cell r="G103">
            <v>-593.95299999999997</v>
          </cell>
          <cell r="H103">
            <v>-532.71500000000003</v>
          </cell>
          <cell r="I103">
            <v>-304.31200000000001</v>
          </cell>
          <cell r="J103">
            <v>-343.70670346820202</v>
          </cell>
          <cell r="K103">
            <v>-417.97848886673103</v>
          </cell>
          <cell r="N103">
            <v>-8.0820000000000007</v>
          </cell>
          <cell r="O103">
            <v>-7.6190949999999997</v>
          </cell>
          <cell r="P103">
            <v>-9.2998849999999997</v>
          </cell>
          <cell r="Q103">
            <v>-13.993553</v>
          </cell>
          <cell r="R103">
            <v>-16.976928000000001</v>
          </cell>
          <cell r="S103">
            <v>-20.244319000000001</v>
          </cell>
          <cell r="T103">
            <v>-27.444405</v>
          </cell>
          <cell r="U103">
            <v>-38.244228</v>
          </cell>
          <cell r="V103">
            <v>-42.802106999999999</v>
          </cell>
          <cell r="W103">
            <v>-60.665165000000002</v>
          </cell>
          <cell r="X103">
            <v>-85.995779999999996</v>
          </cell>
          <cell r="Y103">
            <v>-104.482742</v>
          </cell>
          <cell r="Z103">
            <v>-120.12</v>
          </cell>
          <cell r="AA103">
            <v>-139.571</v>
          </cell>
          <cell r="AB103">
            <v>-166.24700000000001</v>
          </cell>
          <cell r="AC103">
            <v>-168.01499999999999</v>
          </cell>
          <cell r="AD103">
            <v>-157.221</v>
          </cell>
          <cell r="AE103">
            <v>-144.447</v>
          </cell>
          <cell r="AF103">
            <v>-121.57</v>
          </cell>
          <cell r="AG103">
            <v>-109.477</v>
          </cell>
          <cell r="AH103">
            <v>-82.394999999999996</v>
          </cell>
          <cell r="AI103">
            <v>-74.744</v>
          </cell>
          <cell r="AJ103">
            <v>-74.081000000000003</v>
          </cell>
          <cell r="AK103">
            <v>-73.091999999999999</v>
          </cell>
        </row>
        <row r="109">
          <cell r="B109">
            <v>-50.588999999999999</v>
          </cell>
          <cell r="C109">
            <v>-57.993819000000002</v>
          </cell>
          <cell r="D109">
            <v>-110.070612</v>
          </cell>
          <cell r="E109">
            <v>-433.334</v>
          </cell>
          <cell r="F109">
            <v>-1097.8689999999999</v>
          </cell>
          <cell r="G109">
            <v>-1768.077</v>
          </cell>
          <cell r="H109">
            <v>-755.85</v>
          </cell>
          <cell r="I109">
            <v>-640.53899999999999</v>
          </cell>
          <cell r="J109">
            <v>-738.33291856132303</v>
          </cell>
          <cell r="K109">
            <v>-865.81258408108499</v>
          </cell>
          <cell r="N109">
            <v>-13.005000000000001</v>
          </cell>
          <cell r="O109">
            <v>-19.251024999999998</v>
          </cell>
          <cell r="P109">
            <v>-39.432685999999997</v>
          </cell>
          <cell r="Q109">
            <v>-38.381824000000002</v>
          </cell>
          <cell r="R109">
            <v>-73.479566000000005</v>
          </cell>
          <cell r="S109">
            <v>-96.232837000000004</v>
          </cell>
          <cell r="T109">
            <v>-120.6639</v>
          </cell>
          <cell r="U109">
            <v>-142.95792800000001</v>
          </cell>
          <cell r="V109">
            <v>-189.42135099999999</v>
          </cell>
          <cell r="W109">
            <v>-230.633467</v>
          </cell>
          <cell r="X109">
            <v>-320.07783899999998</v>
          </cell>
          <cell r="Y109">
            <v>-357.736581</v>
          </cell>
          <cell r="Z109">
            <v>-350.077</v>
          </cell>
          <cell r="AA109">
            <v>-588.85799999999995</v>
          </cell>
          <cell r="AB109">
            <v>-465.46300000000002</v>
          </cell>
          <cell r="AC109">
            <v>-366.226</v>
          </cell>
          <cell r="AD109">
            <v>-219.11600000000001</v>
          </cell>
          <cell r="AE109">
            <v>-187.298</v>
          </cell>
          <cell r="AF109">
            <v>-190.1</v>
          </cell>
          <cell r="AG109">
            <v>-159.33600000000001</v>
          </cell>
          <cell r="AH109">
            <v>-151.85300000000001</v>
          </cell>
          <cell r="AI109">
            <v>-139.244</v>
          </cell>
          <cell r="AJ109">
            <v>-174.84399999999999</v>
          </cell>
          <cell r="AK109">
            <v>-174.59800000000001</v>
          </cell>
        </row>
        <row r="115">
          <cell r="B115">
            <v>-53.877000000000002</v>
          </cell>
          <cell r="C115">
            <v>-62.005515000000003</v>
          </cell>
          <cell r="D115">
            <v>-69.678933000000001</v>
          </cell>
          <cell r="E115">
            <v>-131.44399999999999</v>
          </cell>
          <cell r="F115">
            <v>-325.142</v>
          </cell>
          <cell r="G115">
            <v>-570.63099999999997</v>
          </cell>
          <cell r="H115">
            <v>-545.44600000000003</v>
          </cell>
          <cell r="I115">
            <v>-427.42599999999999</v>
          </cell>
          <cell r="J115">
            <v>-445.54572671803999</v>
          </cell>
          <cell r="K115">
            <v>-477.68970156197798</v>
          </cell>
          <cell r="N115">
            <v>-13.260999999999999</v>
          </cell>
          <cell r="O115">
            <v>-14.774912</v>
          </cell>
          <cell r="P115">
            <v>-17.027384999999999</v>
          </cell>
          <cell r="Q115">
            <v>-24.615701999999999</v>
          </cell>
          <cell r="R115">
            <v>-19.737451</v>
          </cell>
          <cell r="S115">
            <v>-25.48404</v>
          </cell>
          <cell r="T115">
            <v>-37.268751000000002</v>
          </cell>
          <cell r="U115">
            <v>-48.953119999999998</v>
          </cell>
          <cell r="V115">
            <v>-50.244419000000001</v>
          </cell>
          <cell r="W115">
            <v>-62.497241000000002</v>
          </cell>
          <cell r="X115">
            <v>-86.335065999999998</v>
          </cell>
          <cell r="Y115">
            <v>-126.065933</v>
          </cell>
          <cell r="Z115">
            <v>-122.71</v>
          </cell>
          <cell r="AA115">
            <v>-119.31</v>
          </cell>
          <cell r="AB115">
            <v>-147.73400000000001</v>
          </cell>
          <cell r="AC115">
            <v>-180.87700000000001</v>
          </cell>
          <cell r="AD115">
            <v>-127.367</v>
          </cell>
          <cell r="AE115">
            <v>-144.898</v>
          </cell>
          <cell r="AF115">
            <v>-136.547</v>
          </cell>
          <cell r="AG115">
            <v>-136.63399999999999</v>
          </cell>
          <cell r="AH115">
            <v>-103.123</v>
          </cell>
          <cell r="AI115">
            <v>-106.051</v>
          </cell>
          <cell r="AJ115">
            <v>-107.42400000000001</v>
          </cell>
          <cell r="AK115">
            <v>-110.828</v>
          </cell>
        </row>
        <row r="121">
          <cell r="B121">
            <v>0</v>
          </cell>
          <cell r="C121">
            <v>0</v>
          </cell>
          <cell r="D121">
            <v>0</v>
          </cell>
          <cell r="E121">
            <v>-38.372999999999998</v>
          </cell>
          <cell r="F121">
            <v>-64.358000000000004</v>
          </cell>
          <cell r="G121">
            <v>-91.528000000000006</v>
          </cell>
          <cell r="H121">
            <v>-97.6</v>
          </cell>
          <cell r="I121">
            <v>-66.885000000000005</v>
          </cell>
          <cell r="J121">
            <v>-76.379267437378303</v>
          </cell>
          <cell r="K121">
            <v>-89.566819042870904</v>
          </cell>
          <cell r="N121">
            <v>0</v>
          </cell>
          <cell r="O121">
            <v>0</v>
          </cell>
          <cell r="P121">
            <v>0</v>
          </cell>
          <cell r="Q121">
            <v>0</v>
          </cell>
          <cell r="R121">
            <v>0</v>
          </cell>
          <cell r="S121">
            <v>-18.331384</v>
          </cell>
          <cell r="T121">
            <v>-9.1507500000000004</v>
          </cell>
          <cell r="U121">
            <v>-10.890663999999999</v>
          </cell>
          <cell r="V121">
            <v>-12.707164000000001</v>
          </cell>
          <cell r="W121">
            <v>-11.604544000000001</v>
          </cell>
          <cell r="X121">
            <v>-17.776712</v>
          </cell>
          <cell r="Y121">
            <v>-22.269580000000001</v>
          </cell>
          <cell r="Z121">
            <v>-21.28</v>
          </cell>
          <cell r="AA121">
            <v>-23.149000000000001</v>
          </cell>
          <cell r="AB121">
            <v>-21.314</v>
          </cell>
          <cell r="AC121">
            <v>-25.785</v>
          </cell>
          <cell r="AD121">
            <v>-25.399000000000001</v>
          </cell>
          <cell r="AE121">
            <v>-22.585999999999999</v>
          </cell>
          <cell r="AF121">
            <v>-31.001000000000001</v>
          </cell>
          <cell r="AG121">
            <v>-18.614000000000001</v>
          </cell>
          <cell r="AH121">
            <v>-11.784000000000001</v>
          </cell>
          <cell r="AI121">
            <v>-24.617000000000001</v>
          </cell>
          <cell r="AJ121">
            <v>-19.077000000000002</v>
          </cell>
          <cell r="AK121">
            <v>-11.407</v>
          </cell>
        </row>
        <row r="126">
          <cell r="B126">
            <v>0</v>
          </cell>
          <cell r="C126">
            <v>0</v>
          </cell>
          <cell r="D126">
            <v>0</v>
          </cell>
          <cell r="E126">
            <v>0</v>
          </cell>
          <cell r="F126">
            <v>-56.481000000000002</v>
          </cell>
          <cell r="G126">
            <v>-141.709</v>
          </cell>
          <cell r="H126">
            <v>-141.52099999999999</v>
          </cell>
          <cell r="I126">
            <v>-141.55799999999999</v>
          </cell>
          <cell r="J126">
            <v>-141.55799999999999</v>
          </cell>
          <cell r="K126">
            <v>-141.55799999999999</v>
          </cell>
          <cell r="N126">
            <v>0</v>
          </cell>
          <cell r="O126">
            <v>0</v>
          </cell>
          <cell r="P126">
            <v>0</v>
          </cell>
          <cell r="Q126">
            <v>0</v>
          </cell>
          <cell r="R126">
            <v>0</v>
          </cell>
          <cell r="S126">
            <v>0</v>
          </cell>
          <cell r="T126">
            <v>0</v>
          </cell>
          <cell r="U126">
            <v>0</v>
          </cell>
          <cell r="V126">
            <v>0</v>
          </cell>
          <cell r="W126">
            <v>-0.75832900000000003</v>
          </cell>
          <cell r="X126">
            <v>-18.857980000000001</v>
          </cell>
          <cell r="Y126">
            <v>-36.863999999999997</v>
          </cell>
          <cell r="Z126">
            <v>-35.878</v>
          </cell>
          <cell r="AA126">
            <v>-35.130000000000003</v>
          </cell>
          <cell r="AB126">
            <v>-35.167999999999999</v>
          </cell>
          <cell r="AC126">
            <v>-35.533000000000001</v>
          </cell>
          <cell r="AD126">
            <v>-35.389000000000003</v>
          </cell>
          <cell r="AE126">
            <v>-35.354999999999997</v>
          </cell>
          <cell r="AF126">
            <v>-35.438000000000002</v>
          </cell>
          <cell r="AG126">
            <v>-35.338999999999999</v>
          </cell>
          <cell r="AH126">
            <v>-35.338999999999999</v>
          </cell>
          <cell r="AI126">
            <v>-35.343000000000004</v>
          </cell>
          <cell r="AJ126">
            <v>-35.343000000000004</v>
          </cell>
          <cell r="AK126">
            <v>-35.533000000000001</v>
          </cell>
        </row>
        <row r="131">
          <cell r="B131">
            <v>1.651</v>
          </cell>
          <cell r="C131">
            <v>0.77372700000000005</v>
          </cell>
          <cell r="D131">
            <v>1.6885600000000001</v>
          </cell>
          <cell r="E131">
            <v>6.9020000000000001</v>
          </cell>
          <cell r="F131">
            <v>12.175000000000001</v>
          </cell>
          <cell r="G131">
            <v>22.323</v>
          </cell>
          <cell r="H131">
            <v>21.745999999999999</v>
          </cell>
          <cell r="I131">
            <v>56.598999999999997</v>
          </cell>
          <cell r="J131">
            <v>56.598999999999997</v>
          </cell>
          <cell r="K131">
            <v>56.598999999999997</v>
          </cell>
          <cell r="N131">
            <v>0.20200000000000001</v>
          </cell>
          <cell r="O131">
            <v>0.56585600000000003</v>
          </cell>
          <cell r="P131">
            <v>0.49269200000000002</v>
          </cell>
          <cell r="Q131">
            <v>0.42792799999999998</v>
          </cell>
          <cell r="R131">
            <v>1.374411</v>
          </cell>
          <cell r="S131">
            <v>1.138325</v>
          </cell>
          <cell r="T131">
            <v>1.3924749999999999</v>
          </cell>
          <cell r="U131">
            <v>2.9966020000000002</v>
          </cell>
          <cell r="V131">
            <v>1.357313</v>
          </cell>
          <cell r="W131">
            <v>2.318899</v>
          </cell>
          <cell r="X131">
            <v>2.1621480000000002</v>
          </cell>
          <cell r="Y131">
            <v>6.3366400000000001</v>
          </cell>
          <cell r="Z131">
            <v>2.1840000000000002</v>
          </cell>
          <cell r="AA131">
            <v>5.4509999999999996</v>
          </cell>
          <cell r="AB131">
            <v>3.6179999999999999</v>
          </cell>
          <cell r="AC131">
            <v>11.07</v>
          </cell>
          <cell r="AD131">
            <v>5.2229999999999999</v>
          </cell>
          <cell r="AE131">
            <v>5.4210000000000003</v>
          </cell>
          <cell r="AF131">
            <v>7.7569999999999997</v>
          </cell>
          <cell r="AG131">
            <v>3.3450000000000002</v>
          </cell>
          <cell r="AH131">
            <v>0.73499999999999999</v>
          </cell>
          <cell r="AI131">
            <v>8.0779999999999994</v>
          </cell>
          <cell r="AJ131">
            <v>15.656000000000001</v>
          </cell>
          <cell r="AK131">
            <v>32.130000000000003</v>
          </cell>
        </row>
        <row r="142">
          <cell r="B142">
            <v>2.2869999999999999</v>
          </cell>
          <cell r="C142">
            <v>7.431724</v>
          </cell>
          <cell r="D142">
            <v>16.163339000000001</v>
          </cell>
          <cell r="E142">
            <v>31.283999999999999</v>
          </cell>
          <cell r="F142">
            <v>76.516000000000005</v>
          </cell>
          <cell r="G142">
            <v>87.305000000000007</v>
          </cell>
          <cell r="H142">
            <v>130.25</v>
          </cell>
          <cell r="I142">
            <v>152.929</v>
          </cell>
          <cell r="J142">
            <v>148.67593653183201</v>
          </cell>
          <cell r="K142">
            <v>147.217794840745</v>
          </cell>
          <cell r="N142">
            <v>1.8859999999999999</v>
          </cell>
          <cell r="O142">
            <v>3.0286029999999999</v>
          </cell>
          <cell r="P142">
            <v>5.7552149999999997</v>
          </cell>
          <cell r="Q142">
            <v>5.4939140000000002</v>
          </cell>
          <cell r="R142">
            <v>6.5950340000000001</v>
          </cell>
          <cell r="S142">
            <v>5.584263</v>
          </cell>
          <cell r="T142">
            <v>10.483114</v>
          </cell>
          <cell r="U142">
            <v>8.6211819999999992</v>
          </cell>
          <cell r="V142">
            <v>9.5829310000000003</v>
          </cell>
          <cell r="W142">
            <v>16.505216999999998</v>
          </cell>
          <cell r="X142">
            <v>28.579813999999999</v>
          </cell>
          <cell r="Y142">
            <v>21.848037999999999</v>
          </cell>
          <cell r="Z142">
            <v>17.984000000000002</v>
          </cell>
          <cell r="AA142">
            <v>20.942</v>
          </cell>
          <cell r="AB142">
            <v>26.675000000000001</v>
          </cell>
          <cell r="AC142">
            <v>21.704000000000001</v>
          </cell>
          <cell r="AD142">
            <v>22.954000000000001</v>
          </cell>
          <cell r="AE142">
            <v>23.006</v>
          </cell>
          <cell r="AF142">
            <v>39.863999999999997</v>
          </cell>
          <cell r="AG142">
            <v>44.426000000000002</v>
          </cell>
          <cell r="AH142">
            <v>39.473999999999997</v>
          </cell>
          <cell r="AI142">
            <v>44.591999999999999</v>
          </cell>
          <cell r="AJ142">
            <v>38.167000000000002</v>
          </cell>
          <cell r="AK142">
            <v>30.696000000000002</v>
          </cell>
        </row>
        <row r="146">
          <cell r="B146">
            <v>6.5289999999999999</v>
          </cell>
          <cell r="C146">
            <v>-0.74067799999999995</v>
          </cell>
          <cell r="D146">
            <v>1.2864679999999999</v>
          </cell>
          <cell r="E146">
            <v>-5.3339999999999996</v>
          </cell>
          <cell r="F146">
            <v>-83.117999999999995</v>
          </cell>
          <cell r="G146">
            <v>-9.734</v>
          </cell>
          <cell r="H146">
            <v>-2.3940000000000001</v>
          </cell>
          <cell r="I146">
            <v>-11.728999999999999</v>
          </cell>
          <cell r="J146">
            <v>-11.728999999999999</v>
          </cell>
          <cell r="K146">
            <v>-11.728999999999999</v>
          </cell>
          <cell r="N146">
            <v>0.42599999999999999</v>
          </cell>
          <cell r="O146">
            <v>0.24837600000000001</v>
          </cell>
          <cell r="P146">
            <v>0.59024100000000002</v>
          </cell>
          <cell r="Q146">
            <v>2.2046E-2</v>
          </cell>
          <cell r="R146">
            <v>-2.7522449999999998</v>
          </cell>
          <cell r="S146">
            <v>-1.7461869999999999</v>
          </cell>
          <cell r="T146">
            <v>-0.77204200000000001</v>
          </cell>
          <cell r="U146">
            <v>-6.3170000000000004E-2</v>
          </cell>
          <cell r="V146">
            <v>0.246611</v>
          </cell>
          <cell r="W146">
            <v>29.722429999999999</v>
          </cell>
          <cell r="X146">
            <v>-103.545323</v>
          </cell>
          <cell r="Y146">
            <v>-9.5417179999999995</v>
          </cell>
          <cell r="Z146">
            <v>-0.161</v>
          </cell>
          <cell r="AA146">
            <v>-8.2850000000000001</v>
          </cell>
          <cell r="AB146">
            <v>0.41399999999999998</v>
          </cell>
          <cell r="AC146">
            <v>-1.702</v>
          </cell>
          <cell r="AD146">
            <v>-1.37</v>
          </cell>
          <cell r="AE146">
            <v>-0.92300000000000004</v>
          </cell>
          <cell r="AF146">
            <v>1.9079999999999999</v>
          </cell>
          <cell r="AG146">
            <v>-2.0089999999999999</v>
          </cell>
          <cell r="AH146">
            <v>5.9770000000000003</v>
          </cell>
          <cell r="AI146">
            <v>-6.633</v>
          </cell>
          <cell r="AJ146">
            <v>-9.0299999999999994</v>
          </cell>
          <cell r="AK146">
            <v>-2.0430000000000001</v>
          </cell>
        </row>
        <row r="147">
          <cell r="B147">
            <v>-0.39200000000000002</v>
          </cell>
          <cell r="C147">
            <v>-0.35667399999999999</v>
          </cell>
          <cell r="D147">
            <v>-4.8566999999999999E-2</v>
          </cell>
          <cell r="E147">
            <v>-0.78800000000000003</v>
          </cell>
          <cell r="F147">
            <v>-1.3360000000000001</v>
          </cell>
          <cell r="G147">
            <v>-2.5529999999999999</v>
          </cell>
          <cell r="H147">
            <v>-0.121</v>
          </cell>
          <cell r="I147">
            <v>8.5760000000000005</v>
          </cell>
          <cell r="J147">
            <v>0</v>
          </cell>
          <cell r="K147">
            <v>0</v>
          </cell>
          <cell r="N147">
            <v>0.01</v>
          </cell>
          <cell r="O147">
            <v>-4.1674999999999997E-2</v>
          </cell>
          <cell r="P147">
            <v>9.8879999999999992E-3</v>
          </cell>
          <cell r="Q147">
            <v>-2.7503E-2</v>
          </cell>
          <cell r="R147">
            <v>-5.1429000000000002E-2</v>
          </cell>
          <cell r="S147">
            <v>-0.37020399999999998</v>
          </cell>
          <cell r="T147">
            <v>-0.24915699999999999</v>
          </cell>
          <cell r="U147">
            <v>-0.116934</v>
          </cell>
          <cell r="V147">
            <v>-5.4295000000000003E-2</v>
          </cell>
          <cell r="W147">
            <v>-0.48656199999999999</v>
          </cell>
          <cell r="X147">
            <v>-0.68399500000000002</v>
          </cell>
          <cell r="Y147">
            <v>-0.111148</v>
          </cell>
          <cell r="Z147">
            <v>-6.0000000000000001E-3</v>
          </cell>
          <cell r="AA147">
            <v>0.193</v>
          </cell>
          <cell r="AB147">
            <v>-0.43</v>
          </cell>
          <cell r="AC147">
            <v>-2.31</v>
          </cell>
          <cell r="AD147">
            <v>0.42899999999999999</v>
          </cell>
          <cell r="AE147">
            <v>-0.22900000000000001</v>
          </cell>
          <cell r="AF147">
            <v>-0.17399999999999999</v>
          </cell>
          <cell r="AG147">
            <v>-0.14699999999999999</v>
          </cell>
          <cell r="AH147">
            <v>7.9450000000000003</v>
          </cell>
          <cell r="AI147">
            <v>-0.157</v>
          </cell>
          <cell r="AJ147">
            <v>1.2929999999999999</v>
          </cell>
          <cell r="AK147">
            <v>-0.505</v>
          </cell>
        </row>
        <row r="150">
          <cell r="B150">
            <v>0</v>
          </cell>
          <cell r="C150">
            <v>-7.7890000000000001E-2</v>
          </cell>
          <cell r="D150">
            <v>0</v>
          </cell>
          <cell r="E150">
            <v>0</v>
          </cell>
          <cell r="F150">
            <v>0.58899999999999997</v>
          </cell>
          <cell r="G150">
            <v>1.7110000000000001</v>
          </cell>
          <cell r="H150">
            <v>-15.625</v>
          </cell>
          <cell r="I150">
            <v>-0.153</v>
          </cell>
          <cell r="J150">
            <v>0</v>
          </cell>
          <cell r="K150">
            <v>0</v>
          </cell>
          <cell r="N150">
            <v>0</v>
          </cell>
          <cell r="O150">
            <v>0</v>
          </cell>
          <cell r="P150">
            <v>0</v>
          </cell>
          <cell r="Q150">
            <v>0</v>
          </cell>
          <cell r="R150">
            <v>0</v>
          </cell>
          <cell r="S150">
            <v>0</v>
          </cell>
          <cell r="T150">
            <v>0</v>
          </cell>
          <cell r="U150">
            <v>0</v>
          </cell>
          <cell r="V150">
            <v>0</v>
          </cell>
          <cell r="W150">
            <v>0.189582</v>
          </cell>
          <cell r="X150">
            <v>0.61529199999999995</v>
          </cell>
          <cell r="Y150">
            <v>-0.21587400000000001</v>
          </cell>
          <cell r="Z150">
            <v>0.56799999999999995</v>
          </cell>
          <cell r="AA150">
            <v>0.14499999999999999</v>
          </cell>
          <cell r="AB150">
            <v>-1.6120000000000001</v>
          </cell>
          <cell r="AC150">
            <v>2.61</v>
          </cell>
          <cell r="AD150">
            <v>-1.4059999999999999</v>
          </cell>
          <cell r="AE150">
            <v>-4.0670000000000002</v>
          </cell>
          <cell r="AF150">
            <v>-2.5830000000000002</v>
          </cell>
          <cell r="AG150">
            <v>-7.569</v>
          </cell>
          <cell r="AH150">
            <v>-3.8279999999999998</v>
          </cell>
          <cell r="AI150">
            <v>0.52400000000000002</v>
          </cell>
          <cell r="AJ150">
            <v>1.1259999999999999</v>
          </cell>
          <cell r="AK150">
            <v>2.0249999999999999</v>
          </cell>
        </row>
        <row r="153">
          <cell r="B153">
            <v>0</v>
          </cell>
          <cell r="C153">
            <v>0</v>
          </cell>
          <cell r="D153">
            <v>0</v>
          </cell>
          <cell r="E153">
            <v>0</v>
          </cell>
          <cell r="F153">
            <v>3.0059999999999998</v>
          </cell>
          <cell r="G153">
            <v>14.913</v>
          </cell>
          <cell r="H153">
            <v>1.8620000000000001</v>
          </cell>
          <cell r="I153">
            <v>14.037000000000001</v>
          </cell>
          <cell r="J153">
            <v>14.037000000000001</v>
          </cell>
          <cell r="K153">
            <v>14.037000000000001</v>
          </cell>
          <cell r="N153">
            <v>0</v>
          </cell>
          <cell r="O153">
            <v>0</v>
          </cell>
          <cell r="P153">
            <v>0</v>
          </cell>
          <cell r="Q153">
            <v>0</v>
          </cell>
          <cell r="R153">
            <v>0</v>
          </cell>
          <cell r="S153">
            <v>0</v>
          </cell>
          <cell r="T153">
            <v>0</v>
          </cell>
          <cell r="U153">
            <v>0</v>
          </cell>
          <cell r="V153">
            <v>0</v>
          </cell>
          <cell r="W153">
            <v>9.0211E-2</v>
          </cell>
          <cell r="X153">
            <v>0.41879300000000003</v>
          </cell>
          <cell r="Y153">
            <v>2.4969960000000002</v>
          </cell>
          <cell r="Z153">
            <v>2.7970000000000002</v>
          </cell>
          <cell r="AA153">
            <v>2.1160000000000001</v>
          </cell>
          <cell r="AB153">
            <v>3.234</v>
          </cell>
          <cell r="AC153">
            <v>6.766</v>
          </cell>
          <cell r="AD153">
            <v>0.751</v>
          </cell>
          <cell r="AE153">
            <v>1.627</v>
          </cell>
          <cell r="AF153">
            <v>-0.60899999999999999</v>
          </cell>
          <cell r="AG153">
            <v>9.2999999999999999E-2</v>
          </cell>
          <cell r="AH153">
            <v>-1.2989999999999999</v>
          </cell>
          <cell r="AI153">
            <v>1.7210000000000001</v>
          </cell>
          <cell r="AJ153">
            <v>4.1040000000000001</v>
          </cell>
          <cell r="AK153">
            <v>9.5109999999999992</v>
          </cell>
        </row>
        <row r="154">
          <cell r="B154">
            <v>-30.928999999999998</v>
          </cell>
          <cell r="C154">
            <v>0</v>
          </cell>
          <cell r="D154">
            <v>-59.428400000000003</v>
          </cell>
          <cell r="E154">
            <v>-15.606</v>
          </cell>
          <cell r="F154">
            <v>0</v>
          </cell>
          <cell r="G154">
            <v>-0.106</v>
          </cell>
          <cell r="H154">
            <v>-1.462</v>
          </cell>
          <cell r="I154">
            <v>-2.6</v>
          </cell>
          <cell r="J154">
            <v>-4.5880000000000001</v>
          </cell>
          <cell r="K154">
            <v>-2.7250000000000001</v>
          </cell>
          <cell r="N154">
            <v>0</v>
          </cell>
          <cell r="O154">
            <v>0</v>
          </cell>
          <cell r="P154">
            <v>-59.428400000000003</v>
          </cell>
          <cell r="Q154">
            <v>0</v>
          </cell>
          <cell r="R154">
            <v>0</v>
          </cell>
          <cell r="S154">
            <v>-15.605907999999999</v>
          </cell>
          <cell r="T154">
            <v>0</v>
          </cell>
          <cell r="U154">
            <v>0</v>
          </cell>
          <cell r="V154">
            <v>0</v>
          </cell>
          <cell r="W154">
            <v>0</v>
          </cell>
          <cell r="X154">
            <v>0</v>
          </cell>
          <cell r="Y154">
            <v>0</v>
          </cell>
          <cell r="Z154">
            <v>0</v>
          </cell>
          <cell r="AA154">
            <v>0</v>
          </cell>
          <cell r="AB154">
            <v>0</v>
          </cell>
          <cell r="AC154">
            <v>-0.106</v>
          </cell>
          <cell r="AD154">
            <v>-1.3560000000000001</v>
          </cell>
          <cell r="AE154">
            <v>-1.4350000000000001</v>
          </cell>
          <cell r="AF154">
            <v>-1.6910000000000001</v>
          </cell>
          <cell r="AG154">
            <v>1.7569999999999999</v>
          </cell>
          <cell r="AH154">
            <v>-1.8089999999999999</v>
          </cell>
          <cell r="AI154">
            <v>1.478</v>
          </cell>
          <cell r="AJ154">
            <v>-1.0349999999999999</v>
          </cell>
          <cell r="AK154">
            <v>-1.234</v>
          </cell>
        </row>
        <row r="160">
          <cell r="E160">
            <v>-0.8</v>
          </cell>
          <cell r="F160">
            <v>-0.78500000000000003</v>
          </cell>
          <cell r="G160">
            <v>-0.89100000000000001</v>
          </cell>
          <cell r="H160">
            <v>-1.075</v>
          </cell>
          <cell r="I160">
            <v>-1.4830000000000001</v>
          </cell>
          <cell r="J160">
            <v>-1.59166902785348</v>
          </cell>
          <cell r="K160">
            <v>-1.7439445365056001</v>
          </cell>
          <cell r="N160">
            <v>0</v>
          </cell>
          <cell r="O160">
            <v>0</v>
          </cell>
          <cell r="P160">
            <v>0</v>
          </cell>
          <cell r="Q160">
            <v>0</v>
          </cell>
          <cell r="R160">
            <v>0</v>
          </cell>
          <cell r="S160">
            <v>-0.65500800000000003</v>
          </cell>
          <cell r="T160">
            <v>-6.6286999999999999E-2</v>
          </cell>
          <cell r="U160">
            <v>-7.8585000000000002E-2</v>
          </cell>
          <cell r="V160">
            <v>-0.164828</v>
          </cell>
          <cell r="W160">
            <v>-0.19550600000000001</v>
          </cell>
          <cell r="X160">
            <v>-0.21348</v>
          </cell>
          <cell r="Y160">
            <v>-0.21118600000000001</v>
          </cell>
          <cell r="Z160">
            <v>-0.23799999999999999</v>
          </cell>
          <cell r="AA160">
            <v>-0.182</v>
          </cell>
          <cell r="AB160">
            <v>-0.19500000000000001</v>
          </cell>
          <cell r="AC160">
            <v>-0.27600000000000002</v>
          </cell>
          <cell r="AD160">
            <v>-0.32100000000000001</v>
          </cell>
          <cell r="AE160">
            <v>-0.29599999999999999</v>
          </cell>
          <cell r="AF160">
            <v>-0.22800000000000001</v>
          </cell>
          <cell r="AG160">
            <v>-0.23</v>
          </cell>
          <cell r="AH160">
            <v>-0.22700000000000001</v>
          </cell>
          <cell r="AI160">
            <v>-0.25</v>
          </cell>
          <cell r="AJ160">
            <v>-0.61399999999999999</v>
          </cell>
          <cell r="AK160">
            <v>-0.39200000000000002</v>
          </cell>
        </row>
        <row r="163">
          <cell r="E163">
            <v>-1.972</v>
          </cell>
          <cell r="F163">
            <v>-3.5379999999999998</v>
          </cell>
          <cell r="G163">
            <v>-5.702</v>
          </cell>
          <cell r="H163">
            <v>-6.8639999999999999</v>
          </cell>
          <cell r="I163">
            <v>-9.1240000000000006</v>
          </cell>
          <cell r="J163">
            <v>-9.7925746528221094</v>
          </cell>
          <cell r="K163">
            <v>-10.7294335475908</v>
          </cell>
          <cell r="N163">
            <v>0</v>
          </cell>
          <cell r="O163">
            <v>0</v>
          </cell>
          <cell r="P163">
            <v>0</v>
          </cell>
          <cell r="Q163">
            <v>0</v>
          </cell>
          <cell r="R163">
            <v>0</v>
          </cell>
          <cell r="S163">
            <v>-1.2325159999999999</v>
          </cell>
          <cell r="T163">
            <v>-0.265963</v>
          </cell>
          <cell r="U163">
            <v>-0.47317599999999999</v>
          </cell>
          <cell r="V163">
            <v>-0.70542400000000005</v>
          </cell>
          <cell r="W163">
            <v>-0.86577099999999996</v>
          </cell>
          <cell r="X163">
            <v>-0.837924</v>
          </cell>
          <cell r="Y163">
            <v>-1.128881</v>
          </cell>
          <cell r="Z163">
            <v>-1.3169999999999999</v>
          </cell>
          <cell r="AA163">
            <v>-1.2889999999999999</v>
          </cell>
          <cell r="AB163">
            <v>-1.387</v>
          </cell>
          <cell r="AC163">
            <v>-1.7090000000000001</v>
          </cell>
          <cell r="AD163">
            <v>-1.7829999999999999</v>
          </cell>
          <cell r="AE163">
            <v>-1.752</v>
          </cell>
          <cell r="AF163">
            <v>-2.0049999999999999</v>
          </cell>
          <cell r="AG163">
            <v>-1.3240000000000001</v>
          </cell>
          <cell r="AH163">
            <v>-1.26</v>
          </cell>
          <cell r="AI163">
            <v>-1.901</v>
          </cell>
          <cell r="AJ163">
            <v>-3.79</v>
          </cell>
          <cell r="AK163">
            <v>-2.173</v>
          </cell>
        </row>
        <row r="166">
          <cell r="E166">
            <v>-0.85699999999999998</v>
          </cell>
          <cell r="F166">
            <v>-1.1359999999999999</v>
          </cell>
          <cell r="G166">
            <v>-1.39</v>
          </cell>
          <cell r="H166">
            <v>-1.65</v>
          </cell>
          <cell r="I166">
            <v>-0.93500000000000005</v>
          </cell>
          <cell r="J166">
            <v>-1.0035135138523299</v>
          </cell>
          <cell r="K166">
            <v>-1.0995199876147901</v>
          </cell>
          <cell r="N166">
            <v>0</v>
          </cell>
          <cell r="O166">
            <v>0</v>
          </cell>
          <cell r="P166">
            <v>0</v>
          </cell>
          <cell r="Q166">
            <v>0</v>
          </cell>
          <cell r="R166">
            <v>0</v>
          </cell>
          <cell r="S166">
            <v>-0.68136099999999999</v>
          </cell>
          <cell r="T166">
            <v>-4.1889000000000003E-2</v>
          </cell>
          <cell r="U166">
            <v>-0.133608</v>
          </cell>
          <cell r="V166">
            <v>-0.23</v>
          </cell>
          <cell r="W166">
            <v>-0.29816199999999998</v>
          </cell>
          <cell r="X166">
            <v>-0.30527700000000002</v>
          </cell>
          <cell r="Y166">
            <v>-0.30256100000000002</v>
          </cell>
          <cell r="Z166">
            <v>-0.32300000000000001</v>
          </cell>
          <cell r="AA166">
            <v>-0.32800000000000001</v>
          </cell>
          <cell r="AB166">
            <v>-0.32</v>
          </cell>
          <cell r="AC166">
            <v>-0.41899999999999998</v>
          </cell>
          <cell r="AD166">
            <v>-0.47699999999999998</v>
          </cell>
          <cell r="AE166">
            <v>-0.42699999999999999</v>
          </cell>
          <cell r="AF166">
            <v>-0.54500000000000004</v>
          </cell>
          <cell r="AG166">
            <v>-0.20100000000000001</v>
          </cell>
          <cell r="AH166">
            <v>0.185</v>
          </cell>
          <cell r="AI166">
            <v>-0.23100000000000001</v>
          </cell>
          <cell r="AJ166">
            <v>-0.55600000000000005</v>
          </cell>
          <cell r="AK166">
            <v>-0.33300000000000002</v>
          </cell>
        </row>
        <row r="169">
          <cell r="E169">
            <v>-35.543999999999997</v>
          </cell>
          <cell r="F169">
            <v>-59.683999999999997</v>
          </cell>
          <cell r="G169">
            <v>-84.436000000000007</v>
          </cell>
          <cell r="H169">
            <v>-89.085999999999999</v>
          </cell>
          <cell r="I169">
            <v>-56.826000000000001</v>
          </cell>
          <cell r="J169">
            <v>-72.007589663309901</v>
          </cell>
          <cell r="K169">
            <v>-78.896579868504006</v>
          </cell>
          <cell r="N169">
            <v>0</v>
          </cell>
          <cell r="O169">
            <v>0</v>
          </cell>
          <cell r="P169">
            <v>0</v>
          </cell>
          <cell r="Q169">
            <v>0</v>
          </cell>
          <cell r="R169">
            <v>0</v>
          </cell>
          <cell r="S169">
            <v>-16.417507000000001</v>
          </cell>
          <cell r="T169">
            <v>-8.8428979999999999</v>
          </cell>
          <cell r="U169">
            <v>-10.28388</v>
          </cell>
          <cell r="V169">
            <v>-11.771739999999999</v>
          </cell>
          <cell r="W169">
            <v>-10.440611000000001</v>
          </cell>
          <cell r="X169">
            <v>-16.633510999999999</v>
          </cell>
          <cell r="Y169">
            <v>-20.838138000000001</v>
          </cell>
          <cell r="Z169">
            <v>-19.64</v>
          </cell>
          <cell r="AA169">
            <v>-21.532</v>
          </cell>
          <cell r="AB169">
            <v>-19.606999999999999</v>
          </cell>
          <cell r="AC169">
            <v>-23.657</v>
          </cell>
          <cell r="AD169">
            <v>-23.138999999999999</v>
          </cell>
          <cell r="AE169">
            <v>-20.407</v>
          </cell>
          <cell r="AF169">
            <v>-28.451000000000001</v>
          </cell>
          <cell r="AG169">
            <v>-17.088999999999999</v>
          </cell>
          <cell r="AH169">
            <v>-10.709</v>
          </cell>
          <cell r="AI169">
            <v>-22.484999999999999</v>
          </cell>
          <cell r="AJ169">
            <v>-14.731</v>
          </cell>
          <cell r="AK169">
            <v>-8.9009999999999998</v>
          </cell>
        </row>
        <row r="175">
          <cell r="F175">
            <v>-0.29199999999999998</v>
          </cell>
          <cell r="G175">
            <v>0.29199999999999998</v>
          </cell>
          <cell r="H175">
            <v>0</v>
          </cell>
          <cell r="I175">
            <v>0</v>
          </cell>
          <cell r="J175">
            <v>0</v>
          </cell>
          <cell r="K175">
            <v>0</v>
          </cell>
          <cell r="W175">
            <v>0</v>
          </cell>
          <cell r="X175">
            <v>0</v>
          </cell>
          <cell r="Y175">
            <v>-0.29199999999999998</v>
          </cell>
          <cell r="Z175">
            <v>0.29199999999999998</v>
          </cell>
          <cell r="AA175">
            <v>0</v>
          </cell>
          <cell r="AB175">
            <v>0</v>
          </cell>
          <cell r="AC175">
            <v>0</v>
          </cell>
          <cell r="AD175">
            <v>0</v>
          </cell>
          <cell r="AE175">
            <v>0</v>
          </cell>
          <cell r="AF175">
            <v>0</v>
          </cell>
          <cell r="AG175">
            <v>0</v>
          </cell>
          <cell r="AH175">
            <v>0</v>
          </cell>
          <cell r="AI175">
            <v>0</v>
          </cell>
          <cell r="AJ175">
            <v>0</v>
          </cell>
          <cell r="AK175">
            <v>0</v>
          </cell>
        </row>
        <row r="176">
          <cell r="F176">
            <v>-0.71499999999999997</v>
          </cell>
          <cell r="G176">
            <v>-1.7470000000000001</v>
          </cell>
          <cell r="H176">
            <v>-1.5960000000000001</v>
          </cell>
          <cell r="I176">
            <v>-1.786</v>
          </cell>
          <cell r="J176">
            <v>-1.786</v>
          </cell>
          <cell r="K176">
            <v>-1.786</v>
          </cell>
          <cell r="W176">
            <v>0</v>
          </cell>
          <cell r="X176">
            <v>-0.31620599999999999</v>
          </cell>
          <cell r="Y176">
            <v>-0.39900000000000002</v>
          </cell>
          <cell r="Z176">
            <v>-0.55000000000000004</v>
          </cell>
          <cell r="AA176">
            <v>-0.39900000000000002</v>
          </cell>
          <cell r="AB176">
            <v>-0.39900000000000002</v>
          </cell>
          <cell r="AC176">
            <v>-0.39900000000000002</v>
          </cell>
          <cell r="AD176">
            <v>-0.39900000000000002</v>
          </cell>
          <cell r="AE176">
            <v>-0.39900000000000002</v>
          </cell>
          <cell r="AF176">
            <v>-0.39900000000000002</v>
          </cell>
          <cell r="AG176">
            <v>-0.39900000000000002</v>
          </cell>
          <cell r="AH176">
            <v>-0.39900000000000002</v>
          </cell>
          <cell r="AI176">
            <v>-0.39900000000000002</v>
          </cell>
          <cell r="AJ176">
            <v>-0.39900000000000002</v>
          </cell>
          <cell r="AK176">
            <v>-0.58899999999999997</v>
          </cell>
        </row>
        <row r="177">
          <cell r="F177">
            <v>-55.15</v>
          </cell>
          <cell r="G177">
            <v>-136.239</v>
          </cell>
          <cell r="H177">
            <v>-136.65199999999999</v>
          </cell>
          <cell r="I177">
            <v>-136.65199999999999</v>
          </cell>
          <cell r="J177">
            <v>-136.65199999999999</v>
          </cell>
          <cell r="K177">
            <v>-136.65199999999999</v>
          </cell>
          <cell r="W177">
            <v>-0.75832900000000003</v>
          </cell>
          <cell r="X177">
            <v>-17.611433000000002</v>
          </cell>
          <cell r="Y177">
            <v>-36.78</v>
          </cell>
          <cell r="Z177">
            <v>-33.847999999999999</v>
          </cell>
          <cell r="AA177">
            <v>-34.11</v>
          </cell>
          <cell r="AB177">
            <v>-34.113</v>
          </cell>
          <cell r="AC177">
            <v>-34.167999999999999</v>
          </cell>
          <cell r="AD177">
            <v>-34.162999999999997</v>
          </cell>
          <cell r="AE177">
            <v>-34.162999999999997</v>
          </cell>
          <cell r="AF177">
            <v>-34.162999999999997</v>
          </cell>
          <cell r="AG177">
            <v>-34.162999999999997</v>
          </cell>
          <cell r="AH177">
            <v>-34.162999999999997</v>
          </cell>
          <cell r="AI177">
            <v>-34.162999999999997</v>
          </cell>
          <cell r="AJ177">
            <v>-34.162999999999997</v>
          </cell>
          <cell r="AK177">
            <v>-34.162999999999997</v>
          </cell>
        </row>
        <row r="178">
          <cell r="F178">
            <v>-0.61599999999999999</v>
          </cell>
          <cell r="G178">
            <v>-3.7229999999999999</v>
          </cell>
          <cell r="H178">
            <v>-3.2730000000000001</v>
          </cell>
          <cell r="I178">
            <v>-3.12</v>
          </cell>
          <cell r="J178">
            <v>-3.12</v>
          </cell>
          <cell r="K178">
            <v>-3.12</v>
          </cell>
          <cell r="W178">
            <v>0</v>
          </cell>
          <cell r="X178">
            <v>-0.93034099999999997</v>
          </cell>
          <cell r="Y178">
            <v>0.315</v>
          </cell>
          <cell r="Z178">
            <v>-1.48</v>
          </cell>
          <cell r="AA178">
            <v>-0.621</v>
          </cell>
          <cell r="AB178">
            <v>-0.65600000000000003</v>
          </cell>
          <cell r="AC178">
            <v>-0.96599999999999997</v>
          </cell>
          <cell r="AD178">
            <v>-0.82699999999999996</v>
          </cell>
          <cell r="AE178">
            <v>-0.79300000000000004</v>
          </cell>
          <cell r="AF178">
            <v>-0.876</v>
          </cell>
          <cell r="AG178">
            <v>-0.77700000000000002</v>
          </cell>
          <cell r="AH178">
            <v>-0.77700000000000002</v>
          </cell>
          <cell r="AI178">
            <v>-0.78100000000000003</v>
          </cell>
          <cell r="AJ178">
            <v>-0.78100000000000003</v>
          </cell>
          <cell r="AK178">
            <v>-0.78100000000000003</v>
          </cell>
        </row>
      </sheetData>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
      <sheetName val="EGR"/>
    </sheetNames>
    <sheetDataSet>
      <sheetData sheetId="0" refreshError="1">
        <row r="1">
          <cell r="A1" t="str">
            <v>PROJECT X</v>
          </cell>
          <cell r="K1" t="str">
            <v>Stock Purchase</v>
          </cell>
          <cell r="M1">
            <v>6</v>
          </cell>
        </row>
        <row r="2">
          <cell r="A2" t="str">
            <v>EPS Sensitivity to Purchase Price</v>
          </cell>
          <cell r="J2" t="str">
            <v xml:space="preserve">     Cash</v>
          </cell>
          <cell r="K2">
            <v>0.5</v>
          </cell>
          <cell r="L2" t="str">
            <v xml:space="preserve">     Stock</v>
          </cell>
          <cell r="M2">
            <v>0.5</v>
          </cell>
        </row>
        <row r="3">
          <cell r="A3" t="str">
            <v>(dollars in millions, except per share data)</v>
          </cell>
        </row>
        <row r="5">
          <cell r="A5" t="str">
            <v>Sensitivity to Offer Value (a)</v>
          </cell>
          <cell r="H5" t="str">
            <v>Sensitivity to ACQUIROR Stock Price (b)</v>
          </cell>
        </row>
        <row r="7">
          <cell r="A7" t="str">
            <v>Offer</v>
          </cell>
          <cell r="B7" t="str">
            <v>EPS Accretion / (Dilution) - $</v>
          </cell>
          <cell r="H7" t="str">
            <v>Share</v>
          </cell>
          <cell r="I7" t="str">
            <v>EPS Accretion / (Dilution) - $</v>
          </cell>
        </row>
        <row r="8">
          <cell r="A8" t="str">
            <v>Price</v>
          </cell>
          <cell r="B8">
            <v>1995</v>
          </cell>
          <cell r="C8">
            <v>1996</v>
          </cell>
          <cell r="D8">
            <v>1997</v>
          </cell>
          <cell r="E8">
            <v>1998</v>
          </cell>
          <cell r="F8">
            <v>1999</v>
          </cell>
          <cell r="H8" t="str">
            <v>Price</v>
          </cell>
          <cell r="I8">
            <v>1995</v>
          </cell>
          <cell r="J8">
            <v>1996</v>
          </cell>
          <cell r="K8">
            <v>1997</v>
          </cell>
          <cell r="L8">
            <v>1998</v>
          </cell>
          <cell r="M8">
            <v>1999</v>
          </cell>
        </row>
        <row r="9">
          <cell r="B9">
            <v>-1.279530624894587E-2</v>
          </cell>
          <cell r="C9">
            <v>8.5940265136851934E-2</v>
          </cell>
          <cell r="D9">
            <v>0.14704507828254343</v>
          </cell>
          <cell r="E9">
            <v>0.2148880737521508</v>
          </cell>
          <cell r="F9">
            <v>0.27464477633990381</v>
          </cell>
          <cell r="I9">
            <v>-1.279530624894587E-2</v>
          </cell>
          <cell r="J9">
            <v>8.5940265136851934E-2</v>
          </cell>
          <cell r="K9">
            <v>0.14704507828254343</v>
          </cell>
          <cell r="L9">
            <v>0.2148880737521508</v>
          </cell>
          <cell r="M9">
            <v>0.27464477633990381</v>
          </cell>
        </row>
        <row r="10">
          <cell r="A10">
            <v>25</v>
          </cell>
          <cell r="B10">
            <v>-1.279530624894587E-2</v>
          </cell>
          <cell r="C10">
            <v>8.5940265136851934E-2</v>
          </cell>
          <cell r="D10">
            <v>0.14704507828254387</v>
          </cell>
          <cell r="E10">
            <v>0.2148880737521508</v>
          </cell>
          <cell r="F10">
            <v>0.27464477633990425</v>
          </cell>
          <cell r="H10">
            <v>26.75</v>
          </cell>
          <cell r="I10">
            <v>-1.2795306248854166E-2</v>
          </cell>
          <cell r="J10">
            <v>8.5940265137023797E-2</v>
          </cell>
          <cell r="K10">
            <v>0.1470450782829853</v>
          </cell>
          <cell r="L10">
            <v>0.21488807375335117</v>
          </cell>
          <cell r="M10">
            <v>0.27464477634004458</v>
          </cell>
          <cell r="O10">
            <v>30</v>
          </cell>
        </row>
        <row r="11">
          <cell r="A11">
            <v>30</v>
          </cell>
          <cell r="B11">
            <v>-1.279530624894587E-2</v>
          </cell>
          <cell r="C11">
            <v>8.5940265136851934E-2</v>
          </cell>
          <cell r="D11">
            <v>0.14704507828254387</v>
          </cell>
          <cell r="E11">
            <v>0.2148880737521508</v>
          </cell>
          <cell r="F11">
            <v>0.27464477633990425</v>
          </cell>
          <cell r="H11">
            <v>28.75</v>
          </cell>
          <cell r="I11">
            <v>-1.2795306248943428E-2</v>
          </cell>
          <cell r="J11">
            <v>8.5940265136860372E-2</v>
          </cell>
          <cell r="K11">
            <v>0.14704507828256563</v>
          </cell>
          <cell r="L11">
            <v>0.21488807375220809</v>
          </cell>
          <cell r="M11">
            <v>0.27464477633990869</v>
          </cell>
          <cell r="O11">
            <v>30.75</v>
          </cell>
        </row>
        <row r="12">
          <cell r="A12">
            <v>35</v>
          </cell>
          <cell r="B12">
            <v>-1.279530624894587E-2</v>
          </cell>
          <cell r="C12">
            <v>8.5940265136851934E-2</v>
          </cell>
          <cell r="D12">
            <v>0.14704507828254387</v>
          </cell>
          <cell r="E12">
            <v>0.2148880737521508</v>
          </cell>
          <cell r="F12">
            <v>0.27464477633990425</v>
          </cell>
          <cell r="H12">
            <v>30.75</v>
          </cell>
          <cell r="I12">
            <v>-1.279530624894587E-2</v>
          </cell>
          <cell r="J12">
            <v>8.5940265136852378E-2</v>
          </cell>
          <cell r="K12">
            <v>0.14704507828254476</v>
          </cell>
          <cell r="L12">
            <v>0.21488807375215391</v>
          </cell>
          <cell r="M12">
            <v>0.27464477633990425</v>
          </cell>
        </row>
        <row r="13">
          <cell r="A13">
            <v>40</v>
          </cell>
          <cell r="B13">
            <v>-1.279530624894587E-2</v>
          </cell>
          <cell r="C13">
            <v>8.5940265136851934E-2</v>
          </cell>
          <cell r="D13">
            <v>0.14704507828254387</v>
          </cell>
          <cell r="E13">
            <v>0.2148880737521508</v>
          </cell>
          <cell r="F13">
            <v>0.27464477633990425</v>
          </cell>
          <cell r="H13">
            <v>32.75</v>
          </cell>
          <cell r="I13">
            <v>-1.279530624894587E-2</v>
          </cell>
          <cell r="J13">
            <v>8.5940265136851934E-2</v>
          </cell>
          <cell r="K13">
            <v>0.14704507828254387</v>
          </cell>
          <cell r="L13">
            <v>0.21488807375215124</v>
          </cell>
          <cell r="M13">
            <v>0.27464477633990425</v>
          </cell>
        </row>
        <row r="14">
          <cell r="A14">
            <v>45</v>
          </cell>
          <cell r="B14">
            <v>-1.279530624894587E-2</v>
          </cell>
          <cell r="C14">
            <v>8.5940265136851934E-2</v>
          </cell>
          <cell r="D14">
            <v>0.14704507828254387</v>
          </cell>
          <cell r="E14">
            <v>0.2148880737521508</v>
          </cell>
          <cell r="F14">
            <v>0.27464477633990425</v>
          </cell>
          <cell r="H14">
            <v>34.75</v>
          </cell>
          <cell r="I14">
            <v>-1.279530624894587E-2</v>
          </cell>
          <cell r="J14">
            <v>8.5940265136851934E-2</v>
          </cell>
          <cell r="K14">
            <v>0.14704507828254387</v>
          </cell>
          <cell r="L14">
            <v>0.2148880737521508</v>
          </cell>
          <cell r="M14">
            <v>0.27464477633990425</v>
          </cell>
        </row>
        <row r="15">
          <cell r="A15">
            <v>50</v>
          </cell>
          <cell r="B15">
            <v>-1.279530624894587E-2</v>
          </cell>
          <cell r="C15">
            <v>8.5940265136851934E-2</v>
          </cell>
          <cell r="D15">
            <v>0.14704507828254387</v>
          </cell>
          <cell r="E15">
            <v>0.2148880737521508</v>
          </cell>
          <cell r="F15">
            <v>0.27464477633990425</v>
          </cell>
          <cell r="H15">
            <v>36.75</v>
          </cell>
          <cell r="I15">
            <v>-1.279530624894587E-2</v>
          </cell>
          <cell r="J15">
            <v>8.5940265136851934E-2</v>
          </cell>
          <cell r="K15">
            <v>0.14704507828254387</v>
          </cell>
          <cell r="L15">
            <v>0.2148880737521508</v>
          </cell>
          <cell r="M15">
            <v>0.27464477633990425</v>
          </cell>
        </row>
        <row r="17">
          <cell r="A17" t="str">
            <v>Offer</v>
          </cell>
          <cell r="B17" t="str">
            <v>EPS Accretion / (Dilution) - %</v>
          </cell>
          <cell r="H17" t="str">
            <v>Share</v>
          </cell>
          <cell r="I17" t="str">
            <v>EPS Accretion / (Dilution) - %</v>
          </cell>
        </row>
        <row r="18">
          <cell r="A18" t="str">
            <v>Price</v>
          </cell>
          <cell r="B18">
            <v>1995</v>
          </cell>
          <cell r="C18">
            <v>1996</v>
          </cell>
          <cell r="D18">
            <v>1997</v>
          </cell>
          <cell r="E18">
            <v>1998</v>
          </cell>
          <cell r="F18">
            <v>1999</v>
          </cell>
          <cell r="H18" t="str">
            <v>Price</v>
          </cell>
          <cell r="I18">
            <v>1995</v>
          </cell>
          <cell r="J18">
            <v>1996</v>
          </cell>
          <cell r="K18">
            <v>1997</v>
          </cell>
          <cell r="L18">
            <v>1998</v>
          </cell>
          <cell r="M18">
            <v>1999</v>
          </cell>
        </row>
        <row r="19">
          <cell r="B19">
            <v>-8.1559567158610013E-3</v>
          </cell>
          <cell r="C19">
            <v>4.4881933242620686E-2</v>
          </cell>
          <cell r="D19">
            <v>6.8640760432851611E-2</v>
          </cell>
          <cell r="E19">
            <v>8.9808514783180859E-2</v>
          </cell>
          <cell r="F19">
            <v>0.10295527668520021</v>
          </cell>
          <cell r="I19">
            <v>-8.1559567158610013E-3</v>
          </cell>
          <cell r="J19">
            <v>4.4881933242620686E-2</v>
          </cell>
          <cell r="K19">
            <v>6.8640760432851611E-2</v>
          </cell>
          <cell r="L19">
            <v>8.9808514783180859E-2</v>
          </cell>
          <cell r="M19">
            <v>0.10295527668520021</v>
          </cell>
        </row>
        <row r="20">
          <cell r="A20">
            <v>25</v>
          </cell>
          <cell r="B20">
            <v>-8.1559567158610083E-3</v>
          </cell>
          <cell r="C20">
            <v>4.4881933242620596E-2</v>
          </cell>
          <cell r="D20">
            <v>6.8640760432851763E-2</v>
          </cell>
          <cell r="E20">
            <v>8.9808514783180846E-2</v>
          </cell>
          <cell r="F20">
            <v>0.10295527668520033</v>
          </cell>
          <cell r="H20">
            <v>26.75</v>
          </cell>
          <cell r="I20">
            <v>-8.155956715802555E-3</v>
          </cell>
          <cell r="J20">
            <v>4.4881933242710351E-2</v>
          </cell>
          <cell r="K20">
            <v>6.8640760433057821E-2</v>
          </cell>
          <cell r="L20">
            <v>8.9808514783682514E-2</v>
          </cell>
          <cell r="M20">
            <v>0.10295527668525294</v>
          </cell>
        </row>
        <row r="21">
          <cell r="A21">
            <v>30</v>
          </cell>
          <cell r="B21">
            <v>-8.1559567158610083E-3</v>
          </cell>
          <cell r="C21">
            <v>4.4881933242620596E-2</v>
          </cell>
          <cell r="D21">
            <v>6.8640760432851763E-2</v>
          </cell>
          <cell r="E21">
            <v>8.9808514783180846E-2</v>
          </cell>
          <cell r="F21">
            <v>0.10295527668520033</v>
          </cell>
          <cell r="H21">
            <v>28.75</v>
          </cell>
          <cell r="I21">
            <v>-8.1559567158594522E-3</v>
          </cell>
          <cell r="J21">
            <v>4.4881933242625002E-2</v>
          </cell>
          <cell r="K21">
            <v>6.8640760432861922E-2</v>
          </cell>
          <cell r="L21">
            <v>8.9808514783204785E-2</v>
          </cell>
          <cell r="M21">
            <v>0.10295527668520199</v>
          </cell>
        </row>
        <row r="22">
          <cell r="A22">
            <v>35</v>
          </cell>
          <cell r="B22">
            <v>-8.1559567158610083E-3</v>
          </cell>
          <cell r="C22">
            <v>4.4881933242620596E-2</v>
          </cell>
          <cell r="D22">
            <v>6.8640760432851763E-2</v>
          </cell>
          <cell r="E22">
            <v>8.9808514783180846E-2</v>
          </cell>
          <cell r="F22">
            <v>0.10295527668520033</v>
          </cell>
          <cell r="H22">
            <v>30.75</v>
          </cell>
          <cell r="I22">
            <v>-8.1559567158610083E-3</v>
          </cell>
          <cell r="J22">
            <v>4.4881933242620825E-2</v>
          </cell>
          <cell r="K22">
            <v>6.864076043285218E-2</v>
          </cell>
          <cell r="L22">
            <v>8.980851478318215E-2</v>
          </cell>
          <cell r="M22">
            <v>0.10295527668520033</v>
          </cell>
        </row>
        <row r="23">
          <cell r="A23">
            <v>40</v>
          </cell>
          <cell r="B23">
            <v>-8.1559567158610083E-3</v>
          </cell>
          <cell r="C23">
            <v>4.4881933242620596E-2</v>
          </cell>
          <cell r="D23">
            <v>6.8640760432851763E-2</v>
          </cell>
          <cell r="E23">
            <v>8.9808514783180846E-2</v>
          </cell>
          <cell r="F23">
            <v>0.10295527668520033</v>
          </cell>
          <cell r="H23">
            <v>32.75</v>
          </cell>
          <cell r="I23">
            <v>-8.1559567158610083E-3</v>
          </cell>
          <cell r="J23">
            <v>4.4881933242620596E-2</v>
          </cell>
          <cell r="K23">
            <v>6.8640760432851763E-2</v>
          </cell>
          <cell r="L23">
            <v>8.9808514783181026E-2</v>
          </cell>
          <cell r="M23">
            <v>0.10295527668520033</v>
          </cell>
        </row>
        <row r="24">
          <cell r="A24">
            <v>45</v>
          </cell>
          <cell r="B24">
            <v>-8.1559567158610083E-3</v>
          </cell>
          <cell r="C24">
            <v>4.4881933242620596E-2</v>
          </cell>
          <cell r="D24">
            <v>6.8640760432851763E-2</v>
          </cell>
          <cell r="E24">
            <v>8.9808514783180846E-2</v>
          </cell>
          <cell r="F24">
            <v>0.10295527668520033</v>
          </cell>
          <cell r="H24">
            <v>34.75</v>
          </cell>
          <cell r="I24">
            <v>-8.1559567158610083E-3</v>
          </cell>
          <cell r="J24">
            <v>4.4881933242620596E-2</v>
          </cell>
          <cell r="K24">
            <v>6.8640760432851763E-2</v>
          </cell>
          <cell r="L24">
            <v>8.9808514783180846E-2</v>
          </cell>
          <cell r="M24">
            <v>0.10295527668520033</v>
          </cell>
        </row>
        <row r="25">
          <cell r="A25">
            <v>50</v>
          </cell>
          <cell r="B25">
            <v>-8.1559567158610083E-3</v>
          </cell>
          <cell r="C25">
            <v>4.4881933242620596E-2</v>
          </cell>
          <cell r="D25">
            <v>6.8640760432851763E-2</v>
          </cell>
          <cell r="E25">
            <v>8.9808514783180846E-2</v>
          </cell>
          <cell r="F25">
            <v>0.10295527668520033</v>
          </cell>
          <cell r="H25">
            <v>36.75</v>
          </cell>
          <cell r="I25">
            <v>-8.1559567158610083E-3</v>
          </cell>
          <cell r="J25">
            <v>4.4881933242620596E-2</v>
          </cell>
          <cell r="K25">
            <v>6.8640760432851763E-2</v>
          </cell>
          <cell r="L25">
            <v>8.9808514783180846E-2</v>
          </cell>
          <cell r="M25">
            <v>0.10295527668520033</v>
          </cell>
        </row>
        <row r="27">
          <cell r="A27" t="str">
            <v>Offer</v>
          </cell>
          <cell r="B27" t="str">
            <v>Additional Pre-Tax Synergies Required to Break Even</v>
          </cell>
          <cell r="H27" t="str">
            <v>Share</v>
          </cell>
          <cell r="I27" t="str">
            <v>Additional Pre-Tax Synergies Required to Break Even</v>
          </cell>
        </row>
        <row r="28">
          <cell r="A28" t="str">
            <v>Price</v>
          </cell>
          <cell r="B28">
            <v>1995</v>
          </cell>
          <cell r="C28">
            <v>1996</v>
          </cell>
          <cell r="D28">
            <v>1997</v>
          </cell>
          <cell r="E28">
            <v>1998</v>
          </cell>
          <cell r="F28">
            <v>1999</v>
          </cell>
          <cell r="H28" t="str">
            <v>Price</v>
          </cell>
          <cell r="I28">
            <v>1995</v>
          </cell>
          <cell r="J28">
            <v>1996</v>
          </cell>
          <cell r="K28">
            <v>1997</v>
          </cell>
          <cell r="L28">
            <v>1998</v>
          </cell>
          <cell r="M28">
            <v>1999</v>
          </cell>
        </row>
        <row r="29">
          <cell r="B29">
            <v>1.2767566175149556</v>
          </cell>
          <cell r="C29" t="str">
            <v>- -</v>
          </cell>
          <cell r="D29" t="str">
            <v>- -</v>
          </cell>
          <cell r="E29" t="str">
            <v>- -</v>
          </cell>
          <cell r="F29" t="str">
            <v>- -</v>
          </cell>
          <cell r="I29">
            <v>1.2767566175149556</v>
          </cell>
          <cell r="J29" t="str">
            <v>- -</v>
          </cell>
          <cell r="K29" t="str">
            <v>- -</v>
          </cell>
          <cell r="L29" t="str">
            <v>- -</v>
          </cell>
          <cell r="M29" t="str">
            <v>- -</v>
          </cell>
        </row>
        <row r="30">
          <cell r="A30">
            <v>25</v>
          </cell>
          <cell r="B30">
            <v>1.2767566175149556</v>
          </cell>
          <cell r="C30" t="str">
            <v>- -</v>
          </cell>
          <cell r="D30" t="str">
            <v>- -</v>
          </cell>
          <cell r="E30" t="str">
            <v>- -</v>
          </cell>
          <cell r="F30" t="str">
            <v>- -</v>
          </cell>
          <cell r="H30">
            <v>26.75</v>
          </cell>
          <cell r="I30">
            <v>1.2767566175058052</v>
          </cell>
          <cell r="J30" t="str">
            <v>- -</v>
          </cell>
          <cell r="K30" t="str">
            <v>- -</v>
          </cell>
          <cell r="L30" t="str">
            <v>- -</v>
          </cell>
          <cell r="M30" t="str">
            <v>- -</v>
          </cell>
        </row>
        <row r="31">
          <cell r="A31">
            <v>30</v>
          </cell>
          <cell r="B31">
            <v>1.2767566175149556</v>
          </cell>
          <cell r="C31" t="str">
            <v>- -</v>
          </cell>
          <cell r="D31" t="str">
            <v>- -</v>
          </cell>
          <cell r="E31" t="str">
            <v>- -</v>
          </cell>
          <cell r="F31" t="str">
            <v>- -</v>
          </cell>
          <cell r="H31">
            <v>28.75</v>
          </cell>
          <cell r="I31">
            <v>1.276756617514712</v>
          </cell>
          <cell r="J31" t="str">
            <v>- -</v>
          </cell>
          <cell r="K31" t="str">
            <v>- -</v>
          </cell>
          <cell r="L31" t="str">
            <v>- -</v>
          </cell>
          <cell r="M31" t="str">
            <v>- -</v>
          </cell>
        </row>
        <row r="32">
          <cell r="A32">
            <v>35</v>
          </cell>
          <cell r="B32">
            <v>1.2767566175149556</v>
          </cell>
          <cell r="C32" t="str">
            <v>- -</v>
          </cell>
          <cell r="D32" t="str">
            <v>- -</v>
          </cell>
          <cell r="E32" t="str">
            <v>- -</v>
          </cell>
          <cell r="F32" t="str">
            <v>- -</v>
          </cell>
          <cell r="H32">
            <v>30.75</v>
          </cell>
          <cell r="I32">
            <v>1.2767566175149556</v>
          </cell>
          <cell r="J32" t="str">
            <v>- -</v>
          </cell>
          <cell r="K32" t="str">
            <v>- -</v>
          </cell>
          <cell r="L32" t="str">
            <v>- -</v>
          </cell>
          <cell r="M32" t="str">
            <v>- -</v>
          </cell>
        </row>
        <row r="33">
          <cell r="A33">
            <v>40</v>
          </cell>
          <cell r="B33">
            <v>1.2767566175149556</v>
          </cell>
          <cell r="C33" t="str">
            <v>- -</v>
          </cell>
          <cell r="D33" t="str">
            <v>- -</v>
          </cell>
          <cell r="E33" t="str">
            <v>- -</v>
          </cell>
          <cell r="F33" t="str">
            <v>- -</v>
          </cell>
          <cell r="H33">
            <v>32.75</v>
          </cell>
          <cell r="I33">
            <v>1.2767566175149556</v>
          </cell>
          <cell r="J33" t="str">
            <v>- -</v>
          </cell>
          <cell r="K33" t="str">
            <v>- -</v>
          </cell>
          <cell r="L33" t="str">
            <v>- -</v>
          </cell>
          <cell r="M33" t="str">
            <v>- -</v>
          </cell>
        </row>
        <row r="34">
          <cell r="A34">
            <v>45</v>
          </cell>
          <cell r="B34">
            <v>1.2767566175149556</v>
          </cell>
          <cell r="C34" t="str">
            <v>- -</v>
          </cell>
          <cell r="D34" t="str">
            <v>- -</v>
          </cell>
          <cell r="E34" t="str">
            <v>- -</v>
          </cell>
          <cell r="F34" t="str">
            <v>- -</v>
          </cell>
          <cell r="H34">
            <v>34.75</v>
          </cell>
          <cell r="I34">
            <v>1.2767566175149556</v>
          </cell>
          <cell r="J34" t="str">
            <v>- -</v>
          </cell>
          <cell r="K34" t="str">
            <v>- -</v>
          </cell>
          <cell r="L34" t="str">
            <v>- -</v>
          </cell>
          <cell r="M34" t="str">
            <v>- -</v>
          </cell>
        </row>
        <row r="35">
          <cell r="A35">
            <v>50</v>
          </cell>
          <cell r="B35">
            <v>1.2767566175149556</v>
          </cell>
          <cell r="C35" t="str">
            <v>- -</v>
          </cell>
          <cell r="D35" t="str">
            <v>- -</v>
          </cell>
          <cell r="E35" t="str">
            <v>- -</v>
          </cell>
          <cell r="F35" t="str">
            <v>- -</v>
          </cell>
          <cell r="H35">
            <v>36.75</v>
          </cell>
          <cell r="I35">
            <v>1.2767566175149556</v>
          </cell>
          <cell r="J35" t="str">
            <v>- -</v>
          </cell>
          <cell r="K35" t="str">
            <v>- -</v>
          </cell>
          <cell r="L35" t="str">
            <v>- -</v>
          </cell>
          <cell r="M35" t="str">
            <v>- -</v>
          </cell>
        </row>
        <row r="37">
          <cell r="A37" t="str">
            <v>Offer</v>
          </cell>
          <cell r="B37" t="str">
            <v>Additional Pre-Tax Synergies (% of Target Sales)</v>
          </cell>
          <cell r="H37" t="str">
            <v>Share</v>
          </cell>
          <cell r="I37" t="str">
            <v>Additional Pre-Tax Synergies (% of Target Sales)</v>
          </cell>
        </row>
        <row r="38">
          <cell r="A38" t="str">
            <v>Price</v>
          </cell>
          <cell r="B38">
            <v>1995</v>
          </cell>
          <cell r="C38">
            <v>1996</v>
          </cell>
          <cell r="D38">
            <v>1997</v>
          </cell>
          <cell r="E38">
            <v>1998</v>
          </cell>
          <cell r="F38">
            <v>1999</v>
          </cell>
          <cell r="H38" t="str">
            <v>Price</v>
          </cell>
          <cell r="I38">
            <v>1995</v>
          </cell>
          <cell r="J38">
            <v>1996</v>
          </cell>
          <cell r="K38">
            <v>1997</v>
          </cell>
          <cell r="L38">
            <v>1998</v>
          </cell>
          <cell r="M38">
            <v>1999</v>
          </cell>
        </row>
        <row r="39">
          <cell r="B39">
            <v>2.6390173987493916E-3</v>
          </cell>
          <cell r="C39" t="str">
            <v>- -</v>
          </cell>
          <cell r="D39" t="str">
            <v>- -</v>
          </cell>
          <cell r="E39" t="str">
            <v>- -</v>
          </cell>
          <cell r="F39" t="str">
            <v>- -</v>
          </cell>
          <cell r="I39">
            <v>2.6390173987493916E-3</v>
          </cell>
          <cell r="J39" t="str">
            <v>- -</v>
          </cell>
          <cell r="K39" t="str">
            <v>- -</v>
          </cell>
          <cell r="L39" t="str">
            <v>- -</v>
          </cell>
          <cell r="M39" t="str">
            <v>- -</v>
          </cell>
        </row>
        <row r="40">
          <cell r="A40">
            <v>25</v>
          </cell>
          <cell r="B40">
            <v>2.6390173987493916E-3</v>
          </cell>
          <cell r="C40" t="str">
            <v>- -</v>
          </cell>
          <cell r="D40" t="str">
            <v>- -</v>
          </cell>
          <cell r="E40" t="str">
            <v>- -</v>
          </cell>
          <cell r="F40" t="str">
            <v>- -</v>
          </cell>
          <cell r="H40">
            <v>26.75</v>
          </cell>
          <cell r="I40">
            <v>2.6390173987304779E-3</v>
          </cell>
          <cell r="J40" t="str">
            <v>- -</v>
          </cell>
          <cell r="K40" t="str">
            <v>- -</v>
          </cell>
          <cell r="L40" t="str">
            <v>- -</v>
          </cell>
          <cell r="M40" t="str">
            <v>- -</v>
          </cell>
        </row>
        <row r="41">
          <cell r="A41">
            <v>30</v>
          </cell>
          <cell r="B41">
            <v>2.6390173987493916E-3</v>
          </cell>
          <cell r="C41" t="str">
            <v>- -</v>
          </cell>
          <cell r="D41" t="str">
            <v>- -</v>
          </cell>
          <cell r="E41" t="str">
            <v>- -</v>
          </cell>
          <cell r="F41" t="str">
            <v>- -</v>
          </cell>
          <cell r="H41">
            <v>28.75</v>
          </cell>
          <cell r="I41">
            <v>2.6390173987488881E-3</v>
          </cell>
          <cell r="J41" t="str">
            <v>- -</v>
          </cell>
          <cell r="K41" t="str">
            <v>- -</v>
          </cell>
          <cell r="L41" t="str">
            <v>- -</v>
          </cell>
          <cell r="M41" t="str">
            <v>- -</v>
          </cell>
        </row>
        <row r="42">
          <cell r="A42">
            <v>35</v>
          </cell>
          <cell r="B42">
            <v>2.6390173987493916E-3</v>
          </cell>
          <cell r="C42" t="str">
            <v>- -</v>
          </cell>
          <cell r="D42" t="str">
            <v>- -</v>
          </cell>
          <cell r="E42" t="str">
            <v>- -</v>
          </cell>
          <cell r="F42" t="str">
            <v>- -</v>
          </cell>
          <cell r="H42">
            <v>30.75</v>
          </cell>
          <cell r="I42">
            <v>2.6390173987493916E-3</v>
          </cell>
          <cell r="J42" t="str">
            <v>- -</v>
          </cell>
          <cell r="K42" t="str">
            <v>- -</v>
          </cell>
          <cell r="L42" t="str">
            <v>- -</v>
          </cell>
          <cell r="M42" t="str">
            <v>- -</v>
          </cell>
        </row>
        <row r="43">
          <cell r="A43">
            <v>40</v>
          </cell>
          <cell r="B43">
            <v>2.6390173987493916E-3</v>
          </cell>
          <cell r="C43" t="str">
            <v>- -</v>
          </cell>
          <cell r="D43" t="str">
            <v>- -</v>
          </cell>
          <cell r="E43" t="str">
            <v>- -</v>
          </cell>
          <cell r="F43" t="str">
            <v>- -</v>
          </cell>
          <cell r="H43">
            <v>32.75</v>
          </cell>
          <cell r="I43">
            <v>2.6390173987493916E-3</v>
          </cell>
          <cell r="J43" t="str">
            <v>- -</v>
          </cell>
          <cell r="K43" t="str">
            <v>- -</v>
          </cell>
          <cell r="L43" t="str">
            <v>- -</v>
          </cell>
          <cell r="M43" t="str">
            <v>- -</v>
          </cell>
        </row>
        <row r="44">
          <cell r="A44">
            <v>45</v>
          </cell>
          <cell r="B44">
            <v>2.6390173987493916E-3</v>
          </cell>
          <cell r="C44" t="str">
            <v>- -</v>
          </cell>
          <cell r="D44" t="str">
            <v>- -</v>
          </cell>
          <cell r="E44" t="str">
            <v>- -</v>
          </cell>
          <cell r="F44" t="str">
            <v>- -</v>
          </cell>
          <cell r="H44">
            <v>34.75</v>
          </cell>
          <cell r="I44">
            <v>2.6390173987493916E-3</v>
          </cell>
          <cell r="J44" t="str">
            <v>- -</v>
          </cell>
          <cell r="K44" t="str">
            <v>- -</v>
          </cell>
          <cell r="L44" t="str">
            <v>- -</v>
          </cell>
          <cell r="M44" t="str">
            <v>- -</v>
          </cell>
        </row>
        <row r="45">
          <cell r="A45">
            <v>50</v>
          </cell>
          <cell r="B45">
            <v>2.6390173987493916E-3</v>
          </cell>
          <cell r="C45" t="str">
            <v>- -</v>
          </cell>
          <cell r="D45" t="str">
            <v>- -</v>
          </cell>
          <cell r="E45" t="str">
            <v>- -</v>
          </cell>
          <cell r="F45" t="str">
            <v>- -</v>
          </cell>
          <cell r="H45">
            <v>36.75</v>
          </cell>
          <cell r="I45">
            <v>2.6390173987493916E-3</v>
          </cell>
          <cell r="J45" t="str">
            <v>- -</v>
          </cell>
          <cell r="K45" t="str">
            <v>- -</v>
          </cell>
          <cell r="L45" t="str">
            <v>- -</v>
          </cell>
          <cell r="M45" t="str">
            <v>- -</v>
          </cell>
        </row>
        <row r="47">
          <cell r="A47" t="str">
            <v>(a)  All offer value sensitivities assume that changes in purchase price result in changes in revolving bank debt.</v>
          </cell>
        </row>
        <row r="48">
          <cell r="A48" t="str">
            <v>(b)  All stock price sensitivities assume a $30.00 per share purchase price</v>
          </cell>
        </row>
      </sheetData>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
      <sheetName val="Balance Sheet"/>
      <sheetName val="Income Statement"/>
    </sheetNames>
    <sheetDataSet>
      <sheetData sheetId="0" refreshError="1">
        <row r="9">
          <cell r="B9">
            <v>-1.279530624894587E-2</v>
          </cell>
          <cell r="C9">
            <v>8.5940265136851934E-2</v>
          </cell>
          <cell r="D9">
            <v>0.14704507828254343</v>
          </cell>
          <cell r="E9">
            <v>0.2148880737521508</v>
          </cell>
          <cell r="F9">
            <v>0.27464477633990381</v>
          </cell>
        </row>
        <row r="10">
          <cell r="A10">
            <v>25</v>
          </cell>
          <cell r="B10">
            <v>-1.279530624894587E-2</v>
          </cell>
          <cell r="C10">
            <v>8.5940265136851934E-2</v>
          </cell>
          <cell r="D10">
            <v>0.14704507828254387</v>
          </cell>
          <cell r="E10">
            <v>0.2148880737521508</v>
          </cell>
          <cell r="F10">
            <v>0.27464477633990425</v>
          </cell>
        </row>
        <row r="11">
          <cell r="A11">
            <v>30</v>
          </cell>
          <cell r="B11">
            <v>-1.279530624894587E-2</v>
          </cell>
          <cell r="C11">
            <v>8.5940265136851934E-2</v>
          </cell>
          <cell r="D11">
            <v>0.14704507828254387</v>
          </cell>
          <cell r="E11">
            <v>0.2148880737521508</v>
          </cell>
          <cell r="F11">
            <v>0.27464477633990425</v>
          </cell>
        </row>
        <row r="12">
          <cell r="A12">
            <v>35</v>
          </cell>
          <cell r="B12">
            <v>-1.279530624894587E-2</v>
          </cell>
          <cell r="C12">
            <v>8.5940265136851934E-2</v>
          </cell>
          <cell r="D12">
            <v>0.14704507828254387</v>
          </cell>
          <cell r="E12">
            <v>0.2148880737521508</v>
          </cell>
          <cell r="F12">
            <v>0.27464477633990425</v>
          </cell>
        </row>
        <row r="13">
          <cell r="A13">
            <v>40</v>
          </cell>
          <cell r="B13">
            <v>-1.279530624894587E-2</v>
          </cell>
          <cell r="C13">
            <v>8.5940265136851934E-2</v>
          </cell>
          <cell r="D13">
            <v>0.14704507828254387</v>
          </cell>
          <cell r="E13">
            <v>0.2148880737521508</v>
          </cell>
          <cell r="F13">
            <v>0.27464477633990425</v>
          </cell>
        </row>
        <row r="14">
          <cell r="A14">
            <v>45</v>
          </cell>
          <cell r="B14">
            <v>-1.279530624894587E-2</v>
          </cell>
          <cell r="C14">
            <v>8.5940265136851934E-2</v>
          </cell>
          <cell r="D14">
            <v>0.14704507828254387</v>
          </cell>
          <cell r="E14">
            <v>0.2148880737521508</v>
          </cell>
          <cell r="F14">
            <v>0.27464477633990425</v>
          </cell>
        </row>
        <row r="15">
          <cell r="A15">
            <v>50</v>
          </cell>
          <cell r="B15">
            <v>-1.279530624894587E-2</v>
          </cell>
          <cell r="C15">
            <v>8.5940265136851934E-2</v>
          </cell>
          <cell r="D15">
            <v>0.14704507828254387</v>
          </cell>
          <cell r="E15">
            <v>0.2148880737521508</v>
          </cell>
          <cell r="F15">
            <v>0.27464477633990425</v>
          </cell>
        </row>
        <row r="19">
          <cell r="B19">
            <v>-8.1559567158610013E-3</v>
          </cell>
          <cell r="C19">
            <v>4.4881933242620686E-2</v>
          </cell>
          <cell r="D19">
            <v>6.8640760432851611E-2</v>
          </cell>
          <cell r="E19">
            <v>8.9808514783180859E-2</v>
          </cell>
          <cell r="F19">
            <v>0.10295527668520021</v>
          </cell>
        </row>
        <row r="20">
          <cell r="A20">
            <v>25</v>
          </cell>
          <cell r="B20">
            <v>-8.1559567158610083E-3</v>
          </cell>
          <cell r="C20">
            <v>4.4881933242620596E-2</v>
          </cell>
          <cell r="D20">
            <v>6.8640760432851763E-2</v>
          </cell>
          <cell r="E20">
            <v>8.9808514783180846E-2</v>
          </cell>
          <cell r="F20">
            <v>0.10295527668520033</v>
          </cell>
        </row>
        <row r="21">
          <cell r="A21">
            <v>30</v>
          </cell>
          <cell r="B21">
            <v>-8.1559567158610083E-3</v>
          </cell>
          <cell r="C21">
            <v>4.4881933242620596E-2</v>
          </cell>
          <cell r="D21">
            <v>6.8640760432851763E-2</v>
          </cell>
          <cell r="E21">
            <v>8.9808514783180846E-2</v>
          </cell>
          <cell r="F21">
            <v>0.10295527668520033</v>
          </cell>
        </row>
        <row r="22">
          <cell r="A22">
            <v>35</v>
          </cell>
          <cell r="B22">
            <v>-8.1559567158610083E-3</v>
          </cell>
          <cell r="C22">
            <v>4.4881933242620596E-2</v>
          </cell>
          <cell r="D22">
            <v>6.8640760432851763E-2</v>
          </cell>
          <cell r="E22">
            <v>8.9808514783180846E-2</v>
          </cell>
          <cell r="F22">
            <v>0.10295527668520033</v>
          </cell>
        </row>
        <row r="23">
          <cell r="A23">
            <v>40</v>
          </cell>
          <cell r="B23">
            <v>-8.1559567158610083E-3</v>
          </cell>
          <cell r="C23">
            <v>4.4881933242620596E-2</v>
          </cell>
          <cell r="D23">
            <v>6.8640760432851763E-2</v>
          </cell>
          <cell r="E23">
            <v>8.9808514783180846E-2</v>
          </cell>
          <cell r="F23">
            <v>0.10295527668520033</v>
          </cell>
        </row>
        <row r="24">
          <cell r="A24">
            <v>45</v>
          </cell>
          <cell r="B24">
            <v>-8.1559567158610083E-3</v>
          </cell>
          <cell r="C24">
            <v>4.4881933242620596E-2</v>
          </cell>
          <cell r="D24">
            <v>6.8640760432851763E-2</v>
          </cell>
          <cell r="E24">
            <v>8.9808514783180846E-2</v>
          </cell>
          <cell r="F24">
            <v>0.10295527668520033</v>
          </cell>
        </row>
        <row r="25">
          <cell r="A25">
            <v>50</v>
          </cell>
          <cell r="B25">
            <v>-8.1559567158610083E-3</v>
          </cell>
          <cell r="C25">
            <v>4.4881933242620596E-2</v>
          </cell>
          <cell r="D25">
            <v>6.8640760432851763E-2</v>
          </cell>
          <cell r="E25">
            <v>8.9808514783180846E-2</v>
          </cell>
          <cell r="F25">
            <v>0.10295527668520033</v>
          </cell>
        </row>
        <row r="29">
          <cell r="B29">
            <v>1.2767566175149556</v>
          </cell>
          <cell r="C29" t="str">
            <v>- -</v>
          </cell>
          <cell r="D29" t="str">
            <v>- -</v>
          </cell>
          <cell r="E29" t="str">
            <v>- -</v>
          </cell>
          <cell r="F29" t="str">
            <v>- -</v>
          </cell>
        </row>
        <row r="30">
          <cell r="A30">
            <v>25</v>
          </cell>
          <cell r="B30">
            <v>1.2767566175149556</v>
          </cell>
          <cell r="C30" t="str">
            <v>- -</v>
          </cell>
          <cell r="D30" t="str">
            <v>- -</v>
          </cell>
          <cell r="E30" t="str">
            <v>- -</v>
          </cell>
          <cell r="F30" t="str">
            <v>- -</v>
          </cell>
        </row>
        <row r="31">
          <cell r="A31">
            <v>30</v>
          </cell>
          <cell r="B31">
            <v>1.2767566175149556</v>
          </cell>
          <cell r="C31" t="str">
            <v>- -</v>
          </cell>
          <cell r="D31" t="str">
            <v>- -</v>
          </cell>
          <cell r="E31" t="str">
            <v>- -</v>
          </cell>
          <cell r="F31" t="str">
            <v>- -</v>
          </cell>
        </row>
        <row r="32">
          <cell r="A32">
            <v>35</v>
          </cell>
          <cell r="B32">
            <v>1.2767566175149556</v>
          </cell>
          <cell r="C32" t="str">
            <v>- -</v>
          </cell>
          <cell r="D32" t="str">
            <v>- -</v>
          </cell>
          <cell r="E32" t="str">
            <v>- -</v>
          </cell>
          <cell r="F32" t="str">
            <v>- -</v>
          </cell>
        </row>
        <row r="33">
          <cell r="A33">
            <v>40</v>
          </cell>
          <cell r="B33">
            <v>1.2767566175149556</v>
          </cell>
          <cell r="C33" t="str">
            <v>- -</v>
          </cell>
          <cell r="D33" t="str">
            <v>- -</v>
          </cell>
          <cell r="E33" t="str">
            <v>- -</v>
          </cell>
          <cell r="F33" t="str">
            <v>- -</v>
          </cell>
        </row>
        <row r="34">
          <cell r="A34">
            <v>45</v>
          </cell>
          <cell r="B34">
            <v>1.2767566175149556</v>
          </cell>
          <cell r="C34" t="str">
            <v>- -</v>
          </cell>
          <cell r="D34" t="str">
            <v>- -</v>
          </cell>
          <cell r="E34" t="str">
            <v>- -</v>
          </cell>
          <cell r="F34" t="str">
            <v>- -</v>
          </cell>
        </row>
        <row r="35">
          <cell r="A35">
            <v>50</v>
          </cell>
          <cell r="B35">
            <v>1.2767566175149556</v>
          </cell>
          <cell r="C35" t="str">
            <v>- -</v>
          </cell>
          <cell r="D35" t="str">
            <v>- -</v>
          </cell>
          <cell r="E35" t="str">
            <v>- -</v>
          </cell>
          <cell r="F35" t="str">
            <v>- -</v>
          </cell>
        </row>
      </sheetData>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
      <sheetName val="Balance Sheet"/>
      <sheetName val="Income Statement"/>
    </sheetNames>
    <sheetDataSet>
      <sheetData sheetId="0" refreshError="1">
        <row r="9">
          <cell r="B9">
            <v>-1.279530624894587E-2</v>
          </cell>
          <cell r="C9">
            <v>8.5940265136851934E-2</v>
          </cell>
          <cell r="D9">
            <v>0.14704507828254343</v>
          </cell>
          <cell r="E9">
            <v>0.2148880737521508</v>
          </cell>
          <cell r="F9">
            <v>0.27464477633990381</v>
          </cell>
        </row>
        <row r="10">
          <cell r="A10">
            <v>25</v>
          </cell>
          <cell r="B10">
            <v>-1.279530624894587E-2</v>
          </cell>
          <cell r="C10">
            <v>8.5940265136851934E-2</v>
          </cell>
          <cell r="D10">
            <v>0.14704507828254387</v>
          </cell>
          <cell r="E10">
            <v>0.2148880737521508</v>
          </cell>
          <cell r="F10">
            <v>0.27464477633990425</v>
          </cell>
        </row>
        <row r="11">
          <cell r="A11">
            <v>30</v>
          </cell>
          <cell r="B11">
            <v>-1.279530624894587E-2</v>
          </cell>
          <cell r="C11">
            <v>8.5940265136851934E-2</v>
          </cell>
          <cell r="D11">
            <v>0.14704507828254387</v>
          </cell>
          <cell r="E11">
            <v>0.2148880737521508</v>
          </cell>
          <cell r="F11">
            <v>0.27464477633990425</v>
          </cell>
        </row>
        <row r="12">
          <cell r="A12">
            <v>35</v>
          </cell>
          <cell r="B12">
            <v>-1.279530624894587E-2</v>
          </cell>
          <cell r="C12">
            <v>8.5940265136851934E-2</v>
          </cell>
          <cell r="D12">
            <v>0.14704507828254387</v>
          </cell>
          <cell r="E12">
            <v>0.2148880737521508</v>
          </cell>
          <cell r="F12">
            <v>0.27464477633990425</v>
          </cell>
        </row>
        <row r="13">
          <cell r="A13">
            <v>40</v>
          </cell>
          <cell r="B13">
            <v>-1.279530624894587E-2</v>
          </cell>
          <cell r="C13">
            <v>8.5940265136851934E-2</v>
          </cell>
          <cell r="D13">
            <v>0.14704507828254387</v>
          </cell>
          <cell r="E13">
            <v>0.2148880737521508</v>
          </cell>
          <cell r="F13">
            <v>0.27464477633990425</v>
          </cell>
        </row>
        <row r="14">
          <cell r="A14">
            <v>45</v>
          </cell>
          <cell r="B14">
            <v>-1.279530624894587E-2</v>
          </cell>
          <cell r="C14">
            <v>8.5940265136851934E-2</v>
          </cell>
          <cell r="D14">
            <v>0.14704507828254387</v>
          </cell>
          <cell r="E14">
            <v>0.2148880737521508</v>
          </cell>
          <cell r="F14">
            <v>0.27464477633990425</v>
          </cell>
        </row>
        <row r="15">
          <cell r="A15">
            <v>50</v>
          </cell>
          <cell r="B15">
            <v>-1.279530624894587E-2</v>
          </cell>
          <cell r="C15">
            <v>8.5940265136851934E-2</v>
          </cell>
          <cell r="D15">
            <v>0.14704507828254387</v>
          </cell>
          <cell r="E15">
            <v>0.2148880737521508</v>
          </cell>
          <cell r="F15">
            <v>0.27464477633990425</v>
          </cell>
        </row>
        <row r="19">
          <cell r="B19">
            <v>-8.1559567158610013E-3</v>
          </cell>
          <cell r="C19">
            <v>4.4881933242620686E-2</v>
          </cell>
          <cell r="D19">
            <v>6.8640760432851611E-2</v>
          </cell>
          <cell r="E19">
            <v>8.9808514783180859E-2</v>
          </cell>
          <cell r="F19">
            <v>0.10295527668520021</v>
          </cell>
        </row>
        <row r="20">
          <cell r="A20">
            <v>25</v>
          </cell>
          <cell r="B20">
            <v>-8.1559567158610083E-3</v>
          </cell>
          <cell r="C20">
            <v>4.4881933242620596E-2</v>
          </cell>
          <cell r="D20">
            <v>6.8640760432851763E-2</v>
          </cell>
          <cell r="E20">
            <v>8.9808514783180846E-2</v>
          </cell>
          <cell r="F20">
            <v>0.10295527668520033</v>
          </cell>
        </row>
        <row r="21">
          <cell r="A21">
            <v>30</v>
          </cell>
          <cell r="B21">
            <v>-8.1559567158610083E-3</v>
          </cell>
          <cell r="C21">
            <v>4.4881933242620596E-2</v>
          </cell>
          <cell r="D21">
            <v>6.8640760432851763E-2</v>
          </cell>
          <cell r="E21">
            <v>8.9808514783180846E-2</v>
          </cell>
          <cell r="F21">
            <v>0.10295527668520033</v>
          </cell>
        </row>
        <row r="22">
          <cell r="A22">
            <v>35</v>
          </cell>
          <cell r="B22">
            <v>-8.1559567158610083E-3</v>
          </cell>
          <cell r="C22">
            <v>4.4881933242620596E-2</v>
          </cell>
          <cell r="D22">
            <v>6.8640760432851763E-2</v>
          </cell>
          <cell r="E22">
            <v>8.9808514783180846E-2</v>
          </cell>
          <cell r="F22">
            <v>0.10295527668520033</v>
          </cell>
        </row>
        <row r="23">
          <cell r="A23">
            <v>40</v>
          </cell>
          <cell r="B23">
            <v>-8.1559567158610083E-3</v>
          </cell>
          <cell r="C23">
            <v>4.4881933242620596E-2</v>
          </cell>
          <cell r="D23">
            <v>6.8640760432851763E-2</v>
          </cell>
          <cell r="E23">
            <v>8.9808514783180846E-2</v>
          </cell>
          <cell r="F23">
            <v>0.10295527668520033</v>
          </cell>
        </row>
        <row r="24">
          <cell r="A24">
            <v>45</v>
          </cell>
          <cell r="B24">
            <v>-8.1559567158610083E-3</v>
          </cell>
          <cell r="C24">
            <v>4.4881933242620596E-2</v>
          </cell>
          <cell r="D24">
            <v>6.8640760432851763E-2</v>
          </cell>
          <cell r="E24">
            <v>8.9808514783180846E-2</v>
          </cell>
          <cell r="F24">
            <v>0.10295527668520033</v>
          </cell>
        </row>
        <row r="25">
          <cell r="A25">
            <v>50</v>
          </cell>
          <cell r="B25">
            <v>-8.1559567158610083E-3</v>
          </cell>
          <cell r="C25">
            <v>4.4881933242620596E-2</v>
          </cell>
          <cell r="D25">
            <v>6.8640760432851763E-2</v>
          </cell>
          <cell r="E25">
            <v>8.9808514783180846E-2</v>
          </cell>
          <cell r="F25">
            <v>0.10295527668520033</v>
          </cell>
        </row>
        <row r="29">
          <cell r="B29">
            <v>1.2767566175149556</v>
          </cell>
          <cell r="C29" t="str">
            <v>- -</v>
          </cell>
          <cell r="D29" t="str">
            <v>- -</v>
          </cell>
          <cell r="E29" t="str">
            <v>- -</v>
          </cell>
          <cell r="F29" t="str">
            <v>- -</v>
          </cell>
        </row>
        <row r="30">
          <cell r="A30">
            <v>25</v>
          </cell>
          <cell r="B30">
            <v>1.2767566175149556</v>
          </cell>
          <cell r="C30" t="str">
            <v>- -</v>
          </cell>
          <cell r="D30" t="str">
            <v>- -</v>
          </cell>
          <cell r="E30" t="str">
            <v>- -</v>
          </cell>
          <cell r="F30" t="str">
            <v>- -</v>
          </cell>
        </row>
        <row r="31">
          <cell r="A31">
            <v>30</v>
          </cell>
          <cell r="B31">
            <v>1.2767566175149556</v>
          </cell>
          <cell r="C31" t="str">
            <v>- -</v>
          </cell>
          <cell r="D31" t="str">
            <v>- -</v>
          </cell>
          <cell r="E31" t="str">
            <v>- -</v>
          </cell>
          <cell r="F31" t="str">
            <v>- -</v>
          </cell>
        </row>
        <row r="32">
          <cell r="A32">
            <v>35</v>
          </cell>
          <cell r="B32">
            <v>1.2767566175149556</v>
          </cell>
          <cell r="C32" t="str">
            <v>- -</v>
          </cell>
          <cell r="D32" t="str">
            <v>- -</v>
          </cell>
          <cell r="E32" t="str">
            <v>- -</v>
          </cell>
          <cell r="F32" t="str">
            <v>- -</v>
          </cell>
        </row>
        <row r="33">
          <cell r="A33">
            <v>40</v>
          </cell>
          <cell r="B33">
            <v>1.2767566175149556</v>
          </cell>
          <cell r="C33" t="str">
            <v>- -</v>
          </cell>
          <cell r="D33" t="str">
            <v>- -</v>
          </cell>
          <cell r="E33" t="str">
            <v>- -</v>
          </cell>
          <cell r="F33" t="str">
            <v>- -</v>
          </cell>
        </row>
        <row r="34">
          <cell r="A34">
            <v>45</v>
          </cell>
          <cell r="B34">
            <v>1.2767566175149556</v>
          </cell>
          <cell r="C34" t="str">
            <v>- -</v>
          </cell>
          <cell r="D34" t="str">
            <v>- -</v>
          </cell>
          <cell r="E34" t="str">
            <v>- -</v>
          </cell>
          <cell r="F34" t="str">
            <v>- -</v>
          </cell>
        </row>
        <row r="35">
          <cell r="A35">
            <v>50</v>
          </cell>
          <cell r="B35">
            <v>1.2767566175149556</v>
          </cell>
          <cell r="C35" t="str">
            <v>- -</v>
          </cell>
          <cell r="D35" t="str">
            <v>- -</v>
          </cell>
          <cell r="E35" t="str">
            <v>- -</v>
          </cell>
          <cell r="F35" t="str">
            <v>- -</v>
          </cell>
        </row>
      </sheetData>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
      <sheetName val="Balance Sheet"/>
      <sheetName val="Income Statement"/>
    </sheetNames>
    <sheetDataSet>
      <sheetData sheetId="0" refreshError="1">
        <row r="9">
          <cell r="B9">
            <v>-1.279530624894587E-2</v>
          </cell>
          <cell r="C9">
            <v>8.5940265136851934E-2</v>
          </cell>
          <cell r="D9">
            <v>0.14704507828254343</v>
          </cell>
          <cell r="E9">
            <v>0.2148880737521508</v>
          </cell>
          <cell r="F9">
            <v>0.27464477633990381</v>
          </cell>
        </row>
        <row r="10">
          <cell r="A10">
            <v>25</v>
          </cell>
          <cell r="B10">
            <v>-1.279530624894587E-2</v>
          </cell>
          <cell r="C10">
            <v>8.5940265136851934E-2</v>
          </cell>
          <cell r="D10">
            <v>0.14704507828254387</v>
          </cell>
          <cell r="E10">
            <v>0.2148880737521508</v>
          </cell>
          <cell r="F10">
            <v>0.27464477633990425</v>
          </cell>
        </row>
        <row r="11">
          <cell r="A11">
            <v>30</v>
          </cell>
          <cell r="B11">
            <v>-1.279530624894587E-2</v>
          </cell>
          <cell r="C11">
            <v>8.5940265136851934E-2</v>
          </cell>
          <cell r="D11">
            <v>0.14704507828254387</v>
          </cell>
          <cell r="E11">
            <v>0.2148880737521508</v>
          </cell>
          <cell r="F11">
            <v>0.27464477633990425</v>
          </cell>
        </row>
        <row r="12">
          <cell r="A12">
            <v>35</v>
          </cell>
          <cell r="B12">
            <v>-1.279530624894587E-2</v>
          </cell>
          <cell r="C12">
            <v>8.5940265136851934E-2</v>
          </cell>
          <cell r="D12">
            <v>0.14704507828254387</v>
          </cell>
          <cell r="E12">
            <v>0.2148880737521508</v>
          </cell>
          <cell r="F12">
            <v>0.27464477633990425</v>
          </cell>
        </row>
        <row r="13">
          <cell r="A13">
            <v>40</v>
          </cell>
          <cell r="B13">
            <v>-1.279530624894587E-2</v>
          </cell>
          <cell r="C13">
            <v>8.5940265136851934E-2</v>
          </cell>
          <cell r="D13">
            <v>0.14704507828254387</v>
          </cell>
          <cell r="E13">
            <v>0.2148880737521508</v>
          </cell>
          <cell r="F13">
            <v>0.27464477633990425</v>
          </cell>
        </row>
        <row r="14">
          <cell r="A14">
            <v>45</v>
          </cell>
          <cell r="B14">
            <v>-1.279530624894587E-2</v>
          </cell>
          <cell r="C14">
            <v>8.5940265136851934E-2</v>
          </cell>
          <cell r="D14">
            <v>0.14704507828254387</v>
          </cell>
          <cell r="E14">
            <v>0.2148880737521508</v>
          </cell>
          <cell r="F14">
            <v>0.27464477633990425</v>
          </cell>
        </row>
        <row r="15">
          <cell r="A15">
            <v>50</v>
          </cell>
          <cell r="B15">
            <v>-1.279530624894587E-2</v>
          </cell>
          <cell r="C15">
            <v>8.5940265136851934E-2</v>
          </cell>
          <cell r="D15">
            <v>0.14704507828254387</v>
          </cell>
          <cell r="E15">
            <v>0.2148880737521508</v>
          </cell>
          <cell r="F15">
            <v>0.27464477633990425</v>
          </cell>
        </row>
        <row r="19">
          <cell r="B19">
            <v>-8.1559567158610013E-3</v>
          </cell>
          <cell r="C19">
            <v>4.4881933242620686E-2</v>
          </cell>
          <cell r="D19">
            <v>6.8640760432851611E-2</v>
          </cell>
          <cell r="E19">
            <v>8.9808514783180859E-2</v>
          </cell>
          <cell r="F19">
            <v>0.10295527668520021</v>
          </cell>
        </row>
        <row r="20">
          <cell r="A20">
            <v>25</v>
          </cell>
          <cell r="B20">
            <v>-8.1559567158610083E-3</v>
          </cell>
          <cell r="C20">
            <v>4.4881933242620596E-2</v>
          </cell>
          <cell r="D20">
            <v>6.8640760432851763E-2</v>
          </cell>
          <cell r="E20">
            <v>8.9808514783180846E-2</v>
          </cell>
          <cell r="F20">
            <v>0.10295527668520033</v>
          </cell>
        </row>
        <row r="21">
          <cell r="A21">
            <v>30</v>
          </cell>
          <cell r="B21">
            <v>-8.1559567158610083E-3</v>
          </cell>
          <cell r="C21">
            <v>4.4881933242620596E-2</v>
          </cell>
          <cell r="D21">
            <v>6.8640760432851763E-2</v>
          </cell>
          <cell r="E21">
            <v>8.9808514783180846E-2</v>
          </cell>
          <cell r="F21">
            <v>0.10295527668520033</v>
          </cell>
        </row>
        <row r="22">
          <cell r="A22">
            <v>35</v>
          </cell>
          <cell r="B22">
            <v>-8.1559567158610083E-3</v>
          </cell>
          <cell r="C22">
            <v>4.4881933242620596E-2</v>
          </cell>
          <cell r="D22">
            <v>6.8640760432851763E-2</v>
          </cell>
          <cell r="E22">
            <v>8.9808514783180846E-2</v>
          </cell>
          <cell r="F22">
            <v>0.10295527668520033</v>
          </cell>
        </row>
        <row r="23">
          <cell r="A23">
            <v>40</v>
          </cell>
          <cell r="B23">
            <v>-8.1559567158610083E-3</v>
          </cell>
          <cell r="C23">
            <v>4.4881933242620596E-2</v>
          </cell>
          <cell r="D23">
            <v>6.8640760432851763E-2</v>
          </cell>
          <cell r="E23">
            <v>8.9808514783180846E-2</v>
          </cell>
          <cell r="F23">
            <v>0.10295527668520033</v>
          </cell>
        </row>
        <row r="24">
          <cell r="A24">
            <v>45</v>
          </cell>
          <cell r="B24">
            <v>-8.1559567158610083E-3</v>
          </cell>
          <cell r="C24">
            <v>4.4881933242620596E-2</v>
          </cell>
          <cell r="D24">
            <v>6.8640760432851763E-2</v>
          </cell>
          <cell r="E24">
            <v>8.9808514783180846E-2</v>
          </cell>
          <cell r="F24">
            <v>0.10295527668520033</v>
          </cell>
        </row>
        <row r="25">
          <cell r="A25">
            <v>50</v>
          </cell>
          <cell r="B25">
            <v>-8.1559567158610083E-3</v>
          </cell>
          <cell r="C25">
            <v>4.4881933242620596E-2</v>
          </cell>
          <cell r="D25">
            <v>6.8640760432851763E-2</v>
          </cell>
          <cell r="E25">
            <v>8.9808514783180846E-2</v>
          </cell>
          <cell r="F25">
            <v>0.10295527668520033</v>
          </cell>
        </row>
        <row r="29">
          <cell r="B29">
            <v>1.2767566175149556</v>
          </cell>
          <cell r="C29" t="str">
            <v>- -</v>
          </cell>
          <cell r="D29" t="str">
            <v>- -</v>
          </cell>
          <cell r="E29" t="str">
            <v>- -</v>
          </cell>
          <cell r="F29" t="str">
            <v>- -</v>
          </cell>
        </row>
        <row r="30">
          <cell r="A30">
            <v>25</v>
          </cell>
          <cell r="B30">
            <v>1.2767566175149556</v>
          </cell>
          <cell r="C30" t="str">
            <v>- -</v>
          </cell>
          <cell r="D30" t="str">
            <v>- -</v>
          </cell>
          <cell r="E30" t="str">
            <v>- -</v>
          </cell>
          <cell r="F30" t="str">
            <v>- -</v>
          </cell>
        </row>
        <row r="31">
          <cell r="A31">
            <v>30</v>
          </cell>
          <cell r="B31">
            <v>1.2767566175149556</v>
          </cell>
          <cell r="C31" t="str">
            <v>- -</v>
          </cell>
          <cell r="D31" t="str">
            <v>- -</v>
          </cell>
          <cell r="E31" t="str">
            <v>- -</v>
          </cell>
          <cell r="F31" t="str">
            <v>- -</v>
          </cell>
        </row>
        <row r="32">
          <cell r="A32">
            <v>35</v>
          </cell>
          <cell r="B32">
            <v>1.2767566175149556</v>
          </cell>
          <cell r="C32" t="str">
            <v>- -</v>
          </cell>
          <cell r="D32" t="str">
            <v>- -</v>
          </cell>
          <cell r="E32" t="str">
            <v>- -</v>
          </cell>
          <cell r="F32" t="str">
            <v>- -</v>
          </cell>
        </row>
        <row r="33">
          <cell r="A33">
            <v>40</v>
          </cell>
          <cell r="B33">
            <v>1.2767566175149556</v>
          </cell>
          <cell r="C33" t="str">
            <v>- -</v>
          </cell>
          <cell r="D33" t="str">
            <v>- -</v>
          </cell>
          <cell r="E33" t="str">
            <v>- -</v>
          </cell>
          <cell r="F33" t="str">
            <v>- -</v>
          </cell>
        </row>
        <row r="34">
          <cell r="A34">
            <v>45</v>
          </cell>
          <cell r="B34">
            <v>1.2767566175149556</v>
          </cell>
          <cell r="C34" t="str">
            <v>- -</v>
          </cell>
          <cell r="D34" t="str">
            <v>- -</v>
          </cell>
          <cell r="E34" t="str">
            <v>- -</v>
          </cell>
          <cell r="F34" t="str">
            <v>- -</v>
          </cell>
        </row>
        <row r="35">
          <cell r="A35">
            <v>50</v>
          </cell>
          <cell r="B35">
            <v>1.2767566175149556</v>
          </cell>
          <cell r="C35" t="str">
            <v>- -</v>
          </cell>
          <cell r="D35" t="str">
            <v>- -</v>
          </cell>
          <cell r="E35" t="str">
            <v>- -</v>
          </cell>
          <cell r="F35" t="str">
            <v>- -</v>
          </cell>
        </row>
      </sheetData>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Balance Sheet_VDF"/>
      <sheetName val="Income Statement_VDF"/>
      <sheetName val="Forecasts_VDF"/>
      <sheetName val="Summary Page_VDF"/>
      <sheetName val="Invested capital_VDF"/>
      <sheetName val="NOPAT_VDF"/>
      <sheetName val="WACC_VDF"/>
      <sheetName val="DCF_VDF"/>
      <sheetName val="Charts_VDF"/>
      <sheetName val="PV of Op Leases_VDF"/>
    </sheetNames>
    <sheetDataSet>
      <sheetData sheetId="0" refreshError="1"/>
      <sheetData sheetId="1" refreshError="1"/>
      <sheetData sheetId="2">
        <row r="44">
          <cell r="R44">
            <v>8.218683950084428E-2</v>
          </cell>
        </row>
      </sheetData>
      <sheetData sheetId="3" refreshError="1"/>
      <sheetData sheetId="4"/>
      <sheetData sheetId="5">
        <row r="1">
          <cell r="P1" t="str">
            <v>Invested Capital</v>
          </cell>
        </row>
        <row r="2">
          <cell r="O2" t="str">
            <v>P-2</v>
          </cell>
          <cell r="P2" t="str">
            <v>P-1</v>
          </cell>
          <cell r="Q2" t="str">
            <v>Present (P)</v>
          </cell>
        </row>
        <row r="3">
          <cell r="O3">
            <v>1997</v>
          </cell>
          <cell r="P3">
            <v>1998</v>
          </cell>
          <cell r="Q3">
            <v>1999</v>
          </cell>
        </row>
        <row r="4">
          <cell r="O4">
            <v>43.1</v>
          </cell>
          <cell r="P4">
            <v>43.7</v>
          </cell>
          <cell r="Q4">
            <v>53.1</v>
          </cell>
        </row>
        <row r="5">
          <cell r="C5">
            <v>0</v>
          </cell>
          <cell r="D5">
            <v>0</v>
          </cell>
          <cell r="E5">
            <v>0</v>
          </cell>
          <cell r="F5">
            <v>0</v>
          </cell>
          <cell r="G5">
            <v>0</v>
          </cell>
          <cell r="H5">
            <v>0</v>
          </cell>
          <cell r="I5">
            <v>0</v>
          </cell>
          <cell r="J5">
            <v>0</v>
          </cell>
          <cell r="K5">
            <v>0</v>
          </cell>
          <cell r="L5">
            <v>0</v>
          </cell>
          <cell r="M5">
            <v>0</v>
          </cell>
          <cell r="N5">
            <v>22.294999999999998</v>
          </cell>
          <cell r="O5">
            <v>26.474000000000004</v>
          </cell>
          <cell r="P5">
            <v>26.51</v>
          </cell>
          <cell r="Q5">
            <v>33.847999999999999</v>
          </cell>
        </row>
        <row r="6">
          <cell r="O6">
            <v>16.625999999999998</v>
          </cell>
          <cell r="P6">
            <v>17.190000000000001</v>
          </cell>
          <cell r="Q6">
            <v>19.252000000000002</v>
          </cell>
        </row>
        <row r="7">
          <cell r="O7">
            <v>141.5</v>
          </cell>
          <cell r="P7">
            <v>156.5</v>
          </cell>
          <cell r="Q7">
            <v>184.5</v>
          </cell>
        </row>
        <row r="8">
          <cell r="O8">
            <v>66.400000000000006</v>
          </cell>
          <cell r="P8">
            <v>68.900000000000006</v>
          </cell>
          <cell r="Q8">
            <v>77.7</v>
          </cell>
        </row>
        <row r="9">
          <cell r="A9">
            <v>0.01</v>
          </cell>
          <cell r="O9">
            <v>0</v>
          </cell>
          <cell r="P9">
            <v>0</v>
          </cell>
          <cell r="Q9">
            <v>0</v>
          </cell>
        </row>
        <row r="10">
          <cell r="O10">
            <v>29.9</v>
          </cell>
          <cell r="P10">
            <v>30.4</v>
          </cell>
          <cell r="Q10">
            <v>39.799999999999997</v>
          </cell>
        </row>
        <row r="11">
          <cell r="O11">
            <v>0</v>
          </cell>
          <cell r="P11">
            <v>0</v>
          </cell>
          <cell r="Q11">
            <v>0</v>
          </cell>
        </row>
        <row r="12">
          <cell r="O12">
            <v>15.7</v>
          </cell>
          <cell r="P12">
            <v>26.8</v>
          </cell>
          <cell r="Q12">
            <v>29.6</v>
          </cell>
        </row>
        <row r="13">
          <cell r="O13">
            <v>0</v>
          </cell>
          <cell r="P13">
            <v>0</v>
          </cell>
          <cell r="Q13">
            <v>0</v>
          </cell>
          <cell r="R13">
            <v>0</v>
          </cell>
          <cell r="S13">
            <v>0</v>
          </cell>
          <cell r="T13">
            <v>0</v>
          </cell>
        </row>
        <row r="14">
          <cell r="O14">
            <v>0</v>
          </cell>
          <cell r="P14">
            <v>0</v>
          </cell>
          <cell r="Q14">
            <v>0</v>
          </cell>
        </row>
        <row r="15">
          <cell r="O15">
            <v>270.12600000000003</v>
          </cell>
          <cell r="P15">
            <v>299.79000000000002</v>
          </cell>
          <cell r="Q15">
            <v>350.85200000000003</v>
          </cell>
        </row>
        <row r="17">
          <cell r="O17">
            <v>121.4</v>
          </cell>
          <cell r="P17">
            <v>132.1</v>
          </cell>
          <cell r="Q17">
            <v>125.5</v>
          </cell>
        </row>
        <row r="18">
          <cell r="O18">
            <v>0</v>
          </cell>
          <cell r="P18">
            <v>0</v>
          </cell>
          <cell r="Q18">
            <v>0</v>
          </cell>
        </row>
        <row r="19">
          <cell r="O19">
            <v>0</v>
          </cell>
          <cell r="P19">
            <v>0</v>
          </cell>
          <cell r="Q19">
            <v>0</v>
          </cell>
        </row>
        <row r="20">
          <cell r="O20">
            <v>46.6</v>
          </cell>
          <cell r="P20">
            <v>56.5</v>
          </cell>
          <cell r="Q20">
            <v>56.9</v>
          </cell>
        </row>
        <row r="21">
          <cell r="O21">
            <v>0</v>
          </cell>
          <cell r="P21">
            <v>0</v>
          </cell>
          <cell r="Q21">
            <v>0</v>
          </cell>
        </row>
        <row r="22">
          <cell r="O22">
            <v>32.6</v>
          </cell>
          <cell r="P22">
            <v>39.299999999999997</v>
          </cell>
          <cell r="Q22">
            <v>67.8</v>
          </cell>
        </row>
        <row r="23">
          <cell r="O23">
            <v>15.4</v>
          </cell>
          <cell r="P23">
            <v>6.1</v>
          </cell>
          <cell r="Q23">
            <v>32.4</v>
          </cell>
        </row>
        <row r="24">
          <cell r="O24">
            <v>216</v>
          </cell>
          <cell r="P24">
            <v>233.99999999999997</v>
          </cell>
          <cell r="Q24">
            <v>282.59999999999997</v>
          </cell>
        </row>
        <row r="26">
          <cell r="O26">
            <v>54.126000000000033</v>
          </cell>
          <cell r="P26">
            <v>65.790000000000049</v>
          </cell>
          <cell r="Q26">
            <v>68.252000000000066</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row>
        <row r="29">
          <cell r="O29">
            <v>0</v>
          </cell>
          <cell r="P29">
            <v>0</v>
          </cell>
          <cell r="Q29">
            <v>0</v>
          </cell>
          <cell r="R29">
            <v>0</v>
          </cell>
          <cell r="S29">
            <v>0</v>
          </cell>
          <cell r="T29">
            <v>0</v>
          </cell>
        </row>
        <row r="30">
          <cell r="O30">
            <v>0</v>
          </cell>
          <cell r="P30">
            <v>0</v>
          </cell>
          <cell r="Q30">
            <v>0</v>
          </cell>
          <cell r="R30">
            <v>0</v>
          </cell>
          <cell r="S30">
            <v>0</v>
          </cell>
          <cell r="T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row>
        <row r="32">
          <cell r="O32">
            <v>0</v>
          </cell>
          <cell r="P32">
            <v>0</v>
          </cell>
          <cell r="Q32">
            <v>0</v>
          </cell>
          <cell r="R32">
            <v>0</v>
          </cell>
          <cell r="S32">
            <v>0</v>
          </cell>
          <cell r="T32">
            <v>0</v>
          </cell>
        </row>
        <row r="33">
          <cell r="O33">
            <v>706.7</v>
          </cell>
          <cell r="P33">
            <v>722</v>
          </cell>
          <cell r="Q33">
            <v>761.1</v>
          </cell>
        </row>
        <row r="34">
          <cell r="A34">
            <v>1</v>
          </cell>
          <cell r="O34">
            <v>0</v>
          </cell>
          <cell r="P34">
            <v>0</v>
          </cell>
          <cell r="Q34">
            <v>0</v>
          </cell>
        </row>
        <row r="35">
          <cell r="O35">
            <v>0</v>
          </cell>
          <cell r="P35">
            <v>0</v>
          </cell>
          <cell r="Q35">
            <v>0</v>
          </cell>
        </row>
        <row r="36">
          <cell r="O36">
            <v>140</v>
          </cell>
          <cell r="P36">
            <v>311</v>
          </cell>
          <cell r="Q36">
            <v>399.8</v>
          </cell>
        </row>
        <row r="37">
          <cell r="O37">
            <v>70.599999999999994</v>
          </cell>
          <cell r="P37">
            <v>76.599999999999994</v>
          </cell>
          <cell r="Q37">
            <v>86.8</v>
          </cell>
        </row>
        <row r="38">
          <cell r="O38">
            <v>0</v>
          </cell>
          <cell r="P38">
            <v>0</v>
          </cell>
          <cell r="Q38">
            <v>0</v>
          </cell>
        </row>
        <row r="39">
          <cell r="O39">
            <v>0</v>
          </cell>
          <cell r="P39">
            <v>0</v>
          </cell>
          <cell r="Q39">
            <v>0</v>
          </cell>
        </row>
        <row r="40">
          <cell r="O40">
            <v>8.395999999999999</v>
          </cell>
          <cell r="P40">
            <v>8.4</v>
          </cell>
          <cell r="Q40">
            <v>8.4</v>
          </cell>
        </row>
        <row r="41">
          <cell r="O41">
            <v>28.8</v>
          </cell>
          <cell r="P41">
            <v>35</v>
          </cell>
          <cell r="Q41">
            <v>46</v>
          </cell>
        </row>
        <row r="42">
          <cell r="O42">
            <v>0</v>
          </cell>
          <cell r="P42">
            <v>0</v>
          </cell>
          <cell r="Q42">
            <v>0</v>
          </cell>
        </row>
        <row r="43">
          <cell r="O43">
            <v>954.49599999999998</v>
          </cell>
          <cell r="P43">
            <v>1153</v>
          </cell>
          <cell r="Q43">
            <v>1302.1000000000001</v>
          </cell>
        </row>
        <row r="45">
          <cell r="O45">
            <v>0</v>
          </cell>
          <cell r="P45">
            <v>0</v>
          </cell>
          <cell r="Q45">
            <v>0</v>
          </cell>
        </row>
        <row r="46">
          <cell r="O46">
            <v>0</v>
          </cell>
          <cell r="P46">
            <v>0</v>
          </cell>
          <cell r="Q46">
            <v>0</v>
          </cell>
        </row>
        <row r="47">
          <cell r="O47">
            <v>0</v>
          </cell>
          <cell r="P47">
            <v>0</v>
          </cell>
          <cell r="Q47">
            <v>0</v>
          </cell>
        </row>
        <row r="50">
          <cell r="O50">
            <v>1008.6220000000001</v>
          </cell>
          <cell r="P50">
            <v>1218.79</v>
          </cell>
          <cell r="Q50">
            <v>1370.3520000000003</v>
          </cell>
        </row>
        <row r="53">
          <cell r="O53">
            <v>0</v>
          </cell>
          <cell r="P53">
            <v>0</v>
          </cell>
          <cell r="Q53">
            <v>0</v>
          </cell>
        </row>
        <row r="54">
          <cell r="O54">
            <v>0</v>
          </cell>
          <cell r="P54">
            <v>0</v>
          </cell>
          <cell r="Q54">
            <v>0</v>
          </cell>
        </row>
        <row r="55">
          <cell r="O55">
            <v>0</v>
          </cell>
          <cell r="P55">
            <v>0</v>
          </cell>
          <cell r="Q55">
            <v>0</v>
          </cell>
        </row>
        <row r="56">
          <cell r="O56">
            <v>0</v>
          </cell>
          <cell r="P56">
            <v>0</v>
          </cell>
          <cell r="Q56">
            <v>0</v>
          </cell>
        </row>
        <row r="57">
          <cell r="O57">
            <v>103</v>
          </cell>
          <cell r="P57">
            <v>266.7</v>
          </cell>
          <cell r="Q57">
            <v>369.3</v>
          </cell>
        </row>
        <row r="58">
          <cell r="O58">
            <v>0</v>
          </cell>
          <cell r="P58">
            <v>0</v>
          </cell>
          <cell r="Q58">
            <v>0</v>
          </cell>
        </row>
        <row r="59">
          <cell r="O59">
            <v>0</v>
          </cell>
          <cell r="P59">
            <v>0</v>
          </cell>
          <cell r="Q59">
            <v>0</v>
          </cell>
        </row>
        <row r="60">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92.6</v>
          </cell>
          <cell r="O61">
            <v>103</v>
          </cell>
          <cell r="P61">
            <v>266.7</v>
          </cell>
          <cell r="Q61">
            <v>369.3</v>
          </cell>
        </row>
        <row r="63">
          <cell r="O63">
            <v>103.8</v>
          </cell>
          <cell r="P63">
            <v>99.5</v>
          </cell>
          <cell r="Q63">
            <v>102.7</v>
          </cell>
        </row>
        <row r="64">
          <cell r="O64">
            <v>0</v>
          </cell>
          <cell r="P64">
            <v>0</v>
          </cell>
          <cell r="Q64">
            <v>0</v>
          </cell>
        </row>
        <row r="65">
          <cell r="O65">
            <v>70.599999999999994</v>
          </cell>
          <cell r="P65">
            <v>76.599999999999994</v>
          </cell>
          <cell r="Q65">
            <v>86.8</v>
          </cell>
        </row>
        <row r="66">
          <cell r="O66">
            <v>0</v>
          </cell>
          <cell r="P66">
            <v>0</v>
          </cell>
          <cell r="Q66">
            <v>0</v>
          </cell>
        </row>
        <row r="67">
          <cell r="O67">
            <v>0</v>
          </cell>
          <cell r="P67">
            <v>0</v>
          </cell>
          <cell r="Q67">
            <v>0</v>
          </cell>
        </row>
        <row r="68">
          <cell r="O68">
            <v>8.395999999999999</v>
          </cell>
          <cell r="P68">
            <v>8.4</v>
          </cell>
          <cell r="Q68">
            <v>8.4</v>
          </cell>
        </row>
        <row r="69">
          <cell r="O69">
            <v>0</v>
          </cell>
          <cell r="P69">
            <v>0</v>
          </cell>
          <cell r="Q69">
            <v>0</v>
          </cell>
        </row>
        <row r="70">
          <cell r="O70">
            <v>182.79599999999996</v>
          </cell>
          <cell r="P70">
            <v>184.5</v>
          </cell>
          <cell r="Q70">
            <v>197.9</v>
          </cell>
        </row>
        <row r="72">
          <cell r="O72">
            <v>48.1</v>
          </cell>
          <cell r="P72">
            <v>72.2</v>
          </cell>
          <cell r="Q72">
            <v>73.599999999999994</v>
          </cell>
        </row>
        <row r="73">
          <cell r="O73">
            <v>118.8</v>
          </cell>
          <cell r="P73">
            <v>115.3</v>
          </cell>
          <cell r="Q73">
            <v>114</v>
          </cell>
        </row>
        <row r="74">
          <cell r="O74">
            <v>0</v>
          </cell>
          <cell r="P74">
            <v>0</v>
          </cell>
          <cell r="Q74">
            <v>10</v>
          </cell>
        </row>
        <row r="76">
          <cell r="O76">
            <v>0</v>
          </cell>
          <cell r="P76">
            <v>0</v>
          </cell>
          <cell r="Q76">
            <v>0</v>
          </cell>
        </row>
        <row r="78">
          <cell r="O78">
            <v>582.4</v>
          </cell>
          <cell r="P78">
            <v>606.6</v>
          </cell>
          <cell r="Q78">
            <v>639.4</v>
          </cell>
        </row>
        <row r="79">
          <cell r="O79">
            <v>0</v>
          </cell>
          <cell r="P79">
            <v>0</v>
          </cell>
          <cell r="Q79">
            <v>0</v>
          </cell>
          <cell r="R79">
            <v>0</v>
          </cell>
          <cell r="S79">
            <v>0</v>
          </cell>
          <cell r="T79">
            <v>0</v>
          </cell>
        </row>
        <row r="80">
          <cell r="O80">
            <v>26.474000000000004</v>
          </cell>
          <cell r="P80">
            <v>26.51</v>
          </cell>
          <cell r="Q80">
            <v>33.847999999999999</v>
          </cell>
        </row>
        <row r="81">
          <cell r="O81">
            <v>0</v>
          </cell>
          <cell r="P81">
            <v>0</v>
          </cell>
          <cell r="Q81">
            <v>0</v>
          </cell>
        </row>
        <row r="83">
          <cell r="O83">
            <v>738.72199999999987</v>
          </cell>
          <cell r="P83">
            <v>764.59</v>
          </cell>
          <cell r="Q83">
            <v>803.452</v>
          </cell>
        </row>
        <row r="84">
          <cell r="O84">
            <v>43.12</v>
          </cell>
          <cell r="P84">
            <v>42.66</v>
          </cell>
          <cell r="Q84">
            <v>42.850999999999999</v>
          </cell>
        </row>
        <row r="85">
          <cell r="O85">
            <v>17.13177179962894</v>
          </cell>
          <cell r="P85">
            <v>17.922878574777311</v>
          </cell>
          <cell r="Q85">
            <v>18.749900819117407</v>
          </cell>
        </row>
        <row r="87">
          <cell r="C87">
            <v>0</v>
          </cell>
          <cell r="D87">
            <v>0</v>
          </cell>
          <cell r="E87">
            <v>0</v>
          </cell>
          <cell r="F87">
            <v>0</v>
          </cell>
          <cell r="G87">
            <v>0</v>
          </cell>
          <cell r="H87">
            <v>0</v>
          </cell>
          <cell r="I87">
            <v>0</v>
          </cell>
          <cell r="J87">
            <v>0</v>
          </cell>
          <cell r="K87">
            <v>0</v>
          </cell>
          <cell r="L87">
            <v>0</v>
          </cell>
          <cell r="M87">
            <v>0</v>
          </cell>
          <cell r="N87">
            <v>1009.5360000000001</v>
          </cell>
          <cell r="O87">
            <v>1008.6219999999998</v>
          </cell>
          <cell r="P87">
            <v>1218.79</v>
          </cell>
          <cell r="Q87">
            <v>1370.3519999999999</v>
          </cell>
        </row>
        <row r="88">
          <cell r="O88">
            <v>-9.0536642576412784E-4</v>
          </cell>
          <cell r="P88">
            <v>0.20837142160293962</v>
          </cell>
          <cell r="Q88">
            <v>0.12435448272466947</v>
          </cell>
        </row>
        <row r="89">
          <cell r="C89">
            <v>0</v>
          </cell>
          <cell r="D89">
            <v>0</v>
          </cell>
          <cell r="E89">
            <v>0</v>
          </cell>
          <cell r="F89">
            <v>0</v>
          </cell>
          <cell r="G89">
            <v>0</v>
          </cell>
          <cell r="H89">
            <v>0</v>
          </cell>
          <cell r="I89">
            <v>0</v>
          </cell>
          <cell r="J89">
            <v>0</v>
          </cell>
          <cell r="K89">
            <v>0</v>
          </cell>
          <cell r="L89">
            <v>0</v>
          </cell>
          <cell r="M89">
            <v>0</v>
          </cell>
          <cell r="N89">
            <v>1009.5360000000001</v>
          </cell>
          <cell r="O89">
            <v>1009.079</v>
          </cell>
          <cell r="P89">
            <v>1113.7059999999999</v>
          </cell>
          <cell r="Q89">
            <v>1294.5709999999999</v>
          </cell>
        </row>
        <row r="95">
          <cell r="O95">
            <v>11.98702235039654</v>
          </cell>
          <cell r="P95">
            <v>11.536912751677852</v>
          </cell>
          <cell r="Q95">
            <v>11.29149560117302</v>
          </cell>
        </row>
        <row r="96">
          <cell r="O96">
            <v>24.741071428571427</v>
          </cell>
          <cell r="P96">
            <v>25.410199556541016</v>
          </cell>
          <cell r="Q96">
            <v>26.264665757162344</v>
          </cell>
        </row>
        <row r="97">
          <cell r="C97" t="str">
            <v>--</v>
          </cell>
          <cell r="D97" t="str">
            <v xml:space="preserve">--  </v>
          </cell>
          <cell r="E97" t="str">
            <v xml:space="preserve">--  </v>
          </cell>
          <cell r="F97" t="str">
            <v xml:space="preserve">--  </v>
          </cell>
          <cell r="G97" t="str">
            <v xml:space="preserve">--  </v>
          </cell>
          <cell r="H97" t="str">
            <v xml:space="preserve">--  </v>
          </cell>
          <cell r="I97" t="str">
            <v xml:space="preserve">--  </v>
          </cell>
          <cell r="J97" t="str">
            <v xml:space="preserve">--  </v>
          </cell>
          <cell r="K97" t="str">
            <v xml:space="preserve">--  </v>
          </cell>
          <cell r="L97" t="str">
            <v xml:space="preserve">--  </v>
          </cell>
          <cell r="M97" t="str">
            <v xml:space="preserve">--  </v>
          </cell>
          <cell r="N97">
            <v>64.229765013054845</v>
          </cell>
          <cell r="O97">
            <v>31.419905320747223</v>
          </cell>
          <cell r="P97">
            <v>28.670069048333815</v>
          </cell>
          <cell r="Q97">
            <v>28.725324898166221</v>
          </cell>
        </row>
        <row r="98">
          <cell r="O98">
            <v>2.3254773061053218</v>
          </cell>
          <cell r="P98">
            <v>2.4063834254917058</v>
          </cell>
          <cell r="Q98">
            <v>2.596183669341245</v>
          </cell>
        </row>
        <row r="99">
          <cell r="C99" t="str">
            <v>--</v>
          </cell>
          <cell r="D99" t="str">
            <v xml:space="preserve">--  </v>
          </cell>
          <cell r="E99" t="str">
            <v xml:space="preserve">--  </v>
          </cell>
          <cell r="F99" t="str">
            <v xml:space="preserve">--  </v>
          </cell>
          <cell r="G99" t="str">
            <v xml:space="preserve">--  </v>
          </cell>
          <cell r="H99" t="str">
            <v xml:space="preserve">--  </v>
          </cell>
          <cell r="I99" t="str">
            <v xml:space="preserve">--  </v>
          </cell>
          <cell r="J99" t="str">
            <v xml:space="preserve">--  </v>
          </cell>
          <cell r="K99" t="str">
            <v xml:space="preserve">--  </v>
          </cell>
          <cell r="L99" t="str">
            <v xml:space="preserve">--  </v>
          </cell>
          <cell r="M99" t="str">
            <v xml:space="preserve">--  </v>
          </cell>
          <cell r="N99">
            <v>3.467208724712397</v>
          </cell>
          <cell r="O99">
            <v>1.7388239563631114</v>
          </cell>
          <cell r="P99">
            <v>1.6313198221965783</v>
          </cell>
          <cell r="Q99">
            <v>1.5683271557166711</v>
          </cell>
        </row>
        <row r="100">
          <cell r="O100">
            <v>49.335311572700292</v>
          </cell>
          <cell r="P100">
            <v>53.887147335423201</v>
          </cell>
          <cell r="Q100">
            <v>47.535802469135803</v>
          </cell>
        </row>
        <row r="101">
          <cell r="B101" t="str">
            <v xml:space="preserve"> Total other assets turns</v>
          </cell>
          <cell r="C101" t="str">
            <v>--</v>
          </cell>
          <cell r="D101" t="str">
            <v xml:space="preserve">--  </v>
          </cell>
          <cell r="E101" t="str">
            <v xml:space="preserve">--  </v>
          </cell>
          <cell r="F101" t="str">
            <v xml:space="preserve">--  </v>
          </cell>
          <cell r="G101" t="str">
            <v xml:space="preserve">--  </v>
          </cell>
          <cell r="H101" t="str">
            <v xml:space="preserve">--  </v>
          </cell>
          <cell r="I101" t="str">
            <v xml:space="preserve">--  </v>
          </cell>
          <cell r="J101" t="str">
            <v xml:space="preserve">--  </v>
          </cell>
          <cell r="K101" t="str">
            <v xml:space="preserve">--  </v>
          </cell>
          <cell r="L101" t="str">
            <v xml:space="preserve">--  </v>
          </cell>
          <cell r="M101" t="str">
            <v xml:space="preserve">--  </v>
          </cell>
          <cell r="N101" t="str">
            <v xml:space="preserve">--  </v>
          </cell>
          <cell r="O101" t="str">
            <v xml:space="preserve">--  </v>
          </cell>
          <cell r="P101" t="str">
            <v xml:space="preserve">--  </v>
          </cell>
          <cell r="Q101" t="str">
            <v xml:space="preserve">--  </v>
          </cell>
        </row>
        <row r="102">
          <cell r="C102" t="str">
            <v>--</v>
          </cell>
          <cell r="D102" t="str">
            <v xml:space="preserve">--  </v>
          </cell>
          <cell r="E102" t="str">
            <v xml:space="preserve">--  </v>
          </cell>
          <cell r="F102" t="str">
            <v xml:space="preserve">--  </v>
          </cell>
          <cell r="G102" t="str">
            <v xml:space="preserve">--  </v>
          </cell>
          <cell r="H102" t="str">
            <v xml:space="preserve">--  </v>
          </cell>
          <cell r="I102" t="str">
            <v xml:space="preserve">--  </v>
          </cell>
          <cell r="J102" t="str">
            <v xml:space="preserve">--  </v>
          </cell>
          <cell r="K102" t="str">
            <v xml:space="preserve">--  </v>
          </cell>
          <cell r="L102" t="str">
            <v xml:space="preserve">--  </v>
          </cell>
          <cell r="M102" t="str">
            <v xml:space="preserve">--  </v>
          </cell>
          <cell r="N102">
            <v>1.6448150437428679</v>
          </cell>
          <cell r="O102">
            <v>1.6476410667549319</v>
          </cell>
          <cell r="P102">
            <v>1.543495321027273</v>
          </cell>
          <cell r="Q102">
            <v>1.4871335755242472</v>
          </cell>
        </row>
        <row r="105">
          <cell r="O105">
            <v>2.0291110309154307E-2</v>
          </cell>
          <cell r="P105">
            <v>2.4531892135337394E-2</v>
          </cell>
          <cell r="Q105">
            <v>4.1865953609919189E-2</v>
          </cell>
        </row>
        <row r="106">
          <cell r="O106">
            <v>1.6476410667549319</v>
          </cell>
          <cell r="P106">
            <v>1.543495321027273</v>
          </cell>
          <cell r="Q106">
            <v>1.4871335755242472</v>
          </cell>
        </row>
        <row r="107">
          <cell r="O107">
            <v>3.3432466635416998E-2</v>
          </cell>
          <cell r="P107">
            <v>3.7864860726839027E-2</v>
          </cell>
          <cell r="Q107">
            <v>6.2260265284651388E-2</v>
          </cell>
        </row>
        <row r="108">
          <cell r="O108">
            <v>5.1955827862753295E-2</v>
          </cell>
          <cell r="P108">
            <v>4.4323940914220289E-3</v>
          </cell>
          <cell r="Q108">
            <v>2.4395404557812361E-2</v>
          </cell>
        </row>
        <row r="109">
          <cell r="O109">
            <v>5.1940693546342204E-2</v>
          </cell>
          <cell r="P109" t="str">
            <v>NM</v>
          </cell>
          <cell r="Q109">
            <v>0.18285377083652804</v>
          </cell>
        </row>
        <row r="112">
          <cell r="O112">
            <v>-2.8048812105482357</v>
          </cell>
          <cell r="P112">
            <v>0.13257753727110666</v>
          </cell>
          <cell r="Q112">
            <v>0.6442755655118686</v>
          </cell>
        </row>
        <row r="113">
          <cell r="O113" t="str">
            <v xml:space="preserve">  --</v>
          </cell>
          <cell r="P113" t="str">
            <v xml:space="preserve">  --</v>
          </cell>
          <cell r="Q113" t="str">
            <v xml:space="preserve">  --</v>
          </cell>
        </row>
        <row r="114">
          <cell r="O114" t="str">
            <v xml:space="preserve">  --</v>
          </cell>
          <cell r="P114" t="str">
            <v xml:space="preserve">  --</v>
          </cell>
          <cell r="Q114" t="str">
            <v xml:space="preserve">  --</v>
          </cell>
        </row>
        <row r="118">
          <cell r="O118">
            <v>1997</v>
          </cell>
          <cell r="P118">
            <v>1998</v>
          </cell>
          <cell r="Q118">
            <v>1999</v>
          </cell>
        </row>
        <row r="119">
          <cell r="O119">
            <v>11.98702235039654</v>
          </cell>
          <cell r="P119">
            <v>11.536912751677852</v>
          </cell>
          <cell r="Q119">
            <v>11.29149560117302</v>
          </cell>
        </row>
        <row r="120">
          <cell r="O120">
            <v>30.449597016720798</v>
          </cell>
          <cell r="P120">
            <v>31.637579988365331</v>
          </cell>
          <cell r="Q120">
            <v>32.325212964886767</v>
          </cell>
        </row>
        <row r="121">
          <cell r="O121">
            <v>14.714285714285714</v>
          </cell>
          <cell r="P121">
            <v>14.509977827050998</v>
          </cell>
          <cell r="Q121">
            <v>14.9031377899045</v>
          </cell>
        </row>
        <row r="122">
          <cell r="O122">
            <v>24.805825242718448</v>
          </cell>
          <cell r="P122">
            <v>25.15510391198044</v>
          </cell>
          <cell r="Q122">
            <v>24.491486634932262</v>
          </cell>
        </row>
        <row r="123">
          <cell r="O123">
            <v>9.0095671981776757</v>
          </cell>
          <cell r="P123">
            <v>7.7443786982248524</v>
          </cell>
          <cell r="Q123">
            <v>8.4813664596273295</v>
          </cell>
        </row>
        <row r="124">
          <cell r="O124">
            <v>40.512489886731395</v>
          </cell>
          <cell r="P124">
            <v>47.130959657701709</v>
          </cell>
          <cell r="Q124">
            <v>43.035518125228855</v>
          </cell>
        </row>
        <row r="125">
          <cell r="O125">
            <v>14.742932372707848</v>
          </cell>
          <cell r="P125">
            <v>9.6617242426440626</v>
          </cell>
          <cell r="Q125">
            <v>13.781181474590177</v>
          </cell>
        </row>
      </sheetData>
      <sheetData sheetId="6">
        <row r="1">
          <cell r="O1">
            <v>3.7892457596535546E-3</v>
          </cell>
          <cell r="P1">
            <v>4.7702152414194291E-3</v>
          </cell>
          <cell r="Q1">
            <v>1.0128817785165178E-2</v>
          </cell>
        </row>
        <row r="2">
          <cell r="P2" t="str">
            <v>NOPAT Statement</v>
          </cell>
        </row>
        <row r="3">
          <cell r="O3" t="str">
            <v>P-2</v>
          </cell>
          <cell r="P3" t="str">
            <v>P-1</v>
          </cell>
          <cell r="Q3" t="str">
            <v>Present (P)</v>
          </cell>
        </row>
        <row r="4">
          <cell r="O4">
            <v>1997</v>
          </cell>
          <cell r="P4">
            <v>1998</v>
          </cell>
          <cell r="Q4">
            <v>1999</v>
          </cell>
        </row>
        <row r="5">
          <cell r="C5">
            <v>0</v>
          </cell>
          <cell r="D5">
            <v>0</v>
          </cell>
          <cell r="E5">
            <v>0</v>
          </cell>
          <cell r="F5">
            <v>0</v>
          </cell>
          <cell r="G5">
            <v>0</v>
          </cell>
          <cell r="H5">
            <v>0</v>
          </cell>
          <cell r="I5">
            <v>0</v>
          </cell>
          <cell r="J5">
            <v>0</v>
          </cell>
          <cell r="K5">
            <v>0</v>
          </cell>
          <cell r="L5">
            <v>0</v>
          </cell>
          <cell r="M5">
            <v>0</v>
          </cell>
          <cell r="N5">
            <v>1660.5</v>
          </cell>
          <cell r="O5">
            <v>1662.6</v>
          </cell>
          <cell r="P5">
            <v>1719</v>
          </cell>
          <cell r="Q5">
            <v>1925.2</v>
          </cell>
        </row>
        <row r="6">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row>
        <row r="8">
          <cell r="C8">
            <v>0</v>
          </cell>
          <cell r="D8">
            <v>0</v>
          </cell>
          <cell r="E8">
            <v>0</v>
          </cell>
          <cell r="F8">
            <v>0</v>
          </cell>
          <cell r="G8">
            <v>0</v>
          </cell>
          <cell r="H8">
            <v>0</v>
          </cell>
          <cell r="I8">
            <v>0</v>
          </cell>
          <cell r="J8">
            <v>0</v>
          </cell>
          <cell r="K8">
            <v>0</v>
          </cell>
          <cell r="L8">
            <v>0</v>
          </cell>
          <cell r="M8">
            <v>0</v>
          </cell>
          <cell r="N8">
            <v>1660.5</v>
          </cell>
          <cell r="O8">
            <v>1662.6</v>
          </cell>
          <cell r="P8">
            <v>1719</v>
          </cell>
          <cell r="Q8">
            <v>1925.2</v>
          </cell>
        </row>
        <row r="9">
          <cell r="C9">
            <v>0</v>
          </cell>
          <cell r="D9">
            <v>0</v>
          </cell>
          <cell r="E9">
            <v>0</v>
          </cell>
          <cell r="F9">
            <v>0</v>
          </cell>
          <cell r="G9">
            <v>0</v>
          </cell>
          <cell r="H9">
            <v>0</v>
          </cell>
          <cell r="I9">
            <v>0</v>
          </cell>
          <cell r="J9">
            <v>0</v>
          </cell>
          <cell r="K9">
            <v>0</v>
          </cell>
          <cell r="L9">
            <v>0</v>
          </cell>
          <cell r="M9">
            <v>0</v>
          </cell>
          <cell r="N9">
            <v>1040.9000000000001</v>
          </cell>
          <cell r="O9">
            <v>988.8</v>
          </cell>
          <cell r="P9">
            <v>981.6</v>
          </cell>
          <cell r="Q9">
            <v>1092.4000000000001</v>
          </cell>
        </row>
        <row r="10">
          <cell r="C10">
            <v>0</v>
          </cell>
          <cell r="D10">
            <v>0</v>
          </cell>
          <cell r="E10">
            <v>0</v>
          </cell>
          <cell r="F10">
            <v>0</v>
          </cell>
          <cell r="G10">
            <v>0</v>
          </cell>
          <cell r="H10">
            <v>0</v>
          </cell>
          <cell r="I10">
            <v>0</v>
          </cell>
          <cell r="J10">
            <v>0</v>
          </cell>
          <cell r="K10">
            <v>0</v>
          </cell>
          <cell r="L10">
            <v>0</v>
          </cell>
          <cell r="M10">
            <v>0</v>
          </cell>
          <cell r="N10">
            <v>619.59999999999991</v>
          </cell>
          <cell r="O10">
            <v>673.8</v>
          </cell>
          <cell r="P10">
            <v>737.4</v>
          </cell>
          <cell r="Q10">
            <v>832.8</v>
          </cell>
        </row>
        <row r="12">
          <cell r="C12">
            <v>0</v>
          </cell>
          <cell r="D12">
            <v>0</v>
          </cell>
          <cell r="E12">
            <v>0</v>
          </cell>
          <cell r="F12">
            <v>0</v>
          </cell>
          <cell r="G12">
            <v>0</v>
          </cell>
          <cell r="H12">
            <v>0</v>
          </cell>
          <cell r="I12">
            <v>0</v>
          </cell>
          <cell r="J12">
            <v>0</v>
          </cell>
          <cell r="K12">
            <v>0</v>
          </cell>
          <cell r="L12">
            <v>0</v>
          </cell>
          <cell r="M12">
            <v>0</v>
          </cell>
          <cell r="N12">
            <v>652.4</v>
          </cell>
          <cell r="O12">
            <v>633.5</v>
          </cell>
          <cell r="P12">
            <v>670.2</v>
          </cell>
          <cell r="Q12">
            <v>731.6</v>
          </cell>
        </row>
        <row r="13">
          <cell r="O13">
            <v>0</v>
          </cell>
          <cell r="P13">
            <v>0</v>
          </cell>
          <cell r="Q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O15">
            <v>1622.3</v>
          </cell>
          <cell r="P15">
            <v>1651.8000000000002</v>
          </cell>
          <cell r="Q15">
            <v>1824</v>
          </cell>
        </row>
        <row r="17">
          <cell r="C17">
            <v>0</v>
          </cell>
          <cell r="D17">
            <v>0</v>
          </cell>
          <cell r="E17">
            <v>0</v>
          </cell>
          <cell r="F17">
            <v>0</v>
          </cell>
          <cell r="G17">
            <v>0</v>
          </cell>
          <cell r="H17">
            <v>0</v>
          </cell>
          <cell r="I17">
            <v>0</v>
          </cell>
          <cell r="J17">
            <v>0</v>
          </cell>
          <cell r="K17">
            <v>0</v>
          </cell>
          <cell r="L17">
            <v>0</v>
          </cell>
          <cell r="M17">
            <v>0</v>
          </cell>
          <cell r="N17">
            <v>-32.800000000000182</v>
          </cell>
          <cell r="O17">
            <v>40.299999999999955</v>
          </cell>
          <cell r="P17">
            <v>67.199999999999818</v>
          </cell>
          <cell r="Q17">
            <v>101.20000000000005</v>
          </cell>
        </row>
        <row r="18">
          <cell r="C18">
            <v>0</v>
          </cell>
          <cell r="D18">
            <v>0</v>
          </cell>
          <cell r="E18">
            <v>0</v>
          </cell>
          <cell r="F18">
            <v>0</v>
          </cell>
          <cell r="G18">
            <v>0</v>
          </cell>
          <cell r="H18">
            <v>0</v>
          </cell>
          <cell r="I18">
            <v>0</v>
          </cell>
          <cell r="J18">
            <v>0</v>
          </cell>
          <cell r="K18">
            <v>0</v>
          </cell>
          <cell r="L18">
            <v>0</v>
          </cell>
          <cell r="M18">
            <v>0</v>
          </cell>
          <cell r="N18">
            <v>5</v>
          </cell>
          <cell r="O18">
            <v>5.0999999999999943</v>
          </cell>
          <cell r="P18">
            <v>6</v>
          </cell>
          <cell r="Q18">
            <v>10.200000000000003</v>
          </cell>
        </row>
        <row r="19">
          <cell r="O19">
            <v>45.399999999999949</v>
          </cell>
          <cell r="P19">
            <v>73.199999999999818</v>
          </cell>
          <cell r="Q19">
            <v>111.40000000000005</v>
          </cell>
        </row>
        <row r="21">
          <cell r="O21">
            <v>0</v>
          </cell>
          <cell r="P21">
            <v>0</v>
          </cell>
          <cell r="Q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O24">
            <v>0</v>
          </cell>
          <cell r="P24">
            <v>0</v>
          </cell>
          <cell r="Q24">
            <v>0</v>
          </cell>
        </row>
        <row r="26">
          <cell r="C26">
            <v>0</v>
          </cell>
          <cell r="D26">
            <v>0</v>
          </cell>
          <cell r="E26">
            <v>0</v>
          </cell>
          <cell r="F26">
            <v>0</v>
          </cell>
          <cell r="G26">
            <v>0</v>
          </cell>
          <cell r="H26">
            <v>0</v>
          </cell>
          <cell r="I26">
            <v>0</v>
          </cell>
          <cell r="J26">
            <v>0</v>
          </cell>
          <cell r="K26">
            <v>0</v>
          </cell>
          <cell r="L26">
            <v>0</v>
          </cell>
          <cell r="M26">
            <v>0</v>
          </cell>
          <cell r="N26">
            <v>-27.800000000000182</v>
          </cell>
          <cell r="O26">
            <v>45.399999999999949</v>
          </cell>
          <cell r="P26">
            <v>73.199999999999818</v>
          </cell>
          <cell r="Q26">
            <v>111.40000000000005</v>
          </cell>
        </row>
        <row r="28">
          <cell r="O28">
            <v>0</v>
          </cell>
          <cell r="P28">
            <v>0</v>
          </cell>
          <cell r="Q28">
            <v>0</v>
          </cell>
        </row>
        <row r="29">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2">
          <cell r="C32">
            <v>0</v>
          </cell>
          <cell r="D32">
            <v>0</v>
          </cell>
          <cell r="E32">
            <v>0</v>
          </cell>
          <cell r="F32">
            <v>0</v>
          </cell>
          <cell r="G32">
            <v>0</v>
          </cell>
          <cell r="H32">
            <v>0</v>
          </cell>
          <cell r="I32">
            <v>0</v>
          </cell>
          <cell r="J32">
            <v>0</v>
          </cell>
          <cell r="K32">
            <v>0</v>
          </cell>
          <cell r="L32">
            <v>0</v>
          </cell>
          <cell r="M32">
            <v>0</v>
          </cell>
          <cell r="N32">
            <v>-27.800000000000182</v>
          </cell>
          <cell r="O32">
            <v>45.399999999999949</v>
          </cell>
          <cell r="P32">
            <v>73.199999999999818</v>
          </cell>
          <cell r="Q32">
            <v>111.40000000000005</v>
          </cell>
        </row>
        <row r="34">
          <cell r="C34">
            <v>0</v>
          </cell>
          <cell r="D34">
            <v>0</v>
          </cell>
          <cell r="E34">
            <v>0</v>
          </cell>
          <cell r="F34">
            <v>0</v>
          </cell>
          <cell r="G34">
            <v>0</v>
          </cell>
          <cell r="H34">
            <v>0</v>
          </cell>
          <cell r="I34">
            <v>0</v>
          </cell>
          <cell r="J34">
            <v>0</v>
          </cell>
          <cell r="K34">
            <v>0</v>
          </cell>
          <cell r="L34">
            <v>0</v>
          </cell>
          <cell r="M34">
            <v>0</v>
          </cell>
          <cell r="N34">
            <v>-9.1</v>
          </cell>
          <cell r="O34">
            <v>6.5</v>
          </cell>
          <cell r="P34">
            <v>24.2</v>
          </cell>
          <cell r="Q34">
            <v>21.9</v>
          </cell>
        </row>
        <row r="35">
          <cell r="O35">
            <v>4.407</v>
          </cell>
          <cell r="P35">
            <v>-1.1709677419354874</v>
          </cell>
          <cell r="Q35">
            <v>7.9702838063439003</v>
          </cell>
        </row>
        <row r="36">
          <cell r="O36">
            <v>2.4569999999999999</v>
          </cell>
          <cell r="P36">
            <v>3.2006451612903319</v>
          </cell>
          <cell r="Q36">
            <v>7.1293823038397273</v>
          </cell>
        </row>
        <row r="37">
          <cell r="O37">
            <v>0</v>
          </cell>
          <cell r="P37">
            <v>0</v>
          </cell>
          <cell r="Q37">
            <v>0</v>
          </cell>
        </row>
        <row r="38">
          <cell r="O38">
            <v>1.7</v>
          </cell>
          <cell r="P38">
            <v>-4.8</v>
          </cell>
          <cell r="Q38">
            <v>6.2</v>
          </cell>
        </row>
        <row r="39">
          <cell r="C39">
            <v>0</v>
          </cell>
          <cell r="D39">
            <v>0</v>
          </cell>
          <cell r="E39">
            <v>0</v>
          </cell>
          <cell r="F39">
            <v>0</v>
          </cell>
          <cell r="G39">
            <v>0</v>
          </cell>
          <cell r="H39">
            <v>0</v>
          </cell>
          <cell r="I39">
            <v>0</v>
          </cell>
          <cell r="J39">
            <v>0</v>
          </cell>
          <cell r="K39">
            <v>0</v>
          </cell>
          <cell r="L39">
            <v>0</v>
          </cell>
          <cell r="M39">
            <v>0</v>
          </cell>
          <cell r="N39">
            <v>-9.1</v>
          </cell>
          <cell r="O39">
            <v>11.664000000000001</v>
          </cell>
          <cell r="P39">
            <v>31.029677419354844</v>
          </cell>
          <cell r="Q39">
            <v>30.799666110183626</v>
          </cell>
        </row>
        <row r="41">
          <cell r="C41">
            <v>0</v>
          </cell>
          <cell r="D41">
            <v>0</v>
          </cell>
          <cell r="E41">
            <v>0</v>
          </cell>
          <cell r="F41">
            <v>0</v>
          </cell>
          <cell r="G41">
            <v>0</v>
          </cell>
          <cell r="H41">
            <v>0</v>
          </cell>
          <cell r="I41">
            <v>0</v>
          </cell>
          <cell r="J41">
            <v>0</v>
          </cell>
          <cell r="K41">
            <v>0</v>
          </cell>
          <cell r="L41">
            <v>0</v>
          </cell>
          <cell r="M41">
            <v>0</v>
          </cell>
          <cell r="N41">
            <v>-18.70000000000018</v>
          </cell>
          <cell r="O41">
            <v>33.735999999999947</v>
          </cell>
          <cell r="P41">
            <v>42.170322580644978</v>
          </cell>
          <cell r="Q41">
            <v>80.600333889816426</v>
          </cell>
        </row>
        <row r="43">
          <cell r="O43">
            <v>16.199999999999957</v>
          </cell>
          <cell r="P43">
            <v>35.999999999999815</v>
          </cell>
          <cell r="Q43">
            <v>38.00000000000005</v>
          </cell>
        </row>
        <row r="44">
          <cell r="O44">
            <v>0</v>
          </cell>
          <cell r="P44">
            <v>0</v>
          </cell>
          <cell r="Q44">
            <v>0</v>
          </cell>
        </row>
        <row r="45">
          <cell r="O45">
            <v>0</v>
          </cell>
          <cell r="P45">
            <v>0</v>
          </cell>
          <cell r="Q45">
            <v>0</v>
          </cell>
        </row>
        <row r="46">
          <cell r="O46">
            <v>16.199999999999957</v>
          </cell>
          <cell r="P46">
            <v>35.999999999999815</v>
          </cell>
          <cell r="Q46">
            <v>38.00000000000005</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O49">
            <v>0</v>
          </cell>
          <cell r="P49">
            <v>0</v>
          </cell>
          <cell r="Q49">
            <v>0</v>
          </cell>
        </row>
        <row r="50">
          <cell r="O50">
            <v>12.7</v>
          </cell>
          <cell r="P50">
            <v>0</v>
          </cell>
          <cell r="Q50">
            <v>28</v>
          </cell>
        </row>
        <row r="51">
          <cell r="O51">
            <v>1.7</v>
          </cell>
          <cell r="P51">
            <v>-4.8</v>
          </cell>
          <cell r="Q51">
            <v>6.2</v>
          </cell>
        </row>
        <row r="52">
          <cell r="O52">
            <v>0</v>
          </cell>
          <cell r="P52">
            <v>0</v>
          </cell>
          <cell r="Q52">
            <v>0</v>
          </cell>
        </row>
        <row r="53">
          <cell r="O53">
            <v>0</v>
          </cell>
          <cell r="P53">
            <v>0</v>
          </cell>
          <cell r="Q53">
            <v>0</v>
          </cell>
        </row>
        <row r="54">
          <cell r="O54">
            <v>5.0999999999999943</v>
          </cell>
          <cell r="P54">
            <v>6</v>
          </cell>
          <cell r="Q54">
            <v>10.200000000000003</v>
          </cell>
        </row>
        <row r="55">
          <cell r="O55">
            <v>19.499999999999993</v>
          </cell>
          <cell r="P55">
            <v>1.2000000000000002</v>
          </cell>
          <cell r="Q55">
            <v>44.400000000000006</v>
          </cell>
        </row>
        <row r="57">
          <cell r="O57">
            <v>35.699999999999946</v>
          </cell>
          <cell r="P57">
            <v>37.199999999999818</v>
          </cell>
          <cell r="Q57">
            <v>82.400000000000063</v>
          </cell>
        </row>
        <row r="58">
          <cell r="C58">
            <v>0</v>
          </cell>
          <cell r="D58">
            <v>0</v>
          </cell>
          <cell r="E58">
            <v>0</v>
          </cell>
          <cell r="F58">
            <v>0</v>
          </cell>
          <cell r="G58">
            <v>0</v>
          </cell>
          <cell r="H58">
            <v>0</v>
          </cell>
          <cell r="I58">
            <v>0</v>
          </cell>
          <cell r="J58">
            <v>0</v>
          </cell>
          <cell r="K58">
            <v>0</v>
          </cell>
          <cell r="L58">
            <v>0</v>
          </cell>
          <cell r="M58">
            <v>0</v>
          </cell>
          <cell r="N58">
            <v>3.8</v>
          </cell>
          <cell r="O58">
            <v>1.4</v>
          </cell>
          <cell r="P58">
            <v>3</v>
          </cell>
          <cell r="Q58">
            <v>6.2</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row>
        <row r="60">
          <cell r="O60">
            <v>0</v>
          </cell>
          <cell r="P60">
            <v>1.8</v>
          </cell>
          <cell r="Q60">
            <v>0</v>
          </cell>
        </row>
        <row r="61">
          <cell r="O61">
            <v>0</v>
          </cell>
          <cell r="P61">
            <v>0</v>
          </cell>
          <cell r="Q61">
            <v>0</v>
          </cell>
        </row>
        <row r="63">
          <cell r="C63">
            <v>0</v>
          </cell>
          <cell r="D63">
            <v>0</v>
          </cell>
          <cell r="E63">
            <v>0</v>
          </cell>
          <cell r="F63">
            <v>0</v>
          </cell>
          <cell r="G63">
            <v>0</v>
          </cell>
          <cell r="H63">
            <v>0</v>
          </cell>
          <cell r="I63">
            <v>0</v>
          </cell>
          <cell r="J63">
            <v>0</v>
          </cell>
          <cell r="K63">
            <v>0</v>
          </cell>
          <cell r="L63">
            <v>0</v>
          </cell>
          <cell r="M63">
            <v>0</v>
          </cell>
          <cell r="N63">
            <v>7</v>
          </cell>
          <cell r="O63">
            <v>6.3</v>
          </cell>
          <cell r="P63">
            <v>8.1999999999999993</v>
          </cell>
          <cell r="Q63">
            <v>19.5</v>
          </cell>
        </row>
        <row r="64">
          <cell r="O64">
            <v>4.407</v>
          </cell>
          <cell r="P64">
            <v>-1.1709677419354874</v>
          </cell>
          <cell r="Q64">
            <v>7.9702838063439003</v>
          </cell>
        </row>
        <row r="65">
          <cell r="O65">
            <v>0</v>
          </cell>
          <cell r="P65">
            <v>0</v>
          </cell>
          <cell r="Q65">
            <v>0</v>
          </cell>
        </row>
        <row r="66">
          <cell r="O66">
            <v>2.4569999999999999</v>
          </cell>
          <cell r="P66">
            <v>3.2006451612903319</v>
          </cell>
          <cell r="Q66">
            <v>7.1293823038397273</v>
          </cell>
        </row>
        <row r="67">
          <cell r="O67">
            <v>-0.56400000000000006</v>
          </cell>
          <cell r="P67">
            <v>6.1703225806451547</v>
          </cell>
          <cell r="Q67">
            <v>4.4003338898163733</v>
          </cell>
        </row>
        <row r="69">
          <cell r="O69">
            <v>33.735999999999947</v>
          </cell>
          <cell r="P69">
            <v>42.170322580644971</v>
          </cell>
          <cell r="Q69">
            <v>80.60033388981644</v>
          </cell>
        </row>
        <row r="71">
          <cell r="O71" t="str">
            <v>P-2</v>
          </cell>
          <cell r="P71" t="str">
            <v>P-1</v>
          </cell>
          <cell r="Q71" t="str">
            <v>Present (P)</v>
          </cell>
        </row>
        <row r="72">
          <cell r="O72">
            <v>1997</v>
          </cell>
          <cell r="P72">
            <v>1998</v>
          </cell>
          <cell r="Q72">
            <v>1999</v>
          </cell>
        </row>
        <row r="73">
          <cell r="O73">
            <v>1662.6</v>
          </cell>
          <cell r="P73">
            <v>1719</v>
          </cell>
          <cell r="Q73">
            <v>1925.2</v>
          </cell>
        </row>
        <row r="74">
          <cell r="O74">
            <v>0</v>
          </cell>
          <cell r="P74">
            <v>0</v>
          </cell>
          <cell r="Q74">
            <v>0</v>
          </cell>
        </row>
        <row r="75">
          <cell r="O75">
            <v>0</v>
          </cell>
          <cell r="P75">
            <v>0</v>
          </cell>
          <cell r="Q75">
            <v>0</v>
          </cell>
        </row>
        <row r="76">
          <cell r="O76">
            <v>1662.6</v>
          </cell>
          <cell r="P76">
            <v>1719</v>
          </cell>
          <cell r="Q76">
            <v>1925.2</v>
          </cell>
        </row>
        <row r="77">
          <cell r="O77">
            <v>988.8</v>
          </cell>
          <cell r="P77">
            <v>981.6</v>
          </cell>
          <cell r="Q77">
            <v>1092.4000000000001</v>
          </cell>
        </row>
        <row r="78">
          <cell r="O78">
            <v>673.8</v>
          </cell>
          <cell r="P78">
            <v>737.4</v>
          </cell>
          <cell r="Q78">
            <v>832.8</v>
          </cell>
        </row>
        <row r="79">
          <cell r="O79">
            <v>633.5</v>
          </cell>
          <cell r="P79">
            <v>670.2</v>
          </cell>
          <cell r="Q79">
            <v>731.6</v>
          </cell>
        </row>
        <row r="80">
          <cell r="O80">
            <v>0</v>
          </cell>
          <cell r="P80">
            <v>0</v>
          </cell>
          <cell r="Q80">
            <v>0</v>
          </cell>
        </row>
        <row r="81">
          <cell r="O81">
            <v>0</v>
          </cell>
          <cell r="P81">
            <v>0</v>
          </cell>
          <cell r="Q81">
            <v>0</v>
          </cell>
        </row>
        <row r="82">
          <cell r="O82">
            <v>1622.3</v>
          </cell>
          <cell r="P82">
            <v>1651.8000000000002</v>
          </cell>
          <cell r="Q82">
            <v>1824</v>
          </cell>
        </row>
        <row r="84">
          <cell r="O84">
            <v>40.299999999999955</v>
          </cell>
          <cell r="P84">
            <v>67.199999999999818</v>
          </cell>
          <cell r="Q84">
            <v>101.20000000000005</v>
          </cell>
        </row>
        <row r="85">
          <cell r="O85">
            <v>0</v>
          </cell>
          <cell r="P85">
            <v>0</v>
          </cell>
          <cell r="Q85">
            <v>0</v>
          </cell>
        </row>
        <row r="86">
          <cell r="O86">
            <v>6.3</v>
          </cell>
          <cell r="P86">
            <v>8.1999999999999993</v>
          </cell>
          <cell r="Q86">
            <v>19.5</v>
          </cell>
        </row>
        <row r="87">
          <cell r="O87">
            <v>12.7</v>
          </cell>
          <cell r="P87">
            <v>0</v>
          </cell>
          <cell r="Q87">
            <v>28</v>
          </cell>
        </row>
        <row r="88">
          <cell r="O88">
            <v>1.4</v>
          </cell>
          <cell r="P88">
            <v>3</v>
          </cell>
          <cell r="Q88">
            <v>6.2</v>
          </cell>
        </row>
        <row r="89">
          <cell r="O89">
            <v>0</v>
          </cell>
          <cell r="P89">
            <v>0</v>
          </cell>
          <cell r="Q89">
            <v>0</v>
          </cell>
        </row>
        <row r="90">
          <cell r="C90">
            <v>0</v>
          </cell>
          <cell r="D90">
            <v>0</v>
          </cell>
          <cell r="E90">
            <v>0</v>
          </cell>
          <cell r="F90">
            <v>0</v>
          </cell>
          <cell r="G90">
            <v>0</v>
          </cell>
          <cell r="H90">
            <v>0</v>
          </cell>
          <cell r="I90">
            <v>0</v>
          </cell>
          <cell r="J90">
            <v>0</v>
          </cell>
          <cell r="K90">
            <v>0</v>
          </cell>
          <cell r="L90">
            <v>0</v>
          </cell>
          <cell r="M90">
            <v>0</v>
          </cell>
          <cell r="N90">
            <v>-39.000000000000185</v>
          </cell>
          <cell r="O90">
            <v>22.699999999999957</v>
          </cell>
          <cell r="P90">
            <v>61.999999999999815</v>
          </cell>
          <cell r="Q90">
            <v>59.900000000000048</v>
          </cell>
        </row>
        <row r="91">
          <cell r="O91">
            <v>6.5</v>
          </cell>
          <cell r="P91">
            <v>24.2</v>
          </cell>
          <cell r="Q91">
            <v>21.9</v>
          </cell>
        </row>
        <row r="92">
          <cell r="O92">
            <v>0</v>
          </cell>
          <cell r="P92">
            <v>1.8</v>
          </cell>
          <cell r="Q92">
            <v>0</v>
          </cell>
        </row>
        <row r="93">
          <cell r="O93">
            <v>0</v>
          </cell>
          <cell r="P93">
            <v>0</v>
          </cell>
          <cell r="Q93">
            <v>0</v>
          </cell>
        </row>
        <row r="94">
          <cell r="O94">
            <v>16.199999999999957</v>
          </cell>
          <cell r="P94">
            <v>35.999999999999815</v>
          </cell>
          <cell r="Q94">
            <v>38.00000000000005</v>
          </cell>
        </row>
        <row r="95">
          <cell r="O95">
            <v>1123.78</v>
          </cell>
        </row>
        <row r="96">
          <cell r="C96">
            <v>0</v>
          </cell>
          <cell r="D96">
            <v>0</v>
          </cell>
          <cell r="E96">
            <v>0</v>
          </cell>
          <cell r="F96">
            <v>0</v>
          </cell>
          <cell r="G96">
            <v>0</v>
          </cell>
          <cell r="H96">
            <v>0</v>
          </cell>
          <cell r="I96">
            <v>0</v>
          </cell>
          <cell r="J96">
            <v>0</v>
          </cell>
          <cell r="K96">
            <v>0</v>
          </cell>
          <cell r="L96">
            <v>0</v>
          </cell>
          <cell r="M96">
            <v>0</v>
          </cell>
          <cell r="N96">
            <v>-0.73284313725490646</v>
          </cell>
          <cell r="O96">
            <v>0.39823008849557417</v>
          </cell>
          <cell r="P96">
            <v>0.84905660377358061</v>
          </cell>
          <cell r="Q96">
            <v>0.88992974238875988</v>
          </cell>
        </row>
        <row r="97">
          <cell r="O97">
            <v>0.25691629955947171</v>
          </cell>
          <cell r="P97">
            <v>0.42390269698572297</v>
          </cell>
          <cell r="Q97">
            <v>0.27647815179698038</v>
          </cell>
        </row>
        <row r="98">
          <cell r="O98">
            <v>0.28634361233480232</v>
          </cell>
          <cell r="P98">
            <v>0.39032258064516245</v>
          </cell>
          <cell r="Q98">
            <v>0.3656093489148578</v>
          </cell>
        </row>
        <row r="100">
          <cell r="C100">
            <v>0</v>
          </cell>
          <cell r="D100">
            <v>0</v>
          </cell>
          <cell r="E100">
            <v>0</v>
          </cell>
          <cell r="F100">
            <v>0</v>
          </cell>
          <cell r="G100">
            <v>0</v>
          </cell>
          <cell r="H100">
            <v>0</v>
          </cell>
          <cell r="I100">
            <v>0</v>
          </cell>
          <cell r="J100">
            <v>0</v>
          </cell>
          <cell r="K100">
            <v>0</v>
          </cell>
          <cell r="L100">
            <v>0</v>
          </cell>
          <cell r="M100">
            <v>0</v>
          </cell>
          <cell r="N100">
            <v>17.399999999999999</v>
          </cell>
          <cell r="O100">
            <v>84.5</v>
          </cell>
          <cell r="P100">
            <v>84.6</v>
          </cell>
          <cell r="Q100">
            <v>102.4</v>
          </cell>
        </row>
        <row r="101">
          <cell r="C101">
            <v>0</v>
          </cell>
          <cell r="D101">
            <v>0</v>
          </cell>
          <cell r="E101">
            <v>0</v>
          </cell>
          <cell r="F101">
            <v>0</v>
          </cell>
          <cell r="G101">
            <v>0</v>
          </cell>
          <cell r="H101">
            <v>0</v>
          </cell>
          <cell r="I101">
            <v>0</v>
          </cell>
          <cell r="J101">
            <v>0</v>
          </cell>
          <cell r="K101">
            <v>0</v>
          </cell>
          <cell r="L101">
            <v>0</v>
          </cell>
          <cell r="M101">
            <v>0</v>
          </cell>
          <cell r="N101">
            <v>-27.800000000000182</v>
          </cell>
          <cell r="O101">
            <v>45.399999999999949</v>
          </cell>
          <cell r="P101">
            <v>73.199999999999818</v>
          </cell>
          <cell r="Q101">
            <v>111.40000000000005</v>
          </cell>
        </row>
        <row r="102">
          <cell r="C102">
            <v>0</v>
          </cell>
          <cell r="D102">
            <v>0</v>
          </cell>
          <cell r="E102">
            <v>0</v>
          </cell>
          <cell r="F102">
            <v>0</v>
          </cell>
          <cell r="G102">
            <v>0</v>
          </cell>
          <cell r="H102">
            <v>0</v>
          </cell>
          <cell r="I102">
            <v>0</v>
          </cell>
          <cell r="J102">
            <v>0</v>
          </cell>
          <cell r="K102">
            <v>0</v>
          </cell>
          <cell r="L102">
            <v>0</v>
          </cell>
          <cell r="M102">
            <v>0</v>
          </cell>
          <cell r="N102">
            <v>-15.400000000000183</v>
          </cell>
          <cell r="O102">
            <v>124.79999999999995</v>
          </cell>
          <cell r="P102">
            <v>151.79999999999981</v>
          </cell>
          <cell r="Q102">
            <v>203.60000000000005</v>
          </cell>
        </row>
        <row r="103">
          <cell r="O103">
            <v>904.3</v>
          </cell>
          <cell r="P103">
            <v>897</v>
          </cell>
          <cell r="Q103">
            <v>990.00000000000011</v>
          </cell>
        </row>
        <row r="104">
          <cell r="C104">
            <v>0</v>
          </cell>
          <cell r="D104">
            <v>0</v>
          </cell>
          <cell r="E104">
            <v>0</v>
          </cell>
          <cell r="F104">
            <v>0</v>
          </cell>
          <cell r="G104">
            <v>0</v>
          </cell>
          <cell r="H104">
            <v>0</v>
          </cell>
          <cell r="I104">
            <v>0</v>
          </cell>
          <cell r="J104">
            <v>0</v>
          </cell>
          <cell r="K104">
            <v>0</v>
          </cell>
          <cell r="L104">
            <v>0</v>
          </cell>
          <cell r="M104">
            <v>0</v>
          </cell>
          <cell r="N104">
            <v>12.399999999999999</v>
          </cell>
          <cell r="O104">
            <v>79.400000000000006</v>
          </cell>
          <cell r="P104">
            <v>78.599999999999994</v>
          </cell>
          <cell r="Q104">
            <v>92.2</v>
          </cell>
        </row>
        <row r="105">
          <cell r="O105">
            <v>5.0999999999999943</v>
          </cell>
          <cell r="P105">
            <v>6</v>
          </cell>
          <cell r="Q105">
            <v>10.200000000000003</v>
          </cell>
        </row>
        <row r="108">
          <cell r="O108">
            <v>0.40526885600866114</v>
          </cell>
          <cell r="P108">
            <v>0.42897033158813264</v>
          </cell>
          <cell r="Q108">
            <v>0.43257843340951585</v>
          </cell>
        </row>
        <row r="109">
          <cell r="C109" t="str">
            <v xml:space="preserve">--  </v>
          </cell>
          <cell r="D109" t="str">
            <v xml:space="preserve">--  </v>
          </cell>
          <cell r="E109" t="str">
            <v xml:space="preserve">--  </v>
          </cell>
          <cell r="F109" t="str">
            <v xml:space="preserve">--  </v>
          </cell>
          <cell r="G109" t="str">
            <v xml:space="preserve">--  </v>
          </cell>
          <cell r="H109" t="str">
            <v xml:space="preserve">--  </v>
          </cell>
          <cell r="I109" t="str">
            <v xml:space="preserve">--  </v>
          </cell>
          <cell r="J109" t="str">
            <v xml:space="preserve">--  </v>
          </cell>
          <cell r="K109" t="str">
            <v xml:space="preserve">--  </v>
          </cell>
          <cell r="L109" t="str">
            <v xml:space="preserve">--  </v>
          </cell>
          <cell r="M109" t="str">
            <v xml:space="preserve">--  </v>
          </cell>
          <cell r="N109">
            <v>-9.274314965371986E-3</v>
          </cell>
          <cell r="O109">
            <v>7.5063154095994206E-2</v>
          </cell>
          <cell r="P109">
            <v>8.8307155322862013E-2</v>
          </cell>
          <cell r="Q109">
            <v>0.10575524620818619</v>
          </cell>
        </row>
        <row r="110">
          <cell r="O110">
            <v>2.7306628172741459E-2</v>
          </cell>
          <cell r="P110">
            <v>4.2582897033158706E-2</v>
          </cell>
          <cell r="Q110">
            <v>5.7864118013712884E-2</v>
          </cell>
        </row>
        <row r="111">
          <cell r="C111" t="str">
            <v xml:space="preserve">--  </v>
          </cell>
          <cell r="D111" t="str">
            <v xml:space="preserve">--  </v>
          </cell>
          <cell r="E111" t="str">
            <v xml:space="preserve">--  </v>
          </cell>
          <cell r="F111" t="str">
            <v xml:space="preserve">--  </v>
          </cell>
          <cell r="G111" t="str">
            <v xml:space="preserve">--  </v>
          </cell>
          <cell r="H111" t="str">
            <v xml:space="preserve">--  </v>
          </cell>
          <cell r="I111" t="str">
            <v xml:space="preserve">--  </v>
          </cell>
          <cell r="J111" t="str">
            <v xml:space="preserve">--  </v>
          </cell>
          <cell r="K111" t="str">
            <v xml:space="preserve">--  </v>
          </cell>
          <cell r="L111" t="str">
            <v xml:space="preserve">--  </v>
          </cell>
          <cell r="M111" t="str">
            <v xml:space="preserve">--  </v>
          </cell>
          <cell r="N111">
            <v>-1.9753086419753197E-2</v>
          </cell>
          <cell r="O111">
            <v>2.4239143510164776E-2</v>
          </cell>
          <cell r="P111">
            <v>3.9092495636998147E-2</v>
          </cell>
          <cell r="Q111">
            <v>5.2565967172241865E-2</v>
          </cell>
        </row>
        <row r="112">
          <cell r="C112" t="str">
            <v xml:space="preserve">--  </v>
          </cell>
          <cell r="D112" t="str">
            <v xml:space="preserve">--  </v>
          </cell>
          <cell r="E112" t="str">
            <v xml:space="preserve">--  </v>
          </cell>
          <cell r="F112" t="str">
            <v xml:space="preserve">--  </v>
          </cell>
          <cell r="G112" t="str">
            <v xml:space="preserve">--  </v>
          </cell>
          <cell r="H112" t="str">
            <v xml:space="preserve">--  </v>
          </cell>
          <cell r="I112" t="str">
            <v xml:space="preserve">--  </v>
          </cell>
          <cell r="J112" t="str">
            <v xml:space="preserve">--  </v>
          </cell>
          <cell r="K112" t="str">
            <v xml:space="preserve">--  </v>
          </cell>
          <cell r="L112" t="str">
            <v xml:space="preserve">--  </v>
          </cell>
          <cell r="M112" t="str">
            <v xml:space="preserve">--  </v>
          </cell>
          <cell r="N112">
            <v>-1.1261668172237387E-2</v>
          </cell>
          <cell r="O112">
            <v>2.0291110309154307E-2</v>
          </cell>
          <cell r="P112">
            <v>2.4531892135337394E-2</v>
          </cell>
          <cell r="Q112">
            <v>4.1865953609919189E-2</v>
          </cell>
        </row>
        <row r="113">
          <cell r="C113" t="str">
            <v xml:space="preserve">--  </v>
          </cell>
          <cell r="D113" t="str">
            <v xml:space="preserve">--  </v>
          </cell>
          <cell r="E113" t="str">
            <v xml:space="preserve">--  </v>
          </cell>
          <cell r="F113" t="str">
            <v xml:space="preserve">--  </v>
          </cell>
          <cell r="G113" t="str">
            <v xml:space="preserve">--  </v>
          </cell>
          <cell r="H113" t="str">
            <v xml:space="preserve">--  </v>
          </cell>
          <cell r="I113" t="str">
            <v xml:space="preserve">--  </v>
          </cell>
          <cell r="J113" t="str">
            <v xml:space="preserve">--  </v>
          </cell>
          <cell r="K113" t="str">
            <v xml:space="preserve">--  </v>
          </cell>
          <cell r="L113" t="str">
            <v xml:space="preserve">--  </v>
          </cell>
          <cell r="M113" t="str">
            <v xml:space="preserve">--  </v>
          </cell>
          <cell r="N113">
            <v>-1.8006624510689663E-2</v>
          </cell>
          <cell r="O113">
            <v>9.7437748105376858E-3</v>
          </cell>
          <cell r="P113">
            <v>2.0942408376963245E-2</v>
          </cell>
          <cell r="Q113">
            <v>1.9738209017244986E-2</v>
          </cell>
        </row>
        <row r="114">
          <cell r="O114">
            <v>0.38102971249849638</v>
          </cell>
          <cell r="P114">
            <v>0.3898778359511344</v>
          </cell>
          <cell r="Q114">
            <v>0.38001246623727403</v>
          </cell>
        </row>
        <row r="115">
          <cell r="O115">
            <v>4.7756525923252746E-2</v>
          </cell>
          <cell r="P115">
            <v>4.5724258289703314E-2</v>
          </cell>
          <cell r="Q115">
            <v>4.7891128194473304E-2</v>
          </cell>
        </row>
        <row r="119">
          <cell r="O119">
            <v>2.0291110309154307E-2</v>
          </cell>
          <cell r="P119">
            <v>2.4531892135337394E-2</v>
          </cell>
          <cell r="Q119">
            <v>4.1865953609919189E-2</v>
          </cell>
        </row>
        <row r="120">
          <cell r="O120">
            <v>1.6476410667549319</v>
          </cell>
          <cell r="P120">
            <v>1.543495321027273</v>
          </cell>
          <cell r="Q120">
            <v>1.4871335755242472</v>
          </cell>
        </row>
        <row r="121">
          <cell r="O121">
            <v>3.3432466635416998E-2</v>
          </cell>
          <cell r="P121">
            <v>3.7864860726839027E-2</v>
          </cell>
          <cell r="Q121">
            <v>6.2260265284651388E-2</v>
          </cell>
        </row>
        <row r="122">
          <cell r="O122">
            <v>5.1940693546342204E-2</v>
          </cell>
          <cell r="P122" t="str">
            <v>NM</v>
          </cell>
          <cell r="Q122">
            <v>0.18285377083652804</v>
          </cell>
        </row>
        <row r="123">
          <cell r="O123">
            <v>5.1955827862753295E-2</v>
          </cell>
          <cell r="P123">
            <v>4.4323940914220289E-3</v>
          </cell>
          <cell r="Q123">
            <v>2.4395404557812361E-2</v>
          </cell>
        </row>
        <row r="124">
          <cell r="O124">
            <v>-65.851828196232134</v>
          </cell>
          <cell r="P124">
            <v>-50.19735263982281</v>
          </cell>
          <cell r="Q124">
            <v>-25.796365109631054</v>
          </cell>
        </row>
        <row r="125">
          <cell r="O125">
            <v>56.564169413029646</v>
          </cell>
          <cell r="P125">
            <v>15.654475556409324</v>
          </cell>
          <cell r="Q125">
            <v>24.400987530191756</v>
          </cell>
        </row>
        <row r="128">
          <cell r="O128">
            <v>11.98702235039654</v>
          </cell>
          <cell r="P128">
            <v>11.536912751677852</v>
          </cell>
          <cell r="Q128">
            <v>11.29149560117302</v>
          </cell>
        </row>
        <row r="129">
          <cell r="O129">
            <v>24.741071428571427</v>
          </cell>
          <cell r="P129">
            <v>25.410199556541016</v>
          </cell>
          <cell r="Q129">
            <v>26.264665757162344</v>
          </cell>
        </row>
        <row r="130">
          <cell r="O130">
            <v>31.419905320747223</v>
          </cell>
          <cell r="P130">
            <v>28.670069048333815</v>
          </cell>
          <cell r="Q130">
            <v>28.725324898166221</v>
          </cell>
        </row>
        <row r="131">
          <cell r="O131">
            <v>2.3254773061053218</v>
          </cell>
          <cell r="P131">
            <v>2.4063834254917058</v>
          </cell>
          <cell r="Q131">
            <v>2.596183669341245</v>
          </cell>
        </row>
        <row r="132">
          <cell r="O132">
            <v>1.7388239563631114</v>
          </cell>
          <cell r="P132">
            <v>1.6313198221965783</v>
          </cell>
          <cell r="Q132">
            <v>1.5683271557166711</v>
          </cell>
        </row>
        <row r="133">
          <cell r="O133">
            <v>49.335311572700292</v>
          </cell>
          <cell r="P133">
            <v>53.887147335423201</v>
          </cell>
          <cell r="Q133">
            <v>47.535802469135803</v>
          </cell>
        </row>
        <row r="134">
          <cell r="O134" t="str">
            <v xml:space="preserve">--  </v>
          </cell>
          <cell r="P134" t="str">
            <v xml:space="preserve">--  </v>
          </cell>
          <cell r="Q134" t="str">
            <v xml:space="preserve">--  </v>
          </cell>
        </row>
        <row r="135">
          <cell r="O135">
            <v>1.6476410667549319</v>
          </cell>
          <cell r="P135">
            <v>1.543495321027273</v>
          </cell>
          <cell r="Q135">
            <v>1.4871335755242472</v>
          </cell>
        </row>
        <row r="138">
          <cell r="O138">
            <v>1.2646793134597465E-3</v>
          </cell>
          <cell r="P138">
            <v>3.3922771562612829E-2</v>
          </cell>
          <cell r="Q138">
            <v>0.11995346131471789</v>
          </cell>
        </row>
        <row r="139">
          <cell r="O139" t="str">
            <v xml:space="preserve">--  </v>
          </cell>
          <cell r="P139" t="str">
            <v xml:space="preserve">--  </v>
          </cell>
          <cell r="Q139" t="str">
            <v xml:space="preserve">--  </v>
          </cell>
        </row>
        <row r="140">
          <cell r="O140">
            <v>1.2646793134597465E-3</v>
          </cell>
          <cell r="P140">
            <v>3.3922771562612829E-2</v>
          </cell>
          <cell r="Q140">
            <v>0.11995346131471789</v>
          </cell>
        </row>
        <row r="141">
          <cell r="O141">
            <v>-1.5418060200668848</v>
          </cell>
          <cell r="P141">
            <v>1.2222222222222168</v>
          </cell>
          <cell r="Q141">
            <v>5.5555555555562353E-2</v>
          </cell>
        </row>
        <row r="142">
          <cell r="O142">
            <v>-9.1038961038960036</v>
          </cell>
          <cell r="P142">
            <v>0.2163461538461528</v>
          </cell>
          <cell r="Q142">
            <v>0.34123847167325627</v>
          </cell>
        </row>
        <row r="143">
          <cell r="O143">
            <v>-2.2286585365853577</v>
          </cell>
          <cell r="P143">
            <v>0.66749379652605201</v>
          </cell>
          <cell r="Q143">
            <v>0.50595238095238571</v>
          </cell>
        </row>
        <row r="144">
          <cell r="O144">
            <v>-2.8040641711229743</v>
          </cell>
          <cell r="P144">
            <v>0.25000956191146084</v>
          </cell>
          <cell r="Q144">
            <v>0.91130465591481558</v>
          </cell>
        </row>
        <row r="145">
          <cell r="O145">
            <v>0</v>
          </cell>
          <cell r="P145">
            <v>0</v>
          </cell>
          <cell r="Q145">
            <v>0</v>
          </cell>
        </row>
        <row r="146">
          <cell r="O146">
            <v>3.8563218390804597</v>
          </cell>
          <cell r="P146">
            <v>1.1834319526626547E-3</v>
          </cell>
          <cell r="Q146">
            <v>0.21040189125295522</v>
          </cell>
        </row>
        <row r="147">
          <cell r="O147">
            <v>7.4443591711435053E-2</v>
          </cell>
          <cell r="P147">
            <v>1.2214285714285715</v>
          </cell>
          <cell r="Q147">
            <v>0.28553054662379423</v>
          </cell>
        </row>
        <row r="148">
          <cell r="O148">
            <v>7.7862595419847247E-2</v>
          </cell>
          <cell r="P148">
            <v>8.4985835694050993E-2</v>
          </cell>
          <cell r="Q148">
            <v>0.13315926892950397</v>
          </cell>
        </row>
        <row r="149">
          <cell r="O149">
            <v>0</v>
          </cell>
          <cell r="P149">
            <v>0</v>
          </cell>
          <cell r="Q149">
            <v>0</v>
          </cell>
        </row>
        <row r="150">
          <cell r="O150">
            <v>-1.5434042679136899</v>
          </cell>
          <cell r="P150">
            <v>1.1320754716981081</v>
          </cell>
          <cell r="Q150">
            <v>4.8139474368989167E-2</v>
          </cell>
        </row>
        <row r="151">
          <cell r="M151" t="str">
            <v xml:space="preserve">--  </v>
          </cell>
          <cell r="N151" t="str">
            <v xml:space="preserve">--  </v>
          </cell>
          <cell r="O151">
            <v>5.6862745098039229E-2</v>
          </cell>
          <cell r="P151">
            <v>-1.0667903525046403E-2</v>
          </cell>
          <cell r="Q151">
            <v>4.4772620721988399E-3</v>
          </cell>
        </row>
        <row r="152">
          <cell r="O152">
            <v>0.10796915167095124</v>
          </cell>
          <cell r="P152">
            <v>1.392111368909516E-2</v>
          </cell>
          <cell r="Q152">
            <v>0.21510297482837523</v>
          </cell>
        </row>
        <row r="153">
          <cell r="M153" t="str">
            <v>--</v>
          </cell>
          <cell r="N153">
            <v>0</v>
          </cell>
          <cell r="O153">
            <v>0.11231101511879056</v>
          </cell>
          <cell r="P153">
            <v>1.5893203883495144</v>
          </cell>
          <cell r="Q153">
            <v>0.3847019122609675</v>
          </cell>
        </row>
        <row r="154">
          <cell r="O154">
            <v>-2.2815265486725661E-2</v>
          </cell>
          <cell r="P154">
            <v>2.1649922173482317E-2</v>
          </cell>
          <cell r="Q154">
            <v>5.4155124653739645E-2</v>
          </cell>
        </row>
        <row r="155">
          <cell r="O155">
            <v>-0.25388601036269431</v>
          </cell>
          <cell r="P155">
            <v>0.21527777777777773</v>
          </cell>
          <cell r="Q155">
            <v>0.31428571428571428</v>
          </cell>
        </row>
        <row r="159">
          <cell r="P159" t="str">
            <v>5 year CAGR</v>
          </cell>
        </row>
        <row r="160">
          <cell r="P160" t="str">
            <v>Sales</v>
          </cell>
          <cell r="Q160">
            <v>5.4564623324014461E-2</v>
          </cell>
        </row>
        <row r="161">
          <cell r="P161" t="str">
            <v>EBITDA</v>
          </cell>
          <cell r="Q161">
            <v>-1</v>
          </cell>
        </row>
        <row r="162">
          <cell r="P162" t="str">
            <v>NOPAT</v>
          </cell>
          <cell r="Q162">
            <v>0.14900244868922963</v>
          </cell>
        </row>
      </sheetData>
      <sheetData sheetId="7">
        <row r="11">
          <cell r="D11">
            <v>9.6960000000000005E-2</v>
          </cell>
        </row>
        <row r="21">
          <cell r="J21">
            <v>8.3334000000000005E-2</v>
          </cell>
        </row>
        <row r="23">
          <cell r="U23">
            <v>8.2937216123885299E-2</v>
          </cell>
        </row>
      </sheetData>
      <sheetData sheetId="8">
        <row r="1">
          <cell r="F1" t="str">
            <v>Discounted Cash Flow</v>
          </cell>
        </row>
        <row r="2">
          <cell r="D2">
            <v>1</v>
          </cell>
          <cell r="E2">
            <v>2</v>
          </cell>
          <cell r="F2">
            <v>3</v>
          </cell>
          <cell r="G2">
            <v>4</v>
          </cell>
          <cell r="H2">
            <v>5</v>
          </cell>
          <cell r="L2">
            <v>9</v>
          </cell>
          <cell r="M2">
            <v>10</v>
          </cell>
          <cell r="Q2">
            <v>14</v>
          </cell>
          <cell r="R2">
            <v>15</v>
          </cell>
          <cell r="AA2">
            <v>24</v>
          </cell>
          <cell r="AB2">
            <v>25</v>
          </cell>
        </row>
        <row r="3">
          <cell r="C3" t="str">
            <v>Present(P)</v>
          </cell>
          <cell r="D3" t="str">
            <v>Estimated Year 1</v>
          </cell>
          <cell r="E3" t="str">
            <v>EY 2</v>
          </cell>
          <cell r="F3" t="str">
            <v>EY 3</v>
          </cell>
          <cell r="G3" t="str">
            <v>EY 4</v>
          </cell>
          <cell r="H3" t="str">
            <v>EY 5</v>
          </cell>
          <cell r="L3" t="str">
            <v>EY 9</v>
          </cell>
          <cell r="M3" t="str">
            <v>EY 10</v>
          </cell>
          <cell r="Q3" t="str">
            <v>EY 14</v>
          </cell>
          <cell r="R3" t="str">
            <v>EY 15</v>
          </cell>
          <cell r="AA3" t="str">
            <v>EY 24</v>
          </cell>
          <cell r="AB3" t="str">
            <v>EY 25</v>
          </cell>
        </row>
        <row r="4">
          <cell r="C4">
            <v>1999</v>
          </cell>
          <cell r="D4" t="str">
            <v>2000E</v>
          </cell>
          <cell r="E4" t="str">
            <v>2001E</v>
          </cell>
          <cell r="F4" t="str">
            <v>2002E</v>
          </cell>
          <cell r="G4" t="str">
            <v>2003E</v>
          </cell>
          <cell r="H4" t="str">
            <v>2004E</v>
          </cell>
          <cell r="L4" t="str">
            <v>2008E</v>
          </cell>
          <cell r="M4" t="str">
            <v>2009E</v>
          </cell>
          <cell r="Q4" t="str">
            <v>2013E</v>
          </cell>
          <cell r="R4" t="str">
            <v>2014E</v>
          </cell>
          <cell r="AA4" t="str">
            <v>2023E</v>
          </cell>
          <cell r="AB4" t="str">
            <v>2024E</v>
          </cell>
        </row>
        <row r="6">
          <cell r="C6">
            <v>1925.2</v>
          </cell>
          <cell r="D6">
            <v>2054</v>
          </cell>
          <cell r="E6">
            <v>2150</v>
          </cell>
          <cell r="F6">
            <v>2257.5</v>
          </cell>
          <cell r="G6">
            <v>2318.4524999999999</v>
          </cell>
          <cell r="H6">
            <v>2381.0507174999998</v>
          </cell>
          <cell r="I6">
            <v>2445.3390868724996</v>
          </cell>
          <cell r="J6">
            <v>2511.3632422180567</v>
          </cell>
          <cell r="K6">
            <v>2579.1700497579441</v>
          </cell>
          <cell r="L6">
            <v>2648.8076411014085</v>
          </cell>
          <cell r="M6">
            <v>2720.3254474111463</v>
          </cell>
          <cell r="N6">
            <v>2793.7742344912472</v>
          </cell>
          <cell r="O6">
            <v>2869.2061388225106</v>
          </cell>
          <cell r="P6">
            <v>2946.6747045707179</v>
          </cell>
          <cell r="Q6">
            <v>3026.2349215941272</v>
          </cell>
          <cell r="R6">
            <v>3107.9432644771682</v>
          </cell>
          <cell r="S6">
            <v>3191.8577326180516</v>
          </cell>
          <cell r="T6">
            <v>3278.0378913987388</v>
          </cell>
          <cell r="U6">
            <v>3366.5449144665045</v>
          </cell>
          <cell r="V6">
            <v>3457.4416271570999</v>
          </cell>
          <cell r="W6">
            <v>3550.7925510903415</v>
          </cell>
          <cell r="X6">
            <v>3646.6639499697803</v>
          </cell>
          <cell r="Y6">
            <v>3745.123876618964</v>
          </cell>
          <cell r="Z6">
            <v>3846.2422212876759</v>
          </cell>
          <cell r="AA6">
            <v>3950.0907612624428</v>
          </cell>
          <cell r="AB6">
            <v>4056.7432118165284</v>
          </cell>
          <cell r="AC6">
            <v>4166.2752785355742</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row>
        <row r="8">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row>
        <row r="9">
          <cell r="C9">
            <v>1925.2</v>
          </cell>
          <cell r="D9">
            <v>2054</v>
          </cell>
          <cell r="E9">
            <v>2150</v>
          </cell>
          <cell r="F9">
            <v>2257.5</v>
          </cell>
          <cell r="G9">
            <v>2318.4524999999999</v>
          </cell>
          <cell r="H9">
            <v>2381.0507174999998</v>
          </cell>
          <cell r="I9">
            <v>2445.3390868724996</v>
          </cell>
          <cell r="J9">
            <v>2511.3632422180567</v>
          </cell>
          <cell r="K9">
            <v>2579.1700497579441</v>
          </cell>
          <cell r="L9">
            <v>2648.8076411014085</v>
          </cell>
          <cell r="M9">
            <v>2720.3254474111463</v>
          </cell>
          <cell r="N9">
            <v>2793.7742344912472</v>
          </cell>
          <cell r="O9">
            <v>2869.2061388225106</v>
          </cell>
          <cell r="P9">
            <v>2946.6747045707179</v>
          </cell>
          <cell r="Q9">
            <v>3026.2349215941272</v>
          </cell>
          <cell r="R9">
            <v>3107.9432644771682</v>
          </cell>
          <cell r="S9">
            <v>3191.8577326180516</v>
          </cell>
          <cell r="T9">
            <v>3278.0378913987388</v>
          </cell>
          <cell r="U9">
            <v>3366.5449144665045</v>
          </cell>
          <cell r="V9">
            <v>3457.4416271570999</v>
          </cell>
          <cell r="W9">
            <v>3550.7925510903415</v>
          </cell>
          <cell r="X9">
            <v>3646.6639499697803</v>
          </cell>
          <cell r="Y9">
            <v>3745.123876618964</v>
          </cell>
          <cell r="Z9">
            <v>3846.2422212876759</v>
          </cell>
          <cell r="AA9">
            <v>3950.0907612624428</v>
          </cell>
          <cell r="AB9">
            <v>4056.7432118165284</v>
          </cell>
          <cell r="AC9">
            <v>4166.2752785355742</v>
          </cell>
        </row>
        <row r="10">
          <cell r="C10">
            <v>0.11995346131471789</v>
          </cell>
          <cell r="D10">
            <v>6.690214003739868E-2</v>
          </cell>
          <cell r="E10">
            <v>4.6738072054527749E-2</v>
          </cell>
          <cell r="F10">
            <v>0.05</v>
          </cell>
          <cell r="G10">
            <v>2.6999999999999944E-2</v>
          </cell>
          <cell r="H10">
            <v>2.6999999999999965E-2</v>
          </cell>
          <cell r="L10">
            <v>2.6999999999999989E-2</v>
          </cell>
          <cell r="M10">
            <v>2.6999999999999916E-2</v>
          </cell>
          <cell r="Q10">
            <v>2.6999999999999944E-2</v>
          </cell>
          <cell r="R10">
            <v>2.6999999999999871E-2</v>
          </cell>
          <cell r="AA10">
            <v>2.699999999999992E-2</v>
          </cell>
          <cell r="AB10">
            <v>2.6999999999999906E-2</v>
          </cell>
        </row>
        <row r="12">
          <cell r="C12">
            <v>80.600333889816426</v>
          </cell>
          <cell r="D12">
            <v>132.05600000000018</v>
          </cell>
          <cell r="E12">
            <v>141.47550000000001</v>
          </cell>
          <cell r="F12">
            <v>161.33199999999999</v>
          </cell>
          <cell r="G12">
            <v>136.78869749999998</v>
          </cell>
          <cell r="H12">
            <v>140.48199233249997</v>
          </cell>
          <cell r="I12">
            <v>144.27500612547746</v>
          </cell>
          <cell r="J12">
            <v>148.17043129086534</v>
          </cell>
          <cell r="K12">
            <v>152.1710329357187</v>
          </cell>
          <cell r="L12">
            <v>156.27965082498309</v>
          </cell>
          <cell r="M12">
            <v>160.49920139725762</v>
          </cell>
          <cell r="N12">
            <v>164.83267983498357</v>
          </cell>
          <cell r="O12">
            <v>169.28316219052812</v>
          </cell>
          <cell r="P12">
            <v>173.85380756967234</v>
          </cell>
          <cell r="Q12">
            <v>178.5478603740535</v>
          </cell>
          <cell r="R12">
            <v>183.36865260415291</v>
          </cell>
          <cell r="S12">
            <v>188.31960622446505</v>
          </cell>
          <cell r="T12">
            <v>193.40423559252557</v>
          </cell>
          <cell r="U12">
            <v>198.62614995352376</v>
          </cell>
          <cell r="V12">
            <v>203.98905600226888</v>
          </cell>
          <cell r="W12">
            <v>209.49676051433013</v>
          </cell>
          <cell r="X12">
            <v>215.15317304821704</v>
          </cell>
          <cell r="Y12">
            <v>220.96230872051888</v>
          </cell>
          <cell r="Z12">
            <v>226.92829105597286</v>
          </cell>
          <cell r="AA12">
            <v>233.05535491448413</v>
          </cell>
          <cell r="AB12">
            <v>239.34784949717516</v>
          </cell>
          <cell r="AC12">
            <v>245.81024143359886</v>
          </cell>
        </row>
        <row r="13">
          <cell r="C13">
            <v>2.4573914927420999</v>
          </cell>
          <cell r="D13">
            <v>0.6384051234890108</v>
          </cell>
          <cell r="E13">
            <v>7.1329587447748047E-2</v>
          </cell>
          <cell r="F13">
            <v>0.14035292329767332</v>
          </cell>
          <cell r="G13">
            <v>-0.15212916532368043</v>
          </cell>
          <cell r="H13">
            <v>2.6999999999999909E-2</v>
          </cell>
          <cell r="L13">
            <v>2.699999999999993E-2</v>
          </cell>
          <cell r="M13">
            <v>2.6999999999999903E-2</v>
          </cell>
          <cell r="Q13">
            <v>2.7000000000000027E-2</v>
          </cell>
          <cell r="R13">
            <v>2.699999999999983E-2</v>
          </cell>
          <cell r="AA13">
            <v>2.6999999999999982E-2</v>
          </cell>
          <cell r="AB13">
            <v>2.699999999999984E-2</v>
          </cell>
        </row>
        <row r="15">
          <cell r="C15">
            <v>203.60000000000005</v>
          </cell>
          <cell r="D15">
            <v>235.40000000000018</v>
          </cell>
          <cell r="E15">
            <v>257</v>
          </cell>
          <cell r="F15">
            <v>332.5</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row>
        <row r="18">
          <cell r="C18">
            <v>2.4620000000000175</v>
          </cell>
          <cell r="D18">
            <v>23.036888888888825</v>
          </cell>
          <cell r="E18">
            <v>0.2004728132387612</v>
          </cell>
          <cell r="F18">
            <v>-1.1893617021276555</v>
          </cell>
          <cell r="G18">
            <v>2.4380999999999915</v>
          </cell>
          <cell r="H18">
            <v>2.503928700000003</v>
          </cell>
          <cell r="L18">
            <v>2.7855036537385729</v>
          </cell>
          <cell r="M18">
            <v>2.8607122523895185</v>
          </cell>
          <cell r="Q18">
            <v>3.1824086809363621</v>
          </cell>
          <cell r="R18">
            <v>3.2683337153216456</v>
          </cell>
          <cell r="AA18">
            <v>4.1539415989906843</v>
          </cell>
          <cell r="AB18">
            <v>4.266098022163419</v>
          </cell>
        </row>
        <row r="19">
          <cell r="C19">
            <v>149.10000000000014</v>
          </cell>
          <cell r="D19">
            <v>-57.25151515151515</v>
          </cell>
          <cell r="E19">
            <v>38.733604703753826</v>
          </cell>
          <cell r="F19">
            <v>44.359086918349476</v>
          </cell>
          <cell r="G19">
            <v>-39.912009803921819</v>
          </cell>
          <cell r="H19">
            <v>34.776787499999955</v>
          </cell>
          <cell r="L19">
            <v>30.277213627593255</v>
          </cell>
          <cell r="M19">
            <v>31.094698395537989</v>
          </cell>
          <cell r="Q19">
            <v>26.520072341136483</v>
          </cell>
          <cell r="R19">
            <v>27.236114294346976</v>
          </cell>
          <cell r="AA19">
            <v>25.962134993691734</v>
          </cell>
          <cell r="AB19">
            <v>26.663112638521397</v>
          </cell>
        </row>
        <row r="20">
          <cell r="C20">
            <v>0</v>
          </cell>
          <cell r="D20">
            <v>0</v>
          </cell>
          <cell r="E20">
            <v>0</v>
          </cell>
          <cell r="F20">
            <v>0</v>
          </cell>
          <cell r="G20">
            <v>0</v>
          </cell>
          <cell r="H20">
            <v>0</v>
          </cell>
          <cell r="L20">
            <v>0</v>
          </cell>
          <cell r="M20">
            <v>0</v>
          </cell>
          <cell r="Q20">
            <v>0</v>
          </cell>
          <cell r="R20">
            <v>0</v>
          </cell>
          <cell r="AA20">
            <v>0</v>
          </cell>
          <cell r="AB20">
            <v>0</v>
          </cell>
        </row>
        <row r="21">
          <cell r="C21">
            <v>151.56200000000015</v>
          </cell>
          <cell r="D21">
            <v>-34.214626262626325</v>
          </cell>
          <cell r="E21">
            <v>38.934077516992588</v>
          </cell>
          <cell r="F21">
            <v>43.169725216221821</v>
          </cell>
          <cell r="G21">
            <v>-37.473909803921828</v>
          </cell>
          <cell r="H21">
            <v>37.280716199999958</v>
          </cell>
          <cell r="L21">
            <v>33.062717281331828</v>
          </cell>
          <cell r="M21">
            <v>33.955410647927508</v>
          </cell>
          <cell r="Q21">
            <v>29.702481022072845</v>
          </cell>
          <cell r="R21">
            <v>30.504448009668621</v>
          </cell>
          <cell r="AA21">
            <v>30.116076592682418</v>
          </cell>
          <cell r="AB21">
            <v>30.929210660684817</v>
          </cell>
        </row>
        <row r="23">
          <cell r="C23">
            <v>-70.961666110183728</v>
          </cell>
          <cell r="D23">
            <v>166.27062626262651</v>
          </cell>
          <cell r="E23">
            <v>102.54142248300742</v>
          </cell>
          <cell r="F23">
            <v>118.16227478377817</v>
          </cell>
          <cell r="G23">
            <v>174.26260730392181</v>
          </cell>
          <cell r="H23">
            <v>103.20127613250001</v>
          </cell>
          <cell r="L23">
            <v>123.21693354365127</v>
          </cell>
          <cell r="M23">
            <v>126.54379074933011</v>
          </cell>
          <cell r="Q23">
            <v>148.84537935198065</v>
          </cell>
          <cell r="R23">
            <v>152.86420459448431</v>
          </cell>
          <cell r="AA23">
            <v>202.93927832180171</v>
          </cell>
          <cell r="AB23">
            <v>208.41863883649035</v>
          </cell>
        </row>
        <row r="26">
          <cell r="C26">
            <v>-70.961666110183728</v>
          </cell>
          <cell r="D26">
            <v>153.61797400452798</v>
          </cell>
          <cell r="E26">
            <v>87.529074993618622</v>
          </cell>
          <cell r="F26">
            <v>93.187646757366721</v>
          </cell>
          <cell r="G26">
            <v>126.97265762682181</v>
          </cell>
          <cell r="H26">
            <v>69.473242698746958</v>
          </cell>
          <cell r="L26">
            <v>60.437835362730539</v>
          </cell>
          <cell r="M26">
            <v>57.346358506917269</v>
          </cell>
          <cell r="Q26">
            <v>49.148058301092711</v>
          </cell>
          <cell r="R26">
            <v>46.634068780553278</v>
          </cell>
          <cell r="AA26">
            <v>30.367016435282814</v>
          </cell>
          <cell r="AB26">
            <v>28.813702556214388</v>
          </cell>
        </row>
        <row r="27">
          <cell r="C27">
            <v>-70.961666110183728</v>
          </cell>
          <cell r="D27">
            <v>153.61797400452798</v>
          </cell>
          <cell r="E27">
            <v>241.1470489981466</v>
          </cell>
          <cell r="F27">
            <v>334.33469575551334</v>
          </cell>
          <cell r="G27">
            <v>461.30735338233512</v>
          </cell>
          <cell r="H27">
            <v>530.78059608108208</v>
          </cell>
          <cell r="L27">
            <v>971.6462308429135</v>
          </cell>
          <cell r="M27">
            <v>1028.9925893498307</v>
          </cell>
          <cell r="Q27">
            <v>1357.6086507618668</v>
          </cell>
          <cell r="R27">
            <v>1404.24271954242</v>
          </cell>
          <cell r="AA27">
            <v>1817.5246198979821</v>
          </cell>
          <cell r="AB27">
            <v>1846.3383224541965</v>
          </cell>
        </row>
        <row r="29">
          <cell r="C29">
            <v>1606.7779318688074</v>
          </cell>
          <cell r="D29">
            <v>1717.6777831198917</v>
          </cell>
          <cell r="E29">
            <v>1958.7588812642352</v>
          </cell>
          <cell r="F29">
            <v>1660.7745275871612</v>
          </cell>
          <cell r="G29">
            <v>1705.6154398320143</v>
          </cell>
          <cell r="H29">
            <v>1751.6670567074787</v>
          </cell>
          <cell r="L29">
            <v>1948.6477336963253</v>
          </cell>
          <cell r="M29">
            <v>2001.2612225061259</v>
          </cell>
          <cell r="Q29">
            <v>2226.3095779748642</v>
          </cell>
          <cell r="R29">
            <v>2286.4199365801855</v>
          </cell>
          <cell r="AA29">
            <v>2905.9623999831865</v>
          </cell>
          <cell r="AB29">
            <v>2984.4233847827318</v>
          </cell>
        </row>
        <row r="30">
          <cell r="C30">
            <v>1606.7779318688074</v>
          </cell>
          <cell r="D30">
            <v>1586.9681071549396</v>
          </cell>
          <cell r="E30">
            <v>1671.9911706023504</v>
          </cell>
          <cell r="F30">
            <v>1309.7553369180025</v>
          </cell>
          <cell r="G30">
            <v>1242.7595835698114</v>
          </cell>
          <cell r="H30">
            <v>1179.1907534340528</v>
          </cell>
          <cell r="L30">
            <v>955.81059779721056</v>
          </cell>
          <cell r="M30">
            <v>906.91959559805866</v>
          </cell>
          <cell r="Q30">
            <v>735.1171625949014</v>
          </cell>
          <cell r="R30">
            <v>697.51492749111458</v>
          </cell>
          <cell r="AA30">
            <v>434.83651213478834</v>
          </cell>
          <cell r="AB30">
            <v>412.59403761101856</v>
          </cell>
        </row>
        <row r="32">
          <cell r="C32">
            <v>1535.8162657586236</v>
          </cell>
          <cell r="D32">
            <v>1740.5860811594675</v>
          </cell>
          <cell r="E32">
            <v>1913.138219600497</v>
          </cell>
          <cell r="F32">
            <v>1644.0900326735159</v>
          </cell>
          <cell r="G32">
            <v>1704.0669369521465</v>
          </cell>
          <cell r="H32">
            <v>1709.971349515135</v>
          </cell>
          <cell r="L32">
            <v>1927.4568286401241</v>
          </cell>
          <cell r="M32">
            <v>1935.9121849478893</v>
          </cell>
          <cell r="Q32">
            <v>2092.7258133567684</v>
          </cell>
          <cell r="R32">
            <v>2101.7576470335343</v>
          </cell>
          <cell r="AA32">
            <v>2252.3611320327705</v>
          </cell>
          <cell r="AB32">
            <v>2258.9323600652151</v>
          </cell>
        </row>
        <row r="33">
          <cell r="C33">
            <v>33.847999999999999</v>
          </cell>
          <cell r="D33">
            <v>33.847999999999999</v>
          </cell>
          <cell r="E33">
            <v>33.847999999999999</v>
          </cell>
          <cell r="F33">
            <v>33.847999999999999</v>
          </cell>
          <cell r="G33">
            <v>33.847999999999999</v>
          </cell>
          <cell r="H33">
            <v>33.847999999999999</v>
          </cell>
          <cell r="I33">
            <v>33.847999999999999</v>
          </cell>
          <cell r="J33">
            <v>33.847999999999999</v>
          </cell>
          <cell r="K33">
            <v>33.847999999999999</v>
          </cell>
          <cell r="L33">
            <v>33.847999999999999</v>
          </cell>
          <cell r="M33">
            <v>33.847999999999999</v>
          </cell>
          <cell r="N33">
            <v>33.847999999999999</v>
          </cell>
          <cell r="O33">
            <v>33.847999999999999</v>
          </cell>
          <cell r="P33">
            <v>33.847999999999999</v>
          </cell>
          <cell r="Q33">
            <v>33.847999999999999</v>
          </cell>
          <cell r="R33">
            <v>33.847999999999999</v>
          </cell>
          <cell r="S33">
            <v>33.847999999999999</v>
          </cell>
          <cell r="T33">
            <v>33.847999999999999</v>
          </cell>
          <cell r="U33">
            <v>33.847999999999999</v>
          </cell>
          <cell r="V33">
            <v>33.847999999999999</v>
          </cell>
          <cell r="W33">
            <v>33.847999999999999</v>
          </cell>
          <cell r="X33">
            <v>33.847999999999999</v>
          </cell>
          <cell r="Y33">
            <v>33.847999999999999</v>
          </cell>
          <cell r="Z33">
            <v>33.847999999999999</v>
          </cell>
          <cell r="AA33">
            <v>33.847999999999999</v>
          </cell>
          <cell r="AB33">
            <v>33.847999999999999</v>
          </cell>
        </row>
        <row r="34">
          <cell r="C34">
            <v>0</v>
          </cell>
          <cell r="D34">
            <v>0</v>
          </cell>
          <cell r="E34">
            <v>0</v>
          </cell>
          <cell r="F34">
            <v>0</v>
          </cell>
          <cell r="G34">
            <v>0</v>
          </cell>
          <cell r="H34">
            <v>0</v>
          </cell>
          <cell r="L34">
            <v>0</v>
          </cell>
          <cell r="M34">
            <v>0</v>
          </cell>
          <cell r="Q34">
            <v>0</v>
          </cell>
          <cell r="R34">
            <v>0</v>
          </cell>
          <cell r="AA34">
            <v>0</v>
          </cell>
          <cell r="AB34">
            <v>0</v>
          </cell>
        </row>
        <row r="35">
          <cell r="C35">
            <v>369.3</v>
          </cell>
          <cell r="D35">
            <v>369.3</v>
          </cell>
          <cell r="E35">
            <v>369.3</v>
          </cell>
          <cell r="F35">
            <v>369.3</v>
          </cell>
          <cell r="G35">
            <v>369.3</v>
          </cell>
          <cell r="H35">
            <v>369.3</v>
          </cell>
          <cell r="I35">
            <v>369.3</v>
          </cell>
          <cell r="J35">
            <v>369.3</v>
          </cell>
          <cell r="K35">
            <v>369.3</v>
          </cell>
          <cell r="L35">
            <v>369.3</v>
          </cell>
          <cell r="M35">
            <v>369.3</v>
          </cell>
          <cell r="N35">
            <v>369.3</v>
          </cell>
          <cell r="O35">
            <v>369.3</v>
          </cell>
          <cell r="P35">
            <v>369.3</v>
          </cell>
          <cell r="Q35">
            <v>369.3</v>
          </cell>
          <cell r="R35">
            <v>369.3</v>
          </cell>
          <cell r="S35">
            <v>369.3</v>
          </cell>
          <cell r="T35">
            <v>369.3</v>
          </cell>
          <cell r="U35">
            <v>369.3</v>
          </cell>
          <cell r="V35">
            <v>369.3</v>
          </cell>
          <cell r="W35">
            <v>369.3</v>
          </cell>
          <cell r="X35">
            <v>369.3</v>
          </cell>
          <cell r="Y35">
            <v>369.3</v>
          </cell>
          <cell r="Z35">
            <v>369.3</v>
          </cell>
          <cell r="AA35">
            <v>369.3</v>
          </cell>
          <cell r="AB35">
            <v>369.3</v>
          </cell>
        </row>
        <row r="36">
          <cell r="C36">
            <v>1200.3642657586236</v>
          </cell>
          <cell r="D36">
            <v>1405.1340811594675</v>
          </cell>
          <cell r="E36">
            <v>1577.686219600497</v>
          </cell>
          <cell r="F36">
            <v>1308.6380326735159</v>
          </cell>
          <cell r="G36">
            <v>1368.6149369521465</v>
          </cell>
          <cell r="H36">
            <v>1374.519349515135</v>
          </cell>
          <cell r="L36">
            <v>1592.0048286401241</v>
          </cell>
          <cell r="M36">
            <v>1600.4601849478893</v>
          </cell>
          <cell r="Q36">
            <v>1757.2738133567684</v>
          </cell>
          <cell r="R36">
            <v>1766.3056470335343</v>
          </cell>
          <cell r="AA36">
            <v>1916.9091320327705</v>
          </cell>
          <cell r="AB36">
            <v>1923.4803600652151</v>
          </cell>
        </row>
        <row r="37">
          <cell r="C37">
            <v>42.850999999999999</v>
          </cell>
          <cell r="D37">
            <v>42.850999999999999</v>
          </cell>
          <cell r="E37">
            <v>42.850999999999999</v>
          </cell>
          <cell r="F37">
            <v>42.850999999999999</v>
          </cell>
          <cell r="G37">
            <v>42.850999999999999</v>
          </cell>
          <cell r="H37">
            <v>42.850999999999999</v>
          </cell>
          <cell r="I37">
            <v>42.850999999999999</v>
          </cell>
          <cell r="J37">
            <v>42.850999999999999</v>
          </cell>
          <cell r="K37">
            <v>42.850999999999999</v>
          </cell>
          <cell r="L37">
            <v>42.850999999999999</v>
          </cell>
          <cell r="M37">
            <v>42.850999999999999</v>
          </cell>
          <cell r="N37">
            <v>42.850999999999999</v>
          </cell>
          <cell r="O37">
            <v>42.850999999999999</v>
          </cell>
          <cell r="P37">
            <v>42.850999999999999</v>
          </cell>
          <cell r="Q37">
            <v>42.850999999999999</v>
          </cell>
          <cell r="R37">
            <v>42.850999999999999</v>
          </cell>
          <cell r="S37">
            <v>42.850999999999999</v>
          </cell>
          <cell r="T37">
            <v>42.850999999999999</v>
          </cell>
          <cell r="U37">
            <v>42.850999999999999</v>
          </cell>
          <cell r="V37">
            <v>42.850999999999999</v>
          </cell>
          <cell r="W37">
            <v>42.850999999999999</v>
          </cell>
          <cell r="X37">
            <v>42.850999999999999</v>
          </cell>
          <cell r="Y37">
            <v>42.850999999999999</v>
          </cell>
          <cell r="Z37">
            <v>42.850999999999999</v>
          </cell>
          <cell r="AA37">
            <v>42.850999999999999</v>
          </cell>
          <cell r="AB37">
            <v>42.850999999999999</v>
          </cell>
        </row>
        <row r="39">
          <cell r="C39">
            <v>28.012514661469361</v>
          </cell>
          <cell r="D39">
            <v>32.791161960268546</v>
          </cell>
          <cell r="E39">
            <v>36.817955697661596</v>
          </cell>
          <cell r="F39">
            <v>30.539264723659095</v>
          </cell>
          <cell r="G39">
            <v>31.938926441673392</v>
          </cell>
          <cell r="H39">
            <v>32.076715817953726</v>
          </cell>
          <cell r="L39">
            <v>37.152104469910249</v>
          </cell>
          <cell r="M39">
            <v>37.349424399614698</v>
          </cell>
          <cell r="Q39">
            <v>41.008933592139471</v>
          </cell>
          <cell r="R39">
            <v>41.219706588726851</v>
          </cell>
          <cell r="AA39">
            <v>44.734291662569611</v>
          </cell>
          <cell r="AB39">
            <v>44.887642296917576</v>
          </cell>
        </row>
        <row r="41">
          <cell r="D41">
            <v>1</v>
          </cell>
          <cell r="E41">
            <v>2</v>
          </cell>
          <cell r="F41">
            <v>3</v>
          </cell>
          <cell r="G41">
            <v>4</v>
          </cell>
          <cell r="H41">
            <v>5</v>
          </cell>
          <cell r="L41">
            <v>9</v>
          </cell>
          <cell r="M41">
            <v>10</v>
          </cell>
          <cell r="Q41">
            <v>14</v>
          </cell>
          <cell r="R41">
            <v>15</v>
          </cell>
          <cell r="AA41">
            <v>24</v>
          </cell>
          <cell r="AB41">
            <v>25</v>
          </cell>
        </row>
        <row r="44">
          <cell r="C44">
            <v>6.2260265284651388E-2</v>
          </cell>
          <cell r="D44">
            <v>9.7584717147915431E-2</v>
          </cell>
          <cell r="E44">
            <v>0.10436341066456289</v>
          </cell>
          <cell r="F44">
            <v>0.11551302807906516</v>
          </cell>
          <cell r="G44">
            <v>9.7740825209288076E-2</v>
          </cell>
          <cell r="H44">
            <v>0.1003867564005331</v>
          </cell>
          <cell r="L44">
            <v>0.12592266309582537</v>
          </cell>
          <cell r="M44">
            <v>0.12592266309582539</v>
          </cell>
          <cell r="Q44">
            <v>0.16014077806751709</v>
          </cell>
          <cell r="R44">
            <v>0.16014077806751709</v>
          </cell>
          <cell r="AA44">
            <v>0.20615824302944727</v>
          </cell>
          <cell r="AB44">
            <v>0.20615824302944724</v>
          </cell>
        </row>
        <row r="45">
          <cell r="C45">
            <v>2.4395404557812361E-2</v>
          </cell>
          <cell r="D45">
            <v>3.5324451863264043E-2</v>
          </cell>
          <cell r="E45">
            <v>6.7786935166474632E-3</v>
          </cell>
          <cell r="F45">
            <v>1.1149617414502266E-2</v>
          </cell>
          <cell r="G45">
            <v>-1.7772202869777085E-2</v>
          </cell>
          <cell r="H45">
            <v>2.645931191245024E-3</v>
          </cell>
          <cell r="L45">
            <v>0</v>
          </cell>
          <cell r="M45">
            <v>2.7755575615628914E-17</v>
          </cell>
          <cell r="Q45">
            <v>2.7755575615628914E-17</v>
          </cell>
          <cell r="R45">
            <v>0</v>
          </cell>
          <cell r="AA45">
            <v>0</v>
          </cell>
          <cell r="AB45">
            <v>-2.7755575615628914E-17</v>
          </cell>
        </row>
        <row r="46">
          <cell r="C46">
            <v>0.27521045045069142</v>
          </cell>
          <cell r="D46">
            <v>0.30019964827312351</v>
          </cell>
          <cell r="E46">
            <v>0.63542523199201806</v>
          </cell>
          <cell r="F46">
            <v>1.6858019297902467</v>
          </cell>
          <cell r="G46">
            <v>0.10604321877934655</v>
          </cell>
          <cell r="H46">
            <v>-2.3117446434781502E-2</v>
          </cell>
          <cell r="L46">
            <v>0.12426739926739899</v>
          </cell>
          <cell r="M46">
            <v>0.12426739926739935</v>
          </cell>
          <cell r="Q46">
            <v>0.15803571428571447</v>
          </cell>
          <cell r="R46">
            <v>0.15803571428571425</v>
          </cell>
          <cell r="AA46">
            <v>0.20344827586206882</v>
          </cell>
          <cell r="AB46">
            <v>0.20344827586206873</v>
          </cell>
        </row>
        <row r="47">
          <cell r="C47">
            <v>0.18285377083652804</v>
          </cell>
          <cell r="D47">
            <v>0.33950242217827548</v>
          </cell>
          <cell r="E47" t="str">
            <v>NM</v>
          </cell>
          <cell r="F47">
            <v>0.51000309411038958</v>
          </cell>
          <cell r="G47">
            <v>-0.56853043138614601</v>
          </cell>
          <cell r="H47" t="str">
            <v>NM</v>
          </cell>
          <cell r="L47">
            <v>0.12762261904761915</v>
          </cell>
          <cell r="M47">
            <v>0.12762261904761804</v>
          </cell>
          <cell r="Q47">
            <v>0.16230267857142888</v>
          </cell>
          <cell r="R47">
            <v>0.1623026785714278</v>
          </cell>
          <cell r="AA47">
            <v>0.20894137931034434</v>
          </cell>
          <cell r="AB47">
            <v>0.20894137931034376</v>
          </cell>
        </row>
        <row r="48">
          <cell r="C48">
            <v>-25.796365109631054</v>
          </cell>
          <cell r="D48">
            <v>20.596813312872911</v>
          </cell>
          <cell r="E48">
            <v>29.821955927425165</v>
          </cell>
          <cell r="F48">
            <v>46.297240702505349</v>
          </cell>
          <cell r="G48">
            <v>21.519371993032919</v>
          </cell>
          <cell r="H48">
            <v>25.220622963168339</v>
          </cell>
          <cell r="L48">
            <v>54.059134232080993</v>
          </cell>
          <cell r="M48">
            <v>55.51873085634719</v>
          </cell>
          <cell r="Q48">
            <v>86.716238419572363</v>
          </cell>
          <cell r="R48">
            <v>89.057576856900795</v>
          </cell>
          <cell r="AA48">
            <v>139.94501310983122</v>
          </cell>
          <cell r="AB48">
            <v>143.72352846379664</v>
          </cell>
        </row>
        <row r="49">
          <cell r="C49">
            <v>-19.568164225417576</v>
          </cell>
          <cell r="D49">
            <v>17.727652287159664</v>
          </cell>
          <cell r="E49">
            <v>26.824589306716202</v>
          </cell>
          <cell r="F49">
            <v>37.913980410043543</v>
          </cell>
          <cell r="G49">
            <v>14.55516083374035</v>
          </cell>
          <cell r="H49">
            <v>18.011607337147428</v>
          </cell>
          <cell r="L49">
            <v>27.183836174209752</v>
          </cell>
          <cell r="M49">
            <v>25.793346262047617</v>
          </cell>
          <cell r="Q49">
            <v>29.037201755347919</v>
          </cell>
          <cell r="R49">
            <v>27.551909692098441</v>
          </cell>
          <cell r="AA49">
            <v>21.126393707773452</v>
          </cell>
          <cell r="AB49">
            <v>20.045750153906884</v>
          </cell>
        </row>
        <row r="50">
          <cell r="C50">
            <v>-19.568164225417576</v>
          </cell>
          <cell r="D50">
            <v>17.727652287159664</v>
          </cell>
          <cell r="E50">
            <v>44.552241593875863</v>
          </cell>
          <cell r="F50">
            <v>82.466222003919398</v>
          </cell>
          <cell r="G50">
            <v>97.021382837659743</v>
          </cell>
          <cell r="H50">
            <v>115.03299017480717</v>
          </cell>
          <cell r="L50">
            <v>218.15013764603546</v>
          </cell>
          <cell r="M50">
            <v>243.94348390808307</v>
          </cell>
          <cell r="Q50">
            <v>360.30954526591273</v>
          </cell>
          <cell r="R50">
            <v>387.86145495801117</v>
          </cell>
          <cell r="AA50">
            <v>618.58456586239242</v>
          </cell>
          <cell r="AB50">
            <v>638.63031601629928</v>
          </cell>
        </row>
        <row r="51">
          <cell r="C51">
            <v>-19.568164225417576</v>
          </cell>
          <cell r="D51">
            <v>19.187779731200195</v>
          </cell>
          <cell r="E51">
            <v>31.425346894545456</v>
          </cell>
          <cell r="F51">
            <v>48.075064960304857</v>
          </cell>
          <cell r="G51">
            <v>19.976113944705858</v>
          </cell>
          <cell r="H51">
            <v>26.755924873859982</v>
          </cell>
          <cell r="L51">
            <v>55.420729667704265</v>
          </cell>
          <cell r="M51">
            <v>56.917089368732263</v>
          </cell>
          <cell r="Q51">
            <v>87.939451933519564</v>
          </cell>
          <cell r="R51">
            <v>90.313817135724577</v>
          </cell>
          <cell r="AA51">
            <v>141.18525939928639</v>
          </cell>
          <cell r="AB51">
            <v>144.99726140306709</v>
          </cell>
        </row>
        <row r="52">
          <cell r="C52">
            <v>1318.9584981152339</v>
          </cell>
          <cell r="D52">
            <v>1370.3519999999999</v>
          </cell>
          <cell r="E52">
            <v>1370.3519999999999</v>
          </cell>
          <cell r="F52">
            <v>1370.3519999999999</v>
          </cell>
          <cell r="G52">
            <v>1370.3519999999999</v>
          </cell>
          <cell r="H52">
            <v>1370.3519999999999</v>
          </cell>
          <cell r="L52">
            <v>1370.3519999999999</v>
          </cell>
          <cell r="M52">
            <v>1370.3519999999999</v>
          </cell>
          <cell r="Q52">
            <v>1370.3519999999999</v>
          </cell>
          <cell r="R52">
            <v>1370.3519999999999</v>
          </cell>
          <cell r="AA52">
            <v>1370.3519999999999</v>
          </cell>
          <cell r="AB52">
            <v>1370.3519999999999</v>
          </cell>
        </row>
        <row r="54">
          <cell r="C54">
            <v>236.42593186880762</v>
          </cell>
          <cell r="D54">
            <v>381.54040938251785</v>
          </cell>
          <cell r="E54">
            <v>583.68743000986899</v>
          </cell>
          <cell r="F54">
            <v>242.5333511165729</v>
          </cell>
          <cell r="G54">
            <v>324.84817316534787</v>
          </cell>
          <cell r="H54">
            <v>333.61907384081229</v>
          </cell>
          <cell r="L54">
            <v>691.03993192122152</v>
          </cell>
          <cell r="M54">
            <v>709.69801008309469</v>
          </cell>
          <cell r="Q54">
            <v>1096.51520724639</v>
          </cell>
          <cell r="R54">
            <v>1126.1211178420428</v>
          </cell>
          <cell r="AA54">
            <v>1760.4360792170778</v>
          </cell>
          <cell r="AB54">
            <v>1807.9678533559388</v>
          </cell>
        </row>
        <row r="55">
          <cell r="C55">
            <v>236.42593186880762</v>
          </cell>
          <cell r="D55">
            <v>352.50642887230759</v>
          </cell>
          <cell r="E55">
            <v>498.23397800662093</v>
          </cell>
          <cell r="F55">
            <v>191.27181066959594</v>
          </cell>
          <cell r="G55">
            <v>236.69355411448601</v>
          </cell>
          <cell r="H55">
            <v>224.58635934032674</v>
          </cell>
          <cell r="L55">
            <v>338.95469099408729</v>
          </cell>
          <cell r="M55">
            <v>321.61670103980492</v>
          </cell>
          <cell r="Q55">
            <v>362.06426809085366</v>
          </cell>
          <cell r="R55">
            <v>343.54419207552172</v>
          </cell>
          <cell r="AA55">
            <v>263.42456617037618</v>
          </cell>
          <cell r="AB55">
            <v>249.95004404891398</v>
          </cell>
        </row>
        <row r="56">
          <cell r="C56">
            <v>216.85776764339005</v>
          </cell>
          <cell r="D56">
            <v>370.23408115946728</v>
          </cell>
          <cell r="E56">
            <v>542.78621960049679</v>
          </cell>
          <cell r="F56">
            <v>273.73803267351536</v>
          </cell>
          <cell r="G56">
            <v>333.71493695214576</v>
          </cell>
          <cell r="H56">
            <v>339.61934951513388</v>
          </cell>
          <cell r="L56">
            <v>557.10482864012272</v>
          </cell>
          <cell r="M56">
            <v>565.56018494788805</v>
          </cell>
          <cell r="Q56">
            <v>722.37381335676639</v>
          </cell>
          <cell r="R56">
            <v>731.40564703353289</v>
          </cell>
          <cell r="AA56">
            <v>882.00913203276855</v>
          </cell>
          <cell r="AB56">
            <v>888.5803600652132</v>
          </cell>
        </row>
        <row r="58">
          <cell r="C58">
            <v>1535.816265758624</v>
          </cell>
          <cell r="D58">
            <v>1740.5860811594671</v>
          </cell>
          <cell r="E58">
            <v>1913.1382196004965</v>
          </cell>
          <cell r="F58">
            <v>1644.0900326735152</v>
          </cell>
          <cell r="G58">
            <v>1704.0669369521456</v>
          </cell>
          <cell r="H58">
            <v>1709.9713495151336</v>
          </cell>
          <cell r="L58">
            <v>1927.4568286401227</v>
          </cell>
          <cell r="M58">
            <v>1935.9121849478879</v>
          </cell>
          <cell r="Q58">
            <v>2092.7258133567661</v>
          </cell>
          <cell r="R58">
            <v>2101.7576470335325</v>
          </cell>
          <cell r="AA58">
            <v>2252.3611320327682</v>
          </cell>
          <cell r="AB58">
            <v>2258.9323600652133</v>
          </cell>
        </row>
        <row r="59">
          <cell r="C59">
            <v>33.847999999999999</v>
          </cell>
          <cell r="D59">
            <v>33.847999999999999</v>
          </cell>
          <cell r="E59">
            <v>33.847999999999999</v>
          </cell>
          <cell r="F59">
            <v>33.847999999999999</v>
          </cell>
          <cell r="G59">
            <v>33.847999999999999</v>
          </cell>
          <cell r="H59">
            <v>33.847999999999999</v>
          </cell>
          <cell r="L59">
            <v>33.847999999999999</v>
          </cell>
          <cell r="M59">
            <v>33.847999999999999</v>
          </cell>
          <cell r="Q59">
            <v>33.847999999999999</v>
          </cell>
          <cell r="R59">
            <v>33.847999999999999</v>
          </cell>
          <cell r="AA59">
            <v>33.847999999999999</v>
          </cell>
          <cell r="AB59">
            <v>33.847999999999999</v>
          </cell>
        </row>
        <row r="60">
          <cell r="C60">
            <v>369.3</v>
          </cell>
          <cell r="D60">
            <v>369.3</v>
          </cell>
          <cell r="E60">
            <v>369.3</v>
          </cell>
          <cell r="F60">
            <v>369.3</v>
          </cell>
          <cell r="G60">
            <v>369.3</v>
          </cell>
          <cell r="H60">
            <v>369.3</v>
          </cell>
          <cell r="L60">
            <v>369.3</v>
          </cell>
          <cell r="M60">
            <v>369.3</v>
          </cell>
          <cell r="Q60">
            <v>369.3</v>
          </cell>
          <cell r="R60">
            <v>369.3</v>
          </cell>
          <cell r="AA60">
            <v>369.3</v>
          </cell>
          <cell r="AB60">
            <v>369.3</v>
          </cell>
        </row>
        <row r="61">
          <cell r="C61">
            <v>1200.364265758624</v>
          </cell>
          <cell r="D61">
            <v>1405.1340811594671</v>
          </cell>
          <cell r="E61">
            <v>1577.6862196004965</v>
          </cell>
          <cell r="F61">
            <v>1308.6380326735152</v>
          </cell>
          <cell r="G61">
            <v>1368.6149369521456</v>
          </cell>
          <cell r="H61">
            <v>1374.5193495151336</v>
          </cell>
          <cell r="L61">
            <v>1592.0048286401227</v>
          </cell>
          <cell r="M61">
            <v>1600.4601849478879</v>
          </cell>
          <cell r="Q61">
            <v>1757.2738133567661</v>
          </cell>
          <cell r="R61">
            <v>1766.3056470335325</v>
          </cell>
          <cell r="AA61">
            <v>1916.9091320327682</v>
          </cell>
          <cell r="AB61">
            <v>1923.4803600652133</v>
          </cell>
        </row>
        <row r="62">
          <cell r="C62">
            <v>42.850999999999999</v>
          </cell>
          <cell r="D62">
            <v>42.850999999999999</v>
          </cell>
          <cell r="E62">
            <v>42.850999999999999</v>
          </cell>
          <cell r="F62">
            <v>42.850999999999999</v>
          </cell>
          <cell r="G62">
            <v>42.850999999999999</v>
          </cell>
          <cell r="H62">
            <v>42.850999999999999</v>
          </cell>
          <cell r="L62">
            <v>42.850999999999999</v>
          </cell>
          <cell r="M62">
            <v>42.850999999999999</v>
          </cell>
          <cell r="Q62">
            <v>42.850999999999999</v>
          </cell>
          <cell r="R62">
            <v>42.850999999999999</v>
          </cell>
          <cell r="AA62">
            <v>42.850999999999999</v>
          </cell>
          <cell r="AB62">
            <v>42.850999999999999</v>
          </cell>
        </row>
        <row r="64">
          <cell r="C64">
            <v>28.012514661469371</v>
          </cell>
          <cell r="D64">
            <v>32.791161960268539</v>
          </cell>
          <cell r="E64">
            <v>36.817955697661588</v>
          </cell>
          <cell r="F64">
            <v>30.53926472365908</v>
          </cell>
          <cell r="G64">
            <v>31.93892644167337</v>
          </cell>
          <cell r="H64">
            <v>32.076715817953691</v>
          </cell>
          <cell r="L64">
            <v>37.152104469910221</v>
          </cell>
          <cell r="M64">
            <v>37.349424399614662</v>
          </cell>
          <cell r="Q64">
            <v>41.008933592139421</v>
          </cell>
          <cell r="R64">
            <v>41.219706588726808</v>
          </cell>
          <cell r="AA64">
            <v>44.734291662569561</v>
          </cell>
          <cell r="AB64">
            <v>44.887642296917534</v>
          </cell>
        </row>
        <row r="65">
          <cell r="C65">
            <v>24.400987530191756</v>
          </cell>
          <cell r="D65">
            <v>46.393178422503965</v>
          </cell>
          <cell r="E65">
            <v>9.2251426145522544</v>
          </cell>
          <cell r="F65">
            <v>16.475284775080183</v>
          </cell>
          <cell r="G65">
            <v>-24.777868709472429</v>
          </cell>
          <cell r="H65">
            <v>3.701250970135419</v>
          </cell>
          <cell r="L65">
            <v>1.4212235874062173</v>
          </cell>
          <cell r="M65">
            <v>1.4595966242661973</v>
          </cell>
          <cell r="Q65">
            <v>2.2797842622477731</v>
          </cell>
          <cell r="R65">
            <v>2.3413384373284316</v>
          </cell>
          <cell r="AA65">
            <v>3.6791775598495065</v>
          </cell>
          <cell r="AB65">
            <v>3.7785153539654175</v>
          </cell>
        </row>
        <row r="68">
          <cell r="C68">
            <v>0.11995346131471789</v>
          </cell>
          <cell r="D68">
            <v>6.690214003739868E-2</v>
          </cell>
          <cell r="E68">
            <v>4.6738072054527749E-2</v>
          </cell>
          <cell r="F68">
            <v>0.05</v>
          </cell>
          <cell r="G68">
            <v>2.6999999999999944E-2</v>
          </cell>
          <cell r="H68">
            <v>2.6999999999999965E-2</v>
          </cell>
          <cell r="L68">
            <v>2.6999999999999989E-2</v>
          </cell>
          <cell r="M68">
            <v>2.6999999999999916E-2</v>
          </cell>
          <cell r="Q68">
            <v>2.6999999999999944E-2</v>
          </cell>
          <cell r="R68">
            <v>2.6999999999999871E-2</v>
          </cell>
          <cell r="AA68">
            <v>2.699999999999992E-2</v>
          </cell>
          <cell r="AB68">
            <v>2.6999999999999906E-2</v>
          </cell>
        </row>
        <row r="69">
          <cell r="C69">
            <v>4.1865953609919189E-2</v>
          </cell>
          <cell r="D69">
            <v>6.4292112950340888E-2</v>
          </cell>
          <cell r="E69">
            <v>6.5802558139534895E-2</v>
          </cell>
          <cell r="F69">
            <v>7.1464894795127354E-2</v>
          </cell>
          <cell r="G69">
            <v>5.8999999999999997E-2</v>
          </cell>
          <cell r="H69">
            <v>5.899999999999999E-2</v>
          </cell>
          <cell r="L69">
            <v>5.8999999999999997E-2</v>
          </cell>
          <cell r="M69">
            <v>5.8999999999999997E-2</v>
          </cell>
          <cell r="Q69">
            <v>5.8999999999999997E-2</v>
          </cell>
          <cell r="R69">
            <v>5.8999999999999997E-2</v>
          </cell>
          <cell r="AA69">
            <v>5.8999999999999997E-2</v>
          </cell>
          <cell r="AB69">
            <v>5.8999999999999997E-2</v>
          </cell>
        </row>
        <row r="70">
          <cell r="C70">
            <v>1.1939864209505416E-2</v>
          </cell>
          <cell r="D70">
            <v>0.17885783298826735</v>
          </cell>
          <cell r="E70">
            <v>2.0882584712370957E-3</v>
          </cell>
          <cell r="F70">
            <v>-1.1063829787234004E-2</v>
          </cell>
          <cell r="G70">
            <v>3.9999999999999945E-2</v>
          </cell>
          <cell r="H70">
            <v>4.0000000000000098E-2</v>
          </cell>
          <cell r="L70">
            <v>3.9999999999999918E-2</v>
          </cell>
          <cell r="M70">
            <v>4.0000000000000084E-2</v>
          </cell>
          <cell r="Q70">
            <v>3.9999999999999918E-2</v>
          </cell>
          <cell r="R70">
            <v>4.0000000000000049E-2</v>
          </cell>
          <cell r="AA70">
            <v>4.0000000000000063E-2</v>
          </cell>
          <cell r="AB70">
            <v>3.9999999999999959E-2</v>
          </cell>
        </row>
        <row r="71">
          <cell r="C71">
            <v>0.72308438409311393</v>
          </cell>
          <cell r="D71">
            <v>-0.44449934123847185</v>
          </cell>
          <cell r="E71">
            <v>0.40347504899743569</v>
          </cell>
          <cell r="F71">
            <v>0.41264266900790209</v>
          </cell>
          <cell r="G71">
            <v>-0.65480513192932044</v>
          </cell>
          <cell r="H71">
            <v>0.55555555555555558</v>
          </cell>
          <cell r="L71">
            <v>0.43478260869565233</v>
          </cell>
          <cell r="M71">
            <v>0.43478260869564955</v>
          </cell>
          <cell r="Q71">
            <v>0.33333333333333426</v>
          </cell>
          <cell r="R71">
            <v>0.33333333333333287</v>
          </cell>
          <cell r="AA71">
            <v>0.25</v>
          </cell>
          <cell r="AB71">
            <v>0.25</v>
          </cell>
        </row>
        <row r="74">
          <cell r="C74">
            <v>68.252000000000066</v>
          </cell>
          <cell r="D74">
            <v>91.288888888888891</v>
          </cell>
          <cell r="E74">
            <v>91.489361702127653</v>
          </cell>
          <cell r="F74">
            <v>90.3</v>
          </cell>
          <cell r="G74">
            <v>92.738099999999989</v>
          </cell>
          <cell r="H74">
            <v>95.242028699999992</v>
          </cell>
          <cell r="L74">
            <v>105.95230564405634</v>
          </cell>
          <cell r="M74">
            <v>108.81301789644586</v>
          </cell>
          <cell r="Q74">
            <v>121.04939686376508</v>
          </cell>
          <cell r="R74">
            <v>124.31773057908673</v>
          </cell>
          <cell r="AA74">
            <v>158.00363045049772</v>
          </cell>
          <cell r="AB74">
            <v>162.26972847266114</v>
          </cell>
        </row>
        <row r="75">
          <cell r="C75">
            <v>1302.1000000000001</v>
          </cell>
          <cell r="D75">
            <v>1244.848484848485</v>
          </cell>
          <cell r="E75">
            <v>1283.5820895522388</v>
          </cell>
          <cell r="F75">
            <v>1327.9411764705883</v>
          </cell>
          <cell r="G75">
            <v>1288.0291666666665</v>
          </cell>
          <cell r="H75">
            <v>1322.8059541666664</v>
          </cell>
          <cell r="L75">
            <v>1151.6554961310474</v>
          </cell>
          <cell r="M75">
            <v>1182.7501945265853</v>
          </cell>
          <cell r="Q75">
            <v>1008.7449738647091</v>
          </cell>
          <cell r="R75">
            <v>1035.9810881590561</v>
          </cell>
          <cell r="AA75">
            <v>987.5226903156107</v>
          </cell>
          <cell r="AB75">
            <v>1014.1858029541321</v>
          </cell>
        </row>
        <row r="76">
          <cell r="C76">
            <v>0</v>
          </cell>
          <cell r="D76">
            <v>0</v>
          </cell>
          <cell r="E76">
            <v>0</v>
          </cell>
          <cell r="F76">
            <v>0</v>
          </cell>
          <cell r="G76">
            <v>0</v>
          </cell>
          <cell r="H76">
            <v>0</v>
          </cell>
          <cell r="L76">
            <v>0</v>
          </cell>
          <cell r="M76">
            <v>0</v>
          </cell>
          <cell r="Q76">
            <v>0</v>
          </cell>
          <cell r="R76">
            <v>0</v>
          </cell>
          <cell r="AA76">
            <v>0</v>
          </cell>
          <cell r="AB76">
            <v>0</v>
          </cell>
        </row>
        <row r="77">
          <cell r="C77">
            <v>1370.3519999999999</v>
          </cell>
          <cell r="D77">
            <v>1336.1373737373738</v>
          </cell>
          <cell r="E77">
            <v>1375.0714512543664</v>
          </cell>
          <cell r="F77">
            <v>1418.2411764705882</v>
          </cell>
          <cell r="G77">
            <v>1380.7672666666665</v>
          </cell>
          <cell r="H77">
            <v>1418.0479828666664</v>
          </cell>
          <cell r="I77">
            <v>1161.0044708107694</v>
          </cell>
          <cell r="J77">
            <v>1192.3515915226601</v>
          </cell>
          <cell r="K77">
            <v>1224.5450844937718</v>
          </cell>
          <cell r="L77">
            <v>1257.6078017751038</v>
          </cell>
          <cell r="M77">
            <v>1291.5632124230312</v>
          </cell>
          <cell r="N77">
            <v>1043.009047543399</v>
          </cell>
          <cell r="O77">
            <v>1071.1702918270705</v>
          </cell>
          <cell r="P77">
            <v>1100.0918897064014</v>
          </cell>
          <cell r="Q77">
            <v>1129.7943707284742</v>
          </cell>
          <cell r="R77">
            <v>1160.2988187381427</v>
          </cell>
          <cell r="S77">
            <v>925.638742459235</v>
          </cell>
          <cell r="T77">
            <v>950.63098850563426</v>
          </cell>
          <cell r="U77">
            <v>976.2980251952863</v>
          </cell>
          <cell r="V77">
            <v>1002.658071875559</v>
          </cell>
          <cell r="W77">
            <v>1029.729839816199</v>
          </cell>
          <cell r="X77">
            <v>1057.5325454912363</v>
          </cell>
          <cell r="Y77">
            <v>1086.0859242194995</v>
          </cell>
          <cell r="Z77">
            <v>1115.410244173426</v>
          </cell>
          <cell r="AA77">
            <v>1145.5263207661085</v>
          </cell>
          <cell r="AB77">
            <v>1176.4555314267932</v>
          </cell>
        </row>
        <row r="78">
          <cell r="C78">
            <v>1294.5709999999999</v>
          </cell>
          <cell r="D78">
            <v>1353.2446868686868</v>
          </cell>
          <cell r="E78">
            <v>1355.6044124958701</v>
          </cell>
          <cell r="F78">
            <v>1396.6563138624774</v>
          </cell>
          <cell r="G78">
            <v>1399.5042215686274</v>
          </cell>
          <cell r="H78">
            <v>1399.4076247666665</v>
          </cell>
          <cell r="I78">
            <v>1289.5262268387178</v>
          </cell>
          <cell r="J78">
            <v>1176.6780311667148</v>
          </cell>
          <cell r="K78">
            <v>1208.4483380082161</v>
          </cell>
          <cell r="L78">
            <v>1241.0764431344378</v>
          </cell>
          <cell r="M78">
            <v>1274.5855070990674</v>
          </cell>
          <cell r="N78">
            <v>1167.2861299832152</v>
          </cell>
          <cell r="O78">
            <v>1057.0896696852346</v>
          </cell>
          <cell r="P78">
            <v>1085.631090766736</v>
          </cell>
          <cell r="Q78">
            <v>1114.9431302174378</v>
          </cell>
          <cell r="R78">
            <v>1145.0465947333084</v>
          </cell>
          <cell r="S78">
            <v>1042.9687805986889</v>
          </cell>
          <cell r="T78">
            <v>938.13486548243463</v>
          </cell>
          <cell r="U78">
            <v>963.46450685046034</v>
          </cell>
          <cell r="V78">
            <v>989.47804853542266</v>
          </cell>
          <cell r="W78">
            <v>1016.193955845879</v>
          </cell>
          <cell r="X78">
            <v>1043.6311926537178</v>
          </cell>
          <cell r="Y78">
            <v>1071.8092348553678</v>
          </cell>
          <cell r="Z78">
            <v>1100.7480841964627</v>
          </cell>
          <cell r="AA78">
            <v>1130.4682824697672</v>
          </cell>
          <cell r="AB78">
            <v>1160.9909260964509</v>
          </cell>
        </row>
        <row r="79">
          <cell r="C79">
            <v>0.12435448272466947</v>
          </cell>
          <cell r="D79">
            <v>-2.4967764678437438E-2</v>
          </cell>
          <cell r="E79">
            <v>2.9139277354459616E-2</v>
          </cell>
          <cell r="F79">
            <v>3.1394532390910765E-2</v>
          </cell>
          <cell r="G79">
            <v>-2.6422804827299331E-2</v>
          </cell>
          <cell r="H79">
            <v>2.6999999999999941E-2</v>
          </cell>
          <cell r="L79">
            <v>2.7000000000000107E-2</v>
          </cell>
          <cell r="M79">
            <v>2.6999999999999733E-2</v>
          </cell>
          <cell r="Q79">
            <v>2.6999999999999955E-2</v>
          </cell>
          <cell r="R79">
            <v>2.699999999999975E-2</v>
          </cell>
          <cell r="AA79">
            <v>2.6999999999999975E-2</v>
          </cell>
          <cell r="AB79">
            <v>2.6999999999999802E-2</v>
          </cell>
        </row>
        <row r="80">
          <cell r="C80">
            <v>28.725324898166221</v>
          </cell>
          <cell r="D80">
            <v>25.748884994999528</v>
          </cell>
          <cell r="E80">
            <v>23.525775009312529</v>
          </cell>
          <cell r="F80">
            <v>24.836436839456468</v>
          </cell>
          <cell r="G80">
            <v>25.333004440059202</v>
          </cell>
          <cell r="H80">
            <v>25.333004440059202</v>
          </cell>
          <cell r="L80">
            <v>25.333004440059202</v>
          </cell>
          <cell r="M80">
            <v>25.333004440059199</v>
          </cell>
          <cell r="Q80">
            <v>25.333004440059199</v>
          </cell>
          <cell r="R80">
            <v>25.333004440059199</v>
          </cell>
          <cell r="AA80">
            <v>25.333004440059199</v>
          </cell>
          <cell r="AB80">
            <v>25.333004440059199</v>
          </cell>
        </row>
        <row r="81">
          <cell r="C81">
            <v>1.5683271557166711</v>
          </cell>
          <cell r="D81">
            <v>1.6129105179936059</v>
          </cell>
          <cell r="E81">
            <v>1.7006597070671656</v>
          </cell>
          <cell r="F81">
            <v>1.7288760390314419</v>
          </cell>
          <cell r="G81">
            <v>1.7725372965960688</v>
          </cell>
          <cell r="H81">
            <v>1.8239763196842627</v>
          </cell>
          <cell r="L81">
            <v>2.3306364084854461</v>
          </cell>
          <cell r="M81">
            <v>2.3306364084854465</v>
          </cell>
          <cell r="Q81">
            <v>3.039960532807104</v>
          </cell>
          <cell r="R81">
            <v>3.0399605328071035</v>
          </cell>
          <cell r="AA81">
            <v>4.0532807104094717</v>
          </cell>
          <cell r="AB81">
            <v>4.0532807104094717</v>
          </cell>
        </row>
        <row r="82">
          <cell r="C82" t="str">
            <v xml:space="preserve">--  </v>
          </cell>
          <cell r="D82" t="str">
            <v xml:space="preserve">--  </v>
          </cell>
          <cell r="E82" t="str">
            <v xml:space="preserve">--  </v>
          </cell>
          <cell r="F82" t="str">
            <v xml:space="preserve">--  </v>
          </cell>
          <cell r="G82" t="str">
            <v xml:space="preserve">--  </v>
          </cell>
          <cell r="H82" t="str">
            <v xml:space="preserve">--  </v>
          </cell>
          <cell r="L82" t="str">
            <v xml:space="preserve">--  </v>
          </cell>
          <cell r="M82" t="str">
            <v xml:space="preserve">--  </v>
          </cell>
          <cell r="Q82" t="str">
            <v xml:space="preserve">--  </v>
          </cell>
          <cell r="R82" t="str">
            <v xml:space="preserve">--  </v>
          </cell>
          <cell r="AA82" t="str">
            <v xml:space="preserve">--  </v>
          </cell>
          <cell r="AB82" t="str">
            <v xml:space="preserve">--  </v>
          </cell>
        </row>
        <row r="83">
          <cell r="C83">
            <v>1.4871335755242472</v>
          </cell>
          <cell r="D83">
            <v>1.5178334117481826</v>
          </cell>
          <cell r="E83">
            <v>1.5860084108471801</v>
          </cell>
          <cell r="F83">
            <v>1.6163604299735304</v>
          </cell>
          <cell r="G83">
            <v>1.6566241560896287</v>
          </cell>
          <cell r="H83">
            <v>1.7014704474666629</v>
          </cell>
          <cell r="I83">
            <v>1.8963081447883885</v>
          </cell>
          <cell r="J83">
            <v>2.1342824253529726</v>
          </cell>
          <cell r="K83">
            <v>2.1342824253529726</v>
          </cell>
          <cell r="L83">
            <v>2.1342824253529726</v>
          </cell>
          <cell r="M83">
            <v>2.1342824253529726</v>
          </cell>
          <cell r="N83">
            <v>2.3933928132354487</v>
          </cell>
          <cell r="O83">
            <v>2.7142504757206289</v>
          </cell>
          <cell r="P83">
            <v>2.7142504757206285</v>
          </cell>
          <cell r="Q83">
            <v>2.7142504757206285</v>
          </cell>
          <cell r="R83">
            <v>2.7142504757206285</v>
          </cell>
          <cell r="S83">
            <v>3.0603578860585352</v>
          </cell>
          <cell r="T83">
            <v>3.4942075089736826</v>
          </cell>
          <cell r="U83">
            <v>3.4942075089736826</v>
          </cell>
          <cell r="V83">
            <v>3.4942075089736826</v>
          </cell>
          <cell r="W83">
            <v>3.4942075089736826</v>
          </cell>
          <cell r="X83">
            <v>3.4942075089736822</v>
          </cell>
          <cell r="Y83">
            <v>3.494207508973683</v>
          </cell>
          <cell r="Z83">
            <v>3.494207508973683</v>
          </cell>
          <cell r="AA83">
            <v>3.4942075089736826</v>
          </cell>
          <cell r="AB83">
            <v>3.4942075089736822</v>
          </cell>
        </row>
        <row r="85">
          <cell r="C85">
            <v>28.207232022504808</v>
          </cell>
          <cell r="D85">
            <v>22.5</v>
          </cell>
          <cell r="E85">
            <v>23.500000000000004</v>
          </cell>
          <cell r="F85">
            <v>25</v>
          </cell>
          <cell r="G85">
            <v>25</v>
          </cell>
          <cell r="H85">
            <v>25</v>
          </cell>
          <cell r="L85">
            <v>25</v>
          </cell>
          <cell r="M85">
            <v>25</v>
          </cell>
          <cell r="Q85">
            <v>25</v>
          </cell>
          <cell r="R85">
            <v>25</v>
          </cell>
          <cell r="AA85">
            <v>24.999999999999996</v>
          </cell>
          <cell r="AB85">
            <v>25</v>
          </cell>
        </row>
        <row r="86">
          <cell r="C86">
            <v>1.478534674756163</v>
          </cell>
          <cell r="D86">
            <v>1.65</v>
          </cell>
          <cell r="E86">
            <v>1.675</v>
          </cell>
          <cell r="F86">
            <v>1.7</v>
          </cell>
          <cell r="G86">
            <v>1.8000000000000003</v>
          </cell>
          <cell r="H86">
            <v>1.8000000000000003</v>
          </cell>
          <cell r="L86">
            <v>2.2999999999999998</v>
          </cell>
          <cell r="M86">
            <v>2.2999999999999998</v>
          </cell>
          <cell r="Q86">
            <v>3</v>
          </cell>
          <cell r="R86">
            <v>3</v>
          </cell>
          <cell r="AA86">
            <v>4</v>
          </cell>
          <cell r="AB86">
            <v>4</v>
          </cell>
        </row>
        <row r="87">
          <cell r="C87" t="e">
            <v>#DIV/0!</v>
          </cell>
          <cell r="D87" t="e">
            <v>#DIV/0!</v>
          </cell>
          <cell r="E87" t="e">
            <v>#DIV/0!</v>
          </cell>
          <cell r="F87" t="e">
            <v>#DIV/0!</v>
          </cell>
          <cell r="G87" t="e">
            <v>#DIV/0!</v>
          </cell>
          <cell r="H87" t="e">
            <v>#DIV/0!</v>
          </cell>
          <cell r="L87" t="e">
            <v>#DIV/0!</v>
          </cell>
          <cell r="M87" t="e">
            <v>#DIV/0!</v>
          </cell>
          <cell r="Q87" t="e">
            <v>#DIV/0!</v>
          </cell>
          <cell r="R87" t="e">
            <v>#DIV/0!</v>
          </cell>
          <cell r="AA87" t="e">
            <v>#DIV/0!</v>
          </cell>
          <cell r="AB87" t="e">
            <v>#DIV/0!</v>
          </cell>
        </row>
        <row r="88">
          <cell r="C88">
            <v>1.4048945088561189</v>
          </cell>
          <cell r="D88">
            <v>1.5372670807453417</v>
          </cell>
          <cell r="E88">
            <v>1.5635551142005959</v>
          </cell>
          <cell r="F88">
            <v>1.5917602996254681</v>
          </cell>
          <cell r="G88">
            <v>1.6791044776119404</v>
          </cell>
          <cell r="H88">
            <v>1.6791044776119404</v>
          </cell>
          <cell r="L88">
            <v>2.1062271062271058</v>
          </cell>
          <cell r="M88">
            <v>2.1062271062271063</v>
          </cell>
          <cell r="Q88">
            <v>2.6785714285714284</v>
          </cell>
          <cell r="R88">
            <v>2.6785714285714288</v>
          </cell>
          <cell r="AA88">
            <v>3.4482758620689653</v>
          </cell>
          <cell r="AB88">
            <v>3.4482758620689657</v>
          </cell>
        </row>
        <row r="91">
          <cell r="C91" t="str">
            <v>N/A</v>
          </cell>
          <cell r="D91" t="str">
            <v>N/A</v>
          </cell>
          <cell r="E91" t="str">
            <v>NM</v>
          </cell>
          <cell r="F91" t="str">
            <v>NM</v>
          </cell>
          <cell r="G91" t="str">
            <v>NM</v>
          </cell>
          <cell r="H91" t="str">
            <v>NM</v>
          </cell>
          <cell r="L91" t="str">
            <v>NM</v>
          </cell>
          <cell r="M91" t="str">
            <v>NM</v>
          </cell>
          <cell r="Q91">
            <v>0.18285377083652804</v>
          </cell>
        </row>
        <row r="92">
          <cell r="C92">
            <v>0.27521045045069142</v>
          </cell>
          <cell r="D92">
            <v>0.30019964827312351</v>
          </cell>
          <cell r="E92">
            <v>0.63542523199201806</v>
          </cell>
          <cell r="F92">
            <v>1.6858019297902467</v>
          </cell>
          <cell r="G92">
            <v>0.10604321877934655</v>
          </cell>
          <cell r="H92">
            <v>-2.3117446434781502E-2</v>
          </cell>
          <cell r="L92">
            <v>0.12426739926739899</v>
          </cell>
          <cell r="M92">
            <v>0.12426739926739935</v>
          </cell>
          <cell r="Q92">
            <v>0.15803571428571447</v>
          </cell>
          <cell r="R92">
            <v>0.15803571428571425</v>
          </cell>
          <cell r="AA92">
            <v>0.20344827586206882</v>
          </cell>
          <cell r="AB92">
            <v>0.20344827586206873</v>
          </cell>
        </row>
        <row r="93">
          <cell r="C93">
            <v>0.18285377083652804</v>
          </cell>
          <cell r="D93">
            <v>0.33950242217827548</v>
          </cell>
          <cell r="E93" t="str">
            <v>NM</v>
          </cell>
          <cell r="F93">
            <v>0.51000309411038958</v>
          </cell>
          <cell r="G93">
            <v>-0.56853043138614601</v>
          </cell>
          <cell r="H93" t="str">
            <v>NM</v>
          </cell>
          <cell r="L93">
            <v>0.12762261904761915</v>
          </cell>
          <cell r="M93">
            <v>0.12762261904761804</v>
          </cell>
          <cell r="Q93">
            <v>0.16230267857142888</v>
          </cell>
          <cell r="R93">
            <v>0.1623026785714278</v>
          </cell>
          <cell r="AA93">
            <v>0.20894137931034434</v>
          </cell>
          <cell r="AB93">
            <v>0.20894137931034376</v>
          </cell>
        </row>
        <row r="96">
          <cell r="C96">
            <v>6.2260265284651381E-2</v>
          </cell>
          <cell r="D96">
            <v>9.7584717147915431E-2</v>
          </cell>
          <cell r="E96">
            <v>0.10091716360606413</v>
          </cell>
          <cell r="F96">
            <v>0.10556509592406667</v>
          </cell>
          <cell r="G96">
            <v>0.10355218337943868</v>
          </cell>
          <cell r="H96">
            <v>0.10291121192680286</v>
          </cell>
          <cell r="L96">
            <v>0.11109885037711598</v>
          </cell>
          <cell r="M96">
            <v>0.11249908715251131</v>
          </cell>
          <cell r="Q96">
            <v>0.12332796229031721</v>
          </cell>
          <cell r="R96">
            <v>0.12549437146015641</v>
          </cell>
          <cell r="AA96">
            <v>0.15033717985146122</v>
          </cell>
          <cell r="AB96">
            <v>0.15224806138050753</v>
          </cell>
        </row>
        <row r="97">
          <cell r="C97">
            <v>4.1865953609919182E-2</v>
          </cell>
          <cell r="D97">
            <v>6.4292112950340874E-2</v>
          </cell>
          <cell r="E97">
            <v>6.5042951196331411E-2</v>
          </cell>
          <cell r="F97">
            <v>6.7116774723903816E-2</v>
          </cell>
          <cell r="G97">
            <v>6.4988469863203821E-2</v>
          </cell>
          <cell r="H97">
            <v>6.3744020447271912E-2</v>
          </cell>
          <cell r="L97">
            <v>6.1590212225827695E-2</v>
          </cell>
          <cell r="M97">
            <v>6.1326154342083453E-2</v>
          </cell>
          <cell r="Q97">
            <v>6.0652335127827792E-2</v>
          </cell>
          <cell r="R97">
            <v>6.0540753924742279E-2</v>
          </cell>
          <cell r="AA97">
            <v>5.9958311625751194E-2</v>
          </cell>
          <cell r="AB97">
            <v>5.9919681973189177E-2</v>
          </cell>
        </row>
        <row r="98">
          <cell r="C98">
            <v>1.4871335755242472</v>
          </cell>
          <cell r="D98">
            <v>1.5178334117481826</v>
          </cell>
          <cell r="E98">
            <v>1.5515465050385981</v>
          </cell>
          <cell r="F98">
            <v>1.5728571040299015</v>
          </cell>
          <cell r="G98">
            <v>1.5933931603161109</v>
          </cell>
          <cell r="H98">
            <v>1.6144449503609428</v>
          </cell>
          <cell r="L98">
            <v>1.8038393822992378</v>
          </cell>
          <cell r="M98">
            <v>1.8344389658771052</v>
          </cell>
          <cell r="Q98">
            <v>2.0333588481036626</v>
          </cell>
          <cell r="R98">
            <v>2.0728907937974719</v>
          </cell>
          <cell r="AA98">
            <v>2.5073617948056701</v>
          </cell>
          <cell r="AB98">
            <v>2.540868982726415</v>
          </cell>
        </row>
        <row r="99">
          <cell r="C99" t="str">
            <v>N/A</v>
          </cell>
          <cell r="D99">
            <v>6.6902140037398583E-2</v>
          </cell>
          <cell r="E99">
            <v>5.6772013791809517E-2</v>
          </cell>
          <cell r="F99">
            <v>5.4509836791696964E-2</v>
          </cell>
          <cell r="G99">
            <v>4.7564053323486677E-2</v>
          </cell>
          <cell r="H99">
            <v>4.3418562610934019E-2</v>
          </cell>
          <cell r="L99">
            <v>3.6089265490972133E-2</v>
          </cell>
          <cell r="M99">
            <v>3.5176730709026938E-2</v>
          </cell>
          <cell r="Q99">
            <v>3.2833901520632258E-2</v>
          </cell>
          <cell r="R99">
            <v>3.2443945817955289E-2</v>
          </cell>
          <cell r="AA99">
            <v>3.0399092600371436E-2</v>
          </cell>
          <cell r="AB99">
            <v>3.0262913142268255E-2</v>
          </cell>
        </row>
        <row r="100">
          <cell r="C100" t="str">
            <v>N/A</v>
          </cell>
          <cell r="D100">
            <v>0.63840512348901068</v>
          </cell>
          <cell r="E100">
            <v>0.32486674236307955</v>
          </cell>
          <cell r="F100">
            <v>0.26026311488179155</v>
          </cell>
          <cell r="G100">
            <v>0.14137496726711163</v>
          </cell>
          <cell r="H100">
            <v>0.11752375439615048</v>
          </cell>
          <cell r="L100">
            <v>7.6345581581654054E-2</v>
          </cell>
          <cell r="M100">
            <v>7.1306163412143686E-2</v>
          </cell>
          <cell r="Q100">
            <v>5.845573568558815E-2</v>
          </cell>
          <cell r="R100">
            <v>5.6329033988240962E-2</v>
          </cell>
          <cell r="AA100">
            <v>4.5233755979729562E-2</v>
          </cell>
          <cell r="AB100">
            <v>4.4498228053893918E-2</v>
          </cell>
        </row>
        <row r="101">
          <cell r="C101" t="str">
            <v>N/A</v>
          </cell>
          <cell r="D101">
            <v>-2.4967764678437421E-2</v>
          </cell>
          <cell r="E101">
            <v>1.7205049594104516E-3</v>
          </cell>
          <cell r="F101">
            <v>1.1515753143831242E-2</v>
          </cell>
          <cell r="G101">
            <v>1.8947161749167662E-3</v>
          </cell>
          <cell r="H101">
            <v>6.8661898940125532E-3</v>
          </cell>
          <cell r="L101">
            <v>-9.4942307804791737E-3</v>
          </cell>
          <cell r="M101">
            <v>-5.9039392310173966E-3</v>
          </cell>
          <cell r="Q101">
            <v>-1.3693380740634531E-2</v>
          </cell>
          <cell r="R101">
            <v>-1.103137430416723E-2</v>
          </cell>
          <cell r="AA101">
            <v>-7.4390026678454735E-3</v>
          </cell>
          <cell r="AB101">
            <v>-6.0838782074159603E-3</v>
          </cell>
        </row>
        <row r="102">
          <cell r="C102" t="str">
            <v>N/A</v>
          </cell>
          <cell r="D102" t="str">
            <v>NM</v>
          </cell>
          <cell r="E102" t="str">
            <v>NM</v>
          </cell>
          <cell r="F102" t="str">
            <v>NM</v>
          </cell>
          <cell r="G102" t="str">
            <v>NM</v>
          </cell>
          <cell r="H102" t="str">
            <v>NM</v>
          </cell>
          <cell r="L102" t="str">
            <v>NM</v>
          </cell>
          <cell r="M102" t="str">
            <v>NM</v>
          </cell>
          <cell r="Q102" t="str">
            <v>NM</v>
          </cell>
          <cell r="R102" t="str">
            <v>NM</v>
          </cell>
          <cell r="AA102" t="str">
            <v>NM</v>
          </cell>
          <cell r="AB102" t="str">
            <v>NM</v>
          </cell>
        </row>
        <row r="105">
          <cell r="C105" t="str">
            <v>N/A</v>
          </cell>
          <cell r="D105">
            <v>0.56736751283924169</v>
          </cell>
          <cell r="E105">
            <v>6.9464704256636534E-2</v>
          </cell>
          <cell r="F105">
            <v>0.10683454424787375</v>
          </cell>
          <cell r="G105">
            <v>-0.15385453195472076</v>
          </cell>
          <cell r="H105">
            <v>2.7070890649627755E-2</v>
          </cell>
          <cell r="L105">
            <v>0</v>
          </cell>
          <cell r="M105">
            <v>2.2204460492503131E-16</v>
          </cell>
          <cell r="Q105">
            <v>2.2204460492503131E-16</v>
          </cell>
          <cell r="R105">
            <v>0</v>
          </cell>
          <cell r="AA105">
            <v>0</v>
          </cell>
          <cell r="AB105">
            <v>-1.1102230246251565E-16</v>
          </cell>
        </row>
        <row r="106">
          <cell r="C106" t="str">
            <v>N/A</v>
          </cell>
          <cell r="D106" t="str">
            <v>N/A</v>
          </cell>
          <cell r="E106" t="str">
            <v>N/A</v>
          </cell>
          <cell r="F106" t="str">
            <v>N/A</v>
          </cell>
          <cell r="G106" t="str">
            <v>N/A</v>
          </cell>
          <cell r="H106">
            <v>0.1002543417556343</v>
          </cell>
          <cell r="L106">
            <v>5.1975389225104918E-2</v>
          </cell>
          <cell r="M106">
            <v>4.637052013677545E-2</v>
          </cell>
          <cell r="Q106">
            <v>4.9251519648950914E-2</v>
          </cell>
          <cell r="R106">
            <v>4.9251519648950914E-2</v>
          </cell>
          <cell r="AA106">
            <v>0</v>
          </cell>
          <cell r="AB106">
            <v>0</v>
          </cell>
        </row>
        <row r="107">
          <cell r="C107" t="str">
            <v>N/A</v>
          </cell>
          <cell r="D107" t="str">
            <v>N/A</v>
          </cell>
          <cell r="E107" t="str">
            <v>N/A</v>
          </cell>
          <cell r="F107" t="str">
            <v>N/A</v>
          </cell>
          <cell r="G107" t="str">
            <v>N/A</v>
          </cell>
          <cell r="H107" t="str">
            <v>N/A</v>
          </cell>
          <cell r="L107" t="str">
            <v>N/A</v>
          </cell>
          <cell r="M107">
            <v>7.2974234483563327E-2</v>
          </cell>
          <cell r="Q107">
            <v>5.0612571682700613E-2</v>
          </cell>
          <cell r="R107">
            <v>4.7810029714057789E-2</v>
          </cell>
          <cell r="AA107">
            <v>2.5580788722557646E-2</v>
          </cell>
          <cell r="AB107">
            <v>2.5580788722557646E-2</v>
          </cell>
        </row>
      </sheetData>
      <sheetData sheetId="9" refreshError="1"/>
      <sheetData sheetId="10">
        <row r="1">
          <cell r="AD1" t="str">
            <v>Earthgrains</v>
          </cell>
        </row>
        <row r="19">
          <cell r="AD19" t="str">
            <v>PV of Operating Leases</v>
          </cell>
          <cell r="AF19" t="str">
            <v>PV of Operating Leases</v>
          </cell>
        </row>
        <row r="21">
          <cell r="AD21">
            <v>0</v>
          </cell>
          <cell r="AF21">
            <v>0</v>
          </cell>
        </row>
        <row r="22">
          <cell r="AD22">
            <v>0</v>
          </cell>
          <cell r="AF22">
            <v>0</v>
          </cell>
        </row>
        <row r="23">
          <cell r="AD23">
            <v>0</v>
          </cell>
          <cell r="AF23">
            <v>0</v>
          </cell>
        </row>
        <row r="24">
          <cell r="AD24">
            <v>0</v>
          </cell>
          <cell r="AF24">
            <v>0</v>
          </cell>
        </row>
        <row r="25">
          <cell r="AD25">
            <v>0</v>
          </cell>
          <cell r="AF25">
            <v>0</v>
          </cell>
        </row>
        <row r="26">
          <cell r="AD26">
            <v>0</v>
          </cell>
          <cell r="AF26">
            <v>0</v>
          </cell>
        </row>
        <row r="27">
          <cell r="AD27">
            <v>0</v>
          </cell>
          <cell r="AF27">
            <v>0</v>
          </cell>
        </row>
        <row r="28">
          <cell r="AD28">
            <v>0</v>
          </cell>
          <cell r="AF28">
            <v>0</v>
          </cell>
        </row>
        <row r="29">
          <cell r="AD29">
            <v>0</v>
          </cell>
          <cell r="AF29">
            <v>0</v>
          </cell>
        </row>
        <row r="30">
          <cell r="AD30">
            <v>0</v>
          </cell>
          <cell r="AF30">
            <v>0</v>
          </cell>
        </row>
        <row r="31">
          <cell r="AD31">
            <v>0</v>
          </cell>
          <cell r="AF31">
            <v>0</v>
          </cell>
        </row>
        <row r="32">
          <cell r="AD32">
            <v>0</v>
          </cell>
          <cell r="AF32">
            <v>0</v>
          </cell>
        </row>
        <row r="33">
          <cell r="AD33">
            <v>0</v>
          </cell>
          <cell r="AF33">
            <v>0</v>
          </cell>
        </row>
        <row r="34">
          <cell r="AD34">
            <v>0</v>
          </cell>
          <cell r="AF34">
            <v>0</v>
          </cell>
        </row>
        <row r="35">
          <cell r="AD35">
            <v>0</v>
          </cell>
          <cell r="AF35">
            <v>0</v>
          </cell>
        </row>
        <row r="36">
          <cell r="AD36">
            <v>0</v>
          </cell>
          <cell r="AF36">
            <v>0</v>
          </cell>
        </row>
        <row r="37">
          <cell r="AD37">
            <v>0</v>
          </cell>
          <cell r="AF37">
            <v>0</v>
          </cell>
        </row>
        <row r="38">
          <cell r="AD38">
            <v>0</v>
          </cell>
          <cell r="AF38">
            <v>0</v>
          </cell>
        </row>
        <row r="39">
          <cell r="AD39">
            <v>0</v>
          </cell>
          <cell r="AF39">
            <v>0</v>
          </cell>
        </row>
        <row r="40">
          <cell r="AD40">
            <v>0</v>
          </cell>
          <cell r="AF40">
            <v>0</v>
          </cell>
        </row>
        <row r="41">
          <cell r="AD41">
            <v>0</v>
          </cell>
          <cell r="AF41">
            <v>0</v>
          </cell>
        </row>
        <row r="42">
          <cell r="AD42">
            <v>0</v>
          </cell>
          <cell r="AF42">
            <v>0</v>
          </cell>
        </row>
        <row r="43">
          <cell r="AD43">
            <v>0</v>
          </cell>
          <cell r="AF43">
            <v>0</v>
          </cell>
        </row>
        <row r="44">
          <cell r="AD44">
            <v>0</v>
          </cell>
          <cell r="AF44">
            <v>0</v>
          </cell>
        </row>
        <row r="45">
          <cell r="AD45">
            <v>0</v>
          </cell>
          <cell r="AF45">
            <v>0</v>
          </cell>
        </row>
        <row r="46">
          <cell r="AD46">
            <v>0</v>
          </cell>
          <cell r="AF46">
            <v>0</v>
          </cell>
        </row>
        <row r="47">
          <cell r="AD47">
            <v>0</v>
          </cell>
          <cell r="AF47">
            <v>0</v>
          </cell>
        </row>
        <row r="48">
          <cell r="AD48">
            <v>0</v>
          </cell>
          <cell r="AF48">
            <v>0</v>
          </cell>
        </row>
        <row r="49">
          <cell r="AD49">
            <v>0</v>
          </cell>
          <cell r="AF49">
            <v>0</v>
          </cell>
        </row>
        <row r="50">
          <cell r="AD50">
            <v>0</v>
          </cell>
          <cell r="AF50">
            <v>0</v>
          </cell>
        </row>
        <row r="51">
          <cell r="AD51">
            <v>0</v>
          </cell>
          <cell r="AF51">
            <v>0</v>
          </cell>
        </row>
        <row r="52">
          <cell r="AD52">
            <v>0</v>
          </cell>
          <cell r="AF52">
            <v>0</v>
          </cell>
        </row>
        <row r="53">
          <cell r="AD53">
            <v>0</v>
          </cell>
          <cell r="AF53">
            <v>0</v>
          </cell>
        </row>
        <row r="54">
          <cell r="AD54">
            <v>0</v>
          </cell>
          <cell r="AF54">
            <v>0</v>
          </cell>
        </row>
        <row r="55">
          <cell r="AD55">
            <v>0</v>
          </cell>
          <cell r="AF55">
            <v>0</v>
          </cell>
        </row>
        <row r="56">
          <cell r="AD56">
            <v>0</v>
          </cell>
          <cell r="AF56">
            <v>0</v>
          </cell>
        </row>
        <row r="57">
          <cell r="AD57">
            <v>0</v>
          </cell>
          <cell r="AF57">
            <v>0</v>
          </cell>
        </row>
        <row r="58">
          <cell r="AD58">
            <v>0</v>
          </cell>
          <cell r="AF58">
            <v>0</v>
          </cell>
        </row>
        <row r="59">
          <cell r="AD59">
            <v>0</v>
          </cell>
          <cell r="AF59">
            <v>0</v>
          </cell>
        </row>
        <row r="60">
          <cell r="AD60">
            <v>0</v>
          </cell>
          <cell r="AF60">
            <v>0</v>
          </cell>
        </row>
        <row r="62">
          <cell r="D62">
            <v>0</v>
          </cell>
          <cell r="F62">
            <v>0</v>
          </cell>
          <cell r="H62">
            <v>0</v>
          </cell>
          <cell r="J62">
            <v>0</v>
          </cell>
          <cell r="L62">
            <v>0</v>
          </cell>
          <cell r="N62">
            <v>0</v>
          </cell>
          <cell r="P62">
            <v>0</v>
          </cell>
          <cell r="R62">
            <v>0</v>
          </cell>
          <cell r="T62">
            <v>0</v>
          </cell>
          <cell r="V62">
            <v>0</v>
          </cell>
          <cell r="X62">
            <v>0</v>
          </cell>
          <cell r="Z62">
            <v>0</v>
          </cell>
          <cell r="AB62">
            <v>0</v>
          </cell>
          <cell r="AD62">
            <v>0</v>
          </cell>
          <cell r="AF62">
            <v>0</v>
          </cell>
        </row>
        <row r="63">
          <cell r="AD63">
            <v>0</v>
          </cell>
          <cell r="AF63">
            <v>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Balance Sheet_VDF"/>
      <sheetName val="Income Statement_VDF"/>
      <sheetName val="Forecasts_VDF"/>
      <sheetName val="Summary Page_VDF"/>
      <sheetName val="Invested capital_VDF"/>
      <sheetName val="NOPAT_VDF"/>
      <sheetName val="WACC_VDF"/>
      <sheetName val="DCF_VDF"/>
      <sheetName val="Charts_VDF"/>
      <sheetName val="PV of Op Leases_VDF"/>
    </sheetNames>
    <sheetDataSet>
      <sheetData sheetId="0" refreshError="1"/>
      <sheetData sheetId="1" refreshError="1"/>
      <sheetData sheetId="2">
        <row r="44">
          <cell r="R44">
            <v>8.218683950084428E-2</v>
          </cell>
        </row>
      </sheetData>
      <sheetData sheetId="3" refreshError="1"/>
      <sheetData sheetId="4"/>
      <sheetData sheetId="5">
        <row r="1">
          <cell r="P1" t="str">
            <v>Invested Capital</v>
          </cell>
        </row>
        <row r="2">
          <cell r="O2" t="str">
            <v>P-2</v>
          </cell>
          <cell r="P2" t="str">
            <v>P-1</v>
          </cell>
          <cell r="Q2" t="str">
            <v>Present (P)</v>
          </cell>
        </row>
        <row r="3">
          <cell r="O3">
            <v>1997</v>
          </cell>
          <cell r="P3">
            <v>1998</v>
          </cell>
          <cell r="Q3">
            <v>1999</v>
          </cell>
        </row>
        <row r="4">
          <cell r="O4">
            <v>43.1</v>
          </cell>
          <cell r="P4">
            <v>43.7</v>
          </cell>
          <cell r="Q4">
            <v>53.1</v>
          </cell>
        </row>
        <row r="5">
          <cell r="C5">
            <v>0</v>
          </cell>
          <cell r="D5">
            <v>0</v>
          </cell>
          <cell r="E5">
            <v>0</v>
          </cell>
          <cell r="F5">
            <v>0</v>
          </cell>
          <cell r="G5">
            <v>0</v>
          </cell>
          <cell r="H5">
            <v>0</v>
          </cell>
          <cell r="I5">
            <v>0</v>
          </cell>
          <cell r="J5">
            <v>0</v>
          </cell>
          <cell r="K5">
            <v>0</v>
          </cell>
          <cell r="L5">
            <v>0</v>
          </cell>
          <cell r="M5">
            <v>0</v>
          </cell>
          <cell r="N5">
            <v>22.294999999999998</v>
          </cell>
          <cell r="O5">
            <v>26.474000000000004</v>
          </cell>
          <cell r="P5">
            <v>26.51</v>
          </cell>
          <cell r="Q5">
            <v>33.847999999999999</v>
          </cell>
        </row>
        <row r="6">
          <cell r="O6">
            <v>16.625999999999998</v>
          </cell>
          <cell r="P6">
            <v>17.190000000000001</v>
          </cell>
          <cell r="Q6">
            <v>19.252000000000002</v>
          </cell>
        </row>
        <row r="7">
          <cell r="O7">
            <v>141.5</v>
          </cell>
          <cell r="P7">
            <v>156.5</v>
          </cell>
          <cell r="Q7">
            <v>184.5</v>
          </cell>
        </row>
        <row r="8">
          <cell r="O8">
            <v>66.400000000000006</v>
          </cell>
          <cell r="P8">
            <v>68.900000000000006</v>
          </cell>
          <cell r="Q8">
            <v>77.7</v>
          </cell>
        </row>
        <row r="9">
          <cell r="A9">
            <v>0.01</v>
          </cell>
          <cell r="O9">
            <v>0</v>
          </cell>
          <cell r="P9">
            <v>0</v>
          </cell>
          <cell r="Q9">
            <v>0</v>
          </cell>
        </row>
        <row r="10">
          <cell r="O10">
            <v>29.9</v>
          </cell>
          <cell r="P10">
            <v>30.4</v>
          </cell>
          <cell r="Q10">
            <v>39.799999999999997</v>
          </cell>
        </row>
        <row r="11">
          <cell r="O11">
            <v>0</v>
          </cell>
          <cell r="P11">
            <v>0</v>
          </cell>
          <cell r="Q11">
            <v>0</v>
          </cell>
        </row>
        <row r="12">
          <cell r="O12">
            <v>15.7</v>
          </cell>
          <cell r="P12">
            <v>26.8</v>
          </cell>
          <cell r="Q12">
            <v>29.6</v>
          </cell>
        </row>
        <row r="13">
          <cell r="O13">
            <v>0</v>
          </cell>
          <cell r="P13">
            <v>0</v>
          </cell>
          <cell r="Q13">
            <v>0</v>
          </cell>
          <cell r="R13">
            <v>0</v>
          </cell>
          <cell r="S13">
            <v>0</v>
          </cell>
          <cell r="T13">
            <v>0</v>
          </cell>
        </row>
        <row r="14">
          <cell r="O14">
            <v>0</v>
          </cell>
          <cell r="P14">
            <v>0</v>
          </cell>
          <cell r="Q14">
            <v>0</v>
          </cell>
        </row>
        <row r="15">
          <cell r="O15">
            <v>270.12600000000003</v>
          </cell>
          <cell r="P15">
            <v>299.79000000000002</v>
          </cell>
          <cell r="Q15">
            <v>350.85200000000003</v>
          </cell>
        </row>
        <row r="17">
          <cell r="O17">
            <v>121.4</v>
          </cell>
          <cell r="P17">
            <v>132.1</v>
          </cell>
          <cell r="Q17">
            <v>125.5</v>
          </cell>
        </row>
        <row r="18">
          <cell r="O18">
            <v>0</v>
          </cell>
          <cell r="P18">
            <v>0</v>
          </cell>
          <cell r="Q18">
            <v>0</v>
          </cell>
        </row>
        <row r="19">
          <cell r="O19">
            <v>0</v>
          </cell>
          <cell r="P19">
            <v>0</v>
          </cell>
          <cell r="Q19">
            <v>0</v>
          </cell>
        </row>
        <row r="20">
          <cell r="O20">
            <v>46.6</v>
          </cell>
          <cell r="P20">
            <v>56.5</v>
          </cell>
          <cell r="Q20">
            <v>56.9</v>
          </cell>
        </row>
        <row r="21">
          <cell r="O21">
            <v>0</v>
          </cell>
          <cell r="P21">
            <v>0</v>
          </cell>
          <cell r="Q21">
            <v>0</v>
          </cell>
        </row>
        <row r="22">
          <cell r="O22">
            <v>32.6</v>
          </cell>
          <cell r="P22">
            <v>39.299999999999997</v>
          </cell>
          <cell r="Q22">
            <v>67.8</v>
          </cell>
        </row>
        <row r="23">
          <cell r="O23">
            <v>15.4</v>
          </cell>
          <cell r="P23">
            <v>6.1</v>
          </cell>
          <cell r="Q23">
            <v>32.4</v>
          </cell>
        </row>
        <row r="24">
          <cell r="O24">
            <v>216</v>
          </cell>
          <cell r="P24">
            <v>233.99999999999997</v>
          </cell>
          <cell r="Q24">
            <v>282.59999999999997</v>
          </cell>
        </row>
        <row r="26">
          <cell r="O26">
            <v>54.126000000000033</v>
          </cell>
          <cell r="P26">
            <v>65.790000000000049</v>
          </cell>
          <cell r="Q26">
            <v>68.252000000000066</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row>
        <row r="29">
          <cell r="O29">
            <v>0</v>
          </cell>
          <cell r="P29">
            <v>0</v>
          </cell>
          <cell r="Q29">
            <v>0</v>
          </cell>
          <cell r="R29">
            <v>0</v>
          </cell>
          <cell r="S29">
            <v>0</v>
          </cell>
          <cell r="T29">
            <v>0</v>
          </cell>
        </row>
        <row r="30">
          <cell r="O30">
            <v>0</v>
          </cell>
          <cell r="P30">
            <v>0</v>
          </cell>
          <cell r="Q30">
            <v>0</v>
          </cell>
          <cell r="R30">
            <v>0</v>
          </cell>
          <cell r="S30">
            <v>0</v>
          </cell>
          <cell r="T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row>
        <row r="32">
          <cell r="O32">
            <v>0</v>
          </cell>
          <cell r="P32">
            <v>0</v>
          </cell>
          <cell r="Q32">
            <v>0</v>
          </cell>
          <cell r="R32">
            <v>0</v>
          </cell>
          <cell r="S32">
            <v>0</v>
          </cell>
          <cell r="T32">
            <v>0</v>
          </cell>
        </row>
        <row r="33">
          <cell r="O33">
            <v>706.7</v>
          </cell>
          <cell r="P33">
            <v>722</v>
          </cell>
          <cell r="Q33">
            <v>761.1</v>
          </cell>
        </row>
        <row r="34">
          <cell r="A34">
            <v>1</v>
          </cell>
          <cell r="O34">
            <v>0</v>
          </cell>
          <cell r="P34">
            <v>0</v>
          </cell>
          <cell r="Q34">
            <v>0</v>
          </cell>
        </row>
        <row r="35">
          <cell r="O35">
            <v>0</v>
          </cell>
          <cell r="P35">
            <v>0</v>
          </cell>
          <cell r="Q35">
            <v>0</v>
          </cell>
        </row>
        <row r="36">
          <cell r="O36">
            <v>140</v>
          </cell>
          <cell r="P36">
            <v>311</v>
          </cell>
          <cell r="Q36">
            <v>399.8</v>
          </cell>
        </row>
        <row r="37">
          <cell r="O37">
            <v>70.599999999999994</v>
          </cell>
          <cell r="P37">
            <v>76.599999999999994</v>
          </cell>
          <cell r="Q37">
            <v>86.8</v>
          </cell>
        </row>
        <row r="38">
          <cell r="O38">
            <v>0</v>
          </cell>
          <cell r="P38">
            <v>0</v>
          </cell>
          <cell r="Q38">
            <v>0</v>
          </cell>
        </row>
        <row r="39">
          <cell r="O39">
            <v>0</v>
          </cell>
          <cell r="P39">
            <v>0</v>
          </cell>
          <cell r="Q39">
            <v>0</v>
          </cell>
        </row>
        <row r="40">
          <cell r="O40">
            <v>8.395999999999999</v>
          </cell>
          <cell r="P40">
            <v>8.4</v>
          </cell>
          <cell r="Q40">
            <v>8.4</v>
          </cell>
        </row>
        <row r="41">
          <cell r="O41">
            <v>28.8</v>
          </cell>
          <cell r="P41">
            <v>35</v>
          </cell>
          <cell r="Q41">
            <v>46</v>
          </cell>
        </row>
        <row r="42">
          <cell r="O42">
            <v>0</v>
          </cell>
          <cell r="P42">
            <v>0</v>
          </cell>
          <cell r="Q42">
            <v>0</v>
          </cell>
        </row>
        <row r="43">
          <cell r="O43">
            <v>954.49599999999998</v>
          </cell>
          <cell r="P43">
            <v>1153</v>
          </cell>
          <cell r="Q43">
            <v>1302.1000000000001</v>
          </cell>
        </row>
        <row r="45">
          <cell r="O45">
            <v>0</v>
          </cell>
          <cell r="P45">
            <v>0</v>
          </cell>
          <cell r="Q45">
            <v>0</v>
          </cell>
        </row>
        <row r="46">
          <cell r="O46">
            <v>0</v>
          </cell>
          <cell r="P46">
            <v>0</v>
          </cell>
          <cell r="Q46">
            <v>0</v>
          </cell>
        </row>
        <row r="47">
          <cell r="O47">
            <v>0</v>
          </cell>
          <cell r="P47">
            <v>0</v>
          </cell>
          <cell r="Q47">
            <v>0</v>
          </cell>
        </row>
        <row r="50">
          <cell r="O50">
            <v>1008.6220000000001</v>
          </cell>
          <cell r="P50">
            <v>1218.79</v>
          </cell>
          <cell r="Q50">
            <v>1370.3520000000003</v>
          </cell>
        </row>
        <row r="53">
          <cell r="O53">
            <v>0</v>
          </cell>
          <cell r="P53">
            <v>0</v>
          </cell>
          <cell r="Q53">
            <v>0</v>
          </cell>
        </row>
        <row r="54">
          <cell r="O54">
            <v>0</v>
          </cell>
          <cell r="P54">
            <v>0</v>
          </cell>
          <cell r="Q54">
            <v>0</v>
          </cell>
        </row>
        <row r="55">
          <cell r="O55">
            <v>0</v>
          </cell>
          <cell r="P55">
            <v>0</v>
          </cell>
          <cell r="Q55">
            <v>0</v>
          </cell>
        </row>
        <row r="56">
          <cell r="O56">
            <v>0</v>
          </cell>
          <cell r="P56">
            <v>0</v>
          </cell>
          <cell r="Q56">
            <v>0</v>
          </cell>
        </row>
        <row r="57">
          <cell r="O57">
            <v>103</v>
          </cell>
          <cell r="P57">
            <v>266.7</v>
          </cell>
          <cell r="Q57">
            <v>369.3</v>
          </cell>
        </row>
        <row r="58">
          <cell r="O58">
            <v>0</v>
          </cell>
          <cell r="P58">
            <v>0</v>
          </cell>
          <cell r="Q58">
            <v>0</v>
          </cell>
        </row>
        <row r="59">
          <cell r="O59">
            <v>0</v>
          </cell>
          <cell r="P59">
            <v>0</v>
          </cell>
          <cell r="Q59">
            <v>0</v>
          </cell>
        </row>
        <row r="60">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92.6</v>
          </cell>
          <cell r="O61">
            <v>103</v>
          </cell>
          <cell r="P61">
            <v>266.7</v>
          </cell>
          <cell r="Q61">
            <v>369.3</v>
          </cell>
        </row>
        <row r="63">
          <cell r="O63">
            <v>103.8</v>
          </cell>
          <cell r="P63">
            <v>99.5</v>
          </cell>
          <cell r="Q63">
            <v>102.7</v>
          </cell>
        </row>
        <row r="64">
          <cell r="O64">
            <v>0</v>
          </cell>
          <cell r="P64">
            <v>0</v>
          </cell>
          <cell r="Q64">
            <v>0</v>
          </cell>
        </row>
        <row r="65">
          <cell r="O65">
            <v>70.599999999999994</v>
          </cell>
          <cell r="P65">
            <v>76.599999999999994</v>
          </cell>
          <cell r="Q65">
            <v>86.8</v>
          </cell>
        </row>
        <row r="66">
          <cell r="O66">
            <v>0</v>
          </cell>
          <cell r="P66">
            <v>0</v>
          </cell>
          <cell r="Q66">
            <v>0</v>
          </cell>
        </row>
        <row r="67">
          <cell r="O67">
            <v>0</v>
          </cell>
          <cell r="P67">
            <v>0</v>
          </cell>
          <cell r="Q67">
            <v>0</v>
          </cell>
        </row>
        <row r="68">
          <cell r="O68">
            <v>8.395999999999999</v>
          </cell>
          <cell r="P68">
            <v>8.4</v>
          </cell>
          <cell r="Q68">
            <v>8.4</v>
          </cell>
        </row>
        <row r="69">
          <cell r="O69">
            <v>0</v>
          </cell>
          <cell r="P69">
            <v>0</v>
          </cell>
          <cell r="Q69">
            <v>0</v>
          </cell>
        </row>
        <row r="70">
          <cell r="O70">
            <v>182.79599999999996</v>
          </cell>
          <cell r="P70">
            <v>184.5</v>
          </cell>
          <cell r="Q70">
            <v>197.9</v>
          </cell>
        </row>
        <row r="72">
          <cell r="O72">
            <v>48.1</v>
          </cell>
          <cell r="P72">
            <v>72.2</v>
          </cell>
          <cell r="Q72">
            <v>73.599999999999994</v>
          </cell>
        </row>
        <row r="73">
          <cell r="O73">
            <v>118.8</v>
          </cell>
          <cell r="P73">
            <v>115.3</v>
          </cell>
          <cell r="Q73">
            <v>114</v>
          </cell>
        </row>
        <row r="74">
          <cell r="O74">
            <v>0</v>
          </cell>
          <cell r="P74">
            <v>0</v>
          </cell>
          <cell r="Q74">
            <v>10</v>
          </cell>
        </row>
        <row r="76">
          <cell r="O76">
            <v>0</v>
          </cell>
          <cell r="P76">
            <v>0</v>
          </cell>
          <cell r="Q76">
            <v>0</v>
          </cell>
        </row>
        <row r="78">
          <cell r="O78">
            <v>582.4</v>
          </cell>
          <cell r="P78">
            <v>606.6</v>
          </cell>
          <cell r="Q78">
            <v>639.4</v>
          </cell>
        </row>
        <row r="79">
          <cell r="O79">
            <v>0</v>
          </cell>
          <cell r="P79">
            <v>0</v>
          </cell>
          <cell r="Q79">
            <v>0</v>
          </cell>
          <cell r="R79">
            <v>0</v>
          </cell>
          <cell r="S79">
            <v>0</v>
          </cell>
          <cell r="T79">
            <v>0</v>
          </cell>
        </row>
        <row r="80">
          <cell r="O80">
            <v>26.474000000000004</v>
          </cell>
          <cell r="P80">
            <v>26.51</v>
          </cell>
          <cell r="Q80">
            <v>33.847999999999999</v>
          </cell>
        </row>
        <row r="81">
          <cell r="O81">
            <v>0</v>
          </cell>
          <cell r="P81">
            <v>0</v>
          </cell>
          <cell r="Q81">
            <v>0</v>
          </cell>
        </row>
        <row r="83">
          <cell r="O83">
            <v>738.72199999999987</v>
          </cell>
          <cell r="P83">
            <v>764.59</v>
          </cell>
          <cell r="Q83">
            <v>803.452</v>
          </cell>
        </row>
        <row r="84">
          <cell r="O84">
            <v>43.12</v>
          </cell>
          <cell r="P84">
            <v>42.66</v>
          </cell>
          <cell r="Q84">
            <v>42.850999999999999</v>
          </cell>
        </row>
        <row r="85">
          <cell r="O85">
            <v>17.13177179962894</v>
          </cell>
          <cell r="P85">
            <v>17.922878574777311</v>
          </cell>
          <cell r="Q85">
            <v>18.749900819117407</v>
          </cell>
        </row>
        <row r="87">
          <cell r="C87">
            <v>0</v>
          </cell>
          <cell r="D87">
            <v>0</v>
          </cell>
          <cell r="E87">
            <v>0</v>
          </cell>
          <cell r="F87">
            <v>0</v>
          </cell>
          <cell r="G87">
            <v>0</v>
          </cell>
          <cell r="H87">
            <v>0</v>
          </cell>
          <cell r="I87">
            <v>0</v>
          </cell>
          <cell r="J87">
            <v>0</v>
          </cell>
          <cell r="K87">
            <v>0</v>
          </cell>
          <cell r="L87">
            <v>0</v>
          </cell>
          <cell r="M87">
            <v>0</v>
          </cell>
          <cell r="N87">
            <v>1009.5360000000001</v>
          </cell>
          <cell r="O87">
            <v>1008.6219999999998</v>
          </cell>
          <cell r="P87">
            <v>1218.79</v>
          </cell>
          <cell r="Q87">
            <v>1370.3519999999999</v>
          </cell>
        </row>
        <row r="88">
          <cell r="O88">
            <v>-9.0536642576412784E-4</v>
          </cell>
          <cell r="P88">
            <v>0.20837142160293962</v>
          </cell>
          <cell r="Q88">
            <v>0.12435448272466947</v>
          </cell>
        </row>
        <row r="89">
          <cell r="C89">
            <v>0</v>
          </cell>
          <cell r="D89">
            <v>0</v>
          </cell>
          <cell r="E89">
            <v>0</v>
          </cell>
          <cell r="F89">
            <v>0</v>
          </cell>
          <cell r="G89">
            <v>0</v>
          </cell>
          <cell r="H89">
            <v>0</v>
          </cell>
          <cell r="I89">
            <v>0</v>
          </cell>
          <cell r="J89">
            <v>0</v>
          </cell>
          <cell r="K89">
            <v>0</v>
          </cell>
          <cell r="L89">
            <v>0</v>
          </cell>
          <cell r="M89">
            <v>0</v>
          </cell>
          <cell r="N89">
            <v>1009.5360000000001</v>
          </cell>
          <cell r="O89">
            <v>1009.079</v>
          </cell>
          <cell r="P89">
            <v>1113.7059999999999</v>
          </cell>
          <cell r="Q89">
            <v>1294.5709999999999</v>
          </cell>
        </row>
        <row r="95">
          <cell r="O95">
            <v>11.98702235039654</v>
          </cell>
          <cell r="P95">
            <v>11.536912751677852</v>
          </cell>
          <cell r="Q95">
            <v>11.29149560117302</v>
          </cell>
        </row>
        <row r="96">
          <cell r="O96">
            <v>24.741071428571427</v>
          </cell>
          <cell r="P96">
            <v>25.410199556541016</v>
          </cell>
          <cell r="Q96">
            <v>26.264665757162344</v>
          </cell>
        </row>
        <row r="97">
          <cell r="C97" t="str">
            <v>--</v>
          </cell>
          <cell r="D97" t="str">
            <v xml:space="preserve">--  </v>
          </cell>
          <cell r="E97" t="str">
            <v xml:space="preserve">--  </v>
          </cell>
          <cell r="F97" t="str">
            <v xml:space="preserve">--  </v>
          </cell>
          <cell r="G97" t="str">
            <v xml:space="preserve">--  </v>
          </cell>
          <cell r="H97" t="str">
            <v xml:space="preserve">--  </v>
          </cell>
          <cell r="I97" t="str">
            <v xml:space="preserve">--  </v>
          </cell>
          <cell r="J97" t="str">
            <v xml:space="preserve">--  </v>
          </cell>
          <cell r="K97" t="str">
            <v xml:space="preserve">--  </v>
          </cell>
          <cell r="L97" t="str">
            <v xml:space="preserve">--  </v>
          </cell>
          <cell r="M97" t="str">
            <v xml:space="preserve">--  </v>
          </cell>
          <cell r="N97">
            <v>64.229765013054845</v>
          </cell>
          <cell r="O97">
            <v>31.419905320747223</v>
          </cell>
          <cell r="P97">
            <v>28.670069048333815</v>
          </cell>
          <cell r="Q97">
            <v>28.725324898166221</v>
          </cell>
        </row>
        <row r="98">
          <cell r="O98">
            <v>2.3254773061053218</v>
          </cell>
          <cell r="P98">
            <v>2.4063834254917058</v>
          </cell>
          <cell r="Q98">
            <v>2.596183669341245</v>
          </cell>
        </row>
        <row r="99">
          <cell r="C99" t="str">
            <v>--</v>
          </cell>
          <cell r="D99" t="str">
            <v xml:space="preserve">--  </v>
          </cell>
          <cell r="E99" t="str">
            <v xml:space="preserve">--  </v>
          </cell>
          <cell r="F99" t="str">
            <v xml:space="preserve">--  </v>
          </cell>
          <cell r="G99" t="str">
            <v xml:space="preserve">--  </v>
          </cell>
          <cell r="H99" t="str">
            <v xml:space="preserve">--  </v>
          </cell>
          <cell r="I99" t="str">
            <v xml:space="preserve">--  </v>
          </cell>
          <cell r="J99" t="str">
            <v xml:space="preserve">--  </v>
          </cell>
          <cell r="K99" t="str">
            <v xml:space="preserve">--  </v>
          </cell>
          <cell r="L99" t="str">
            <v xml:space="preserve">--  </v>
          </cell>
          <cell r="M99" t="str">
            <v xml:space="preserve">--  </v>
          </cell>
          <cell r="N99">
            <v>3.467208724712397</v>
          </cell>
          <cell r="O99">
            <v>1.7388239563631114</v>
          </cell>
          <cell r="P99">
            <v>1.6313198221965783</v>
          </cell>
          <cell r="Q99">
            <v>1.5683271557166711</v>
          </cell>
        </row>
        <row r="100">
          <cell r="O100">
            <v>49.335311572700292</v>
          </cell>
          <cell r="P100">
            <v>53.887147335423201</v>
          </cell>
          <cell r="Q100">
            <v>47.535802469135803</v>
          </cell>
        </row>
        <row r="101">
          <cell r="B101" t="str">
            <v xml:space="preserve"> Total other assets turns</v>
          </cell>
          <cell r="C101" t="str">
            <v>--</v>
          </cell>
          <cell r="D101" t="str">
            <v xml:space="preserve">--  </v>
          </cell>
          <cell r="E101" t="str">
            <v xml:space="preserve">--  </v>
          </cell>
          <cell r="F101" t="str">
            <v xml:space="preserve">--  </v>
          </cell>
          <cell r="G101" t="str">
            <v xml:space="preserve">--  </v>
          </cell>
          <cell r="H101" t="str">
            <v xml:space="preserve">--  </v>
          </cell>
          <cell r="I101" t="str">
            <v xml:space="preserve">--  </v>
          </cell>
          <cell r="J101" t="str">
            <v xml:space="preserve">--  </v>
          </cell>
          <cell r="K101" t="str">
            <v xml:space="preserve">--  </v>
          </cell>
          <cell r="L101" t="str">
            <v xml:space="preserve">--  </v>
          </cell>
          <cell r="M101" t="str">
            <v xml:space="preserve">--  </v>
          </cell>
          <cell r="N101" t="str">
            <v xml:space="preserve">--  </v>
          </cell>
          <cell r="O101" t="str">
            <v xml:space="preserve">--  </v>
          </cell>
          <cell r="P101" t="str">
            <v xml:space="preserve">--  </v>
          </cell>
          <cell r="Q101" t="str">
            <v xml:space="preserve">--  </v>
          </cell>
        </row>
        <row r="102">
          <cell r="C102" t="str">
            <v>--</v>
          </cell>
          <cell r="D102" t="str">
            <v xml:space="preserve">--  </v>
          </cell>
          <cell r="E102" t="str">
            <v xml:space="preserve">--  </v>
          </cell>
          <cell r="F102" t="str">
            <v xml:space="preserve">--  </v>
          </cell>
          <cell r="G102" t="str">
            <v xml:space="preserve">--  </v>
          </cell>
          <cell r="H102" t="str">
            <v xml:space="preserve">--  </v>
          </cell>
          <cell r="I102" t="str">
            <v xml:space="preserve">--  </v>
          </cell>
          <cell r="J102" t="str">
            <v xml:space="preserve">--  </v>
          </cell>
          <cell r="K102" t="str">
            <v xml:space="preserve">--  </v>
          </cell>
          <cell r="L102" t="str">
            <v xml:space="preserve">--  </v>
          </cell>
          <cell r="M102" t="str">
            <v xml:space="preserve">--  </v>
          </cell>
          <cell r="N102">
            <v>1.6448150437428679</v>
          </cell>
          <cell r="O102">
            <v>1.6476410667549319</v>
          </cell>
          <cell r="P102">
            <v>1.543495321027273</v>
          </cell>
          <cell r="Q102">
            <v>1.4871335755242472</v>
          </cell>
        </row>
        <row r="105">
          <cell r="O105">
            <v>2.0291110309154307E-2</v>
          </cell>
          <cell r="P105">
            <v>2.4531892135337394E-2</v>
          </cell>
          <cell r="Q105">
            <v>4.1865953609919189E-2</v>
          </cell>
        </row>
        <row r="106">
          <cell r="O106">
            <v>1.6476410667549319</v>
          </cell>
          <cell r="P106">
            <v>1.543495321027273</v>
          </cell>
          <cell r="Q106">
            <v>1.4871335755242472</v>
          </cell>
        </row>
        <row r="107">
          <cell r="O107">
            <v>3.3432466635416998E-2</v>
          </cell>
          <cell r="P107">
            <v>3.7864860726839027E-2</v>
          </cell>
          <cell r="Q107">
            <v>6.2260265284651388E-2</v>
          </cell>
        </row>
        <row r="108">
          <cell r="O108">
            <v>5.1955827862753295E-2</v>
          </cell>
          <cell r="P108">
            <v>4.4323940914220289E-3</v>
          </cell>
          <cell r="Q108">
            <v>2.4395404557812361E-2</v>
          </cell>
        </row>
        <row r="109">
          <cell r="O109">
            <v>5.1940693546342204E-2</v>
          </cell>
          <cell r="P109" t="str">
            <v>NM</v>
          </cell>
          <cell r="Q109">
            <v>0.18285377083652804</v>
          </cell>
        </row>
        <row r="112">
          <cell r="O112">
            <v>-2.8048812105482357</v>
          </cell>
          <cell r="P112">
            <v>0.13257753727110666</v>
          </cell>
          <cell r="Q112">
            <v>0.6442755655118686</v>
          </cell>
        </row>
        <row r="113">
          <cell r="O113" t="str">
            <v xml:space="preserve">  --</v>
          </cell>
          <cell r="P113" t="str">
            <v xml:space="preserve">  --</v>
          </cell>
          <cell r="Q113" t="str">
            <v xml:space="preserve">  --</v>
          </cell>
        </row>
        <row r="114">
          <cell r="O114" t="str">
            <v xml:space="preserve">  --</v>
          </cell>
          <cell r="P114" t="str">
            <v xml:space="preserve">  --</v>
          </cell>
          <cell r="Q114" t="str">
            <v xml:space="preserve">  --</v>
          </cell>
        </row>
        <row r="118">
          <cell r="O118">
            <v>1997</v>
          </cell>
          <cell r="P118">
            <v>1998</v>
          </cell>
          <cell r="Q118">
            <v>1999</v>
          </cell>
        </row>
        <row r="119">
          <cell r="O119">
            <v>11.98702235039654</v>
          </cell>
          <cell r="P119">
            <v>11.536912751677852</v>
          </cell>
          <cell r="Q119">
            <v>11.29149560117302</v>
          </cell>
        </row>
        <row r="120">
          <cell r="O120">
            <v>30.449597016720798</v>
          </cell>
          <cell r="P120">
            <v>31.637579988365331</v>
          </cell>
          <cell r="Q120">
            <v>32.325212964886767</v>
          </cell>
        </row>
        <row r="121">
          <cell r="O121">
            <v>14.714285714285714</v>
          </cell>
          <cell r="P121">
            <v>14.509977827050998</v>
          </cell>
          <cell r="Q121">
            <v>14.9031377899045</v>
          </cell>
        </row>
        <row r="122">
          <cell r="O122">
            <v>24.805825242718448</v>
          </cell>
          <cell r="P122">
            <v>25.15510391198044</v>
          </cell>
          <cell r="Q122">
            <v>24.491486634932262</v>
          </cell>
        </row>
        <row r="123">
          <cell r="O123">
            <v>9.0095671981776757</v>
          </cell>
          <cell r="P123">
            <v>7.7443786982248524</v>
          </cell>
          <cell r="Q123">
            <v>8.4813664596273295</v>
          </cell>
        </row>
        <row r="124">
          <cell r="O124">
            <v>40.512489886731395</v>
          </cell>
          <cell r="P124">
            <v>47.130959657701709</v>
          </cell>
          <cell r="Q124">
            <v>43.035518125228855</v>
          </cell>
        </row>
        <row r="125">
          <cell r="O125">
            <v>14.742932372707848</v>
          </cell>
          <cell r="P125">
            <v>9.6617242426440626</v>
          </cell>
          <cell r="Q125">
            <v>13.781181474590177</v>
          </cell>
        </row>
      </sheetData>
      <sheetData sheetId="6">
        <row r="1">
          <cell r="O1">
            <v>3.7892457596535546E-3</v>
          </cell>
          <cell r="P1">
            <v>4.7702152414194291E-3</v>
          </cell>
          <cell r="Q1">
            <v>1.0128817785165178E-2</v>
          </cell>
        </row>
        <row r="2">
          <cell r="P2" t="str">
            <v>NOPAT Statement</v>
          </cell>
        </row>
        <row r="3">
          <cell r="O3" t="str">
            <v>P-2</v>
          </cell>
          <cell r="P3" t="str">
            <v>P-1</v>
          </cell>
          <cell r="Q3" t="str">
            <v>Present (P)</v>
          </cell>
        </row>
        <row r="4">
          <cell r="O4">
            <v>1997</v>
          </cell>
          <cell r="P4">
            <v>1998</v>
          </cell>
          <cell r="Q4">
            <v>1999</v>
          </cell>
        </row>
        <row r="5">
          <cell r="C5">
            <v>0</v>
          </cell>
          <cell r="D5">
            <v>0</v>
          </cell>
          <cell r="E5">
            <v>0</v>
          </cell>
          <cell r="F5">
            <v>0</v>
          </cell>
          <cell r="G5">
            <v>0</v>
          </cell>
          <cell r="H5">
            <v>0</v>
          </cell>
          <cell r="I5">
            <v>0</v>
          </cell>
          <cell r="J5">
            <v>0</v>
          </cell>
          <cell r="K5">
            <v>0</v>
          </cell>
          <cell r="L5">
            <v>0</v>
          </cell>
          <cell r="M5">
            <v>0</v>
          </cell>
          <cell r="N5">
            <v>1660.5</v>
          </cell>
          <cell r="O5">
            <v>1662.6</v>
          </cell>
          <cell r="P5">
            <v>1719</v>
          </cell>
          <cell r="Q5">
            <v>1925.2</v>
          </cell>
        </row>
        <row r="6">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row>
        <row r="8">
          <cell r="C8">
            <v>0</v>
          </cell>
          <cell r="D8">
            <v>0</v>
          </cell>
          <cell r="E8">
            <v>0</v>
          </cell>
          <cell r="F8">
            <v>0</v>
          </cell>
          <cell r="G8">
            <v>0</v>
          </cell>
          <cell r="H8">
            <v>0</v>
          </cell>
          <cell r="I8">
            <v>0</v>
          </cell>
          <cell r="J8">
            <v>0</v>
          </cell>
          <cell r="K8">
            <v>0</v>
          </cell>
          <cell r="L8">
            <v>0</v>
          </cell>
          <cell r="M8">
            <v>0</v>
          </cell>
          <cell r="N8">
            <v>1660.5</v>
          </cell>
          <cell r="O8">
            <v>1662.6</v>
          </cell>
          <cell r="P8">
            <v>1719</v>
          </cell>
          <cell r="Q8">
            <v>1925.2</v>
          </cell>
        </row>
        <row r="9">
          <cell r="C9">
            <v>0</v>
          </cell>
          <cell r="D9">
            <v>0</v>
          </cell>
          <cell r="E9">
            <v>0</v>
          </cell>
          <cell r="F9">
            <v>0</v>
          </cell>
          <cell r="G9">
            <v>0</v>
          </cell>
          <cell r="H9">
            <v>0</v>
          </cell>
          <cell r="I9">
            <v>0</v>
          </cell>
          <cell r="J9">
            <v>0</v>
          </cell>
          <cell r="K9">
            <v>0</v>
          </cell>
          <cell r="L9">
            <v>0</v>
          </cell>
          <cell r="M9">
            <v>0</v>
          </cell>
          <cell r="N9">
            <v>1040.9000000000001</v>
          </cell>
          <cell r="O9">
            <v>988.8</v>
          </cell>
          <cell r="P9">
            <v>981.6</v>
          </cell>
          <cell r="Q9">
            <v>1092.4000000000001</v>
          </cell>
        </row>
        <row r="10">
          <cell r="C10">
            <v>0</v>
          </cell>
          <cell r="D10">
            <v>0</v>
          </cell>
          <cell r="E10">
            <v>0</v>
          </cell>
          <cell r="F10">
            <v>0</v>
          </cell>
          <cell r="G10">
            <v>0</v>
          </cell>
          <cell r="H10">
            <v>0</v>
          </cell>
          <cell r="I10">
            <v>0</v>
          </cell>
          <cell r="J10">
            <v>0</v>
          </cell>
          <cell r="K10">
            <v>0</v>
          </cell>
          <cell r="L10">
            <v>0</v>
          </cell>
          <cell r="M10">
            <v>0</v>
          </cell>
          <cell r="N10">
            <v>619.59999999999991</v>
          </cell>
          <cell r="O10">
            <v>673.8</v>
          </cell>
          <cell r="P10">
            <v>737.4</v>
          </cell>
          <cell r="Q10">
            <v>832.8</v>
          </cell>
        </row>
        <row r="12">
          <cell r="C12">
            <v>0</v>
          </cell>
          <cell r="D12">
            <v>0</v>
          </cell>
          <cell r="E12">
            <v>0</v>
          </cell>
          <cell r="F12">
            <v>0</v>
          </cell>
          <cell r="G12">
            <v>0</v>
          </cell>
          <cell r="H12">
            <v>0</v>
          </cell>
          <cell r="I12">
            <v>0</v>
          </cell>
          <cell r="J12">
            <v>0</v>
          </cell>
          <cell r="K12">
            <v>0</v>
          </cell>
          <cell r="L12">
            <v>0</v>
          </cell>
          <cell r="M12">
            <v>0</v>
          </cell>
          <cell r="N12">
            <v>652.4</v>
          </cell>
          <cell r="O12">
            <v>633.5</v>
          </cell>
          <cell r="P12">
            <v>670.2</v>
          </cell>
          <cell r="Q12">
            <v>731.6</v>
          </cell>
        </row>
        <row r="13">
          <cell r="O13">
            <v>0</v>
          </cell>
          <cell r="P13">
            <v>0</v>
          </cell>
          <cell r="Q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O15">
            <v>1622.3</v>
          </cell>
          <cell r="P15">
            <v>1651.8000000000002</v>
          </cell>
          <cell r="Q15">
            <v>1824</v>
          </cell>
        </row>
        <row r="17">
          <cell r="C17">
            <v>0</v>
          </cell>
          <cell r="D17">
            <v>0</v>
          </cell>
          <cell r="E17">
            <v>0</v>
          </cell>
          <cell r="F17">
            <v>0</v>
          </cell>
          <cell r="G17">
            <v>0</v>
          </cell>
          <cell r="H17">
            <v>0</v>
          </cell>
          <cell r="I17">
            <v>0</v>
          </cell>
          <cell r="J17">
            <v>0</v>
          </cell>
          <cell r="K17">
            <v>0</v>
          </cell>
          <cell r="L17">
            <v>0</v>
          </cell>
          <cell r="M17">
            <v>0</v>
          </cell>
          <cell r="N17">
            <v>-32.800000000000182</v>
          </cell>
          <cell r="O17">
            <v>40.299999999999955</v>
          </cell>
          <cell r="P17">
            <v>67.199999999999818</v>
          </cell>
          <cell r="Q17">
            <v>101.20000000000005</v>
          </cell>
        </row>
        <row r="18">
          <cell r="C18">
            <v>0</v>
          </cell>
          <cell r="D18">
            <v>0</v>
          </cell>
          <cell r="E18">
            <v>0</v>
          </cell>
          <cell r="F18">
            <v>0</v>
          </cell>
          <cell r="G18">
            <v>0</v>
          </cell>
          <cell r="H18">
            <v>0</v>
          </cell>
          <cell r="I18">
            <v>0</v>
          </cell>
          <cell r="J18">
            <v>0</v>
          </cell>
          <cell r="K18">
            <v>0</v>
          </cell>
          <cell r="L18">
            <v>0</v>
          </cell>
          <cell r="M18">
            <v>0</v>
          </cell>
          <cell r="N18">
            <v>5</v>
          </cell>
          <cell r="O18">
            <v>5.0999999999999943</v>
          </cell>
          <cell r="P18">
            <v>6</v>
          </cell>
          <cell r="Q18">
            <v>10.200000000000003</v>
          </cell>
        </row>
        <row r="19">
          <cell r="O19">
            <v>45.399999999999949</v>
          </cell>
          <cell r="P19">
            <v>73.199999999999818</v>
          </cell>
          <cell r="Q19">
            <v>111.40000000000005</v>
          </cell>
        </row>
        <row r="21">
          <cell r="O21">
            <v>0</v>
          </cell>
          <cell r="P21">
            <v>0</v>
          </cell>
          <cell r="Q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O24">
            <v>0</v>
          </cell>
          <cell r="P24">
            <v>0</v>
          </cell>
          <cell r="Q24">
            <v>0</v>
          </cell>
        </row>
        <row r="26">
          <cell r="C26">
            <v>0</v>
          </cell>
          <cell r="D26">
            <v>0</v>
          </cell>
          <cell r="E26">
            <v>0</v>
          </cell>
          <cell r="F26">
            <v>0</v>
          </cell>
          <cell r="G26">
            <v>0</v>
          </cell>
          <cell r="H26">
            <v>0</v>
          </cell>
          <cell r="I26">
            <v>0</v>
          </cell>
          <cell r="J26">
            <v>0</v>
          </cell>
          <cell r="K26">
            <v>0</v>
          </cell>
          <cell r="L26">
            <v>0</v>
          </cell>
          <cell r="M26">
            <v>0</v>
          </cell>
          <cell r="N26">
            <v>-27.800000000000182</v>
          </cell>
          <cell r="O26">
            <v>45.399999999999949</v>
          </cell>
          <cell r="P26">
            <v>73.199999999999818</v>
          </cell>
          <cell r="Q26">
            <v>111.40000000000005</v>
          </cell>
        </row>
        <row r="28">
          <cell r="O28">
            <v>0</v>
          </cell>
          <cell r="P28">
            <v>0</v>
          </cell>
          <cell r="Q28">
            <v>0</v>
          </cell>
        </row>
        <row r="29">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2">
          <cell r="C32">
            <v>0</v>
          </cell>
          <cell r="D32">
            <v>0</v>
          </cell>
          <cell r="E32">
            <v>0</v>
          </cell>
          <cell r="F32">
            <v>0</v>
          </cell>
          <cell r="G32">
            <v>0</v>
          </cell>
          <cell r="H32">
            <v>0</v>
          </cell>
          <cell r="I32">
            <v>0</v>
          </cell>
          <cell r="J32">
            <v>0</v>
          </cell>
          <cell r="K32">
            <v>0</v>
          </cell>
          <cell r="L32">
            <v>0</v>
          </cell>
          <cell r="M32">
            <v>0</v>
          </cell>
          <cell r="N32">
            <v>-27.800000000000182</v>
          </cell>
          <cell r="O32">
            <v>45.399999999999949</v>
          </cell>
          <cell r="P32">
            <v>73.199999999999818</v>
          </cell>
          <cell r="Q32">
            <v>111.40000000000005</v>
          </cell>
        </row>
        <row r="34">
          <cell r="C34">
            <v>0</v>
          </cell>
          <cell r="D34">
            <v>0</v>
          </cell>
          <cell r="E34">
            <v>0</v>
          </cell>
          <cell r="F34">
            <v>0</v>
          </cell>
          <cell r="G34">
            <v>0</v>
          </cell>
          <cell r="H34">
            <v>0</v>
          </cell>
          <cell r="I34">
            <v>0</v>
          </cell>
          <cell r="J34">
            <v>0</v>
          </cell>
          <cell r="K34">
            <v>0</v>
          </cell>
          <cell r="L34">
            <v>0</v>
          </cell>
          <cell r="M34">
            <v>0</v>
          </cell>
          <cell r="N34">
            <v>-9.1</v>
          </cell>
          <cell r="O34">
            <v>6.5</v>
          </cell>
          <cell r="P34">
            <v>24.2</v>
          </cell>
          <cell r="Q34">
            <v>21.9</v>
          </cell>
        </row>
        <row r="35">
          <cell r="O35">
            <v>4.407</v>
          </cell>
          <cell r="P35">
            <v>-1.1709677419354874</v>
          </cell>
          <cell r="Q35">
            <v>7.9702838063439003</v>
          </cell>
        </row>
        <row r="36">
          <cell r="O36">
            <v>2.4569999999999999</v>
          </cell>
          <cell r="P36">
            <v>3.2006451612903319</v>
          </cell>
          <cell r="Q36">
            <v>7.1293823038397273</v>
          </cell>
        </row>
        <row r="37">
          <cell r="O37">
            <v>0</v>
          </cell>
          <cell r="P37">
            <v>0</v>
          </cell>
          <cell r="Q37">
            <v>0</v>
          </cell>
        </row>
        <row r="38">
          <cell r="O38">
            <v>1.7</v>
          </cell>
          <cell r="P38">
            <v>-4.8</v>
          </cell>
          <cell r="Q38">
            <v>6.2</v>
          </cell>
        </row>
        <row r="39">
          <cell r="C39">
            <v>0</v>
          </cell>
          <cell r="D39">
            <v>0</v>
          </cell>
          <cell r="E39">
            <v>0</v>
          </cell>
          <cell r="F39">
            <v>0</v>
          </cell>
          <cell r="G39">
            <v>0</v>
          </cell>
          <cell r="H39">
            <v>0</v>
          </cell>
          <cell r="I39">
            <v>0</v>
          </cell>
          <cell r="J39">
            <v>0</v>
          </cell>
          <cell r="K39">
            <v>0</v>
          </cell>
          <cell r="L39">
            <v>0</v>
          </cell>
          <cell r="M39">
            <v>0</v>
          </cell>
          <cell r="N39">
            <v>-9.1</v>
          </cell>
          <cell r="O39">
            <v>11.664000000000001</v>
          </cell>
          <cell r="P39">
            <v>31.029677419354844</v>
          </cell>
          <cell r="Q39">
            <v>30.799666110183626</v>
          </cell>
        </row>
        <row r="41">
          <cell r="C41">
            <v>0</v>
          </cell>
          <cell r="D41">
            <v>0</v>
          </cell>
          <cell r="E41">
            <v>0</v>
          </cell>
          <cell r="F41">
            <v>0</v>
          </cell>
          <cell r="G41">
            <v>0</v>
          </cell>
          <cell r="H41">
            <v>0</v>
          </cell>
          <cell r="I41">
            <v>0</v>
          </cell>
          <cell r="J41">
            <v>0</v>
          </cell>
          <cell r="K41">
            <v>0</v>
          </cell>
          <cell r="L41">
            <v>0</v>
          </cell>
          <cell r="M41">
            <v>0</v>
          </cell>
          <cell r="N41">
            <v>-18.70000000000018</v>
          </cell>
          <cell r="O41">
            <v>33.735999999999947</v>
          </cell>
          <cell r="P41">
            <v>42.170322580644978</v>
          </cell>
          <cell r="Q41">
            <v>80.600333889816426</v>
          </cell>
        </row>
        <row r="43">
          <cell r="O43">
            <v>16.199999999999957</v>
          </cell>
          <cell r="P43">
            <v>35.999999999999815</v>
          </cell>
          <cell r="Q43">
            <v>38.00000000000005</v>
          </cell>
        </row>
        <row r="44">
          <cell r="O44">
            <v>0</v>
          </cell>
          <cell r="P44">
            <v>0</v>
          </cell>
          <cell r="Q44">
            <v>0</v>
          </cell>
        </row>
        <row r="45">
          <cell r="O45">
            <v>0</v>
          </cell>
          <cell r="P45">
            <v>0</v>
          </cell>
          <cell r="Q45">
            <v>0</v>
          </cell>
        </row>
        <row r="46">
          <cell r="O46">
            <v>16.199999999999957</v>
          </cell>
          <cell r="P46">
            <v>35.999999999999815</v>
          </cell>
          <cell r="Q46">
            <v>38.00000000000005</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O49">
            <v>0</v>
          </cell>
          <cell r="P49">
            <v>0</v>
          </cell>
          <cell r="Q49">
            <v>0</v>
          </cell>
        </row>
        <row r="50">
          <cell r="O50">
            <v>12.7</v>
          </cell>
          <cell r="P50">
            <v>0</v>
          </cell>
          <cell r="Q50">
            <v>28</v>
          </cell>
        </row>
        <row r="51">
          <cell r="O51">
            <v>1.7</v>
          </cell>
          <cell r="P51">
            <v>-4.8</v>
          </cell>
          <cell r="Q51">
            <v>6.2</v>
          </cell>
        </row>
        <row r="52">
          <cell r="O52">
            <v>0</v>
          </cell>
          <cell r="P52">
            <v>0</v>
          </cell>
          <cell r="Q52">
            <v>0</v>
          </cell>
        </row>
        <row r="53">
          <cell r="O53">
            <v>0</v>
          </cell>
          <cell r="P53">
            <v>0</v>
          </cell>
          <cell r="Q53">
            <v>0</v>
          </cell>
        </row>
        <row r="54">
          <cell r="O54">
            <v>5.0999999999999943</v>
          </cell>
          <cell r="P54">
            <v>6</v>
          </cell>
          <cell r="Q54">
            <v>10.200000000000003</v>
          </cell>
        </row>
        <row r="55">
          <cell r="O55">
            <v>19.499999999999993</v>
          </cell>
          <cell r="P55">
            <v>1.2000000000000002</v>
          </cell>
          <cell r="Q55">
            <v>44.400000000000006</v>
          </cell>
        </row>
        <row r="57">
          <cell r="O57">
            <v>35.699999999999946</v>
          </cell>
          <cell r="P57">
            <v>37.199999999999818</v>
          </cell>
          <cell r="Q57">
            <v>82.400000000000063</v>
          </cell>
        </row>
        <row r="58">
          <cell r="C58">
            <v>0</v>
          </cell>
          <cell r="D58">
            <v>0</v>
          </cell>
          <cell r="E58">
            <v>0</v>
          </cell>
          <cell r="F58">
            <v>0</v>
          </cell>
          <cell r="G58">
            <v>0</v>
          </cell>
          <cell r="H58">
            <v>0</v>
          </cell>
          <cell r="I58">
            <v>0</v>
          </cell>
          <cell r="J58">
            <v>0</v>
          </cell>
          <cell r="K58">
            <v>0</v>
          </cell>
          <cell r="L58">
            <v>0</v>
          </cell>
          <cell r="M58">
            <v>0</v>
          </cell>
          <cell r="N58">
            <v>3.8</v>
          </cell>
          <cell r="O58">
            <v>1.4</v>
          </cell>
          <cell r="P58">
            <v>3</v>
          </cell>
          <cell r="Q58">
            <v>6.2</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row>
        <row r="60">
          <cell r="O60">
            <v>0</v>
          </cell>
          <cell r="P60">
            <v>1.8</v>
          </cell>
          <cell r="Q60">
            <v>0</v>
          </cell>
        </row>
        <row r="61">
          <cell r="O61">
            <v>0</v>
          </cell>
          <cell r="P61">
            <v>0</v>
          </cell>
          <cell r="Q61">
            <v>0</v>
          </cell>
        </row>
        <row r="63">
          <cell r="C63">
            <v>0</v>
          </cell>
          <cell r="D63">
            <v>0</v>
          </cell>
          <cell r="E63">
            <v>0</v>
          </cell>
          <cell r="F63">
            <v>0</v>
          </cell>
          <cell r="G63">
            <v>0</v>
          </cell>
          <cell r="H63">
            <v>0</v>
          </cell>
          <cell r="I63">
            <v>0</v>
          </cell>
          <cell r="J63">
            <v>0</v>
          </cell>
          <cell r="K63">
            <v>0</v>
          </cell>
          <cell r="L63">
            <v>0</v>
          </cell>
          <cell r="M63">
            <v>0</v>
          </cell>
          <cell r="N63">
            <v>7</v>
          </cell>
          <cell r="O63">
            <v>6.3</v>
          </cell>
          <cell r="P63">
            <v>8.1999999999999993</v>
          </cell>
          <cell r="Q63">
            <v>19.5</v>
          </cell>
        </row>
        <row r="64">
          <cell r="O64">
            <v>4.407</v>
          </cell>
          <cell r="P64">
            <v>-1.1709677419354874</v>
          </cell>
          <cell r="Q64">
            <v>7.9702838063439003</v>
          </cell>
        </row>
        <row r="65">
          <cell r="O65">
            <v>0</v>
          </cell>
          <cell r="P65">
            <v>0</v>
          </cell>
          <cell r="Q65">
            <v>0</v>
          </cell>
        </row>
        <row r="66">
          <cell r="O66">
            <v>2.4569999999999999</v>
          </cell>
          <cell r="P66">
            <v>3.2006451612903319</v>
          </cell>
          <cell r="Q66">
            <v>7.1293823038397273</v>
          </cell>
        </row>
        <row r="67">
          <cell r="O67">
            <v>-0.56400000000000006</v>
          </cell>
          <cell r="P67">
            <v>6.1703225806451547</v>
          </cell>
          <cell r="Q67">
            <v>4.4003338898163733</v>
          </cell>
        </row>
        <row r="69">
          <cell r="O69">
            <v>33.735999999999947</v>
          </cell>
          <cell r="P69">
            <v>42.170322580644971</v>
          </cell>
          <cell r="Q69">
            <v>80.60033388981644</v>
          </cell>
        </row>
        <row r="71">
          <cell r="O71" t="str">
            <v>P-2</v>
          </cell>
          <cell r="P71" t="str">
            <v>P-1</v>
          </cell>
          <cell r="Q71" t="str">
            <v>Present (P)</v>
          </cell>
        </row>
        <row r="72">
          <cell r="O72">
            <v>1997</v>
          </cell>
          <cell r="P72">
            <v>1998</v>
          </cell>
          <cell r="Q72">
            <v>1999</v>
          </cell>
        </row>
        <row r="73">
          <cell r="O73">
            <v>1662.6</v>
          </cell>
          <cell r="P73">
            <v>1719</v>
          </cell>
          <cell r="Q73">
            <v>1925.2</v>
          </cell>
        </row>
        <row r="74">
          <cell r="O74">
            <v>0</v>
          </cell>
          <cell r="P74">
            <v>0</v>
          </cell>
          <cell r="Q74">
            <v>0</v>
          </cell>
        </row>
        <row r="75">
          <cell r="O75">
            <v>0</v>
          </cell>
          <cell r="P75">
            <v>0</v>
          </cell>
          <cell r="Q75">
            <v>0</v>
          </cell>
        </row>
        <row r="76">
          <cell r="O76">
            <v>1662.6</v>
          </cell>
          <cell r="P76">
            <v>1719</v>
          </cell>
          <cell r="Q76">
            <v>1925.2</v>
          </cell>
        </row>
        <row r="77">
          <cell r="O77">
            <v>988.8</v>
          </cell>
          <cell r="P77">
            <v>981.6</v>
          </cell>
          <cell r="Q77">
            <v>1092.4000000000001</v>
          </cell>
        </row>
        <row r="78">
          <cell r="O78">
            <v>673.8</v>
          </cell>
          <cell r="P78">
            <v>737.4</v>
          </cell>
          <cell r="Q78">
            <v>832.8</v>
          </cell>
        </row>
        <row r="79">
          <cell r="O79">
            <v>633.5</v>
          </cell>
          <cell r="P79">
            <v>670.2</v>
          </cell>
          <cell r="Q79">
            <v>731.6</v>
          </cell>
        </row>
        <row r="80">
          <cell r="O80">
            <v>0</v>
          </cell>
          <cell r="P80">
            <v>0</v>
          </cell>
          <cell r="Q80">
            <v>0</v>
          </cell>
        </row>
        <row r="81">
          <cell r="O81">
            <v>0</v>
          </cell>
          <cell r="P81">
            <v>0</v>
          </cell>
          <cell r="Q81">
            <v>0</v>
          </cell>
        </row>
        <row r="82">
          <cell r="O82">
            <v>1622.3</v>
          </cell>
          <cell r="P82">
            <v>1651.8000000000002</v>
          </cell>
          <cell r="Q82">
            <v>1824</v>
          </cell>
        </row>
        <row r="84">
          <cell r="O84">
            <v>40.299999999999955</v>
          </cell>
          <cell r="P84">
            <v>67.199999999999818</v>
          </cell>
          <cell r="Q84">
            <v>101.20000000000005</v>
          </cell>
        </row>
        <row r="85">
          <cell r="O85">
            <v>0</v>
          </cell>
          <cell r="P85">
            <v>0</v>
          </cell>
          <cell r="Q85">
            <v>0</v>
          </cell>
        </row>
        <row r="86">
          <cell r="O86">
            <v>6.3</v>
          </cell>
          <cell r="P86">
            <v>8.1999999999999993</v>
          </cell>
          <cell r="Q86">
            <v>19.5</v>
          </cell>
        </row>
        <row r="87">
          <cell r="O87">
            <v>12.7</v>
          </cell>
          <cell r="P87">
            <v>0</v>
          </cell>
          <cell r="Q87">
            <v>28</v>
          </cell>
        </row>
        <row r="88">
          <cell r="O88">
            <v>1.4</v>
          </cell>
          <cell r="P88">
            <v>3</v>
          </cell>
          <cell r="Q88">
            <v>6.2</v>
          </cell>
        </row>
        <row r="89">
          <cell r="O89">
            <v>0</v>
          </cell>
          <cell r="P89">
            <v>0</v>
          </cell>
          <cell r="Q89">
            <v>0</v>
          </cell>
        </row>
        <row r="90">
          <cell r="C90">
            <v>0</v>
          </cell>
          <cell r="D90">
            <v>0</v>
          </cell>
          <cell r="E90">
            <v>0</v>
          </cell>
          <cell r="F90">
            <v>0</v>
          </cell>
          <cell r="G90">
            <v>0</v>
          </cell>
          <cell r="H90">
            <v>0</v>
          </cell>
          <cell r="I90">
            <v>0</v>
          </cell>
          <cell r="J90">
            <v>0</v>
          </cell>
          <cell r="K90">
            <v>0</v>
          </cell>
          <cell r="L90">
            <v>0</v>
          </cell>
          <cell r="M90">
            <v>0</v>
          </cell>
          <cell r="N90">
            <v>-39.000000000000185</v>
          </cell>
          <cell r="O90">
            <v>22.699999999999957</v>
          </cell>
          <cell r="P90">
            <v>61.999999999999815</v>
          </cell>
          <cell r="Q90">
            <v>59.900000000000048</v>
          </cell>
        </row>
        <row r="91">
          <cell r="O91">
            <v>6.5</v>
          </cell>
          <cell r="P91">
            <v>24.2</v>
          </cell>
          <cell r="Q91">
            <v>21.9</v>
          </cell>
        </row>
        <row r="92">
          <cell r="O92">
            <v>0</v>
          </cell>
          <cell r="P92">
            <v>1.8</v>
          </cell>
          <cell r="Q92">
            <v>0</v>
          </cell>
        </row>
        <row r="93">
          <cell r="O93">
            <v>0</v>
          </cell>
          <cell r="P93">
            <v>0</v>
          </cell>
          <cell r="Q93">
            <v>0</v>
          </cell>
        </row>
        <row r="94">
          <cell r="O94">
            <v>16.199999999999957</v>
          </cell>
          <cell r="P94">
            <v>35.999999999999815</v>
          </cell>
          <cell r="Q94">
            <v>38.00000000000005</v>
          </cell>
        </row>
        <row r="95">
          <cell r="O95">
            <v>1123.78</v>
          </cell>
        </row>
        <row r="96">
          <cell r="C96">
            <v>0</v>
          </cell>
          <cell r="D96">
            <v>0</v>
          </cell>
          <cell r="E96">
            <v>0</v>
          </cell>
          <cell r="F96">
            <v>0</v>
          </cell>
          <cell r="G96">
            <v>0</v>
          </cell>
          <cell r="H96">
            <v>0</v>
          </cell>
          <cell r="I96">
            <v>0</v>
          </cell>
          <cell r="J96">
            <v>0</v>
          </cell>
          <cell r="K96">
            <v>0</v>
          </cell>
          <cell r="L96">
            <v>0</v>
          </cell>
          <cell r="M96">
            <v>0</v>
          </cell>
          <cell r="N96">
            <v>-0.73284313725490646</v>
          </cell>
          <cell r="O96">
            <v>0.39823008849557417</v>
          </cell>
          <cell r="P96">
            <v>0.84905660377358061</v>
          </cell>
          <cell r="Q96">
            <v>0.88992974238875988</v>
          </cell>
        </row>
        <row r="97">
          <cell r="O97">
            <v>0.25691629955947171</v>
          </cell>
          <cell r="P97">
            <v>0.42390269698572297</v>
          </cell>
          <cell r="Q97">
            <v>0.27647815179698038</v>
          </cell>
        </row>
        <row r="98">
          <cell r="O98">
            <v>0.28634361233480232</v>
          </cell>
          <cell r="P98">
            <v>0.39032258064516245</v>
          </cell>
          <cell r="Q98">
            <v>0.3656093489148578</v>
          </cell>
        </row>
        <row r="100">
          <cell r="C100">
            <v>0</v>
          </cell>
          <cell r="D100">
            <v>0</v>
          </cell>
          <cell r="E100">
            <v>0</v>
          </cell>
          <cell r="F100">
            <v>0</v>
          </cell>
          <cell r="G100">
            <v>0</v>
          </cell>
          <cell r="H100">
            <v>0</v>
          </cell>
          <cell r="I100">
            <v>0</v>
          </cell>
          <cell r="J100">
            <v>0</v>
          </cell>
          <cell r="K100">
            <v>0</v>
          </cell>
          <cell r="L100">
            <v>0</v>
          </cell>
          <cell r="M100">
            <v>0</v>
          </cell>
          <cell r="N100">
            <v>17.399999999999999</v>
          </cell>
          <cell r="O100">
            <v>84.5</v>
          </cell>
          <cell r="P100">
            <v>84.6</v>
          </cell>
          <cell r="Q100">
            <v>102.4</v>
          </cell>
        </row>
        <row r="101">
          <cell r="C101">
            <v>0</v>
          </cell>
          <cell r="D101">
            <v>0</v>
          </cell>
          <cell r="E101">
            <v>0</v>
          </cell>
          <cell r="F101">
            <v>0</v>
          </cell>
          <cell r="G101">
            <v>0</v>
          </cell>
          <cell r="H101">
            <v>0</v>
          </cell>
          <cell r="I101">
            <v>0</v>
          </cell>
          <cell r="J101">
            <v>0</v>
          </cell>
          <cell r="K101">
            <v>0</v>
          </cell>
          <cell r="L101">
            <v>0</v>
          </cell>
          <cell r="M101">
            <v>0</v>
          </cell>
          <cell r="N101">
            <v>-27.800000000000182</v>
          </cell>
          <cell r="O101">
            <v>45.399999999999949</v>
          </cell>
          <cell r="P101">
            <v>73.199999999999818</v>
          </cell>
          <cell r="Q101">
            <v>111.40000000000005</v>
          </cell>
        </row>
        <row r="102">
          <cell r="C102">
            <v>0</v>
          </cell>
          <cell r="D102">
            <v>0</v>
          </cell>
          <cell r="E102">
            <v>0</v>
          </cell>
          <cell r="F102">
            <v>0</v>
          </cell>
          <cell r="G102">
            <v>0</v>
          </cell>
          <cell r="H102">
            <v>0</v>
          </cell>
          <cell r="I102">
            <v>0</v>
          </cell>
          <cell r="J102">
            <v>0</v>
          </cell>
          <cell r="K102">
            <v>0</v>
          </cell>
          <cell r="L102">
            <v>0</v>
          </cell>
          <cell r="M102">
            <v>0</v>
          </cell>
          <cell r="N102">
            <v>-15.400000000000183</v>
          </cell>
          <cell r="O102">
            <v>124.79999999999995</v>
          </cell>
          <cell r="P102">
            <v>151.79999999999981</v>
          </cell>
          <cell r="Q102">
            <v>203.60000000000005</v>
          </cell>
        </row>
        <row r="103">
          <cell r="O103">
            <v>904.3</v>
          </cell>
          <cell r="P103">
            <v>897</v>
          </cell>
          <cell r="Q103">
            <v>990.00000000000011</v>
          </cell>
        </row>
        <row r="104">
          <cell r="C104">
            <v>0</v>
          </cell>
          <cell r="D104">
            <v>0</v>
          </cell>
          <cell r="E104">
            <v>0</v>
          </cell>
          <cell r="F104">
            <v>0</v>
          </cell>
          <cell r="G104">
            <v>0</v>
          </cell>
          <cell r="H104">
            <v>0</v>
          </cell>
          <cell r="I104">
            <v>0</v>
          </cell>
          <cell r="J104">
            <v>0</v>
          </cell>
          <cell r="K104">
            <v>0</v>
          </cell>
          <cell r="L104">
            <v>0</v>
          </cell>
          <cell r="M104">
            <v>0</v>
          </cell>
          <cell r="N104">
            <v>12.399999999999999</v>
          </cell>
          <cell r="O104">
            <v>79.400000000000006</v>
          </cell>
          <cell r="P104">
            <v>78.599999999999994</v>
          </cell>
          <cell r="Q104">
            <v>92.2</v>
          </cell>
        </row>
        <row r="105">
          <cell r="O105">
            <v>5.0999999999999943</v>
          </cell>
          <cell r="P105">
            <v>6</v>
          </cell>
          <cell r="Q105">
            <v>10.200000000000003</v>
          </cell>
        </row>
        <row r="108">
          <cell r="O108">
            <v>0.40526885600866114</v>
          </cell>
          <cell r="P108">
            <v>0.42897033158813264</v>
          </cell>
          <cell r="Q108">
            <v>0.43257843340951585</v>
          </cell>
        </row>
        <row r="109">
          <cell r="C109" t="str">
            <v xml:space="preserve">--  </v>
          </cell>
          <cell r="D109" t="str">
            <v xml:space="preserve">--  </v>
          </cell>
          <cell r="E109" t="str">
            <v xml:space="preserve">--  </v>
          </cell>
          <cell r="F109" t="str">
            <v xml:space="preserve">--  </v>
          </cell>
          <cell r="G109" t="str">
            <v xml:space="preserve">--  </v>
          </cell>
          <cell r="H109" t="str">
            <v xml:space="preserve">--  </v>
          </cell>
          <cell r="I109" t="str">
            <v xml:space="preserve">--  </v>
          </cell>
          <cell r="J109" t="str">
            <v xml:space="preserve">--  </v>
          </cell>
          <cell r="K109" t="str">
            <v xml:space="preserve">--  </v>
          </cell>
          <cell r="L109" t="str">
            <v xml:space="preserve">--  </v>
          </cell>
          <cell r="M109" t="str">
            <v xml:space="preserve">--  </v>
          </cell>
          <cell r="N109">
            <v>-9.274314965371986E-3</v>
          </cell>
          <cell r="O109">
            <v>7.5063154095994206E-2</v>
          </cell>
          <cell r="P109">
            <v>8.8307155322862013E-2</v>
          </cell>
          <cell r="Q109">
            <v>0.10575524620818619</v>
          </cell>
        </row>
        <row r="110">
          <cell r="O110">
            <v>2.7306628172741459E-2</v>
          </cell>
          <cell r="P110">
            <v>4.2582897033158706E-2</v>
          </cell>
          <cell r="Q110">
            <v>5.7864118013712884E-2</v>
          </cell>
        </row>
        <row r="111">
          <cell r="C111" t="str">
            <v xml:space="preserve">--  </v>
          </cell>
          <cell r="D111" t="str">
            <v xml:space="preserve">--  </v>
          </cell>
          <cell r="E111" t="str">
            <v xml:space="preserve">--  </v>
          </cell>
          <cell r="F111" t="str">
            <v xml:space="preserve">--  </v>
          </cell>
          <cell r="G111" t="str">
            <v xml:space="preserve">--  </v>
          </cell>
          <cell r="H111" t="str">
            <v xml:space="preserve">--  </v>
          </cell>
          <cell r="I111" t="str">
            <v xml:space="preserve">--  </v>
          </cell>
          <cell r="J111" t="str">
            <v xml:space="preserve">--  </v>
          </cell>
          <cell r="K111" t="str">
            <v xml:space="preserve">--  </v>
          </cell>
          <cell r="L111" t="str">
            <v xml:space="preserve">--  </v>
          </cell>
          <cell r="M111" t="str">
            <v xml:space="preserve">--  </v>
          </cell>
          <cell r="N111">
            <v>-1.9753086419753197E-2</v>
          </cell>
          <cell r="O111">
            <v>2.4239143510164776E-2</v>
          </cell>
          <cell r="P111">
            <v>3.9092495636998147E-2</v>
          </cell>
          <cell r="Q111">
            <v>5.2565967172241865E-2</v>
          </cell>
        </row>
        <row r="112">
          <cell r="C112" t="str">
            <v xml:space="preserve">--  </v>
          </cell>
          <cell r="D112" t="str">
            <v xml:space="preserve">--  </v>
          </cell>
          <cell r="E112" t="str">
            <v xml:space="preserve">--  </v>
          </cell>
          <cell r="F112" t="str">
            <v xml:space="preserve">--  </v>
          </cell>
          <cell r="G112" t="str">
            <v xml:space="preserve">--  </v>
          </cell>
          <cell r="H112" t="str">
            <v xml:space="preserve">--  </v>
          </cell>
          <cell r="I112" t="str">
            <v xml:space="preserve">--  </v>
          </cell>
          <cell r="J112" t="str">
            <v xml:space="preserve">--  </v>
          </cell>
          <cell r="K112" t="str">
            <v xml:space="preserve">--  </v>
          </cell>
          <cell r="L112" t="str">
            <v xml:space="preserve">--  </v>
          </cell>
          <cell r="M112" t="str">
            <v xml:space="preserve">--  </v>
          </cell>
          <cell r="N112">
            <v>-1.1261668172237387E-2</v>
          </cell>
          <cell r="O112">
            <v>2.0291110309154307E-2</v>
          </cell>
          <cell r="P112">
            <v>2.4531892135337394E-2</v>
          </cell>
          <cell r="Q112">
            <v>4.1865953609919189E-2</v>
          </cell>
        </row>
        <row r="113">
          <cell r="C113" t="str">
            <v xml:space="preserve">--  </v>
          </cell>
          <cell r="D113" t="str">
            <v xml:space="preserve">--  </v>
          </cell>
          <cell r="E113" t="str">
            <v xml:space="preserve">--  </v>
          </cell>
          <cell r="F113" t="str">
            <v xml:space="preserve">--  </v>
          </cell>
          <cell r="G113" t="str">
            <v xml:space="preserve">--  </v>
          </cell>
          <cell r="H113" t="str">
            <v xml:space="preserve">--  </v>
          </cell>
          <cell r="I113" t="str">
            <v xml:space="preserve">--  </v>
          </cell>
          <cell r="J113" t="str">
            <v xml:space="preserve">--  </v>
          </cell>
          <cell r="K113" t="str">
            <v xml:space="preserve">--  </v>
          </cell>
          <cell r="L113" t="str">
            <v xml:space="preserve">--  </v>
          </cell>
          <cell r="M113" t="str">
            <v xml:space="preserve">--  </v>
          </cell>
          <cell r="N113">
            <v>-1.8006624510689663E-2</v>
          </cell>
          <cell r="O113">
            <v>9.7437748105376858E-3</v>
          </cell>
          <cell r="P113">
            <v>2.0942408376963245E-2</v>
          </cell>
          <cell r="Q113">
            <v>1.9738209017244986E-2</v>
          </cell>
        </row>
        <row r="114">
          <cell r="O114">
            <v>0.38102971249849638</v>
          </cell>
          <cell r="P114">
            <v>0.3898778359511344</v>
          </cell>
          <cell r="Q114">
            <v>0.38001246623727403</v>
          </cell>
        </row>
        <row r="115">
          <cell r="O115">
            <v>4.7756525923252746E-2</v>
          </cell>
          <cell r="P115">
            <v>4.5724258289703314E-2</v>
          </cell>
          <cell r="Q115">
            <v>4.7891128194473304E-2</v>
          </cell>
        </row>
        <row r="119">
          <cell r="O119">
            <v>2.0291110309154307E-2</v>
          </cell>
          <cell r="P119">
            <v>2.4531892135337394E-2</v>
          </cell>
          <cell r="Q119">
            <v>4.1865953609919189E-2</v>
          </cell>
        </row>
        <row r="120">
          <cell r="O120">
            <v>1.6476410667549319</v>
          </cell>
          <cell r="P120">
            <v>1.543495321027273</v>
          </cell>
          <cell r="Q120">
            <v>1.4871335755242472</v>
          </cell>
        </row>
        <row r="121">
          <cell r="O121">
            <v>3.3432466635416998E-2</v>
          </cell>
          <cell r="P121">
            <v>3.7864860726839027E-2</v>
          </cell>
          <cell r="Q121">
            <v>6.2260265284651388E-2</v>
          </cell>
        </row>
        <row r="122">
          <cell r="O122">
            <v>5.1940693546342204E-2</v>
          </cell>
          <cell r="P122" t="str">
            <v>NM</v>
          </cell>
          <cell r="Q122">
            <v>0.18285377083652804</v>
          </cell>
        </row>
        <row r="123">
          <cell r="O123">
            <v>5.1955827862753295E-2</v>
          </cell>
          <cell r="P123">
            <v>4.4323940914220289E-3</v>
          </cell>
          <cell r="Q123">
            <v>2.4395404557812361E-2</v>
          </cell>
        </row>
        <row r="124">
          <cell r="O124">
            <v>-65.851828196232134</v>
          </cell>
          <cell r="P124">
            <v>-50.19735263982281</v>
          </cell>
          <cell r="Q124">
            <v>-25.796365109631054</v>
          </cell>
        </row>
        <row r="125">
          <cell r="O125">
            <v>56.564169413029646</v>
          </cell>
          <cell r="P125">
            <v>15.654475556409324</v>
          </cell>
          <cell r="Q125">
            <v>24.400987530191756</v>
          </cell>
        </row>
        <row r="128">
          <cell r="O128">
            <v>11.98702235039654</v>
          </cell>
          <cell r="P128">
            <v>11.536912751677852</v>
          </cell>
          <cell r="Q128">
            <v>11.29149560117302</v>
          </cell>
        </row>
        <row r="129">
          <cell r="O129">
            <v>24.741071428571427</v>
          </cell>
          <cell r="P129">
            <v>25.410199556541016</v>
          </cell>
          <cell r="Q129">
            <v>26.264665757162344</v>
          </cell>
        </row>
        <row r="130">
          <cell r="O130">
            <v>31.419905320747223</v>
          </cell>
          <cell r="P130">
            <v>28.670069048333815</v>
          </cell>
          <cell r="Q130">
            <v>28.725324898166221</v>
          </cell>
        </row>
        <row r="131">
          <cell r="O131">
            <v>2.3254773061053218</v>
          </cell>
          <cell r="P131">
            <v>2.4063834254917058</v>
          </cell>
          <cell r="Q131">
            <v>2.596183669341245</v>
          </cell>
        </row>
        <row r="132">
          <cell r="O132">
            <v>1.7388239563631114</v>
          </cell>
          <cell r="P132">
            <v>1.6313198221965783</v>
          </cell>
          <cell r="Q132">
            <v>1.5683271557166711</v>
          </cell>
        </row>
        <row r="133">
          <cell r="O133">
            <v>49.335311572700292</v>
          </cell>
          <cell r="P133">
            <v>53.887147335423201</v>
          </cell>
          <cell r="Q133">
            <v>47.535802469135803</v>
          </cell>
        </row>
        <row r="134">
          <cell r="O134" t="str">
            <v xml:space="preserve">--  </v>
          </cell>
          <cell r="P134" t="str">
            <v xml:space="preserve">--  </v>
          </cell>
          <cell r="Q134" t="str">
            <v xml:space="preserve">--  </v>
          </cell>
        </row>
        <row r="135">
          <cell r="O135">
            <v>1.6476410667549319</v>
          </cell>
          <cell r="P135">
            <v>1.543495321027273</v>
          </cell>
          <cell r="Q135">
            <v>1.4871335755242472</v>
          </cell>
        </row>
        <row r="138">
          <cell r="O138">
            <v>1.2646793134597465E-3</v>
          </cell>
          <cell r="P138">
            <v>3.3922771562612829E-2</v>
          </cell>
          <cell r="Q138">
            <v>0.11995346131471789</v>
          </cell>
        </row>
        <row r="139">
          <cell r="O139" t="str">
            <v xml:space="preserve">--  </v>
          </cell>
          <cell r="P139" t="str">
            <v xml:space="preserve">--  </v>
          </cell>
          <cell r="Q139" t="str">
            <v xml:space="preserve">--  </v>
          </cell>
        </row>
        <row r="140">
          <cell r="O140">
            <v>1.2646793134597465E-3</v>
          </cell>
          <cell r="P140">
            <v>3.3922771562612829E-2</v>
          </cell>
          <cell r="Q140">
            <v>0.11995346131471789</v>
          </cell>
        </row>
        <row r="141">
          <cell r="O141">
            <v>-1.5418060200668848</v>
          </cell>
          <cell r="P141">
            <v>1.2222222222222168</v>
          </cell>
          <cell r="Q141">
            <v>5.5555555555562353E-2</v>
          </cell>
        </row>
        <row r="142">
          <cell r="O142">
            <v>-9.1038961038960036</v>
          </cell>
          <cell r="P142">
            <v>0.2163461538461528</v>
          </cell>
          <cell r="Q142">
            <v>0.34123847167325627</v>
          </cell>
        </row>
        <row r="143">
          <cell r="O143">
            <v>-2.2286585365853577</v>
          </cell>
          <cell r="P143">
            <v>0.66749379652605201</v>
          </cell>
          <cell r="Q143">
            <v>0.50595238095238571</v>
          </cell>
        </row>
        <row r="144">
          <cell r="O144">
            <v>-2.8040641711229743</v>
          </cell>
          <cell r="P144">
            <v>0.25000956191146084</v>
          </cell>
          <cell r="Q144">
            <v>0.91130465591481558</v>
          </cell>
        </row>
        <row r="145">
          <cell r="O145">
            <v>0</v>
          </cell>
          <cell r="P145">
            <v>0</v>
          </cell>
          <cell r="Q145">
            <v>0</v>
          </cell>
        </row>
        <row r="146">
          <cell r="O146">
            <v>3.8563218390804597</v>
          </cell>
          <cell r="P146">
            <v>1.1834319526626547E-3</v>
          </cell>
          <cell r="Q146">
            <v>0.21040189125295522</v>
          </cell>
        </row>
        <row r="147">
          <cell r="O147">
            <v>7.4443591711435053E-2</v>
          </cell>
          <cell r="P147">
            <v>1.2214285714285715</v>
          </cell>
          <cell r="Q147">
            <v>0.28553054662379423</v>
          </cell>
        </row>
        <row r="148">
          <cell r="O148">
            <v>7.7862595419847247E-2</v>
          </cell>
          <cell r="P148">
            <v>8.4985835694050993E-2</v>
          </cell>
          <cell r="Q148">
            <v>0.13315926892950397</v>
          </cell>
        </row>
        <row r="149">
          <cell r="O149">
            <v>0</v>
          </cell>
          <cell r="P149">
            <v>0</v>
          </cell>
          <cell r="Q149">
            <v>0</v>
          </cell>
        </row>
        <row r="150">
          <cell r="O150">
            <v>-1.5434042679136899</v>
          </cell>
          <cell r="P150">
            <v>1.1320754716981081</v>
          </cell>
          <cell r="Q150">
            <v>4.8139474368989167E-2</v>
          </cell>
        </row>
        <row r="151">
          <cell r="M151" t="str">
            <v xml:space="preserve">--  </v>
          </cell>
          <cell r="N151" t="str">
            <v xml:space="preserve">--  </v>
          </cell>
          <cell r="O151">
            <v>5.6862745098039229E-2</v>
          </cell>
          <cell r="P151">
            <v>-1.0667903525046403E-2</v>
          </cell>
          <cell r="Q151">
            <v>4.4772620721988399E-3</v>
          </cell>
        </row>
        <row r="152">
          <cell r="O152">
            <v>0.10796915167095124</v>
          </cell>
          <cell r="P152">
            <v>1.392111368909516E-2</v>
          </cell>
          <cell r="Q152">
            <v>0.21510297482837523</v>
          </cell>
        </row>
        <row r="153">
          <cell r="M153" t="str">
            <v>--</v>
          </cell>
          <cell r="N153">
            <v>0</v>
          </cell>
          <cell r="O153">
            <v>0.11231101511879056</v>
          </cell>
          <cell r="P153">
            <v>1.5893203883495144</v>
          </cell>
          <cell r="Q153">
            <v>0.3847019122609675</v>
          </cell>
        </row>
        <row r="154">
          <cell r="O154">
            <v>-2.2815265486725661E-2</v>
          </cell>
          <cell r="P154">
            <v>2.1649922173482317E-2</v>
          </cell>
          <cell r="Q154">
            <v>5.4155124653739645E-2</v>
          </cell>
        </row>
        <row r="155">
          <cell r="O155">
            <v>-0.25388601036269431</v>
          </cell>
          <cell r="P155">
            <v>0.21527777777777773</v>
          </cell>
          <cell r="Q155">
            <v>0.31428571428571428</v>
          </cell>
        </row>
        <row r="159">
          <cell r="P159" t="str">
            <v>5 year CAGR</v>
          </cell>
        </row>
        <row r="160">
          <cell r="P160" t="str">
            <v>Sales</v>
          </cell>
          <cell r="Q160">
            <v>5.4564623324014461E-2</v>
          </cell>
        </row>
        <row r="161">
          <cell r="P161" t="str">
            <v>EBITDA</v>
          </cell>
          <cell r="Q161">
            <v>-1</v>
          </cell>
        </row>
        <row r="162">
          <cell r="P162" t="str">
            <v>NOPAT</v>
          </cell>
          <cell r="Q162">
            <v>0.14900244868922963</v>
          </cell>
        </row>
      </sheetData>
      <sheetData sheetId="7">
        <row r="11">
          <cell r="D11">
            <v>9.6960000000000005E-2</v>
          </cell>
        </row>
        <row r="21">
          <cell r="J21">
            <v>8.3334000000000005E-2</v>
          </cell>
        </row>
        <row r="23">
          <cell r="U23">
            <v>8.2937216123885299E-2</v>
          </cell>
        </row>
      </sheetData>
      <sheetData sheetId="8">
        <row r="1">
          <cell r="F1" t="str">
            <v>Discounted Cash Flow</v>
          </cell>
        </row>
        <row r="2">
          <cell r="D2">
            <v>1</v>
          </cell>
          <cell r="E2">
            <v>2</v>
          </cell>
          <cell r="F2">
            <v>3</v>
          </cell>
          <cell r="G2">
            <v>4</v>
          </cell>
          <cell r="H2">
            <v>5</v>
          </cell>
          <cell r="L2">
            <v>9</v>
          </cell>
          <cell r="M2">
            <v>10</v>
          </cell>
          <cell r="Q2">
            <v>14</v>
          </cell>
          <cell r="R2">
            <v>15</v>
          </cell>
          <cell r="AA2">
            <v>24</v>
          </cell>
          <cell r="AB2">
            <v>25</v>
          </cell>
        </row>
        <row r="3">
          <cell r="C3" t="str">
            <v>Present(P)</v>
          </cell>
          <cell r="D3" t="str">
            <v>Estimated Year 1</v>
          </cell>
          <cell r="E3" t="str">
            <v>EY 2</v>
          </cell>
          <cell r="F3" t="str">
            <v>EY 3</v>
          </cell>
          <cell r="G3" t="str">
            <v>EY 4</v>
          </cell>
          <cell r="H3" t="str">
            <v>EY 5</v>
          </cell>
          <cell r="L3" t="str">
            <v>EY 9</v>
          </cell>
          <cell r="M3" t="str">
            <v>EY 10</v>
          </cell>
          <cell r="Q3" t="str">
            <v>EY 14</v>
          </cell>
          <cell r="R3" t="str">
            <v>EY 15</v>
          </cell>
          <cell r="AA3" t="str">
            <v>EY 24</v>
          </cell>
          <cell r="AB3" t="str">
            <v>EY 25</v>
          </cell>
        </row>
        <row r="4">
          <cell r="C4">
            <v>1999</v>
          </cell>
          <cell r="D4" t="str">
            <v>2000E</v>
          </cell>
          <cell r="E4" t="str">
            <v>2001E</v>
          </cell>
          <cell r="F4" t="str">
            <v>2002E</v>
          </cell>
          <cell r="G4" t="str">
            <v>2003E</v>
          </cell>
          <cell r="H4" t="str">
            <v>2004E</v>
          </cell>
          <cell r="L4" t="str">
            <v>2008E</v>
          </cell>
          <cell r="M4" t="str">
            <v>2009E</v>
          </cell>
          <cell r="Q4" t="str">
            <v>2013E</v>
          </cell>
          <cell r="R4" t="str">
            <v>2014E</v>
          </cell>
          <cell r="AA4" t="str">
            <v>2023E</v>
          </cell>
          <cell r="AB4" t="str">
            <v>2024E</v>
          </cell>
        </row>
        <row r="6">
          <cell r="C6">
            <v>1925.2</v>
          </cell>
          <cell r="D6">
            <v>2054</v>
          </cell>
          <cell r="E6">
            <v>2150</v>
          </cell>
          <cell r="F6">
            <v>2257.5</v>
          </cell>
          <cell r="G6">
            <v>2318.4524999999999</v>
          </cell>
          <cell r="H6">
            <v>2381.0507174999998</v>
          </cell>
          <cell r="I6">
            <v>2445.3390868724996</v>
          </cell>
          <cell r="J6">
            <v>2511.3632422180567</v>
          </cell>
          <cell r="K6">
            <v>2579.1700497579441</v>
          </cell>
          <cell r="L6">
            <v>2648.8076411014085</v>
          </cell>
          <cell r="M6">
            <v>2720.3254474111463</v>
          </cell>
          <cell r="N6">
            <v>2793.7742344912472</v>
          </cell>
          <cell r="O6">
            <v>2869.2061388225106</v>
          </cell>
          <cell r="P6">
            <v>2946.6747045707179</v>
          </cell>
          <cell r="Q6">
            <v>3026.2349215941272</v>
          </cell>
          <cell r="R6">
            <v>3107.9432644771682</v>
          </cell>
          <cell r="S6">
            <v>3191.8577326180516</v>
          </cell>
          <cell r="T6">
            <v>3278.0378913987388</v>
          </cell>
          <cell r="U6">
            <v>3366.5449144665045</v>
          </cell>
          <cell r="V6">
            <v>3457.4416271570999</v>
          </cell>
          <cell r="W6">
            <v>3550.7925510903415</v>
          </cell>
          <cell r="X6">
            <v>3646.6639499697803</v>
          </cell>
          <cell r="Y6">
            <v>3745.123876618964</v>
          </cell>
          <cell r="Z6">
            <v>3846.2422212876759</v>
          </cell>
          <cell r="AA6">
            <v>3950.0907612624428</v>
          </cell>
          <cell r="AB6">
            <v>4056.7432118165284</v>
          </cell>
          <cell r="AC6">
            <v>4166.2752785355742</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row>
        <row r="8">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row>
        <row r="9">
          <cell r="C9">
            <v>1925.2</v>
          </cell>
          <cell r="D9">
            <v>2054</v>
          </cell>
          <cell r="E9">
            <v>2150</v>
          </cell>
          <cell r="F9">
            <v>2257.5</v>
          </cell>
          <cell r="G9">
            <v>2318.4524999999999</v>
          </cell>
          <cell r="H9">
            <v>2381.0507174999998</v>
          </cell>
          <cell r="I9">
            <v>2445.3390868724996</v>
          </cell>
          <cell r="J9">
            <v>2511.3632422180567</v>
          </cell>
          <cell r="K9">
            <v>2579.1700497579441</v>
          </cell>
          <cell r="L9">
            <v>2648.8076411014085</v>
          </cell>
          <cell r="M9">
            <v>2720.3254474111463</v>
          </cell>
          <cell r="N9">
            <v>2793.7742344912472</v>
          </cell>
          <cell r="O9">
            <v>2869.2061388225106</v>
          </cell>
          <cell r="P9">
            <v>2946.6747045707179</v>
          </cell>
          <cell r="Q9">
            <v>3026.2349215941272</v>
          </cell>
          <cell r="R9">
            <v>3107.9432644771682</v>
          </cell>
          <cell r="S9">
            <v>3191.8577326180516</v>
          </cell>
          <cell r="T9">
            <v>3278.0378913987388</v>
          </cell>
          <cell r="U9">
            <v>3366.5449144665045</v>
          </cell>
          <cell r="V9">
            <v>3457.4416271570999</v>
          </cell>
          <cell r="W9">
            <v>3550.7925510903415</v>
          </cell>
          <cell r="X9">
            <v>3646.6639499697803</v>
          </cell>
          <cell r="Y9">
            <v>3745.123876618964</v>
          </cell>
          <cell r="Z9">
            <v>3846.2422212876759</v>
          </cell>
          <cell r="AA9">
            <v>3950.0907612624428</v>
          </cell>
          <cell r="AB9">
            <v>4056.7432118165284</v>
          </cell>
          <cell r="AC9">
            <v>4166.2752785355742</v>
          </cell>
        </row>
        <row r="10">
          <cell r="C10">
            <v>0.11995346131471789</v>
          </cell>
          <cell r="D10">
            <v>6.690214003739868E-2</v>
          </cell>
          <cell r="E10">
            <v>4.6738072054527749E-2</v>
          </cell>
          <cell r="F10">
            <v>0.05</v>
          </cell>
          <cell r="G10">
            <v>2.6999999999999944E-2</v>
          </cell>
          <cell r="H10">
            <v>2.6999999999999965E-2</v>
          </cell>
          <cell r="L10">
            <v>2.6999999999999989E-2</v>
          </cell>
          <cell r="M10">
            <v>2.6999999999999916E-2</v>
          </cell>
          <cell r="Q10">
            <v>2.6999999999999944E-2</v>
          </cell>
          <cell r="R10">
            <v>2.6999999999999871E-2</v>
          </cell>
          <cell r="AA10">
            <v>2.699999999999992E-2</v>
          </cell>
          <cell r="AB10">
            <v>2.6999999999999906E-2</v>
          </cell>
        </row>
        <row r="12">
          <cell r="C12">
            <v>80.600333889816426</v>
          </cell>
          <cell r="D12">
            <v>132.05600000000018</v>
          </cell>
          <cell r="E12">
            <v>141.47550000000001</v>
          </cell>
          <cell r="F12">
            <v>161.33199999999999</v>
          </cell>
          <cell r="G12">
            <v>136.78869749999998</v>
          </cell>
          <cell r="H12">
            <v>140.48199233249997</v>
          </cell>
          <cell r="I12">
            <v>144.27500612547746</v>
          </cell>
          <cell r="J12">
            <v>148.17043129086534</v>
          </cell>
          <cell r="K12">
            <v>152.1710329357187</v>
          </cell>
          <cell r="L12">
            <v>156.27965082498309</v>
          </cell>
          <cell r="M12">
            <v>160.49920139725762</v>
          </cell>
          <cell r="N12">
            <v>164.83267983498357</v>
          </cell>
          <cell r="O12">
            <v>169.28316219052812</v>
          </cell>
          <cell r="P12">
            <v>173.85380756967234</v>
          </cell>
          <cell r="Q12">
            <v>178.5478603740535</v>
          </cell>
          <cell r="R12">
            <v>183.36865260415291</v>
          </cell>
          <cell r="S12">
            <v>188.31960622446505</v>
          </cell>
          <cell r="T12">
            <v>193.40423559252557</v>
          </cell>
          <cell r="U12">
            <v>198.62614995352376</v>
          </cell>
          <cell r="V12">
            <v>203.98905600226888</v>
          </cell>
          <cell r="W12">
            <v>209.49676051433013</v>
          </cell>
          <cell r="X12">
            <v>215.15317304821704</v>
          </cell>
          <cell r="Y12">
            <v>220.96230872051888</v>
          </cell>
          <cell r="Z12">
            <v>226.92829105597286</v>
          </cell>
          <cell r="AA12">
            <v>233.05535491448413</v>
          </cell>
          <cell r="AB12">
            <v>239.34784949717516</v>
          </cell>
          <cell r="AC12">
            <v>245.81024143359886</v>
          </cell>
        </row>
        <row r="13">
          <cell r="C13">
            <v>2.4573914927420999</v>
          </cell>
          <cell r="D13">
            <v>0.6384051234890108</v>
          </cell>
          <cell r="E13">
            <v>7.1329587447748047E-2</v>
          </cell>
          <cell r="F13">
            <v>0.14035292329767332</v>
          </cell>
          <cell r="G13">
            <v>-0.15212916532368043</v>
          </cell>
          <cell r="H13">
            <v>2.6999999999999909E-2</v>
          </cell>
          <cell r="L13">
            <v>2.699999999999993E-2</v>
          </cell>
          <cell r="M13">
            <v>2.6999999999999903E-2</v>
          </cell>
          <cell r="Q13">
            <v>2.7000000000000027E-2</v>
          </cell>
          <cell r="R13">
            <v>2.699999999999983E-2</v>
          </cell>
          <cell r="AA13">
            <v>2.6999999999999982E-2</v>
          </cell>
          <cell r="AB13">
            <v>2.699999999999984E-2</v>
          </cell>
        </row>
        <row r="15">
          <cell r="C15">
            <v>203.60000000000005</v>
          </cell>
          <cell r="D15">
            <v>235.40000000000018</v>
          </cell>
          <cell r="E15">
            <v>257</v>
          </cell>
          <cell r="F15">
            <v>332.5</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row>
        <row r="18">
          <cell r="C18">
            <v>2.4620000000000175</v>
          </cell>
          <cell r="D18">
            <v>23.036888888888825</v>
          </cell>
          <cell r="E18">
            <v>0.2004728132387612</v>
          </cell>
          <cell r="F18">
            <v>-1.1893617021276555</v>
          </cell>
          <cell r="G18">
            <v>2.4380999999999915</v>
          </cell>
          <cell r="H18">
            <v>2.503928700000003</v>
          </cell>
          <cell r="L18">
            <v>2.7855036537385729</v>
          </cell>
          <cell r="M18">
            <v>2.8607122523895185</v>
          </cell>
          <cell r="Q18">
            <v>3.1824086809363621</v>
          </cell>
          <cell r="R18">
            <v>3.2683337153216456</v>
          </cell>
          <cell r="AA18">
            <v>4.1539415989906843</v>
          </cell>
          <cell r="AB18">
            <v>4.266098022163419</v>
          </cell>
        </row>
        <row r="19">
          <cell r="C19">
            <v>149.10000000000014</v>
          </cell>
          <cell r="D19">
            <v>-57.25151515151515</v>
          </cell>
          <cell r="E19">
            <v>38.733604703753826</v>
          </cell>
          <cell r="F19">
            <v>44.359086918349476</v>
          </cell>
          <cell r="G19">
            <v>-39.912009803921819</v>
          </cell>
          <cell r="H19">
            <v>34.776787499999955</v>
          </cell>
          <cell r="L19">
            <v>30.277213627593255</v>
          </cell>
          <cell r="M19">
            <v>31.094698395537989</v>
          </cell>
          <cell r="Q19">
            <v>26.520072341136483</v>
          </cell>
          <cell r="R19">
            <v>27.236114294346976</v>
          </cell>
          <cell r="AA19">
            <v>25.962134993691734</v>
          </cell>
          <cell r="AB19">
            <v>26.663112638521397</v>
          </cell>
        </row>
        <row r="20">
          <cell r="C20">
            <v>0</v>
          </cell>
          <cell r="D20">
            <v>0</v>
          </cell>
          <cell r="E20">
            <v>0</v>
          </cell>
          <cell r="F20">
            <v>0</v>
          </cell>
          <cell r="G20">
            <v>0</v>
          </cell>
          <cell r="H20">
            <v>0</v>
          </cell>
          <cell r="L20">
            <v>0</v>
          </cell>
          <cell r="M20">
            <v>0</v>
          </cell>
          <cell r="Q20">
            <v>0</v>
          </cell>
          <cell r="R20">
            <v>0</v>
          </cell>
          <cell r="AA20">
            <v>0</v>
          </cell>
          <cell r="AB20">
            <v>0</v>
          </cell>
        </row>
        <row r="21">
          <cell r="C21">
            <v>151.56200000000015</v>
          </cell>
          <cell r="D21">
            <v>-34.214626262626325</v>
          </cell>
          <cell r="E21">
            <v>38.934077516992588</v>
          </cell>
          <cell r="F21">
            <v>43.169725216221821</v>
          </cell>
          <cell r="G21">
            <v>-37.473909803921828</v>
          </cell>
          <cell r="H21">
            <v>37.280716199999958</v>
          </cell>
          <cell r="L21">
            <v>33.062717281331828</v>
          </cell>
          <cell r="M21">
            <v>33.955410647927508</v>
          </cell>
          <cell r="Q21">
            <v>29.702481022072845</v>
          </cell>
          <cell r="R21">
            <v>30.504448009668621</v>
          </cell>
          <cell r="AA21">
            <v>30.116076592682418</v>
          </cell>
          <cell r="AB21">
            <v>30.929210660684817</v>
          </cell>
        </row>
        <row r="23">
          <cell r="C23">
            <v>-70.961666110183728</v>
          </cell>
          <cell r="D23">
            <v>166.27062626262651</v>
          </cell>
          <cell r="E23">
            <v>102.54142248300742</v>
          </cell>
          <cell r="F23">
            <v>118.16227478377817</v>
          </cell>
          <cell r="G23">
            <v>174.26260730392181</v>
          </cell>
          <cell r="H23">
            <v>103.20127613250001</v>
          </cell>
          <cell r="L23">
            <v>123.21693354365127</v>
          </cell>
          <cell r="M23">
            <v>126.54379074933011</v>
          </cell>
          <cell r="Q23">
            <v>148.84537935198065</v>
          </cell>
          <cell r="R23">
            <v>152.86420459448431</v>
          </cell>
          <cell r="AA23">
            <v>202.93927832180171</v>
          </cell>
          <cell r="AB23">
            <v>208.41863883649035</v>
          </cell>
        </row>
        <row r="26">
          <cell r="C26">
            <v>-70.961666110183728</v>
          </cell>
          <cell r="D26">
            <v>153.61797400452798</v>
          </cell>
          <cell r="E26">
            <v>87.529074993618622</v>
          </cell>
          <cell r="F26">
            <v>93.187646757366721</v>
          </cell>
          <cell r="G26">
            <v>126.97265762682181</v>
          </cell>
          <cell r="H26">
            <v>69.473242698746958</v>
          </cell>
          <cell r="L26">
            <v>60.437835362730539</v>
          </cell>
          <cell r="M26">
            <v>57.346358506917269</v>
          </cell>
          <cell r="Q26">
            <v>49.148058301092711</v>
          </cell>
          <cell r="R26">
            <v>46.634068780553278</v>
          </cell>
          <cell r="AA26">
            <v>30.367016435282814</v>
          </cell>
          <cell r="AB26">
            <v>28.813702556214388</v>
          </cell>
        </row>
        <row r="27">
          <cell r="C27">
            <v>-70.961666110183728</v>
          </cell>
          <cell r="D27">
            <v>153.61797400452798</v>
          </cell>
          <cell r="E27">
            <v>241.1470489981466</v>
          </cell>
          <cell r="F27">
            <v>334.33469575551334</v>
          </cell>
          <cell r="G27">
            <v>461.30735338233512</v>
          </cell>
          <cell r="H27">
            <v>530.78059608108208</v>
          </cell>
          <cell r="L27">
            <v>971.6462308429135</v>
          </cell>
          <cell r="M27">
            <v>1028.9925893498307</v>
          </cell>
          <cell r="Q27">
            <v>1357.6086507618668</v>
          </cell>
          <cell r="R27">
            <v>1404.24271954242</v>
          </cell>
          <cell r="AA27">
            <v>1817.5246198979821</v>
          </cell>
          <cell r="AB27">
            <v>1846.3383224541965</v>
          </cell>
        </row>
        <row r="29">
          <cell r="C29">
            <v>1606.7779318688074</v>
          </cell>
          <cell r="D29">
            <v>1717.6777831198917</v>
          </cell>
          <cell r="E29">
            <v>1958.7588812642352</v>
          </cell>
          <cell r="F29">
            <v>1660.7745275871612</v>
          </cell>
          <cell r="G29">
            <v>1705.6154398320143</v>
          </cell>
          <cell r="H29">
            <v>1751.6670567074787</v>
          </cell>
          <cell r="L29">
            <v>1948.6477336963253</v>
          </cell>
          <cell r="M29">
            <v>2001.2612225061259</v>
          </cell>
          <cell r="Q29">
            <v>2226.3095779748642</v>
          </cell>
          <cell r="R29">
            <v>2286.4199365801855</v>
          </cell>
          <cell r="AA29">
            <v>2905.9623999831865</v>
          </cell>
          <cell r="AB29">
            <v>2984.4233847827318</v>
          </cell>
        </row>
        <row r="30">
          <cell r="C30">
            <v>1606.7779318688074</v>
          </cell>
          <cell r="D30">
            <v>1586.9681071549396</v>
          </cell>
          <cell r="E30">
            <v>1671.9911706023504</v>
          </cell>
          <cell r="F30">
            <v>1309.7553369180025</v>
          </cell>
          <cell r="G30">
            <v>1242.7595835698114</v>
          </cell>
          <cell r="H30">
            <v>1179.1907534340528</v>
          </cell>
          <cell r="L30">
            <v>955.81059779721056</v>
          </cell>
          <cell r="M30">
            <v>906.91959559805866</v>
          </cell>
          <cell r="Q30">
            <v>735.1171625949014</v>
          </cell>
          <cell r="R30">
            <v>697.51492749111458</v>
          </cell>
          <cell r="AA30">
            <v>434.83651213478834</v>
          </cell>
          <cell r="AB30">
            <v>412.59403761101856</v>
          </cell>
        </row>
        <row r="32">
          <cell r="C32">
            <v>1535.8162657586236</v>
          </cell>
          <cell r="D32">
            <v>1740.5860811594675</v>
          </cell>
          <cell r="E32">
            <v>1913.138219600497</v>
          </cell>
          <cell r="F32">
            <v>1644.0900326735159</v>
          </cell>
          <cell r="G32">
            <v>1704.0669369521465</v>
          </cell>
          <cell r="H32">
            <v>1709.971349515135</v>
          </cell>
          <cell r="L32">
            <v>1927.4568286401241</v>
          </cell>
          <cell r="M32">
            <v>1935.9121849478893</v>
          </cell>
          <cell r="Q32">
            <v>2092.7258133567684</v>
          </cell>
          <cell r="R32">
            <v>2101.7576470335343</v>
          </cell>
          <cell r="AA32">
            <v>2252.3611320327705</v>
          </cell>
          <cell r="AB32">
            <v>2258.9323600652151</v>
          </cell>
        </row>
        <row r="33">
          <cell r="C33">
            <v>33.847999999999999</v>
          </cell>
          <cell r="D33">
            <v>33.847999999999999</v>
          </cell>
          <cell r="E33">
            <v>33.847999999999999</v>
          </cell>
          <cell r="F33">
            <v>33.847999999999999</v>
          </cell>
          <cell r="G33">
            <v>33.847999999999999</v>
          </cell>
          <cell r="H33">
            <v>33.847999999999999</v>
          </cell>
          <cell r="I33">
            <v>33.847999999999999</v>
          </cell>
          <cell r="J33">
            <v>33.847999999999999</v>
          </cell>
          <cell r="K33">
            <v>33.847999999999999</v>
          </cell>
          <cell r="L33">
            <v>33.847999999999999</v>
          </cell>
          <cell r="M33">
            <v>33.847999999999999</v>
          </cell>
          <cell r="N33">
            <v>33.847999999999999</v>
          </cell>
          <cell r="O33">
            <v>33.847999999999999</v>
          </cell>
          <cell r="P33">
            <v>33.847999999999999</v>
          </cell>
          <cell r="Q33">
            <v>33.847999999999999</v>
          </cell>
          <cell r="R33">
            <v>33.847999999999999</v>
          </cell>
          <cell r="S33">
            <v>33.847999999999999</v>
          </cell>
          <cell r="T33">
            <v>33.847999999999999</v>
          </cell>
          <cell r="U33">
            <v>33.847999999999999</v>
          </cell>
          <cell r="V33">
            <v>33.847999999999999</v>
          </cell>
          <cell r="W33">
            <v>33.847999999999999</v>
          </cell>
          <cell r="X33">
            <v>33.847999999999999</v>
          </cell>
          <cell r="Y33">
            <v>33.847999999999999</v>
          </cell>
          <cell r="Z33">
            <v>33.847999999999999</v>
          </cell>
          <cell r="AA33">
            <v>33.847999999999999</v>
          </cell>
          <cell r="AB33">
            <v>33.847999999999999</v>
          </cell>
        </row>
        <row r="34">
          <cell r="C34">
            <v>0</v>
          </cell>
          <cell r="D34">
            <v>0</v>
          </cell>
          <cell r="E34">
            <v>0</v>
          </cell>
          <cell r="F34">
            <v>0</v>
          </cell>
          <cell r="G34">
            <v>0</v>
          </cell>
          <cell r="H34">
            <v>0</v>
          </cell>
          <cell r="L34">
            <v>0</v>
          </cell>
          <cell r="M34">
            <v>0</v>
          </cell>
          <cell r="Q34">
            <v>0</v>
          </cell>
          <cell r="R34">
            <v>0</v>
          </cell>
          <cell r="AA34">
            <v>0</v>
          </cell>
          <cell r="AB34">
            <v>0</v>
          </cell>
        </row>
        <row r="35">
          <cell r="C35">
            <v>369.3</v>
          </cell>
          <cell r="D35">
            <v>369.3</v>
          </cell>
          <cell r="E35">
            <v>369.3</v>
          </cell>
          <cell r="F35">
            <v>369.3</v>
          </cell>
          <cell r="G35">
            <v>369.3</v>
          </cell>
          <cell r="H35">
            <v>369.3</v>
          </cell>
          <cell r="I35">
            <v>369.3</v>
          </cell>
          <cell r="J35">
            <v>369.3</v>
          </cell>
          <cell r="K35">
            <v>369.3</v>
          </cell>
          <cell r="L35">
            <v>369.3</v>
          </cell>
          <cell r="M35">
            <v>369.3</v>
          </cell>
          <cell r="N35">
            <v>369.3</v>
          </cell>
          <cell r="O35">
            <v>369.3</v>
          </cell>
          <cell r="P35">
            <v>369.3</v>
          </cell>
          <cell r="Q35">
            <v>369.3</v>
          </cell>
          <cell r="R35">
            <v>369.3</v>
          </cell>
          <cell r="S35">
            <v>369.3</v>
          </cell>
          <cell r="T35">
            <v>369.3</v>
          </cell>
          <cell r="U35">
            <v>369.3</v>
          </cell>
          <cell r="V35">
            <v>369.3</v>
          </cell>
          <cell r="W35">
            <v>369.3</v>
          </cell>
          <cell r="X35">
            <v>369.3</v>
          </cell>
          <cell r="Y35">
            <v>369.3</v>
          </cell>
          <cell r="Z35">
            <v>369.3</v>
          </cell>
          <cell r="AA35">
            <v>369.3</v>
          </cell>
          <cell r="AB35">
            <v>369.3</v>
          </cell>
        </row>
        <row r="36">
          <cell r="C36">
            <v>1200.3642657586236</v>
          </cell>
          <cell r="D36">
            <v>1405.1340811594675</v>
          </cell>
          <cell r="E36">
            <v>1577.686219600497</v>
          </cell>
          <cell r="F36">
            <v>1308.6380326735159</v>
          </cell>
          <cell r="G36">
            <v>1368.6149369521465</v>
          </cell>
          <cell r="H36">
            <v>1374.519349515135</v>
          </cell>
          <cell r="L36">
            <v>1592.0048286401241</v>
          </cell>
          <cell r="M36">
            <v>1600.4601849478893</v>
          </cell>
          <cell r="Q36">
            <v>1757.2738133567684</v>
          </cell>
          <cell r="R36">
            <v>1766.3056470335343</v>
          </cell>
          <cell r="AA36">
            <v>1916.9091320327705</v>
          </cell>
          <cell r="AB36">
            <v>1923.4803600652151</v>
          </cell>
        </row>
        <row r="37">
          <cell r="C37">
            <v>42.850999999999999</v>
          </cell>
          <cell r="D37">
            <v>42.850999999999999</v>
          </cell>
          <cell r="E37">
            <v>42.850999999999999</v>
          </cell>
          <cell r="F37">
            <v>42.850999999999999</v>
          </cell>
          <cell r="G37">
            <v>42.850999999999999</v>
          </cell>
          <cell r="H37">
            <v>42.850999999999999</v>
          </cell>
          <cell r="I37">
            <v>42.850999999999999</v>
          </cell>
          <cell r="J37">
            <v>42.850999999999999</v>
          </cell>
          <cell r="K37">
            <v>42.850999999999999</v>
          </cell>
          <cell r="L37">
            <v>42.850999999999999</v>
          </cell>
          <cell r="M37">
            <v>42.850999999999999</v>
          </cell>
          <cell r="N37">
            <v>42.850999999999999</v>
          </cell>
          <cell r="O37">
            <v>42.850999999999999</v>
          </cell>
          <cell r="P37">
            <v>42.850999999999999</v>
          </cell>
          <cell r="Q37">
            <v>42.850999999999999</v>
          </cell>
          <cell r="R37">
            <v>42.850999999999999</v>
          </cell>
          <cell r="S37">
            <v>42.850999999999999</v>
          </cell>
          <cell r="T37">
            <v>42.850999999999999</v>
          </cell>
          <cell r="U37">
            <v>42.850999999999999</v>
          </cell>
          <cell r="V37">
            <v>42.850999999999999</v>
          </cell>
          <cell r="W37">
            <v>42.850999999999999</v>
          </cell>
          <cell r="X37">
            <v>42.850999999999999</v>
          </cell>
          <cell r="Y37">
            <v>42.850999999999999</v>
          </cell>
          <cell r="Z37">
            <v>42.850999999999999</v>
          </cell>
          <cell r="AA37">
            <v>42.850999999999999</v>
          </cell>
          <cell r="AB37">
            <v>42.850999999999999</v>
          </cell>
        </row>
        <row r="39">
          <cell r="C39">
            <v>28.012514661469361</v>
          </cell>
          <cell r="D39">
            <v>32.791161960268546</v>
          </cell>
          <cell r="E39">
            <v>36.817955697661596</v>
          </cell>
          <cell r="F39">
            <v>30.539264723659095</v>
          </cell>
          <cell r="G39">
            <v>31.938926441673392</v>
          </cell>
          <cell r="H39">
            <v>32.076715817953726</v>
          </cell>
          <cell r="L39">
            <v>37.152104469910249</v>
          </cell>
          <cell r="M39">
            <v>37.349424399614698</v>
          </cell>
          <cell r="Q39">
            <v>41.008933592139471</v>
          </cell>
          <cell r="R39">
            <v>41.219706588726851</v>
          </cell>
          <cell r="AA39">
            <v>44.734291662569611</v>
          </cell>
          <cell r="AB39">
            <v>44.887642296917576</v>
          </cell>
        </row>
        <row r="41">
          <cell r="D41">
            <v>1</v>
          </cell>
          <cell r="E41">
            <v>2</v>
          </cell>
          <cell r="F41">
            <v>3</v>
          </cell>
          <cell r="G41">
            <v>4</v>
          </cell>
          <cell r="H41">
            <v>5</v>
          </cell>
          <cell r="L41">
            <v>9</v>
          </cell>
          <cell r="M41">
            <v>10</v>
          </cell>
          <cell r="Q41">
            <v>14</v>
          </cell>
          <cell r="R41">
            <v>15</v>
          </cell>
          <cell r="AA41">
            <v>24</v>
          </cell>
          <cell r="AB41">
            <v>25</v>
          </cell>
        </row>
        <row r="44">
          <cell r="C44">
            <v>6.2260265284651388E-2</v>
          </cell>
          <cell r="D44">
            <v>9.7584717147915431E-2</v>
          </cell>
          <cell r="E44">
            <v>0.10436341066456289</v>
          </cell>
          <cell r="F44">
            <v>0.11551302807906516</v>
          </cell>
          <cell r="G44">
            <v>9.7740825209288076E-2</v>
          </cell>
          <cell r="H44">
            <v>0.1003867564005331</v>
          </cell>
          <cell r="L44">
            <v>0.12592266309582537</v>
          </cell>
          <cell r="M44">
            <v>0.12592266309582539</v>
          </cell>
          <cell r="Q44">
            <v>0.16014077806751709</v>
          </cell>
          <cell r="R44">
            <v>0.16014077806751709</v>
          </cell>
          <cell r="AA44">
            <v>0.20615824302944727</v>
          </cell>
          <cell r="AB44">
            <v>0.20615824302944724</v>
          </cell>
        </row>
        <row r="45">
          <cell r="C45">
            <v>2.4395404557812361E-2</v>
          </cell>
          <cell r="D45">
            <v>3.5324451863264043E-2</v>
          </cell>
          <cell r="E45">
            <v>6.7786935166474632E-3</v>
          </cell>
          <cell r="F45">
            <v>1.1149617414502266E-2</v>
          </cell>
          <cell r="G45">
            <v>-1.7772202869777085E-2</v>
          </cell>
          <cell r="H45">
            <v>2.645931191245024E-3</v>
          </cell>
          <cell r="L45">
            <v>0</v>
          </cell>
          <cell r="M45">
            <v>2.7755575615628914E-17</v>
          </cell>
          <cell r="Q45">
            <v>2.7755575615628914E-17</v>
          </cell>
          <cell r="R45">
            <v>0</v>
          </cell>
          <cell r="AA45">
            <v>0</v>
          </cell>
          <cell r="AB45">
            <v>-2.7755575615628914E-17</v>
          </cell>
        </row>
        <row r="46">
          <cell r="C46">
            <v>0.27521045045069142</v>
          </cell>
          <cell r="D46">
            <v>0.30019964827312351</v>
          </cell>
          <cell r="E46">
            <v>0.63542523199201806</v>
          </cell>
          <cell r="F46">
            <v>1.6858019297902467</v>
          </cell>
          <cell r="G46">
            <v>0.10604321877934655</v>
          </cell>
          <cell r="H46">
            <v>-2.3117446434781502E-2</v>
          </cell>
          <cell r="L46">
            <v>0.12426739926739899</v>
          </cell>
          <cell r="M46">
            <v>0.12426739926739935</v>
          </cell>
          <cell r="Q46">
            <v>0.15803571428571447</v>
          </cell>
          <cell r="R46">
            <v>0.15803571428571425</v>
          </cell>
          <cell r="AA46">
            <v>0.20344827586206882</v>
          </cell>
          <cell r="AB46">
            <v>0.20344827586206873</v>
          </cell>
        </row>
        <row r="47">
          <cell r="C47">
            <v>0.18285377083652804</v>
          </cell>
          <cell r="D47">
            <v>0.33950242217827548</v>
          </cell>
          <cell r="E47" t="str">
            <v>NM</v>
          </cell>
          <cell r="F47">
            <v>0.51000309411038958</v>
          </cell>
          <cell r="G47">
            <v>-0.56853043138614601</v>
          </cell>
          <cell r="H47" t="str">
            <v>NM</v>
          </cell>
          <cell r="L47">
            <v>0.12762261904761915</v>
          </cell>
          <cell r="M47">
            <v>0.12762261904761804</v>
          </cell>
          <cell r="Q47">
            <v>0.16230267857142888</v>
          </cell>
          <cell r="R47">
            <v>0.1623026785714278</v>
          </cell>
          <cell r="AA47">
            <v>0.20894137931034434</v>
          </cell>
          <cell r="AB47">
            <v>0.20894137931034376</v>
          </cell>
        </row>
        <row r="48">
          <cell r="C48">
            <v>-25.796365109631054</v>
          </cell>
          <cell r="D48">
            <v>20.596813312872911</v>
          </cell>
          <cell r="E48">
            <v>29.821955927425165</v>
          </cell>
          <cell r="F48">
            <v>46.297240702505349</v>
          </cell>
          <cell r="G48">
            <v>21.519371993032919</v>
          </cell>
          <cell r="H48">
            <v>25.220622963168339</v>
          </cell>
          <cell r="L48">
            <v>54.059134232080993</v>
          </cell>
          <cell r="M48">
            <v>55.51873085634719</v>
          </cell>
          <cell r="Q48">
            <v>86.716238419572363</v>
          </cell>
          <cell r="R48">
            <v>89.057576856900795</v>
          </cell>
          <cell r="AA48">
            <v>139.94501310983122</v>
          </cell>
          <cell r="AB48">
            <v>143.72352846379664</v>
          </cell>
        </row>
        <row r="49">
          <cell r="C49">
            <v>-19.568164225417576</v>
          </cell>
          <cell r="D49">
            <v>17.727652287159664</v>
          </cell>
          <cell r="E49">
            <v>26.824589306716202</v>
          </cell>
          <cell r="F49">
            <v>37.913980410043543</v>
          </cell>
          <cell r="G49">
            <v>14.55516083374035</v>
          </cell>
          <cell r="H49">
            <v>18.011607337147428</v>
          </cell>
          <cell r="L49">
            <v>27.183836174209752</v>
          </cell>
          <cell r="M49">
            <v>25.793346262047617</v>
          </cell>
          <cell r="Q49">
            <v>29.037201755347919</v>
          </cell>
          <cell r="R49">
            <v>27.551909692098441</v>
          </cell>
          <cell r="AA49">
            <v>21.126393707773452</v>
          </cell>
          <cell r="AB49">
            <v>20.045750153906884</v>
          </cell>
        </row>
        <row r="50">
          <cell r="C50">
            <v>-19.568164225417576</v>
          </cell>
          <cell r="D50">
            <v>17.727652287159664</v>
          </cell>
          <cell r="E50">
            <v>44.552241593875863</v>
          </cell>
          <cell r="F50">
            <v>82.466222003919398</v>
          </cell>
          <cell r="G50">
            <v>97.021382837659743</v>
          </cell>
          <cell r="H50">
            <v>115.03299017480717</v>
          </cell>
          <cell r="L50">
            <v>218.15013764603546</v>
          </cell>
          <cell r="M50">
            <v>243.94348390808307</v>
          </cell>
          <cell r="Q50">
            <v>360.30954526591273</v>
          </cell>
          <cell r="R50">
            <v>387.86145495801117</v>
          </cell>
          <cell r="AA50">
            <v>618.58456586239242</v>
          </cell>
          <cell r="AB50">
            <v>638.63031601629928</v>
          </cell>
        </row>
        <row r="51">
          <cell r="C51">
            <v>-19.568164225417576</v>
          </cell>
          <cell r="D51">
            <v>19.187779731200195</v>
          </cell>
          <cell r="E51">
            <v>31.425346894545456</v>
          </cell>
          <cell r="F51">
            <v>48.075064960304857</v>
          </cell>
          <cell r="G51">
            <v>19.976113944705858</v>
          </cell>
          <cell r="H51">
            <v>26.755924873859982</v>
          </cell>
          <cell r="L51">
            <v>55.420729667704265</v>
          </cell>
          <cell r="M51">
            <v>56.917089368732263</v>
          </cell>
          <cell r="Q51">
            <v>87.939451933519564</v>
          </cell>
          <cell r="R51">
            <v>90.313817135724577</v>
          </cell>
          <cell r="AA51">
            <v>141.18525939928639</v>
          </cell>
          <cell r="AB51">
            <v>144.99726140306709</v>
          </cell>
        </row>
        <row r="52">
          <cell r="C52">
            <v>1318.9584981152339</v>
          </cell>
          <cell r="D52">
            <v>1370.3519999999999</v>
          </cell>
          <cell r="E52">
            <v>1370.3519999999999</v>
          </cell>
          <cell r="F52">
            <v>1370.3519999999999</v>
          </cell>
          <cell r="G52">
            <v>1370.3519999999999</v>
          </cell>
          <cell r="H52">
            <v>1370.3519999999999</v>
          </cell>
          <cell r="L52">
            <v>1370.3519999999999</v>
          </cell>
          <cell r="M52">
            <v>1370.3519999999999</v>
          </cell>
          <cell r="Q52">
            <v>1370.3519999999999</v>
          </cell>
          <cell r="R52">
            <v>1370.3519999999999</v>
          </cell>
          <cell r="AA52">
            <v>1370.3519999999999</v>
          </cell>
          <cell r="AB52">
            <v>1370.3519999999999</v>
          </cell>
        </row>
        <row r="54">
          <cell r="C54">
            <v>236.42593186880762</v>
          </cell>
          <cell r="D54">
            <v>381.54040938251785</v>
          </cell>
          <cell r="E54">
            <v>583.68743000986899</v>
          </cell>
          <cell r="F54">
            <v>242.5333511165729</v>
          </cell>
          <cell r="G54">
            <v>324.84817316534787</v>
          </cell>
          <cell r="H54">
            <v>333.61907384081229</v>
          </cell>
          <cell r="L54">
            <v>691.03993192122152</v>
          </cell>
          <cell r="M54">
            <v>709.69801008309469</v>
          </cell>
          <cell r="Q54">
            <v>1096.51520724639</v>
          </cell>
          <cell r="R54">
            <v>1126.1211178420428</v>
          </cell>
          <cell r="AA54">
            <v>1760.4360792170778</v>
          </cell>
          <cell r="AB54">
            <v>1807.9678533559388</v>
          </cell>
        </row>
        <row r="55">
          <cell r="C55">
            <v>236.42593186880762</v>
          </cell>
          <cell r="D55">
            <v>352.50642887230759</v>
          </cell>
          <cell r="E55">
            <v>498.23397800662093</v>
          </cell>
          <cell r="F55">
            <v>191.27181066959594</v>
          </cell>
          <cell r="G55">
            <v>236.69355411448601</v>
          </cell>
          <cell r="H55">
            <v>224.58635934032674</v>
          </cell>
          <cell r="L55">
            <v>338.95469099408729</v>
          </cell>
          <cell r="M55">
            <v>321.61670103980492</v>
          </cell>
          <cell r="Q55">
            <v>362.06426809085366</v>
          </cell>
          <cell r="R55">
            <v>343.54419207552172</v>
          </cell>
          <cell r="AA55">
            <v>263.42456617037618</v>
          </cell>
          <cell r="AB55">
            <v>249.95004404891398</v>
          </cell>
        </row>
        <row r="56">
          <cell r="C56">
            <v>216.85776764339005</v>
          </cell>
          <cell r="D56">
            <v>370.23408115946728</v>
          </cell>
          <cell r="E56">
            <v>542.78621960049679</v>
          </cell>
          <cell r="F56">
            <v>273.73803267351536</v>
          </cell>
          <cell r="G56">
            <v>333.71493695214576</v>
          </cell>
          <cell r="H56">
            <v>339.61934951513388</v>
          </cell>
          <cell r="L56">
            <v>557.10482864012272</v>
          </cell>
          <cell r="M56">
            <v>565.56018494788805</v>
          </cell>
          <cell r="Q56">
            <v>722.37381335676639</v>
          </cell>
          <cell r="R56">
            <v>731.40564703353289</v>
          </cell>
          <cell r="AA56">
            <v>882.00913203276855</v>
          </cell>
          <cell r="AB56">
            <v>888.5803600652132</v>
          </cell>
        </row>
        <row r="58">
          <cell r="C58">
            <v>1535.816265758624</v>
          </cell>
          <cell r="D58">
            <v>1740.5860811594671</v>
          </cell>
          <cell r="E58">
            <v>1913.1382196004965</v>
          </cell>
          <cell r="F58">
            <v>1644.0900326735152</v>
          </cell>
          <cell r="G58">
            <v>1704.0669369521456</v>
          </cell>
          <cell r="H58">
            <v>1709.9713495151336</v>
          </cell>
          <cell r="L58">
            <v>1927.4568286401227</v>
          </cell>
          <cell r="M58">
            <v>1935.9121849478879</v>
          </cell>
          <cell r="Q58">
            <v>2092.7258133567661</v>
          </cell>
          <cell r="R58">
            <v>2101.7576470335325</v>
          </cell>
          <cell r="AA58">
            <v>2252.3611320327682</v>
          </cell>
          <cell r="AB58">
            <v>2258.9323600652133</v>
          </cell>
        </row>
        <row r="59">
          <cell r="C59">
            <v>33.847999999999999</v>
          </cell>
          <cell r="D59">
            <v>33.847999999999999</v>
          </cell>
          <cell r="E59">
            <v>33.847999999999999</v>
          </cell>
          <cell r="F59">
            <v>33.847999999999999</v>
          </cell>
          <cell r="G59">
            <v>33.847999999999999</v>
          </cell>
          <cell r="H59">
            <v>33.847999999999999</v>
          </cell>
          <cell r="L59">
            <v>33.847999999999999</v>
          </cell>
          <cell r="M59">
            <v>33.847999999999999</v>
          </cell>
          <cell r="Q59">
            <v>33.847999999999999</v>
          </cell>
          <cell r="R59">
            <v>33.847999999999999</v>
          </cell>
          <cell r="AA59">
            <v>33.847999999999999</v>
          </cell>
          <cell r="AB59">
            <v>33.847999999999999</v>
          </cell>
        </row>
        <row r="60">
          <cell r="C60">
            <v>369.3</v>
          </cell>
          <cell r="D60">
            <v>369.3</v>
          </cell>
          <cell r="E60">
            <v>369.3</v>
          </cell>
          <cell r="F60">
            <v>369.3</v>
          </cell>
          <cell r="G60">
            <v>369.3</v>
          </cell>
          <cell r="H60">
            <v>369.3</v>
          </cell>
          <cell r="L60">
            <v>369.3</v>
          </cell>
          <cell r="M60">
            <v>369.3</v>
          </cell>
          <cell r="Q60">
            <v>369.3</v>
          </cell>
          <cell r="R60">
            <v>369.3</v>
          </cell>
          <cell r="AA60">
            <v>369.3</v>
          </cell>
          <cell r="AB60">
            <v>369.3</v>
          </cell>
        </row>
        <row r="61">
          <cell r="C61">
            <v>1200.364265758624</v>
          </cell>
          <cell r="D61">
            <v>1405.1340811594671</v>
          </cell>
          <cell r="E61">
            <v>1577.6862196004965</v>
          </cell>
          <cell r="F61">
            <v>1308.6380326735152</v>
          </cell>
          <cell r="G61">
            <v>1368.6149369521456</v>
          </cell>
          <cell r="H61">
            <v>1374.5193495151336</v>
          </cell>
          <cell r="L61">
            <v>1592.0048286401227</v>
          </cell>
          <cell r="M61">
            <v>1600.4601849478879</v>
          </cell>
          <cell r="Q61">
            <v>1757.2738133567661</v>
          </cell>
          <cell r="R61">
            <v>1766.3056470335325</v>
          </cell>
          <cell r="AA61">
            <v>1916.9091320327682</v>
          </cell>
          <cell r="AB61">
            <v>1923.4803600652133</v>
          </cell>
        </row>
        <row r="62">
          <cell r="C62">
            <v>42.850999999999999</v>
          </cell>
          <cell r="D62">
            <v>42.850999999999999</v>
          </cell>
          <cell r="E62">
            <v>42.850999999999999</v>
          </cell>
          <cell r="F62">
            <v>42.850999999999999</v>
          </cell>
          <cell r="G62">
            <v>42.850999999999999</v>
          </cell>
          <cell r="H62">
            <v>42.850999999999999</v>
          </cell>
          <cell r="L62">
            <v>42.850999999999999</v>
          </cell>
          <cell r="M62">
            <v>42.850999999999999</v>
          </cell>
          <cell r="Q62">
            <v>42.850999999999999</v>
          </cell>
          <cell r="R62">
            <v>42.850999999999999</v>
          </cell>
          <cell r="AA62">
            <v>42.850999999999999</v>
          </cell>
          <cell r="AB62">
            <v>42.850999999999999</v>
          </cell>
        </row>
        <row r="64">
          <cell r="C64">
            <v>28.012514661469371</v>
          </cell>
          <cell r="D64">
            <v>32.791161960268539</v>
          </cell>
          <cell r="E64">
            <v>36.817955697661588</v>
          </cell>
          <cell r="F64">
            <v>30.53926472365908</v>
          </cell>
          <cell r="G64">
            <v>31.93892644167337</v>
          </cell>
          <cell r="H64">
            <v>32.076715817953691</v>
          </cell>
          <cell r="L64">
            <v>37.152104469910221</v>
          </cell>
          <cell r="M64">
            <v>37.349424399614662</v>
          </cell>
          <cell r="Q64">
            <v>41.008933592139421</v>
          </cell>
          <cell r="R64">
            <v>41.219706588726808</v>
          </cell>
          <cell r="AA64">
            <v>44.734291662569561</v>
          </cell>
          <cell r="AB64">
            <v>44.887642296917534</v>
          </cell>
        </row>
        <row r="65">
          <cell r="C65">
            <v>24.400987530191756</v>
          </cell>
          <cell r="D65">
            <v>46.393178422503965</v>
          </cell>
          <cell r="E65">
            <v>9.2251426145522544</v>
          </cell>
          <cell r="F65">
            <v>16.475284775080183</v>
          </cell>
          <cell r="G65">
            <v>-24.777868709472429</v>
          </cell>
          <cell r="H65">
            <v>3.701250970135419</v>
          </cell>
          <cell r="L65">
            <v>1.4212235874062173</v>
          </cell>
          <cell r="M65">
            <v>1.4595966242661973</v>
          </cell>
          <cell r="Q65">
            <v>2.2797842622477731</v>
          </cell>
          <cell r="R65">
            <v>2.3413384373284316</v>
          </cell>
          <cell r="AA65">
            <v>3.6791775598495065</v>
          </cell>
          <cell r="AB65">
            <v>3.7785153539654175</v>
          </cell>
        </row>
        <row r="68">
          <cell r="C68">
            <v>0.11995346131471789</v>
          </cell>
          <cell r="D68">
            <v>6.690214003739868E-2</v>
          </cell>
          <cell r="E68">
            <v>4.6738072054527749E-2</v>
          </cell>
          <cell r="F68">
            <v>0.05</v>
          </cell>
          <cell r="G68">
            <v>2.6999999999999944E-2</v>
          </cell>
          <cell r="H68">
            <v>2.6999999999999965E-2</v>
          </cell>
          <cell r="L68">
            <v>2.6999999999999989E-2</v>
          </cell>
          <cell r="M68">
            <v>2.6999999999999916E-2</v>
          </cell>
          <cell r="Q68">
            <v>2.6999999999999944E-2</v>
          </cell>
          <cell r="R68">
            <v>2.6999999999999871E-2</v>
          </cell>
          <cell r="AA68">
            <v>2.699999999999992E-2</v>
          </cell>
          <cell r="AB68">
            <v>2.6999999999999906E-2</v>
          </cell>
        </row>
        <row r="69">
          <cell r="C69">
            <v>4.1865953609919189E-2</v>
          </cell>
          <cell r="D69">
            <v>6.4292112950340888E-2</v>
          </cell>
          <cell r="E69">
            <v>6.5802558139534895E-2</v>
          </cell>
          <cell r="F69">
            <v>7.1464894795127354E-2</v>
          </cell>
          <cell r="G69">
            <v>5.8999999999999997E-2</v>
          </cell>
          <cell r="H69">
            <v>5.899999999999999E-2</v>
          </cell>
          <cell r="L69">
            <v>5.8999999999999997E-2</v>
          </cell>
          <cell r="M69">
            <v>5.8999999999999997E-2</v>
          </cell>
          <cell r="Q69">
            <v>5.8999999999999997E-2</v>
          </cell>
          <cell r="R69">
            <v>5.8999999999999997E-2</v>
          </cell>
          <cell r="AA69">
            <v>5.8999999999999997E-2</v>
          </cell>
          <cell r="AB69">
            <v>5.8999999999999997E-2</v>
          </cell>
        </row>
        <row r="70">
          <cell r="C70">
            <v>1.1939864209505416E-2</v>
          </cell>
          <cell r="D70">
            <v>0.17885783298826735</v>
          </cell>
          <cell r="E70">
            <v>2.0882584712370957E-3</v>
          </cell>
          <cell r="F70">
            <v>-1.1063829787234004E-2</v>
          </cell>
          <cell r="G70">
            <v>3.9999999999999945E-2</v>
          </cell>
          <cell r="H70">
            <v>4.0000000000000098E-2</v>
          </cell>
          <cell r="L70">
            <v>3.9999999999999918E-2</v>
          </cell>
          <cell r="M70">
            <v>4.0000000000000084E-2</v>
          </cell>
          <cell r="Q70">
            <v>3.9999999999999918E-2</v>
          </cell>
          <cell r="R70">
            <v>4.0000000000000049E-2</v>
          </cell>
          <cell r="AA70">
            <v>4.0000000000000063E-2</v>
          </cell>
          <cell r="AB70">
            <v>3.9999999999999959E-2</v>
          </cell>
        </row>
        <row r="71">
          <cell r="C71">
            <v>0.72308438409311393</v>
          </cell>
          <cell r="D71">
            <v>-0.44449934123847185</v>
          </cell>
          <cell r="E71">
            <v>0.40347504899743569</v>
          </cell>
          <cell r="F71">
            <v>0.41264266900790209</v>
          </cell>
          <cell r="G71">
            <v>-0.65480513192932044</v>
          </cell>
          <cell r="H71">
            <v>0.55555555555555558</v>
          </cell>
          <cell r="L71">
            <v>0.43478260869565233</v>
          </cell>
          <cell r="M71">
            <v>0.43478260869564955</v>
          </cell>
          <cell r="Q71">
            <v>0.33333333333333426</v>
          </cell>
          <cell r="R71">
            <v>0.33333333333333287</v>
          </cell>
          <cell r="AA71">
            <v>0.25</v>
          </cell>
          <cell r="AB71">
            <v>0.25</v>
          </cell>
        </row>
        <row r="74">
          <cell r="C74">
            <v>68.252000000000066</v>
          </cell>
          <cell r="D74">
            <v>91.288888888888891</v>
          </cell>
          <cell r="E74">
            <v>91.489361702127653</v>
          </cell>
          <cell r="F74">
            <v>90.3</v>
          </cell>
          <cell r="G74">
            <v>92.738099999999989</v>
          </cell>
          <cell r="H74">
            <v>95.242028699999992</v>
          </cell>
          <cell r="L74">
            <v>105.95230564405634</v>
          </cell>
          <cell r="M74">
            <v>108.81301789644586</v>
          </cell>
          <cell r="Q74">
            <v>121.04939686376508</v>
          </cell>
          <cell r="R74">
            <v>124.31773057908673</v>
          </cell>
          <cell r="AA74">
            <v>158.00363045049772</v>
          </cell>
          <cell r="AB74">
            <v>162.26972847266114</v>
          </cell>
        </row>
        <row r="75">
          <cell r="C75">
            <v>1302.1000000000001</v>
          </cell>
          <cell r="D75">
            <v>1244.848484848485</v>
          </cell>
          <cell r="E75">
            <v>1283.5820895522388</v>
          </cell>
          <cell r="F75">
            <v>1327.9411764705883</v>
          </cell>
          <cell r="G75">
            <v>1288.0291666666665</v>
          </cell>
          <cell r="H75">
            <v>1322.8059541666664</v>
          </cell>
          <cell r="L75">
            <v>1151.6554961310474</v>
          </cell>
          <cell r="M75">
            <v>1182.7501945265853</v>
          </cell>
          <cell r="Q75">
            <v>1008.7449738647091</v>
          </cell>
          <cell r="R75">
            <v>1035.9810881590561</v>
          </cell>
          <cell r="AA75">
            <v>987.5226903156107</v>
          </cell>
          <cell r="AB75">
            <v>1014.1858029541321</v>
          </cell>
        </row>
        <row r="76">
          <cell r="C76">
            <v>0</v>
          </cell>
          <cell r="D76">
            <v>0</v>
          </cell>
          <cell r="E76">
            <v>0</v>
          </cell>
          <cell r="F76">
            <v>0</v>
          </cell>
          <cell r="G76">
            <v>0</v>
          </cell>
          <cell r="H76">
            <v>0</v>
          </cell>
          <cell r="L76">
            <v>0</v>
          </cell>
          <cell r="M76">
            <v>0</v>
          </cell>
          <cell r="Q76">
            <v>0</v>
          </cell>
          <cell r="R76">
            <v>0</v>
          </cell>
          <cell r="AA76">
            <v>0</v>
          </cell>
          <cell r="AB76">
            <v>0</v>
          </cell>
        </row>
        <row r="77">
          <cell r="C77">
            <v>1370.3519999999999</v>
          </cell>
          <cell r="D77">
            <v>1336.1373737373738</v>
          </cell>
          <cell r="E77">
            <v>1375.0714512543664</v>
          </cell>
          <cell r="F77">
            <v>1418.2411764705882</v>
          </cell>
          <cell r="G77">
            <v>1380.7672666666665</v>
          </cell>
          <cell r="H77">
            <v>1418.0479828666664</v>
          </cell>
          <cell r="I77">
            <v>1161.0044708107694</v>
          </cell>
          <cell r="J77">
            <v>1192.3515915226601</v>
          </cell>
          <cell r="K77">
            <v>1224.5450844937718</v>
          </cell>
          <cell r="L77">
            <v>1257.6078017751038</v>
          </cell>
          <cell r="M77">
            <v>1291.5632124230312</v>
          </cell>
          <cell r="N77">
            <v>1043.009047543399</v>
          </cell>
          <cell r="O77">
            <v>1071.1702918270705</v>
          </cell>
          <cell r="P77">
            <v>1100.0918897064014</v>
          </cell>
          <cell r="Q77">
            <v>1129.7943707284742</v>
          </cell>
          <cell r="R77">
            <v>1160.2988187381427</v>
          </cell>
          <cell r="S77">
            <v>925.638742459235</v>
          </cell>
          <cell r="T77">
            <v>950.63098850563426</v>
          </cell>
          <cell r="U77">
            <v>976.2980251952863</v>
          </cell>
          <cell r="V77">
            <v>1002.658071875559</v>
          </cell>
          <cell r="W77">
            <v>1029.729839816199</v>
          </cell>
          <cell r="X77">
            <v>1057.5325454912363</v>
          </cell>
          <cell r="Y77">
            <v>1086.0859242194995</v>
          </cell>
          <cell r="Z77">
            <v>1115.410244173426</v>
          </cell>
          <cell r="AA77">
            <v>1145.5263207661085</v>
          </cell>
          <cell r="AB77">
            <v>1176.4555314267932</v>
          </cell>
        </row>
        <row r="78">
          <cell r="C78">
            <v>1294.5709999999999</v>
          </cell>
          <cell r="D78">
            <v>1353.2446868686868</v>
          </cell>
          <cell r="E78">
            <v>1355.6044124958701</v>
          </cell>
          <cell r="F78">
            <v>1396.6563138624774</v>
          </cell>
          <cell r="G78">
            <v>1399.5042215686274</v>
          </cell>
          <cell r="H78">
            <v>1399.4076247666665</v>
          </cell>
          <cell r="I78">
            <v>1289.5262268387178</v>
          </cell>
          <cell r="J78">
            <v>1176.6780311667148</v>
          </cell>
          <cell r="K78">
            <v>1208.4483380082161</v>
          </cell>
          <cell r="L78">
            <v>1241.0764431344378</v>
          </cell>
          <cell r="M78">
            <v>1274.5855070990674</v>
          </cell>
          <cell r="N78">
            <v>1167.2861299832152</v>
          </cell>
          <cell r="O78">
            <v>1057.0896696852346</v>
          </cell>
          <cell r="P78">
            <v>1085.631090766736</v>
          </cell>
          <cell r="Q78">
            <v>1114.9431302174378</v>
          </cell>
          <cell r="R78">
            <v>1145.0465947333084</v>
          </cell>
          <cell r="S78">
            <v>1042.9687805986889</v>
          </cell>
          <cell r="T78">
            <v>938.13486548243463</v>
          </cell>
          <cell r="U78">
            <v>963.46450685046034</v>
          </cell>
          <cell r="V78">
            <v>989.47804853542266</v>
          </cell>
          <cell r="W78">
            <v>1016.193955845879</v>
          </cell>
          <cell r="X78">
            <v>1043.6311926537178</v>
          </cell>
          <cell r="Y78">
            <v>1071.8092348553678</v>
          </cell>
          <cell r="Z78">
            <v>1100.7480841964627</v>
          </cell>
          <cell r="AA78">
            <v>1130.4682824697672</v>
          </cell>
          <cell r="AB78">
            <v>1160.9909260964509</v>
          </cell>
        </row>
        <row r="79">
          <cell r="C79">
            <v>0.12435448272466947</v>
          </cell>
          <cell r="D79">
            <v>-2.4967764678437438E-2</v>
          </cell>
          <cell r="E79">
            <v>2.9139277354459616E-2</v>
          </cell>
          <cell r="F79">
            <v>3.1394532390910765E-2</v>
          </cell>
          <cell r="G79">
            <v>-2.6422804827299331E-2</v>
          </cell>
          <cell r="H79">
            <v>2.6999999999999941E-2</v>
          </cell>
          <cell r="L79">
            <v>2.7000000000000107E-2</v>
          </cell>
          <cell r="M79">
            <v>2.6999999999999733E-2</v>
          </cell>
          <cell r="Q79">
            <v>2.6999999999999955E-2</v>
          </cell>
          <cell r="R79">
            <v>2.699999999999975E-2</v>
          </cell>
          <cell r="AA79">
            <v>2.6999999999999975E-2</v>
          </cell>
          <cell r="AB79">
            <v>2.6999999999999802E-2</v>
          </cell>
        </row>
        <row r="80">
          <cell r="C80">
            <v>28.725324898166221</v>
          </cell>
          <cell r="D80">
            <v>25.748884994999528</v>
          </cell>
          <cell r="E80">
            <v>23.525775009312529</v>
          </cell>
          <cell r="F80">
            <v>24.836436839456468</v>
          </cell>
          <cell r="G80">
            <v>25.333004440059202</v>
          </cell>
          <cell r="H80">
            <v>25.333004440059202</v>
          </cell>
          <cell r="L80">
            <v>25.333004440059202</v>
          </cell>
          <cell r="M80">
            <v>25.333004440059199</v>
          </cell>
          <cell r="Q80">
            <v>25.333004440059199</v>
          </cell>
          <cell r="R80">
            <v>25.333004440059199</v>
          </cell>
          <cell r="AA80">
            <v>25.333004440059199</v>
          </cell>
          <cell r="AB80">
            <v>25.333004440059199</v>
          </cell>
        </row>
        <row r="81">
          <cell r="C81">
            <v>1.5683271557166711</v>
          </cell>
          <cell r="D81">
            <v>1.6129105179936059</v>
          </cell>
          <cell r="E81">
            <v>1.7006597070671656</v>
          </cell>
          <cell r="F81">
            <v>1.7288760390314419</v>
          </cell>
          <cell r="G81">
            <v>1.7725372965960688</v>
          </cell>
          <cell r="H81">
            <v>1.8239763196842627</v>
          </cell>
          <cell r="L81">
            <v>2.3306364084854461</v>
          </cell>
          <cell r="M81">
            <v>2.3306364084854465</v>
          </cell>
          <cell r="Q81">
            <v>3.039960532807104</v>
          </cell>
          <cell r="R81">
            <v>3.0399605328071035</v>
          </cell>
          <cell r="AA81">
            <v>4.0532807104094717</v>
          </cell>
          <cell r="AB81">
            <v>4.0532807104094717</v>
          </cell>
        </row>
        <row r="82">
          <cell r="C82" t="str">
            <v xml:space="preserve">--  </v>
          </cell>
          <cell r="D82" t="str">
            <v xml:space="preserve">--  </v>
          </cell>
          <cell r="E82" t="str">
            <v xml:space="preserve">--  </v>
          </cell>
          <cell r="F82" t="str">
            <v xml:space="preserve">--  </v>
          </cell>
          <cell r="G82" t="str">
            <v xml:space="preserve">--  </v>
          </cell>
          <cell r="H82" t="str">
            <v xml:space="preserve">--  </v>
          </cell>
          <cell r="L82" t="str">
            <v xml:space="preserve">--  </v>
          </cell>
          <cell r="M82" t="str">
            <v xml:space="preserve">--  </v>
          </cell>
          <cell r="Q82" t="str">
            <v xml:space="preserve">--  </v>
          </cell>
          <cell r="R82" t="str">
            <v xml:space="preserve">--  </v>
          </cell>
          <cell r="AA82" t="str">
            <v xml:space="preserve">--  </v>
          </cell>
          <cell r="AB82" t="str">
            <v xml:space="preserve">--  </v>
          </cell>
        </row>
        <row r="83">
          <cell r="C83">
            <v>1.4871335755242472</v>
          </cell>
          <cell r="D83">
            <v>1.5178334117481826</v>
          </cell>
          <cell r="E83">
            <v>1.5860084108471801</v>
          </cell>
          <cell r="F83">
            <v>1.6163604299735304</v>
          </cell>
          <cell r="G83">
            <v>1.6566241560896287</v>
          </cell>
          <cell r="H83">
            <v>1.7014704474666629</v>
          </cell>
          <cell r="I83">
            <v>1.8963081447883885</v>
          </cell>
          <cell r="J83">
            <v>2.1342824253529726</v>
          </cell>
          <cell r="K83">
            <v>2.1342824253529726</v>
          </cell>
          <cell r="L83">
            <v>2.1342824253529726</v>
          </cell>
          <cell r="M83">
            <v>2.1342824253529726</v>
          </cell>
          <cell r="N83">
            <v>2.3933928132354487</v>
          </cell>
          <cell r="O83">
            <v>2.7142504757206289</v>
          </cell>
          <cell r="P83">
            <v>2.7142504757206285</v>
          </cell>
          <cell r="Q83">
            <v>2.7142504757206285</v>
          </cell>
          <cell r="R83">
            <v>2.7142504757206285</v>
          </cell>
          <cell r="S83">
            <v>3.0603578860585352</v>
          </cell>
          <cell r="T83">
            <v>3.4942075089736826</v>
          </cell>
          <cell r="U83">
            <v>3.4942075089736826</v>
          </cell>
          <cell r="V83">
            <v>3.4942075089736826</v>
          </cell>
          <cell r="W83">
            <v>3.4942075089736826</v>
          </cell>
          <cell r="X83">
            <v>3.4942075089736822</v>
          </cell>
          <cell r="Y83">
            <v>3.494207508973683</v>
          </cell>
          <cell r="Z83">
            <v>3.494207508973683</v>
          </cell>
          <cell r="AA83">
            <v>3.4942075089736826</v>
          </cell>
          <cell r="AB83">
            <v>3.4942075089736822</v>
          </cell>
        </row>
        <row r="85">
          <cell r="C85">
            <v>28.207232022504808</v>
          </cell>
          <cell r="D85">
            <v>22.5</v>
          </cell>
          <cell r="E85">
            <v>23.500000000000004</v>
          </cell>
          <cell r="F85">
            <v>25</v>
          </cell>
          <cell r="G85">
            <v>25</v>
          </cell>
          <cell r="H85">
            <v>25</v>
          </cell>
          <cell r="L85">
            <v>25</v>
          </cell>
          <cell r="M85">
            <v>25</v>
          </cell>
          <cell r="Q85">
            <v>25</v>
          </cell>
          <cell r="R85">
            <v>25</v>
          </cell>
          <cell r="AA85">
            <v>24.999999999999996</v>
          </cell>
          <cell r="AB85">
            <v>25</v>
          </cell>
        </row>
        <row r="86">
          <cell r="C86">
            <v>1.478534674756163</v>
          </cell>
          <cell r="D86">
            <v>1.65</v>
          </cell>
          <cell r="E86">
            <v>1.675</v>
          </cell>
          <cell r="F86">
            <v>1.7</v>
          </cell>
          <cell r="G86">
            <v>1.8000000000000003</v>
          </cell>
          <cell r="H86">
            <v>1.8000000000000003</v>
          </cell>
          <cell r="L86">
            <v>2.2999999999999998</v>
          </cell>
          <cell r="M86">
            <v>2.2999999999999998</v>
          </cell>
          <cell r="Q86">
            <v>3</v>
          </cell>
          <cell r="R86">
            <v>3</v>
          </cell>
          <cell r="AA86">
            <v>4</v>
          </cell>
          <cell r="AB86">
            <v>4</v>
          </cell>
        </row>
        <row r="87">
          <cell r="C87" t="e">
            <v>#DIV/0!</v>
          </cell>
          <cell r="D87" t="e">
            <v>#DIV/0!</v>
          </cell>
          <cell r="E87" t="e">
            <v>#DIV/0!</v>
          </cell>
          <cell r="F87" t="e">
            <v>#DIV/0!</v>
          </cell>
          <cell r="G87" t="e">
            <v>#DIV/0!</v>
          </cell>
          <cell r="H87" t="e">
            <v>#DIV/0!</v>
          </cell>
          <cell r="L87" t="e">
            <v>#DIV/0!</v>
          </cell>
          <cell r="M87" t="e">
            <v>#DIV/0!</v>
          </cell>
          <cell r="Q87" t="e">
            <v>#DIV/0!</v>
          </cell>
          <cell r="R87" t="e">
            <v>#DIV/0!</v>
          </cell>
          <cell r="AA87" t="e">
            <v>#DIV/0!</v>
          </cell>
          <cell r="AB87" t="e">
            <v>#DIV/0!</v>
          </cell>
        </row>
        <row r="88">
          <cell r="C88">
            <v>1.4048945088561189</v>
          </cell>
          <cell r="D88">
            <v>1.5372670807453417</v>
          </cell>
          <cell r="E88">
            <v>1.5635551142005959</v>
          </cell>
          <cell r="F88">
            <v>1.5917602996254681</v>
          </cell>
          <cell r="G88">
            <v>1.6791044776119404</v>
          </cell>
          <cell r="H88">
            <v>1.6791044776119404</v>
          </cell>
          <cell r="L88">
            <v>2.1062271062271058</v>
          </cell>
          <cell r="M88">
            <v>2.1062271062271063</v>
          </cell>
          <cell r="Q88">
            <v>2.6785714285714284</v>
          </cell>
          <cell r="R88">
            <v>2.6785714285714288</v>
          </cell>
          <cell r="AA88">
            <v>3.4482758620689653</v>
          </cell>
          <cell r="AB88">
            <v>3.4482758620689657</v>
          </cell>
        </row>
        <row r="91">
          <cell r="C91" t="str">
            <v>N/A</v>
          </cell>
          <cell r="D91" t="str">
            <v>N/A</v>
          </cell>
          <cell r="E91" t="str">
            <v>NM</v>
          </cell>
          <cell r="F91" t="str">
            <v>NM</v>
          </cell>
          <cell r="G91" t="str">
            <v>NM</v>
          </cell>
          <cell r="H91" t="str">
            <v>NM</v>
          </cell>
          <cell r="L91" t="str">
            <v>NM</v>
          </cell>
          <cell r="M91" t="str">
            <v>NM</v>
          </cell>
          <cell r="Q91">
            <v>0.18285377083652804</v>
          </cell>
        </row>
        <row r="92">
          <cell r="C92">
            <v>0.27521045045069142</v>
          </cell>
          <cell r="D92">
            <v>0.30019964827312351</v>
          </cell>
          <cell r="E92">
            <v>0.63542523199201806</v>
          </cell>
          <cell r="F92">
            <v>1.6858019297902467</v>
          </cell>
          <cell r="G92">
            <v>0.10604321877934655</v>
          </cell>
          <cell r="H92">
            <v>-2.3117446434781502E-2</v>
          </cell>
          <cell r="L92">
            <v>0.12426739926739899</v>
          </cell>
          <cell r="M92">
            <v>0.12426739926739935</v>
          </cell>
          <cell r="Q92">
            <v>0.15803571428571447</v>
          </cell>
          <cell r="R92">
            <v>0.15803571428571425</v>
          </cell>
          <cell r="AA92">
            <v>0.20344827586206882</v>
          </cell>
          <cell r="AB92">
            <v>0.20344827586206873</v>
          </cell>
        </row>
        <row r="93">
          <cell r="C93">
            <v>0.18285377083652804</v>
          </cell>
          <cell r="D93">
            <v>0.33950242217827548</v>
          </cell>
          <cell r="E93" t="str">
            <v>NM</v>
          </cell>
          <cell r="F93">
            <v>0.51000309411038958</v>
          </cell>
          <cell r="G93">
            <v>-0.56853043138614601</v>
          </cell>
          <cell r="H93" t="str">
            <v>NM</v>
          </cell>
          <cell r="L93">
            <v>0.12762261904761915</v>
          </cell>
          <cell r="M93">
            <v>0.12762261904761804</v>
          </cell>
          <cell r="Q93">
            <v>0.16230267857142888</v>
          </cell>
          <cell r="R93">
            <v>0.1623026785714278</v>
          </cell>
          <cell r="AA93">
            <v>0.20894137931034434</v>
          </cell>
          <cell r="AB93">
            <v>0.20894137931034376</v>
          </cell>
        </row>
        <row r="96">
          <cell r="C96">
            <v>6.2260265284651381E-2</v>
          </cell>
          <cell r="D96">
            <v>9.7584717147915431E-2</v>
          </cell>
          <cell r="E96">
            <v>0.10091716360606413</v>
          </cell>
          <cell r="F96">
            <v>0.10556509592406667</v>
          </cell>
          <cell r="G96">
            <v>0.10355218337943868</v>
          </cell>
          <cell r="H96">
            <v>0.10291121192680286</v>
          </cell>
          <cell r="L96">
            <v>0.11109885037711598</v>
          </cell>
          <cell r="M96">
            <v>0.11249908715251131</v>
          </cell>
          <cell r="Q96">
            <v>0.12332796229031721</v>
          </cell>
          <cell r="R96">
            <v>0.12549437146015641</v>
          </cell>
          <cell r="AA96">
            <v>0.15033717985146122</v>
          </cell>
          <cell r="AB96">
            <v>0.15224806138050753</v>
          </cell>
        </row>
        <row r="97">
          <cell r="C97">
            <v>4.1865953609919182E-2</v>
          </cell>
          <cell r="D97">
            <v>6.4292112950340874E-2</v>
          </cell>
          <cell r="E97">
            <v>6.5042951196331411E-2</v>
          </cell>
          <cell r="F97">
            <v>6.7116774723903816E-2</v>
          </cell>
          <cell r="G97">
            <v>6.4988469863203821E-2</v>
          </cell>
          <cell r="H97">
            <v>6.3744020447271912E-2</v>
          </cell>
          <cell r="L97">
            <v>6.1590212225827695E-2</v>
          </cell>
          <cell r="M97">
            <v>6.1326154342083453E-2</v>
          </cell>
          <cell r="Q97">
            <v>6.0652335127827792E-2</v>
          </cell>
          <cell r="R97">
            <v>6.0540753924742279E-2</v>
          </cell>
          <cell r="AA97">
            <v>5.9958311625751194E-2</v>
          </cell>
          <cell r="AB97">
            <v>5.9919681973189177E-2</v>
          </cell>
        </row>
        <row r="98">
          <cell r="C98">
            <v>1.4871335755242472</v>
          </cell>
          <cell r="D98">
            <v>1.5178334117481826</v>
          </cell>
          <cell r="E98">
            <v>1.5515465050385981</v>
          </cell>
          <cell r="F98">
            <v>1.5728571040299015</v>
          </cell>
          <cell r="G98">
            <v>1.5933931603161109</v>
          </cell>
          <cell r="H98">
            <v>1.6144449503609428</v>
          </cell>
          <cell r="L98">
            <v>1.8038393822992378</v>
          </cell>
          <cell r="M98">
            <v>1.8344389658771052</v>
          </cell>
          <cell r="Q98">
            <v>2.0333588481036626</v>
          </cell>
          <cell r="R98">
            <v>2.0728907937974719</v>
          </cell>
          <cell r="AA98">
            <v>2.5073617948056701</v>
          </cell>
          <cell r="AB98">
            <v>2.540868982726415</v>
          </cell>
        </row>
        <row r="99">
          <cell r="C99" t="str">
            <v>N/A</v>
          </cell>
          <cell r="D99">
            <v>6.6902140037398583E-2</v>
          </cell>
          <cell r="E99">
            <v>5.6772013791809517E-2</v>
          </cell>
          <cell r="F99">
            <v>5.4509836791696964E-2</v>
          </cell>
          <cell r="G99">
            <v>4.7564053323486677E-2</v>
          </cell>
          <cell r="H99">
            <v>4.3418562610934019E-2</v>
          </cell>
          <cell r="L99">
            <v>3.6089265490972133E-2</v>
          </cell>
          <cell r="M99">
            <v>3.5176730709026938E-2</v>
          </cell>
          <cell r="Q99">
            <v>3.2833901520632258E-2</v>
          </cell>
          <cell r="R99">
            <v>3.2443945817955289E-2</v>
          </cell>
          <cell r="AA99">
            <v>3.0399092600371436E-2</v>
          </cell>
          <cell r="AB99">
            <v>3.0262913142268255E-2</v>
          </cell>
        </row>
        <row r="100">
          <cell r="C100" t="str">
            <v>N/A</v>
          </cell>
          <cell r="D100">
            <v>0.63840512348901068</v>
          </cell>
          <cell r="E100">
            <v>0.32486674236307955</v>
          </cell>
          <cell r="F100">
            <v>0.26026311488179155</v>
          </cell>
          <cell r="G100">
            <v>0.14137496726711163</v>
          </cell>
          <cell r="H100">
            <v>0.11752375439615048</v>
          </cell>
          <cell r="L100">
            <v>7.6345581581654054E-2</v>
          </cell>
          <cell r="M100">
            <v>7.1306163412143686E-2</v>
          </cell>
          <cell r="Q100">
            <v>5.845573568558815E-2</v>
          </cell>
          <cell r="R100">
            <v>5.6329033988240962E-2</v>
          </cell>
          <cell r="AA100">
            <v>4.5233755979729562E-2</v>
          </cell>
          <cell r="AB100">
            <v>4.4498228053893918E-2</v>
          </cell>
        </row>
        <row r="101">
          <cell r="C101" t="str">
            <v>N/A</v>
          </cell>
          <cell r="D101">
            <v>-2.4967764678437421E-2</v>
          </cell>
          <cell r="E101">
            <v>1.7205049594104516E-3</v>
          </cell>
          <cell r="F101">
            <v>1.1515753143831242E-2</v>
          </cell>
          <cell r="G101">
            <v>1.8947161749167662E-3</v>
          </cell>
          <cell r="H101">
            <v>6.8661898940125532E-3</v>
          </cell>
          <cell r="L101">
            <v>-9.4942307804791737E-3</v>
          </cell>
          <cell r="M101">
            <v>-5.9039392310173966E-3</v>
          </cell>
          <cell r="Q101">
            <v>-1.3693380740634531E-2</v>
          </cell>
          <cell r="R101">
            <v>-1.103137430416723E-2</v>
          </cell>
          <cell r="AA101">
            <v>-7.4390026678454735E-3</v>
          </cell>
          <cell r="AB101">
            <v>-6.0838782074159603E-3</v>
          </cell>
        </row>
        <row r="102">
          <cell r="C102" t="str">
            <v>N/A</v>
          </cell>
          <cell r="D102" t="str">
            <v>NM</v>
          </cell>
          <cell r="E102" t="str">
            <v>NM</v>
          </cell>
          <cell r="F102" t="str">
            <v>NM</v>
          </cell>
          <cell r="G102" t="str">
            <v>NM</v>
          </cell>
          <cell r="H102" t="str">
            <v>NM</v>
          </cell>
          <cell r="L102" t="str">
            <v>NM</v>
          </cell>
          <cell r="M102" t="str">
            <v>NM</v>
          </cell>
          <cell r="Q102" t="str">
            <v>NM</v>
          </cell>
          <cell r="R102" t="str">
            <v>NM</v>
          </cell>
          <cell r="AA102" t="str">
            <v>NM</v>
          </cell>
          <cell r="AB102" t="str">
            <v>NM</v>
          </cell>
        </row>
        <row r="105">
          <cell r="C105" t="str">
            <v>N/A</v>
          </cell>
          <cell r="D105">
            <v>0.56736751283924169</v>
          </cell>
          <cell r="E105">
            <v>6.9464704256636534E-2</v>
          </cell>
          <cell r="F105">
            <v>0.10683454424787375</v>
          </cell>
          <cell r="G105">
            <v>-0.15385453195472076</v>
          </cell>
          <cell r="H105">
            <v>2.7070890649627755E-2</v>
          </cell>
          <cell r="L105">
            <v>0</v>
          </cell>
          <cell r="M105">
            <v>2.2204460492503131E-16</v>
          </cell>
          <cell r="Q105">
            <v>2.2204460492503131E-16</v>
          </cell>
          <cell r="R105">
            <v>0</v>
          </cell>
          <cell r="AA105">
            <v>0</v>
          </cell>
          <cell r="AB105">
            <v>-1.1102230246251565E-16</v>
          </cell>
        </row>
        <row r="106">
          <cell r="C106" t="str">
            <v>N/A</v>
          </cell>
          <cell r="D106" t="str">
            <v>N/A</v>
          </cell>
          <cell r="E106" t="str">
            <v>N/A</v>
          </cell>
          <cell r="F106" t="str">
            <v>N/A</v>
          </cell>
          <cell r="G106" t="str">
            <v>N/A</v>
          </cell>
          <cell r="H106">
            <v>0.1002543417556343</v>
          </cell>
          <cell r="L106">
            <v>5.1975389225104918E-2</v>
          </cell>
          <cell r="M106">
            <v>4.637052013677545E-2</v>
          </cell>
          <cell r="Q106">
            <v>4.9251519648950914E-2</v>
          </cell>
          <cell r="R106">
            <v>4.9251519648950914E-2</v>
          </cell>
          <cell r="AA106">
            <v>0</v>
          </cell>
          <cell r="AB106">
            <v>0</v>
          </cell>
        </row>
        <row r="107">
          <cell r="C107" t="str">
            <v>N/A</v>
          </cell>
          <cell r="D107" t="str">
            <v>N/A</v>
          </cell>
          <cell r="E107" t="str">
            <v>N/A</v>
          </cell>
          <cell r="F107" t="str">
            <v>N/A</v>
          </cell>
          <cell r="G107" t="str">
            <v>N/A</v>
          </cell>
          <cell r="H107" t="str">
            <v>N/A</v>
          </cell>
          <cell r="L107" t="str">
            <v>N/A</v>
          </cell>
          <cell r="M107">
            <v>7.2974234483563327E-2</v>
          </cell>
          <cell r="Q107">
            <v>5.0612571682700613E-2</v>
          </cell>
          <cell r="R107">
            <v>4.7810029714057789E-2</v>
          </cell>
          <cell r="AA107">
            <v>2.5580788722557646E-2</v>
          </cell>
          <cell r="AB107">
            <v>2.5580788722557646E-2</v>
          </cell>
        </row>
      </sheetData>
      <sheetData sheetId="9" refreshError="1"/>
      <sheetData sheetId="10">
        <row r="1">
          <cell r="AD1" t="str">
            <v>Earthgrains</v>
          </cell>
        </row>
        <row r="19">
          <cell r="AD19" t="str">
            <v>PV of Operating Leases</v>
          </cell>
          <cell r="AF19" t="str">
            <v>PV of Operating Leases</v>
          </cell>
        </row>
        <row r="21">
          <cell r="AD21">
            <v>0</v>
          </cell>
          <cell r="AF21">
            <v>0</v>
          </cell>
        </row>
        <row r="22">
          <cell r="AD22">
            <v>0</v>
          </cell>
          <cell r="AF22">
            <v>0</v>
          </cell>
        </row>
        <row r="23">
          <cell r="AD23">
            <v>0</v>
          </cell>
          <cell r="AF23">
            <v>0</v>
          </cell>
        </row>
        <row r="24">
          <cell r="AD24">
            <v>0</v>
          </cell>
          <cell r="AF24">
            <v>0</v>
          </cell>
        </row>
        <row r="25">
          <cell r="AD25">
            <v>0</v>
          </cell>
          <cell r="AF25">
            <v>0</v>
          </cell>
        </row>
        <row r="26">
          <cell r="AD26">
            <v>0</v>
          </cell>
          <cell r="AF26">
            <v>0</v>
          </cell>
        </row>
        <row r="27">
          <cell r="AD27">
            <v>0</v>
          </cell>
          <cell r="AF27">
            <v>0</v>
          </cell>
        </row>
        <row r="28">
          <cell r="AD28">
            <v>0</v>
          </cell>
          <cell r="AF28">
            <v>0</v>
          </cell>
        </row>
        <row r="29">
          <cell r="AD29">
            <v>0</v>
          </cell>
          <cell r="AF29">
            <v>0</v>
          </cell>
        </row>
        <row r="30">
          <cell r="AD30">
            <v>0</v>
          </cell>
          <cell r="AF30">
            <v>0</v>
          </cell>
        </row>
        <row r="31">
          <cell r="AD31">
            <v>0</v>
          </cell>
          <cell r="AF31">
            <v>0</v>
          </cell>
        </row>
        <row r="32">
          <cell r="AD32">
            <v>0</v>
          </cell>
          <cell r="AF32">
            <v>0</v>
          </cell>
        </row>
        <row r="33">
          <cell r="AD33">
            <v>0</v>
          </cell>
          <cell r="AF33">
            <v>0</v>
          </cell>
        </row>
        <row r="34">
          <cell r="AD34">
            <v>0</v>
          </cell>
          <cell r="AF34">
            <v>0</v>
          </cell>
        </row>
        <row r="35">
          <cell r="AD35">
            <v>0</v>
          </cell>
          <cell r="AF35">
            <v>0</v>
          </cell>
        </row>
        <row r="36">
          <cell r="AD36">
            <v>0</v>
          </cell>
          <cell r="AF36">
            <v>0</v>
          </cell>
        </row>
        <row r="37">
          <cell r="AD37">
            <v>0</v>
          </cell>
          <cell r="AF37">
            <v>0</v>
          </cell>
        </row>
        <row r="38">
          <cell r="AD38">
            <v>0</v>
          </cell>
          <cell r="AF38">
            <v>0</v>
          </cell>
        </row>
        <row r="39">
          <cell r="AD39">
            <v>0</v>
          </cell>
          <cell r="AF39">
            <v>0</v>
          </cell>
        </row>
        <row r="40">
          <cell r="AD40">
            <v>0</v>
          </cell>
          <cell r="AF40">
            <v>0</v>
          </cell>
        </row>
        <row r="41">
          <cell r="AD41">
            <v>0</v>
          </cell>
          <cell r="AF41">
            <v>0</v>
          </cell>
        </row>
        <row r="42">
          <cell r="AD42">
            <v>0</v>
          </cell>
          <cell r="AF42">
            <v>0</v>
          </cell>
        </row>
        <row r="43">
          <cell r="AD43">
            <v>0</v>
          </cell>
          <cell r="AF43">
            <v>0</v>
          </cell>
        </row>
        <row r="44">
          <cell r="AD44">
            <v>0</v>
          </cell>
          <cell r="AF44">
            <v>0</v>
          </cell>
        </row>
        <row r="45">
          <cell r="AD45">
            <v>0</v>
          </cell>
          <cell r="AF45">
            <v>0</v>
          </cell>
        </row>
        <row r="46">
          <cell r="AD46">
            <v>0</v>
          </cell>
          <cell r="AF46">
            <v>0</v>
          </cell>
        </row>
        <row r="47">
          <cell r="AD47">
            <v>0</v>
          </cell>
          <cell r="AF47">
            <v>0</v>
          </cell>
        </row>
        <row r="48">
          <cell r="AD48">
            <v>0</v>
          </cell>
          <cell r="AF48">
            <v>0</v>
          </cell>
        </row>
        <row r="49">
          <cell r="AD49">
            <v>0</v>
          </cell>
          <cell r="AF49">
            <v>0</v>
          </cell>
        </row>
        <row r="50">
          <cell r="AD50">
            <v>0</v>
          </cell>
          <cell r="AF50">
            <v>0</v>
          </cell>
        </row>
        <row r="51">
          <cell r="AD51">
            <v>0</v>
          </cell>
          <cell r="AF51">
            <v>0</v>
          </cell>
        </row>
        <row r="52">
          <cell r="AD52">
            <v>0</v>
          </cell>
          <cell r="AF52">
            <v>0</v>
          </cell>
        </row>
        <row r="53">
          <cell r="AD53">
            <v>0</v>
          </cell>
          <cell r="AF53">
            <v>0</v>
          </cell>
        </row>
        <row r="54">
          <cell r="AD54">
            <v>0</v>
          </cell>
          <cell r="AF54">
            <v>0</v>
          </cell>
        </row>
        <row r="55">
          <cell r="AD55">
            <v>0</v>
          </cell>
          <cell r="AF55">
            <v>0</v>
          </cell>
        </row>
        <row r="56">
          <cell r="AD56">
            <v>0</v>
          </cell>
          <cell r="AF56">
            <v>0</v>
          </cell>
        </row>
        <row r="57">
          <cell r="AD57">
            <v>0</v>
          </cell>
          <cell r="AF57">
            <v>0</v>
          </cell>
        </row>
        <row r="58">
          <cell r="AD58">
            <v>0</v>
          </cell>
          <cell r="AF58">
            <v>0</v>
          </cell>
        </row>
        <row r="59">
          <cell r="AD59">
            <v>0</v>
          </cell>
          <cell r="AF59">
            <v>0</v>
          </cell>
        </row>
        <row r="60">
          <cell r="AD60">
            <v>0</v>
          </cell>
          <cell r="AF60">
            <v>0</v>
          </cell>
        </row>
        <row r="62">
          <cell r="D62">
            <v>0</v>
          </cell>
          <cell r="F62">
            <v>0</v>
          </cell>
          <cell r="H62">
            <v>0</v>
          </cell>
          <cell r="J62">
            <v>0</v>
          </cell>
          <cell r="L62">
            <v>0</v>
          </cell>
          <cell r="N62">
            <v>0</v>
          </cell>
          <cell r="P62">
            <v>0</v>
          </cell>
          <cell r="R62">
            <v>0</v>
          </cell>
          <cell r="T62">
            <v>0</v>
          </cell>
          <cell r="V62">
            <v>0</v>
          </cell>
          <cell r="X62">
            <v>0</v>
          </cell>
          <cell r="Z62">
            <v>0</v>
          </cell>
          <cell r="AB62">
            <v>0</v>
          </cell>
          <cell r="AD62">
            <v>0</v>
          </cell>
          <cell r="AF62">
            <v>0</v>
          </cell>
        </row>
        <row r="63">
          <cell r="AD63">
            <v>0</v>
          </cell>
          <cell r="AF63">
            <v>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Balance Sheet_VDF"/>
      <sheetName val="Income Statement_VDF"/>
      <sheetName val="Forecasts_VDF"/>
      <sheetName val="Summary Page_VDF"/>
      <sheetName val="Invested capital_VDF"/>
      <sheetName val="NOPAT_VDF"/>
      <sheetName val="WACC_VDF"/>
      <sheetName val="DCF_VDF"/>
      <sheetName val="Charts_VDF"/>
      <sheetName val="PV of Op Leases_VDF"/>
    </sheetNames>
    <sheetDataSet>
      <sheetData sheetId="0" refreshError="1"/>
      <sheetData sheetId="1" refreshError="1"/>
      <sheetData sheetId="2">
        <row r="44">
          <cell r="R44">
            <v>8.218683950084428E-2</v>
          </cell>
        </row>
      </sheetData>
      <sheetData sheetId="3" refreshError="1"/>
      <sheetData sheetId="4"/>
      <sheetData sheetId="5">
        <row r="1">
          <cell r="P1" t="str">
            <v>Invested Capital</v>
          </cell>
        </row>
        <row r="2">
          <cell r="O2" t="str">
            <v>P-2</v>
          </cell>
          <cell r="P2" t="str">
            <v>P-1</v>
          </cell>
          <cell r="Q2" t="str">
            <v>Present (P)</v>
          </cell>
        </row>
        <row r="3">
          <cell r="O3">
            <v>1997</v>
          </cell>
          <cell r="P3">
            <v>1998</v>
          </cell>
          <cell r="Q3">
            <v>1999</v>
          </cell>
        </row>
        <row r="4">
          <cell r="O4">
            <v>43.1</v>
          </cell>
          <cell r="P4">
            <v>43.7</v>
          </cell>
          <cell r="Q4">
            <v>53.1</v>
          </cell>
        </row>
        <row r="5">
          <cell r="C5">
            <v>0</v>
          </cell>
          <cell r="D5">
            <v>0</v>
          </cell>
          <cell r="E5">
            <v>0</v>
          </cell>
          <cell r="F5">
            <v>0</v>
          </cell>
          <cell r="G5">
            <v>0</v>
          </cell>
          <cell r="H5">
            <v>0</v>
          </cell>
          <cell r="I5">
            <v>0</v>
          </cell>
          <cell r="J5">
            <v>0</v>
          </cell>
          <cell r="K5">
            <v>0</v>
          </cell>
          <cell r="L5">
            <v>0</v>
          </cell>
          <cell r="M5">
            <v>0</v>
          </cell>
          <cell r="N5">
            <v>22.294999999999998</v>
          </cell>
          <cell r="O5">
            <v>26.474000000000004</v>
          </cell>
          <cell r="P5">
            <v>26.51</v>
          </cell>
          <cell r="Q5">
            <v>33.847999999999999</v>
          </cell>
        </row>
        <row r="6">
          <cell r="O6">
            <v>16.625999999999998</v>
          </cell>
          <cell r="P6">
            <v>17.190000000000001</v>
          </cell>
          <cell r="Q6">
            <v>19.252000000000002</v>
          </cell>
        </row>
        <row r="7">
          <cell r="O7">
            <v>141.5</v>
          </cell>
          <cell r="P7">
            <v>156.5</v>
          </cell>
          <cell r="Q7">
            <v>184.5</v>
          </cell>
        </row>
        <row r="8">
          <cell r="O8">
            <v>66.400000000000006</v>
          </cell>
          <cell r="P8">
            <v>68.900000000000006</v>
          </cell>
          <cell r="Q8">
            <v>77.7</v>
          </cell>
        </row>
        <row r="9">
          <cell r="A9">
            <v>0.01</v>
          </cell>
          <cell r="O9">
            <v>0</v>
          </cell>
          <cell r="P9">
            <v>0</v>
          </cell>
          <cell r="Q9">
            <v>0</v>
          </cell>
        </row>
        <row r="10">
          <cell r="O10">
            <v>29.9</v>
          </cell>
          <cell r="P10">
            <v>30.4</v>
          </cell>
          <cell r="Q10">
            <v>39.799999999999997</v>
          </cell>
        </row>
        <row r="11">
          <cell r="O11">
            <v>0</v>
          </cell>
          <cell r="P11">
            <v>0</v>
          </cell>
          <cell r="Q11">
            <v>0</v>
          </cell>
        </row>
        <row r="12">
          <cell r="O12">
            <v>15.7</v>
          </cell>
          <cell r="P12">
            <v>26.8</v>
          </cell>
          <cell r="Q12">
            <v>29.6</v>
          </cell>
        </row>
        <row r="13">
          <cell r="O13">
            <v>0</v>
          </cell>
          <cell r="P13">
            <v>0</v>
          </cell>
          <cell r="Q13">
            <v>0</v>
          </cell>
          <cell r="R13">
            <v>0</v>
          </cell>
          <cell r="S13">
            <v>0</v>
          </cell>
          <cell r="T13">
            <v>0</v>
          </cell>
        </row>
        <row r="14">
          <cell r="O14">
            <v>0</v>
          </cell>
          <cell r="P14">
            <v>0</v>
          </cell>
          <cell r="Q14">
            <v>0</v>
          </cell>
        </row>
        <row r="15">
          <cell r="O15">
            <v>270.12600000000003</v>
          </cell>
          <cell r="P15">
            <v>299.79000000000002</v>
          </cell>
          <cell r="Q15">
            <v>350.85200000000003</v>
          </cell>
        </row>
        <row r="17">
          <cell r="O17">
            <v>121.4</v>
          </cell>
          <cell r="P17">
            <v>132.1</v>
          </cell>
          <cell r="Q17">
            <v>125.5</v>
          </cell>
        </row>
        <row r="18">
          <cell r="O18">
            <v>0</v>
          </cell>
          <cell r="P18">
            <v>0</v>
          </cell>
          <cell r="Q18">
            <v>0</v>
          </cell>
        </row>
        <row r="19">
          <cell r="O19">
            <v>0</v>
          </cell>
          <cell r="P19">
            <v>0</v>
          </cell>
          <cell r="Q19">
            <v>0</v>
          </cell>
        </row>
        <row r="20">
          <cell r="O20">
            <v>46.6</v>
          </cell>
          <cell r="P20">
            <v>56.5</v>
          </cell>
          <cell r="Q20">
            <v>56.9</v>
          </cell>
        </row>
        <row r="21">
          <cell r="O21">
            <v>0</v>
          </cell>
          <cell r="P21">
            <v>0</v>
          </cell>
          <cell r="Q21">
            <v>0</v>
          </cell>
        </row>
        <row r="22">
          <cell r="O22">
            <v>32.6</v>
          </cell>
          <cell r="P22">
            <v>39.299999999999997</v>
          </cell>
          <cell r="Q22">
            <v>67.8</v>
          </cell>
        </row>
        <row r="23">
          <cell r="O23">
            <v>15.4</v>
          </cell>
          <cell r="P23">
            <v>6.1</v>
          </cell>
          <cell r="Q23">
            <v>32.4</v>
          </cell>
        </row>
        <row r="24">
          <cell r="O24">
            <v>216</v>
          </cell>
          <cell r="P24">
            <v>233.99999999999997</v>
          </cell>
          <cell r="Q24">
            <v>282.59999999999997</v>
          </cell>
        </row>
        <row r="26">
          <cell r="O26">
            <v>54.126000000000033</v>
          </cell>
          <cell r="P26">
            <v>65.790000000000049</v>
          </cell>
          <cell r="Q26">
            <v>68.252000000000066</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row>
        <row r="29">
          <cell r="O29">
            <v>0</v>
          </cell>
          <cell r="P29">
            <v>0</v>
          </cell>
          <cell r="Q29">
            <v>0</v>
          </cell>
          <cell r="R29">
            <v>0</v>
          </cell>
          <cell r="S29">
            <v>0</v>
          </cell>
          <cell r="T29">
            <v>0</v>
          </cell>
        </row>
        <row r="30">
          <cell r="O30">
            <v>0</v>
          </cell>
          <cell r="P30">
            <v>0</v>
          </cell>
          <cell r="Q30">
            <v>0</v>
          </cell>
          <cell r="R30">
            <v>0</v>
          </cell>
          <cell r="S30">
            <v>0</v>
          </cell>
          <cell r="T30">
            <v>0</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row>
        <row r="32">
          <cell r="O32">
            <v>0</v>
          </cell>
          <cell r="P32">
            <v>0</v>
          </cell>
          <cell r="Q32">
            <v>0</v>
          </cell>
          <cell r="R32">
            <v>0</v>
          </cell>
          <cell r="S32">
            <v>0</v>
          </cell>
          <cell r="T32">
            <v>0</v>
          </cell>
        </row>
        <row r="33">
          <cell r="O33">
            <v>706.7</v>
          </cell>
          <cell r="P33">
            <v>722</v>
          </cell>
          <cell r="Q33">
            <v>761.1</v>
          </cell>
        </row>
        <row r="34">
          <cell r="A34">
            <v>1</v>
          </cell>
          <cell r="O34">
            <v>0</v>
          </cell>
          <cell r="P34">
            <v>0</v>
          </cell>
          <cell r="Q34">
            <v>0</v>
          </cell>
        </row>
        <row r="35">
          <cell r="O35">
            <v>0</v>
          </cell>
          <cell r="P35">
            <v>0</v>
          </cell>
          <cell r="Q35">
            <v>0</v>
          </cell>
        </row>
        <row r="36">
          <cell r="O36">
            <v>140</v>
          </cell>
          <cell r="P36">
            <v>311</v>
          </cell>
          <cell r="Q36">
            <v>399.8</v>
          </cell>
        </row>
        <row r="37">
          <cell r="O37">
            <v>70.599999999999994</v>
          </cell>
          <cell r="P37">
            <v>76.599999999999994</v>
          </cell>
          <cell r="Q37">
            <v>86.8</v>
          </cell>
        </row>
        <row r="38">
          <cell r="O38">
            <v>0</v>
          </cell>
          <cell r="P38">
            <v>0</v>
          </cell>
          <cell r="Q38">
            <v>0</v>
          </cell>
        </row>
        <row r="39">
          <cell r="O39">
            <v>0</v>
          </cell>
          <cell r="P39">
            <v>0</v>
          </cell>
          <cell r="Q39">
            <v>0</v>
          </cell>
        </row>
        <row r="40">
          <cell r="O40">
            <v>8.395999999999999</v>
          </cell>
          <cell r="P40">
            <v>8.4</v>
          </cell>
          <cell r="Q40">
            <v>8.4</v>
          </cell>
        </row>
        <row r="41">
          <cell r="O41">
            <v>28.8</v>
          </cell>
          <cell r="P41">
            <v>35</v>
          </cell>
          <cell r="Q41">
            <v>46</v>
          </cell>
        </row>
        <row r="42">
          <cell r="O42">
            <v>0</v>
          </cell>
          <cell r="P42">
            <v>0</v>
          </cell>
          <cell r="Q42">
            <v>0</v>
          </cell>
        </row>
        <row r="43">
          <cell r="O43">
            <v>954.49599999999998</v>
          </cell>
          <cell r="P43">
            <v>1153</v>
          </cell>
          <cell r="Q43">
            <v>1302.1000000000001</v>
          </cell>
        </row>
        <row r="45">
          <cell r="O45">
            <v>0</v>
          </cell>
          <cell r="P45">
            <v>0</v>
          </cell>
          <cell r="Q45">
            <v>0</v>
          </cell>
        </row>
        <row r="46">
          <cell r="O46">
            <v>0</v>
          </cell>
          <cell r="P46">
            <v>0</v>
          </cell>
          <cell r="Q46">
            <v>0</v>
          </cell>
        </row>
        <row r="47">
          <cell r="O47">
            <v>0</v>
          </cell>
          <cell r="P47">
            <v>0</v>
          </cell>
          <cell r="Q47">
            <v>0</v>
          </cell>
        </row>
        <row r="50">
          <cell r="O50">
            <v>1008.6220000000001</v>
          </cell>
          <cell r="P50">
            <v>1218.79</v>
          </cell>
          <cell r="Q50">
            <v>1370.3520000000003</v>
          </cell>
        </row>
        <row r="53">
          <cell r="O53">
            <v>0</v>
          </cell>
          <cell r="P53">
            <v>0</v>
          </cell>
          <cell r="Q53">
            <v>0</v>
          </cell>
        </row>
        <row r="54">
          <cell r="O54">
            <v>0</v>
          </cell>
          <cell r="P54">
            <v>0</v>
          </cell>
          <cell r="Q54">
            <v>0</v>
          </cell>
        </row>
        <row r="55">
          <cell r="O55">
            <v>0</v>
          </cell>
          <cell r="P55">
            <v>0</v>
          </cell>
          <cell r="Q55">
            <v>0</v>
          </cell>
        </row>
        <row r="56">
          <cell r="O56">
            <v>0</v>
          </cell>
          <cell r="P56">
            <v>0</v>
          </cell>
          <cell r="Q56">
            <v>0</v>
          </cell>
        </row>
        <row r="57">
          <cell r="O57">
            <v>103</v>
          </cell>
          <cell r="P57">
            <v>266.7</v>
          </cell>
          <cell r="Q57">
            <v>369.3</v>
          </cell>
        </row>
        <row r="58">
          <cell r="O58">
            <v>0</v>
          </cell>
          <cell r="P58">
            <v>0</v>
          </cell>
          <cell r="Q58">
            <v>0</v>
          </cell>
        </row>
        <row r="59">
          <cell r="O59">
            <v>0</v>
          </cell>
          <cell r="P59">
            <v>0</v>
          </cell>
          <cell r="Q59">
            <v>0</v>
          </cell>
        </row>
        <row r="60">
          <cell r="O60">
            <v>0</v>
          </cell>
          <cell r="P60">
            <v>0</v>
          </cell>
          <cell r="Q60">
            <v>0</v>
          </cell>
        </row>
        <row r="61">
          <cell r="C61">
            <v>0</v>
          </cell>
          <cell r="D61">
            <v>0</v>
          </cell>
          <cell r="E61">
            <v>0</v>
          </cell>
          <cell r="F61">
            <v>0</v>
          </cell>
          <cell r="G61">
            <v>0</v>
          </cell>
          <cell r="H61">
            <v>0</v>
          </cell>
          <cell r="I61">
            <v>0</v>
          </cell>
          <cell r="J61">
            <v>0</v>
          </cell>
          <cell r="K61">
            <v>0</v>
          </cell>
          <cell r="L61">
            <v>0</v>
          </cell>
          <cell r="M61">
            <v>0</v>
          </cell>
          <cell r="N61">
            <v>92.6</v>
          </cell>
          <cell r="O61">
            <v>103</v>
          </cell>
          <cell r="P61">
            <v>266.7</v>
          </cell>
          <cell r="Q61">
            <v>369.3</v>
          </cell>
        </row>
        <row r="63">
          <cell r="O63">
            <v>103.8</v>
          </cell>
          <cell r="P63">
            <v>99.5</v>
          </cell>
          <cell r="Q63">
            <v>102.7</v>
          </cell>
        </row>
        <row r="64">
          <cell r="O64">
            <v>0</v>
          </cell>
          <cell r="P64">
            <v>0</v>
          </cell>
          <cell r="Q64">
            <v>0</v>
          </cell>
        </row>
        <row r="65">
          <cell r="O65">
            <v>70.599999999999994</v>
          </cell>
          <cell r="P65">
            <v>76.599999999999994</v>
          </cell>
          <cell r="Q65">
            <v>86.8</v>
          </cell>
        </row>
        <row r="66">
          <cell r="O66">
            <v>0</v>
          </cell>
          <cell r="P66">
            <v>0</v>
          </cell>
          <cell r="Q66">
            <v>0</v>
          </cell>
        </row>
        <row r="67">
          <cell r="O67">
            <v>0</v>
          </cell>
          <cell r="P67">
            <v>0</v>
          </cell>
          <cell r="Q67">
            <v>0</v>
          </cell>
        </row>
        <row r="68">
          <cell r="O68">
            <v>8.395999999999999</v>
          </cell>
          <cell r="P68">
            <v>8.4</v>
          </cell>
          <cell r="Q68">
            <v>8.4</v>
          </cell>
        </row>
        <row r="69">
          <cell r="O69">
            <v>0</v>
          </cell>
          <cell r="P69">
            <v>0</v>
          </cell>
          <cell r="Q69">
            <v>0</v>
          </cell>
        </row>
        <row r="70">
          <cell r="O70">
            <v>182.79599999999996</v>
          </cell>
          <cell r="P70">
            <v>184.5</v>
          </cell>
          <cell r="Q70">
            <v>197.9</v>
          </cell>
        </row>
        <row r="72">
          <cell r="O72">
            <v>48.1</v>
          </cell>
          <cell r="P72">
            <v>72.2</v>
          </cell>
          <cell r="Q72">
            <v>73.599999999999994</v>
          </cell>
        </row>
        <row r="73">
          <cell r="O73">
            <v>118.8</v>
          </cell>
          <cell r="P73">
            <v>115.3</v>
          </cell>
          <cell r="Q73">
            <v>114</v>
          </cell>
        </row>
        <row r="74">
          <cell r="O74">
            <v>0</v>
          </cell>
          <cell r="P74">
            <v>0</v>
          </cell>
          <cell r="Q74">
            <v>10</v>
          </cell>
        </row>
        <row r="76">
          <cell r="O76">
            <v>0</v>
          </cell>
          <cell r="P76">
            <v>0</v>
          </cell>
          <cell r="Q76">
            <v>0</v>
          </cell>
        </row>
        <row r="78">
          <cell r="O78">
            <v>582.4</v>
          </cell>
          <cell r="P78">
            <v>606.6</v>
          </cell>
          <cell r="Q78">
            <v>639.4</v>
          </cell>
        </row>
        <row r="79">
          <cell r="O79">
            <v>0</v>
          </cell>
          <cell r="P79">
            <v>0</v>
          </cell>
          <cell r="Q79">
            <v>0</v>
          </cell>
          <cell r="R79">
            <v>0</v>
          </cell>
          <cell r="S79">
            <v>0</v>
          </cell>
          <cell r="T79">
            <v>0</v>
          </cell>
        </row>
        <row r="80">
          <cell r="O80">
            <v>26.474000000000004</v>
          </cell>
          <cell r="P80">
            <v>26.51</v>
          </cell>
          <cell r="Q80">
            <v>33.847999999999999</v>
          </cell>
        </row>
        <row r="81">
          <cell r="O81">
            <v>0</v>
          </cell>
          <cell r="P81">
            <v>0</v>
          </cell>
          <cell r="Q81">
            <v>0</v>
          </cell>
        </row>
        <row r="83">
          <cell r="O83">
            <v>738.72199999999987</v>
          </cell>
          <cell r="P83">
            <v>764.59</v>
          </cell>
          <cell r="Q83">
            <v>803.452</v>
          </cell>
        </row>
        <row r="84">
          <cell r="O84">
            <v>43.12</v>
          </cell>
          <cell r="P84">
            <v>42.66</v>
          </cell>
          <cell r="Q84">
            <v>42.850999999999999</v>
          </cell>
        </row>
        <row r="85">
          <cell r="O85">
            <v>17.13177179962894</v>
          </cell>
          <cell r="P85">
            <v>17.922878574777311</v>
          </cell>
          <cell r="Q85">
            <v>18.749900819117407</v>
          </cell>
        </row>
        <row r="87">
          <cell r="C87">
            <v>0</v>
          </cell>
          <cell r="D87">
            <v>0</v>
          </cell>
          <cell r="E87">
            <v>0</v>
          </cell>
          <cell r="F87">
            <v>0</v>
          </cell>
          <cell r="G87">
            <v>0</v>
          </cell>
          <cell r="H87">
            <v>0</v>
          </cell>
          <cell r="I87">
            <v>0</v>
          </cell>
          <cell r="J87">
            <v>0</v>
          </cell>
          <cell r="K87">
            <v>0</v>
          </cell>
          <cell r="L87">
            <v>0</v>
          </cell>
          <cell r="M87">
            <v>0</v>
          </cell>
          <cell r="N87">
            <v>1009.5360000000001</v>
          </cell>
          <cell r="O87">
            <v>1008.6219999999998</v>
          </cell>
          <cell r="P87">
            <v>1218.79</v>
          </cell>
          <cell r="Q87">
            <v>1370.3519999999999</v>
          </cell>
        </row>
        <row r="88">
          <cell r="O88">
            <v>-9.0536642576412784E-4</v>
          </cell>
          <cell r="P88">
            <v>0.20837142160293962</v>
          </cell>
          <cell r="Q88">
            <v>0.12435448272466947</v>
          </cell>
        </row>
        <row r="89">
          <cell r="C89">
            <v>0</v>
          </cell>
          <cell r="D89">
            <v>0</v>
          </cell>
          <cell r="E89">
            <v>0</v>
          </cell>
          <cell r="F89">
            <v>0</v>
          </cell>
          <cell r="G89">
            <v>0</v>
          </cell>
          <cell r="H89">
            <v>0</v>
          </cell>
          <cell r="I89">
            <v>0</v>
          </cell>
          <cell r="J89">
            <v>0</v>
          </cell>
          <cell r="K89">
            <v>0</v>
          </cell>
          <cell r="L89">
            <v>0</v>
          </cell>
          <cell r="M89">
            <v>0</v>
          </cell>
          <cell r="N89">
            <v>1009.5360000000001</v>
          </cell>
          <cell r="O89">
            <v>1009.079</v>
          </cell>
          <cell r="P89">
            <v>1113.7059999999999</v>
          </cell>
          <cell r="Q89">
            <v>1294.5709999999999</v>
          </cell>
        </row>
        <row r="95">
          <cell r="O95">
            <v>11.98702235039654</v>
          </cell>
          <cell r="P95">
            <v>11.536912751677852</v>
          </cell>
          <cell r="Q95">
            <v>11.29149560117302</v>
          </cell>
        </row>
        <row r="96">
          <cell r="O96">
            <v>24.741071428571427</v>
          </cell>
          <cell r="P96">
            <v>25.410199556541016</v>
          </cell>
          <cell r="Q96">
            <v>26.264665757162344</v>
          </cell>
        </row>
        <row r="97">
          <cell r="C97" t="str">
            <v>--</v>
          </cell>
          <cell r="D97" t="str">
            <v xml:space="preserve">--  </v>
          </cell>
          <cell r="E97" t="str">
            <v xml:space="preserve">--  </v>
          </cell>
          <cell r="F97" t="str">
            <v xml:space="preserve">--  </v>
          </cell>
          <cell r="G97" t="str">
            <v xml:space="preserve">--  </v>
          </cell>
          <cell r="H97" t="str">
            <v xml:space="preserve">--  </v>
          </cell>
          <cell r="I97" t="str">
            <v xml:space="preserve">--  </v>
          </cell>
          <cell r="J97" t="str">
            <v xml:space="preserve">--  </v>
          </cell>
          <cell r="K97" t="str">
            <v xml:space="preserve">--  </v>
          </cell>
          <cell r="L97" t="str">
            <v xml:space="preserve">--  </v>
          </cell>
          <cell r="M97" t="str">
            <v xml:space="preserve">--  </v>
          </cell>
          <cell r="N97">
            <v>64.229765013054845</v>
          </cell>
          <cell r="O97">
            <v>31.419905320747223</v>
          </cell>
          <cell r="P97">
            <v>28.670069048333815</v>
          </cell>
          <cell r="Q97">
            <v>28.725324898166221</v>
          </cell>
        </row>
        <row r="98">
          <cell r="O98">
            <v>2.3254773061053218</v>
          </cell>
          <cell r="P98">
            <v>2.4063834254917058</v>
          </cell>
          <cell r="Q98">
            <v>2.596183669341245</v>
          </cell>
        </row>
        <row r="99">
          <cell r="C99" t="str">
            <v>--</v>
          </cell>
          <cell r="D99" t="str">
            <v xml:space="preserve">--  </v>
          </cell>
          <cell r="E99" t="str">
            <v xml:space="preserve">--  </v>
          </cell>
          <cell r="F99" t="str">
            <v xml:space="preserve">--  </v>
          </cell>
          <cell r="G99" t="str">
            <v xml:space="preserve">--  </v>
          </cell>
          <cell r="H99" t="str">
            <v xml:space="preserve">--  </v>
          </cell>
          <cell r="I99" t="str">
            <v xml:space="preserve">--  </v>
          </cell>
          <cell r="J99" t="str">
            <v xml:space="preserve">--  </v>
          </cell>
          <cell r="K99" t="str">
            <v xml:space="preserve">--  </v>
          </cell>
          <cell r="L99" t="str">
            <v xml:space="preserve">--  </v>
          </cell>
          <cell r="M99" t="str">
            <v xml:space="preserve">--  </v>
          </cell>
          <cell r="N99">
            <v>3.467208724712397</v>
          </cell>
          <cell r="O99">
            <v>1.7388239563631114</v>
          </cell>
          <cell r="P99">
            <v>1.6313198221965783</v>
          </cell>
          <cell r="Q99">
            <v>1.5683271557166711</v>
          </cell>
        </row>
        <row r="100">
          <cell r="O100">
            <v>49.335311572700292</v>
          </cell>
          <cell r="P100">
            <v>53.887147335423201</v>
          </cell>
          <cell r="Q100">
            <v>47.535802469135803</v>
          </cell>
        </row>
        <row r="101">
          <cell r="B101" t="str">
            <v xml:space="preserve"> Total other assets turns</v>
          </cell>
          <cell r="C101" t="str">
            <v>--</v>
          </cell>
          <cell r="D101" t="str">
            <v xml:space="preserve">--  </v>
          </cell>
          <cell r="E101" t="str">
            <v xml:space="preserve">--  </v>
          </cell>
          <cell r="F101" t="str">
            <v xml:space="preserve">--  </v>
          </cell>
          <cell r="G101" t="str">
            <v xml:space="preserve">--  </v>
          </cell>
          <cell r="H101" t="str">
            <v xml:space="preserve">--  </v>
          </cell>
          <cell r="I101" t="str">
            <v xml:space="preserve">--  </v>
          </cell>
          <cell r="J101" t="str">
            <v xml:space="preserve">--  </v>
          </cell>
          <cell r="K101" t="str">
            <v xml:space="preserve">--  </v>
          </cell>
          <cell r="L101" t="str">
            <v xml:space="preserve">--  </v>
          </cell>
          <cell r="M101" t="str">
            <v xml:space="preserve">--  </v>
          </cell>
          <cell r="N101" t="str">
            <v xml:space="preserve">--  </v>
          </cell>
          <cell r="O101" t="str">
            <v xml:space="preserve">--  </v>
          </cell>
          <cell r="P101" t="str">
            <v xml:space="preserve">--  </v>
          </cell>
          <cell r="Q101" t="str">
            <v xml:space="preserve">--  </v>
          </cell>
        </row>
        <row r="102">
          <cell r="C102" t="str">
            <v>--</v>
          </cell>
          <cell r="D102" t="str">
            <v xml:space="preserve">--  </v>
          </cell>
          <cell r="E102" t="str">
            <v xml:space="preserve">--  </v>
          </cell>
          <cell r="F102" t="str">
            <v xml:space="preserve">--  </v>
          </cell>
          <cell r="G102" t="str">
            <v xml:space="preserve">--  </v>
          </cell>
          <cell r="H102" t="str">
            <v xml:space="preserve">--  </v>
          </cell>
          <cell r="I102" t="str">
            <v xml:space="preserve">--  </v>
          </cell>
          <cell r="J102" t="str">
            <v xml:space="preserve">--  </v>
          </cell>
          <cell r="K102" t="str">
            <v xml:space="preserve">--  </v>
          </cell>
          <cell r="L102" t="str">
            <v xml:space="preserve">--  </v>
          </cell>
          <cell r="M102" t="str">
            <v xml:space="preserve">--  </v>
          </cell>
          <cell r="N102">
            <v>1.6448150437428679</v>
          </cell>
          <cell r="O102">
            <v>1.6476410667549319</v>
          </cell>
          <cell r="P102">
            <v>1.543495321027273</v>
          </cell>
          <cell r="Q102">
            <v>1.4871335755242472</v>
          </cell>
        </row>
        <row r="105">
          <cell r="O105">
            <v>2.0291110309154307E-2</v>
          </cell>
          <cell r="P105">
            <v>2.4531892135337394E-2</v>
          </cell>
          <cell r="Q105">
            <v>4.1865953609919189E-2</v>
          </cell>
        </row>
        <row r="106">
          <cell r="O106">
            <v>1.6476410667549319</v>
          </cell>
          <cell r="P106">
            <v>1.543495321027273</v>
          </cell>
          <cell r="Q106">
            <v>1.4871335755242472</v>
          </cell>
        </row>
        <row r="107">
          <cell r="O107">
            <v>3.3432466635416998E-2</v>
          </cell>
          <cell r="P107">
            <v>3.7864860726839027E-2</v>
          </cell>
          <cell r="Q107">
            <v>6.2260265284651388E-2</v>
          </cell>
        </row>
        <row r="108">
          <cell r="O108">
            <v>5.1955827862753295E-2</v>
          </cell>
          <cell r="P108">
            <v>4.4323940914220289E-3</v>
          </cell>
          <cell r="Q108">
            <v>2.4395404557812361E-2</v>
          </cell>
        </row>
        <row r="109">
          <cell r="O109">
            <v>5.1940693546342204E-2</v>
          </cell>
          <cell r="P109" t="str">
            <v>NM</v>
          </cell>
          <cell r="Q109">
            <v>0.18285377083652804</v>
          </cell>
        </row>
        <row r="112">
          <cell r="O112">
            <v>-2.8048812105482357</v>
          </cell>
          <cell r="P112">
            <v>0.13257753727110666</v>
          </cell>
          <cell r="Q112">
            <v>0.6442755655118686</v>
          </cell>
        </row>
        <row r="113">
          <cell r="O113" t="str">
            <v xml:space="preserve">  --</v>
          </cell>
          <cell r="P113" t="str">
            <v xml:space="preserve">  --</v>
          </cell>
          <cell r="Q113" t="str">
            <v xml:space="preserve">  --</v>
          </cell>
        </row>
        <row r="114">
          <cell r="O114" t="str">
            <v xml:space="preserve">  --</v>
          </cell>
          <cell r="P114" t="str">
            <v xml:space="preserve">  --</v>
          </cell>
          <cell r="Q114" t="str">
            <v xml:space="preserve">  --</v>
          </cell>
        </row>
        <row r="118">
          <cell r="O118">
            <v>1997</v>
          </cell>
          <cell r="P118">
            <v>1998</v>
          </cell>
          <cell r="Q118">
            <v>1999</v>
          </cell>
        </row>
        <row r="119">
          <cell r="O119">
            <v>11.98702235039654</v>
          </cell>
          <cell r="P119">
            <v>11.536912751677852</v>
          </cell>
          <cell r="Q119">
            <v>11.29149560117302</v>
          </cell>
        </row>
        <row r="120">
          <cell r="O120">
            <v>30.449597016720798</v>
          </cell>
          <cell r="P120">
            <v>31.637579988365331</v>
          </cell>
          <cell r="Q120">
            <v>32.325212964886767</v>
          </cell>
        </row>
        <row r="121">
          <cell r="O121">
            <v>14.714285714285714</v>
          </cell>
          <cell r="P121">
            <v>14.509977827050998</v>
          </cell>
          <cell r="Q121">
            <v>14.9031377899045</v>
          </cell>
        </row>
        <row r="122">
          <cell r="O122">
            <v>24.805825242718448</v>
          </cell>
          <cell r="P122">
            <v>25.15510391198044</v>
          </cell>
          <cell r="Q122">
            <v>24.491486634932262</v>
          </cell>
        </row>
        <row r="123">
          <cell r="O123">
            <v>9.0095671981776757</v>
          </cell>
          <cell r="P123">
            <v>7.7443786982248524</v>
          </cell>
          <cell r="Q123">
            <v>8.4813664596273295</v>
          </cell>
        </row>
        <row r="124">
          <cell r="O124">
            <v>40.512489886731395</v>
          </cell>
          <cell r="P124">
            <v>47.130959657701709</v>
          </cell>
          <cell r="Q124">
            <v>43.035518125228855</v>
          </cell>
        </row>
        <row r="125">
          <cell r="O125">
            <v>14.742932372707848</v>
          </cell>
          <cell r="P125">
            <v>9.6617242426440626</v>
          </cell>
          <cell r="Q125">
            <v>13.781181474590177</v>
          </cell>
        </row>
      </sheetData>
      <sheetData sheetId="6">
        <row r="1">
          <cell r="O1">
            <v>3.7892457596535546E-3</v>
          </cell>
          <cell r="P1">
            <v>4.7702152414194291E-3</v>
          </cell>
          <cell r="Q1">
            <v>1.0128817785165178E-2</v>
          </cell>
        </row>
        <row r="2">
          <cell r="P2" t="str">
            <v>NOPAT Statement</v>
          </cell>
        </row>
        <row r="3">
          <cell r="O3" t="str">
            <v>P-2</v>
          </cell>
          <cell r="P3" t="str">
            <v>P-1</v>
          </cell>
          <cell r="Q3" t="str">
            <v>Present (P)</v>
          </cell>
        </row>
        <row r="4">
          <cell r="O4">
            <v>1997</v>
          </cell>
          <cell r="P4">
            <v>1998</v>
          </cell>
          <cell r="Q4">
            <v>1999</v>
          </cell>
        </row>
        <row r="5">
          <cell r="C5">
            <v>0</v>
          </cell>
          <cell r="D5">
            <v>0</v>
          </cell>
          <cell r="E5">
            <v>0</v>
          </cell>
          <cell r="F5">
            <v>0</v>
          </cell>
          <cell r="G5">
            <v>0</v>
          </cell>
          <cell r="H5">
            <v>0</v>
          </cell>
          <cell r="I5">
            <v>0</v>
          </cell>
          <cell r="J5">
            <v>0</v>
          </cell>
          <cell r="K5">
            <v>0</v>
          </cell>
          <cell r="L5">
            <v>0</v>
          </cell>
          <cell r="M5">
            <v>0</v>
          </cell>
          <cell r="N5">
            <v>1660.5</v>
          </cell>
          <cell r="O5">
            <v>1662.6</v>
          </cell>
          <cell r="P5">
            <v>1719</v>
          </cell>
          <cell r="Q5">
            <v>1925.2</v>
          </cell>
        </row>
        <row r="6">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row>
        <row r="8">
          <cell r="C8">
            <v>0</v>
          </cell>
          <cell r="D8">
            <v>0</v>
          </cell>
          <cell r="E8">
            <v>0</v>
          </cell>
          <cell r="F8">
            <v>0</v>
          </cell>
          <cell r="G8">
            <v>0</v>
          </cell>
          <cell r="H8">
            <v>0</v>
          </cell>
          <cell r="I8">
            <v>0</v>
          </cell>
          <cell r="J8">
            <v>0</v>
          </cell>
          <cell r="K8">
            <v>0</v>
          </cell>
          <cell r="L8">
            <v>0</v>
          </cell>
          <cell r="M8">
            <v>0</v>
          </cell>
          <cell r="N8">
            <v>1660.5</v>
          </cell>
          <cell r="O8">
            <v>1662.6</v>
          </cell>
          <cell r="P8">
            <v>1719</v>
          </cell>
          <cell r="Q8">
            <v>1925.2</v>
          </cell>
        </row>
        <row r="9">
          <cell r="C9">
            <v>0</v>
          </cell>
          <cell r="D9">
            <v>0</v>
          </cell>
          <cell r="E9">
            <v>0</v>
          </cell>
          <cell r="F9">
            <v>0</v>
          </cell>
          <cell r="G9">
            <v>0</v>
          </cell>
          <cell r="H9">
            <v>0</v>
          </cell>
          <cell r="I9">
            <v>0</v>
          </cell>
          <cell r="J9">
            <v>0</v>
          </cell>
          <cell r="K9">
            <v>0</v>
          </cell>
          <cell r="L9">
            <v>0</v>
          </cell>
          <cell r="M9">
            <v>0</v>
          </cell>
          <cell r="N9">
            <v>1040.9000000000001</v>
          </cell>
          <cell r="O9">
            <v>988.8</v>
          </cell>
          <cell r="P9">
            <v>981.6</v>
          </cell>
          <cell r="Q9">
            <v>1092.4000000000001</v>
          </cell>
        </row>
        <row r="10">
          <cell r="C10">
            <v>0</v>
          </cell>
          <cell r="D10">
            <v>0</v>
          </cell>
          <cell r="E10">
            <v>0</v>
          </cell>
          <cell r="F10">
            <v>0</v>
          </cell>
          <cell r="G10">
            <v>0</v>
          </cell>
          <cell r="H10">
            <v>0</v>
          </cell>
          <cell r="I10">
            <v>0</v>
          </cell>
          <cell r="J10">
            <v>0</v>
          </cell>
          <cell r="K10">
            <v>0</v>
          </cell>
          <cell r="L10">
            <v>0</v>
          </cell>
          <cell r="M10">
            <v>0</v>
          </cell>
          <cell r="N10">
            <v>619.59999999999991</v>
          </cell>
          <cell r="O10">
            <v>673.8</v>
          </cell>
          <cell r="P10">
            <v>737.4</v>
          </cell>
          <cell r="Q10">
            <v>832.8</v>
          </cell>
        </row>
        <row r="12">
          <cell r="C12">
            <v>0</v>
          </cell>
          <cell r="D12">
            <v>0</v>
          </cell>
          <cell r="E12">
            <v>0</v>
          </cell>
          <cell r="F12">
            <v>0</v>
          </cell>
          <cell r="G12">
            <v>0</v>
          </cell>
          <cell r="H12">
            <v>0</v>
          </cell>
          <cell r="I12">
            <v>0</v>
          </cell>
          <cell r="J12">
            <v>0</v>
          </cell>
          <cell r="K12">
            <v>0</v>
          </cell>
          <cell r="L12">
            <v>0</v>
          </cell>
          <cell r="M12">
            <v>0</v>
          </cell>
          <cell r="N12">
            <v>652.4</v>
          </cell>
          <cell r="O12">
            <v>633.5</v>
          </cell>
          <cell r="P12">
            <v>670.2</v>
          </cell>
          <cell r="Q12">
            <v>731.6</v>
          </cell>
        </row>
        <row r="13">
          <cell r="O13">
            <v>0</v>
          </cell>
          <cell r="P13">
            <v>0</v>
          </cell>
          <cell r="Q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O15">
            <v>1622.3</v>
          </cell>
          <cell r="P15">
            <v>1651.8000000000002</v>
          </cell>
          <cell r="Q15">
            <v>1824</v>
          </cell>
        </row>
        <row r="17">
          <cell r="C17">
            <v>0</v>
          </cell>
          <cell r="D17">
            <v>0</v>
          </cell>
          <cell r="E17">
            <v>0</v>
          </cell>
          <cell r="F17">
            <v>0</v>
          </cell>
          <cell r="G17">
            <v>0</v>
          </cell>
          <cell r="H17">
            <v>0</v>
          </cell>
          <cell r="I17">
            <v>0</v>
          </cell>
          <cell r="J17">
            <v>0</v>
          </cell>
          <cell r="K17">
            <v>0</v>
          </cell>
          <cell r="L17">
            <v>0</v>
          </cell>
          <cell r="M17">
            <v>0</v>
          </cell>
          <cell r="N17">
            <v>-32.800000000000182</v>
          </cell>
          <cell r="O17">
            <v>40.299999999999955</v>
          </cell>
          <cell r="P17">
            <v>67.199999999999818</v>
          </cell>
          <cell r="Q17">
            <v>101.20000000000005</v>
          </cell>
        </row>
        <row r="18">
          <cell r="C18">
            <v>0</v>
          </cell>
          <cell r="D18">
            <v>0</v>
          </cell>
          <cell r="E18">
            <v>0</v>
          </cell>
          <cell r="F18">
            <v>0</v>
          </cell>
          <cell r="G18">
            <v>0</v>
          </cell>
          <cell r="H18">
            <v>0</v>
          </cell>
          <cell r="I18">
            <v>0</v>
          </cell>
          <cell r="J18">
            <v>0</v>
          </cell>
          <cell r="K18">
            <v>0</v>
          </cell>
          <cell r="L18">
            <v>0</v>
          </cell>
          <cell r="M18">
            <v>0</v>
          </cell>
          <cell r="N18">
            <v>5</v>
          </cell>
          <cell r="O18">
            <v>5.0999999999999943</v>
          </cell>
          <cell r="P18">
            <v>6</v>
          </cell>
          <cell r="Q18">
            <v>10.200000000000003</v>
          </cell>
        </row>
        <row r="19">
          <cell r="O19">
            <v>45.399999999999949</v>
          </cell>
          <cell r="P19">
            <v>73.199999999999818</v>
          </cell>
          <cell r="Q19">
            <v>111.40000000000005</v>
          </cell>
        </row>
        <row r="21">
          <cell r="O21">
            <v>0</v>
          </cell>
          <cell r="P21">
            <v>0</v>
          </cell>
          <cell r="Q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O24">
            <v>0</v>
          </cell>
          <cell r="P24">
            <v>0</v>
          </cell>
          <cell r="Q24">
            <v>0</v>
          </cell>
        </row>
        <row r="26">
          <cell r="C26">
            <v>0</v>
          </cell>
          <cell r="D26">
            <v>0</v>
          </cell>
          <cell r="E26">
            <v>0</v>
          </cell>
          <cell r="F26">
            <v>0</v>
          </cell>
          <cell r="G26">
            <v>0</v>
          </cell>
          <cell r="H26">
            <v>0</v>
          </cell>
          <cell r="I26">
            <v>0</v>
          </cell>
          <cell r="J26">
            <v>0</v>
          </cell>
          <cell r="K26">
            <v>0</v>
          </cell>
          <cell r="L26">
            <v>0</v>
          </cell>
          <cell r="M26">
            <v>0</v>
          </cell>
          <cell r="N26">
            <v>-27.800000000000182</v>
          </cell>
          <cell r="O26">
            <v>45.399999999999949</v>
          </cell>
          <cell r="P26">
            <v>73.199999999999818</v>
          </cell>
          <cell r="Q26">
            <v>111.40000000000005</v>
          </cell>
        </row>
        <row r="28">
          <cell r="O28">
            <v>0</v>
          </cell>
          <cell r="P28">
            <v>0</v>
          </cell>
          <cell r="Q28">
            <v>0</v>
          </cell>
        </row>
        <row r="29">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2">
          <cell r="C32">
            <v>0</v>
          </cell>
          <cell r="D32">
            <v>0</v>
          </cell>
          <cell r="E32">
            <v>0</v>
          </cell>
          <cell r="F32">
            <v>0</v>
          </cell>
          <cell r="G32">
            <v>0</v>
          </cell>
          <cell r="H32">
            <v>0</v>
          </cell>
          <cell r="I32">
            <v>0</v>
          </cell>
          <cell r="J32">
            <v>0</v>
          </cell>
          <cell r="K32">
            <v>0</v>
          </cell>
          <cell r="L32">
            <v>0</v>
          </cell>
          <cell r="M32">
            <v>0</v>
          </cell>
          <cell r="N32">
            <v>-27.800000000000182</v>
          </cell>
          <cell r="O32">
            <v>45.399999999999949</v>
          </cell>
          <cell r="P32">
            <v>73.199999999999818</v>
          </cell>
          <cell r="Q32">
            <v>111.40000000000005</v>
          </cell>
        </row>
        <row r="34">
          <cell r="C34">
            <v>0</v>
          </cell>
          <cell r="D34">
            <v>0</v>
          </cell>
          <cell r="E34">
            <v>0</v>
          </cell>
          <cell r="F34">
            <v>0</v>
          </cell>
          <cell r="G34">
            <v>0</v>
          </cell>
          <cell r="H34">
            <v>0</v>
          </cell>
          <cell r="I34">
            <v>0</v>
          </cell>
          <cell r="J34">
            <v>0</v>
          </cell>
          <cell r="K34">
            <v>0</v>
          </cell>
          <cell r="L34">
            <v>0</v>
          </cell>
          <cell r="M34">
            <v>0</v>
          </cell>
          <cell r="N34">
            <v>-9.1</v>
          </cell>
          <cell r="O34">
            <v>6.5</v>
          </cell>
          <cell r="P34">
            <v>24.2</v>
          </cell>
          <cell r="Q34">
            <v>21.9</v>
          </cell>
        </row>
        <row r="35">
          <cell r="O35">
            <v>4.407</v>
          </cell>
          <cell r="P35">
            <v>-1.1709677419354874</v>
          </cell>
          <cell r="Q35">
            <v>7.9702838063439003</v>
          </cell>
        </row>
        <row r="36">
          <cell r="O36">
            <v>2.4569999999999999</v>
          </cell>
          <cell r="P36">
            <v>3.2006451612903319</v>
          </cell>
          <cell r="Q36">
            <v>7.1293823038397273</v>
          </cell>
        </row>
        <row r="37">
          <cell r="O37">
            <v>0</v>
          </cell>
          <cell r="P37">
            <v>0</v>
          </cell>
          <cell r="Q37">
            <v>0</v>
          </cell>
        </row>
        <row r="38">
          <cell r="O38">
            <v>1.7</v>
          </cell>
          <cell r="P38">
            <v>-4.8</v>
          </cell>
          <cell r="Q38">
            <v>6.2</v>
          </cell>
        </row>
        <row r="39">
          <cell r="C39">
            <v>0</v>
          </cell>
          <cell r="D39">
            <v>0</v>
          </cell>
          <cell r="E39">
            <v>0</v>
          </cell>
          <cell r="F39">
            <v>0</v>
          </cell>
          <cell r="G39">
            <v>0</v>
          </cell>
          <cell r="H39">
            <v>0</v>
          </cell>
          <cell r="I39">
            <v>0</v>
          </cell>
          <cell r="J39">
            <v>0</v>
          </cell>
          <cell r="K39">
            <v>0</v>
          </cell>
          <cell r="L39">
            <v>0</v>
          </cell>
          <cell r="M39">
            <v>0</v>
          </cell>
          <cell r="N39">
            <v>-9.1</v>
          </cell>
          <cell r="O39">
            <v>11.664000000000001</v>
          </cell>
          <cell r="P39">
            <v>31.029677419354844</v>
          </cell>
          <cell r="Q39">
            <v>30.799666110183626</v>
          </cell>
        </row>
        <row r="41">
          <cell r="C41">
            <v>0</v>
          </cell>
          <cell r="D41">
            <v>0</v>
          </cell>
          <cell r="E41">
            <v>0</v>
          </cell>
          <cell r="F41">
            <v>0</v>
          </cell>
          <cell r="G41">
            <v>0</v>
          </cell>
          <cell r="H41">
            <v>0</v>
          </cell>
          <cell r="I41">
            <v>0</v>
          </cell>
          <cell r="J41">
            <v>0</v>
          </cell>
          <cell r="K41">
            <v>0</v>
          </cell>
          <cell r="L41">
            <v>0</v>
          </cell>
          <cell r="M41">
            <v>0</v>
          </cell>
          <cell r="N41">
            <v>-18.70000000000018</v>
          </cell>
          <cell r="O41">
            <v>33.735999999999947</v>
          </cell>
          <cell r="P41">
            <v>42.170322580644978</v>
          </cell>
          <cell r="Q41">
            <v>80.600333889816426</v>
          </cell>
        </row>
        <row r="43">
          <cell r="O43">
            <v>16.199999999999957</v>
          </cell>
          <cell r="P43">
            <v>35.999999999999815</v>
          </cell>
          <cell r="Q43">
            <v>38.00000000000005</v>
          </cell>
        </row>
        <row r="44">
          <cell r="O44">
            <v>0</v>
          </cell>
          <cell r="P44">
            <v>0</v>
          </cell>
          <cell r="Q44">
            <v>0</v>
          </cell>
        </row>
        <row r="45">
          <cell r="O45">
            <v>0</v>
          </cell>
          <cell r="P45">
            <v>0</v>
          </cell>
          <cell r="Q45">
            <v>0</v>
          </cell>
        </row>
        <row r="46">
          <cell r="O46">
            <v>16.199999999999957</v>
          </cell>
          <cell r="P46">
            <v>35.999999999999815</v>
          </cell>
          <cell r="Q46">
            <v>38.00000000000005</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row>
        <row r="49">
          <cell r="O49">
            <v>0</v>
          </cell>
          <cell r="P49">
            <v>0</v>
          </cell>
          <cell r="Q49">
            <v>0</v>
          </cell>
        </row>
        <row r="50">
          <cell r="O50">
            <v>12.7</v>
          </cell>
          <cell r="P50">
            <v>0</v>
          </cell>
          <cell r="Q50">
            <v>28</v>
          </cell>
        </row>
        <row r="51">
          <cell r="O51">
            <v>1.7</v>
          </cell>
          <cell r="P51">
            <v>-4.8</v>
          </cell>
          <cell r="Q51">
            <v>6.2</v>
          </cell>
        </row>
        <row r="52">
          <cell r="O52">
            <v>0</v>
          </cell>
          <cell r="P52">
            <v>0</v>
          </cell>
          <cell r="Q52">
            <v>0</v>
          </cell>
        </row>
        <row r="53">
          <cell r="O53">
            <v>0</v>
          </cell>
          <cell r="P53">
            <v>0</v>
          </cell>
          <cell r="Q53">
            <v>0</v>
          </cell>
        </row>
        <row r="54">
          <cell r="O54">
            <v>5.0999999999999943</v>
          </cell>
          <cell r="P54">
            <v>6</v>
          </cell>
          <cell r="Q54">
            <v>10.200000000000003</v>
          </cell>
        </row>
        <row r="55">
          <cell r="O55">
            <v>19.499999999999993</v>
          </cell>
          <cell r="P55">
            <v>1.2000000000000002</v>
          </cell>
          <cell r="Q55">
            <v>44.400000000000006</v>
          </cell>
        </row>
        <row r="57">
          <cell r="O57">
            <v>35.699999999999946</v>
          </cell>
          <cell r="P57">
            <v>37.199999999999818</v>
          </cell>
          <cell r="Q57">
            <v>82.400000000000063</v>
          </cell>
        </row>
        <row r="58">
          <cell r="C58">
            <v>0</v>
          </cell>
          <cell r="D58">
            <v>0</v>
          </cell>
          <cell r="E58">
            <v>0</v>
          </cell>
          <cell r="F58">
            <v>0</v>
          </cell>
          <cell r="G58">
            <v>0</v>
          </cell>
          <cell r="H58">
            <v>0</v>
          </cell>
          <cell r="I58">
            <v>0</v>
          </cell>
          <cell r="J58">
            <v>0</v>
          </cell>
          <cell r="K58">
            <v>0</v>
          </cell>
          <cell r="L58">
            <v>0</v>
          </cell>
          <cell r="M58">
            <v>0</v>
          </cell>
          <cell r="N58">
            <v>3.8</v>
          </cell>
          <cell r="O58">
            <v>1.4</v>
          </cell>
          <cell r="P58">
            <v>3</v>
          </cell>
          <cell r="Q58">
            <v>6.2</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row>
        <row r="60">
          <cell r="O60">
            <v>0</v>
          </cell>
          <cell r="P60">
            <v>1.8</v>
          </cell>
          <cell r="Q60">
            <v>0</v>
          </cell>
        </row>
        <row r="61">
          <cell r="O61">
            <v>0</v>
          </cell>
          <cell r="P61">
            <v>0</v>
          </cell>
          <cell r="Q61">
            <v>0</v>
          </cell>
        </row>
        <row r="63">
          <cell r="C63">
            <v>0</v>
          </cell>
          <cell r="D63">
            <v>0</v>
          </cell>
          <cell r="E63">
            <v>0</v>
          </cell>
          <cell r="F63">
            <v>0</v>
          </cell>
          <cell r="G63">
            <v>0</v>
          </cell>
          <cell r="H63">
            <v>0</v>
          </cell>
          <cell r="I63">
            <v>0</v>
          </cell>
          <cell r="J63">
            <v>0</v>
          </cell>
          <cell r="K63">
            <v>0</v>
          </cell>
          <cell r="L63">
            <v>0</v>
          </cell>
          <cell r="M63">
            <v>0</v>
          </cell>
          <cell r="N63">
            <v>7</v>
          </cell>
          <cell r="O63">
            <v>6.3</v>
          </cell>
          <cell r="P63">
            <v>8.1999999999999993</v>
          </cell>
          <cell r="Q63">
            <v>19.5</v>
          </cell>
        </row>
        <row r="64">
          <cell r="O64">
            <v>4.407</v>
          </cell>
          <cell r="P64">
            <v>-1.1709677419354874</v>
          </cell>
          <cell r="Q64">
            <v>7.9702838063439003</v>
          </cell>
        </row>
        <row r="65">
          <cell r="O65">
            <v>0</v>
          </cell>
          <cell r="P65">
            <v>0</v>
          </cell>
          <cell r="Q65">
            <v>0</v>
          </cell>
        </row>
        <row r="66">
          <cell r="O66">
            <v>2.4569999999999999</v>
          </cell>
          <cell r="P66">
            <v>3.2006451612903319</v>
          </cell>
          <cell r="Q66">
            <v>7.1293823038397273</v>
          </cell>
        </row>
        <row r="67">
          <cell r="O67">
            <v>-0.56400000000000006</v>
          </cell>
          <cell r="P67">
            <v>6.1703225806451547</v>
          </cell>
          <cell r="Q67">
            <v>4.4003338898163733</v>
          </cell>
        </row>
        <row r="69">
          <cell r="O69">
            <v>33.735999999999947</v>
          </cell>
          <cell r="P69">
            <v>42.170322580644971</v>
          </cell>
          <cell r="Q69">
            <v>80.60033388981644</v>
          </cell>
        </row>
        <row r="71">
          <cell r="O71" t="str">
            <v>P-2</v>
          </cell>
          <cell r="P71" t="str">
            <v>P-1</v>
          </cell>
          <cell r="Q71" t="str">
            <v>Present (P)</v>
          </cell>
        </row>
        <row r="72">
          <cell r="O72">
            <v>1997</v>
          </cell>
          <cell r="P72">
            <v>1998</v>
          </cell>
          <cell r="Q72">
            <v>1999</v>
          </cell>
        </row>
        <row r="73">
          <cell r="O73">
            <v>1662.6</v>
          </cell>
          <cell r="P73">
            <v>1719</v>
          </cell>
          <cell r="Q73">
            <v>1925.2</v>
          </cell>
        </row>
        <row r="74">
          <cell r="O74">
            <v>0</v>
          </cell>
          <cell r="P74">
            <v>0</v>
          </cell>
          <cell r="Q74">
            <v>0</v>
          </cell>
        </row>
        <row r="75">
          <cell r="O75">
            <v>0</v>
          </cell>
          <cell r="P75">
            <v>0</v>
          </cell>
          <cell r="Q75">
            <v>0</v>
          </cell>
        </row>
        <row r="76">
          <cell r="O76">
            <v>1662.6</v>
          </cell>
          <cell r="P76">
            <v>1719</v>
          </cell>
          <cell r="Q76">
            <v>1925.2</v>
          </cell>
        </row>
        <row r="77">
          <cell r="O77">
            <v>988.8</v>
          </cell>
          <cell r="P77">
            <v>981.6</v>
          </cell>
          <cell r="Q77">
            <v>1092.4000000000001</v>
          </cell>
        </row>
        <row r="78">
          <cell r="O78">
            <v>673.8</v>
          </cell>
          <cell r="P78">
            <v>737.4</v>
          </cell>
          <cell r="Q78">
            <v>832.8</v>
          </cell>
        </row>
        <row r="79">
          <cell r="O79">
            <v>633.5</v>
          </cell>
          <cell r="P79">
            <v>670.2</v>
          </cell>
          <cell r="Q79">
            <v>731.6</v>
          </cell>
        </row>
        <row r="80">
          <cell r="O80">
            <v>0</v>
          </cell>
          <cell r="P80">
            <v>0</v>
          </cell>
          <cell r="Q80">
            <v>0</v>
          </cell>
        </row>
        <row r="81">
          <cell r="O81">
            <v>0</v>
          </cell>
          <cell r="P81">
            <v>0</v>
          </cell>
          <cell r="Q81">
            <v>0</v>
          </cell>
        </row>
        <row r="82">
          <cell r="O82">
            <v>1622.3</v>
          </cell>
          <cell r="P82">
            <v>1651.8000000000002</v>
          </cell>
          <cell r="Q82">
            <v>1824</v>
          </cell>
        </row>
        <row r="84">
          <cell r="O84">
            <v>40.299999999999955</v>
          </cell>
          <cell r="P84">
            <v>67.199999999999818</v>
          </cell>
          <cell r="Q84">
            <v>101.20000000000005</v>
          </cell>
        </row>
        <row r="85">
          <cell r="O85">
            <v>0</v>
          </cell>
          <cell r="P85">
            <v>0</v>
          </cell>
          <cell r="Q85">
            <v>0</v>
          </cell>
        </row>
        <row r="86">
          <cell r="O86">
            <v>6.3</v>
          </cell>
          <cell r="P86">
            <v>8.1999999999999993</v>
          </cell>
          <cell r="Q86">
            <v>19.5</v>
          </cell>
        </row>
        <row r="87">
          <cell r="O87">
            <v>12.7</v>
          </cell>
          <cell r="P87">
            <v>0</v>
          </cell>
          <cell r="Q87">
            <v>28</v>
          </cell>
        </row>
        <row r="88">
          <cell r="O88">
            <v>1.4</v>
          </cell>
          <cell r="P88">
            <v>3</v>
          </cell>
          <cell r="Q88">
            <v>6.2</v>
          </cell>
        </row>
        <row r="89">
          <cell r="O89">
            <v>0</v>
          </cell>
          <cell r="P89">
            <v>0</v>
          </cell>
          <cell r="Q89">
            <v>0</v>
          </cell>
        </row>
        <row r="90">
          <cell r="C90">
            <v>0</v>
          </cell>
          <cell r="D90">
            <v>0</v>
          </cell>
          <cell r="E90">
            <v>0</v>
          </cell>
          <cell r="F90">
            <v>0</v>
          </cell>
          <cell r="G90">
            <v>0</v>
          </cell>
          <cell r="H90">
            <v>0</v>
          </cell>
          <cell r="I90">
            <v>0</v>
          </cell>
          <cell r="J90">
            <v>0</v>
          </cell>
          <cell r="K90">
            <v>0</v>
          </cell>
          <cell r="L90">
            <v>0</v>
          </cell>
          <cell r="M90">
            <v>0</v>
          </cell>
          <cell r="N90">
            <v>-39.000000000000185</v>
          </cell>
          <cell r="O90">
            <v>22.699999999999957</v>
          </cell>
          <cell r="P90">
            <v>61.999999999999815</v>
          </cell>
          <cell r="Q90">
            <v>59.900000000000048</v>
          </cell>
        </row>
        <row r="91">
          <cell r="O91">
            <v>6.5</v>
          </cell>
          <cell r="P91">
            <v>24.2</v>
          </cell>
          <cell r="Q91">
            <v>21.9</v>
          </cell>
        </row>
        <row r="92">
          <cell r="O92">
            <v>0</v>
          </cell>
          <cell r="P92">
            <v>1.8</v>
          </cell>
          <cell r="Q92">
            <v>0</v>
          </cell>
        </row>
        <row r="93">
          <cell r="O93">
            <v>0</v>
          </cell>
          <cell r="P93">
            <v>0</v>
          </cell>
          <cell r="Q93">
            <v>0</v>
          </cell>
        </row>
        <row r="94">
          <cell r="C94">
            <v>0</v>
          </cell>
          <cell r="D94">
            <v>0</v>
          </cell>
          <cell r="E94">
            <v>0</v>
          </cell>
          <cell r="F94">
            <v>0</v>
          </cell>
          <cell r="G94">
            <v>0</v>
          </cell>
          <cell r="H94">
            <v>0</v>
          </cell>
          <cell r="I94">
            <v>0</v>
          </cell>
          <cell r="J94">
            <v>0</v>
          </cell>
          <cell r="K94">
            <v>0</v>
          </cell>
          <cell r="L94">
            <v>0</v>
          </cell>
          <cell r="M94">
            <v>0</v>
          </cell>
          <cell r="N94">
            <v>-29.900000000000183</v>
          </cell>
          <cell r="O94">
            <v>16.199999999999957</v>
          </cell>
          <cell r="P94">
            <v>35.999999999999815</v>
          </cell>
          <cell r="Q94">
            <v>38.00000000000005</v>
          </cell>
        </row>
        <row r="95">
          <cell r="O95">
            <v>1123.78</v>
          </cell>
        </row>
        <row r="96">
          <cell r="C96">
            <v>0</v>
          </cell>
          <cell r="D96">
            <v>0</v>
          </cell>
          <cell r="E96">
            <v>0</v>
          </cell>
          <cell r="F96">
            <v>0</v>
          </cell>
          <cell r="G96">
            <v>0</v>
          </cell>
          <cell r="H96">
            <v>0</v>
          </cell>
          <cell r="I96">
            <v>0</v>
          </cell>
          <cell r="J96">
            <v>0</v>
          </cell>
          <cell r="K96">
            <v>0</v>
          </cell>
          <cell r="L96">
            <v>0</v>
          </cell>
          <cell r="M96">
            <v>0</v>
          </cell>
          <cell r="N96">
            <v>-0.73284313725490646</v>
          </cell>
          <cell r="O96">
            <v>0.39823008849557417</v>
          </cell>
          <cell r="P96">
            <v>0.84905660377358061</v>
          </cell>
          <cell r="Q96">
            <v>0.88992974238875988</v>
          </cell>
        </row>
        <row r="97">
          <cell r="O97">
            <v>0.25691629955947171</v>
          </cell>
          <cell r="P97">
            <v>0.42390269698572297</v>
          </cell>
          <cell r="Q97">
            <v>0.27647815179698038</v>
          </cell>
        </row>
        <row r="98">
          <cell r="O98">
            <v>0.28634361233480232</v>
          </cell>
          <cell r="P98">
            <v>0.39032258064516245</v>
          </cell>
          <cell r="Q98">
            <v>0.3656093489148578</v>
          </cell>
        </row>
        <row r="100">
          <cell r="C100">
            <v>0</v>
          </cell>
          <cell r="D100">
            <v>0</v>
          </cell>
          <cell r="E100">
            <v>0</v>
          </cell>
          <cell r="F100">
            <v>0</v>
          </cell>
          <cell r="G100">
            <v>0</v>
          </cell>
          <cell r="H100">
            <v>0</v>
          </cell>
          <cell r="I100">
            <v>0</v>
          </cell>
          <cell r="J100">
            <v>0</v>
          </cell>
          <cell r="K100">
            <v>0</v>
          </cell>
          <cell r="L100">
            <v>0</v>
          </cell>
          <cell r="M100">
            <v>0</v>
          </cell>
          <cell r="N100">
            <v>17.399999999999999</v>
          </cell>
          <cell r="O100">
            <v>84.5</v>
          </cell>
          <cell r="P100">
            <v>84.6</v>
          </cell>
          <cell r="Q100">
            <v>102.4</v>
          </cell>
        </row>
        <row r="101">
          <cell r="C101">
            <v>0</v>
          </cell>
          <cell r="D101">
            <v>0</v>
          </cell>
          <cell r="E101">
            <v>0</v>
          </cell>
          <cell r="F101">
            <v>0</v>
          </cell>
          <cell r="G101">
            <v>0</v>
          </cell>
          <cell r="H101">
            <v>0</v>
          </cell>
          <cell r="I101">
            <v>0</v>
          </cell>
          <cell r="J101">
            <v>0</v>
          </cell>
          <cell r="K101">
            <v>0</v>
          </cell>
          <cell r="L101">
            <v>0</v>
          </cell>
          <cell r="M101">
            <v>0</v>
          </cell>
          <cell r="N101">
            <v>-27.800000000000182</v>
          </cell>
          <cell r="O101">
            <v>45.399999999999949</v>
          </cell>
          <cell r="P101">
            <v>73.199999999999818</v>
          </cell>
          <cell r="Q101">
            <v>111.40000000000005</v>
          </cell>
        </row>
        <row r="102">
          <cell r="C102">
            <v>0</v>
          </cell>
          <cell r="D102">
            <v>0</v>
          </cell>
          <cell r="E102">
            <v>0</v>
          </cell>
          <cell r="F102">
            <v>0</v>
          </cell>
          <cell r="G102">
            <v>0</v>
          </cell>
          <cell r="H102">
            <v>0</v>
          </cell>
          <cell r="I102">
            <v>0</v>
          </cell>
          <cell r="J102">
            <v>0</v>
          </cell>
          <cell r="K102">
            <v>0</v>
          </cell>
          <cell r="L102">
            <v>0</v>
          </cell>
          <cell r="M102">
            <v>0</v>
          </cell>
          <cell r="N102">
            <v>-15.400000000000183</v>
          </cell>
          <cell r="O102">
            <v>124.79999999999995</v>
          </cell>
          <cell r="P102">
            <v>151.79999999999981</v>
          </cell>
          <cell r="Q102">
            <v>203.60000000000005</v>
          </cell>
        </row>
        <row r="103">
          <cell r="O103">
            <v>904.3</v>
          </cell>
          <cell r="P103">
            <v>897</v>
          </cell>
          <cell r="Q103">
            <v>990.00000000000011</v>
          </cell>
        </row>
        <row r="104">
          <cell r="C104">
            <v>0</v>
          </cell>
          <cell r="D104">
            <v>0</v>
          </cell>
          <cell r="E104">
            <v>0</v>
          </cell>
          <cell r="F104">
            <v>0</v>
          </cell>
          <cell r="G104">
            <v>0</v>
          </cell>
          <cell r="H104">
            <v>0</v>
          </cell>
          <cell r="I104">
            <v>0</v>
          </cell>
          <cell r="J104">
            <v>0</v>
          </cell>
          <cell r="K104">
            <v>0</v>
          </cell>
          <cell r="L104">
            <v>0</v>
          </cell>
          <cell r="M104">
            <v>0</v>
          </cell>
          <cell r="N104">
            <v>12.399999999999999</v>
          </cell>
          <cell r="O104">
            <v>79.400000000000006</v>
          </cell>
          <cell r="P104">
            <v>78.599999999999994</v>
          </cell>
          <cell r="Q104">
            <v>92.2</v>
          </cell>
        </row>
        <row r="105">
          <cell r="O105">
            <v>5.0999999999999943</v>
          </cell>
          <cell r="P105">
            <v>6</v>
          </cell>
          <cell r="Q105">
            <v>10.200000000000003</v>
          </cell>
        </row>
        <row r="108">
          <cell r="O108">
            <v>0.40526885600866114</v>
          </cell>
          <cell r="P108">
            <v>0.42897033158813264</v>
          </cell>
          <cell r="Q108">
            <v>0.43257843340951585</v>
          </cell>
        </row>
        <row r="109">
          <cell r="C109" t="str">
            <v xml:space="preserve">--  </v>
          </cell>
          <cell r="D109" t="str">
            <v xml:space="preserve">--  </v>
          </cell>
          <cell r="E109" t="str">
            <v xml:space="preserve">--  </v>
          </cell>
          <cell r="F109" t="str">
            <v xml:space="preserve">--  </v>
          </cell>
          <cell r="G109" t="str">
            <v xml:space="preserve">--  </v>
          </cell>
          <cell r="H109" t="str">
            <v xml:space="preserve">--  </v>
          </cell>
          <cell r="I109" t="str">
            <v xml:space="preserve">--  </v>
          </cell>
          <cell r="J109" t="str">
            <v xml:space="preserve">--  </v>
          </cell>
          <cell r="K109" t="str">
            <v xml:space="preserve">--  </v>
          </cell>
          <cell r="L109" t="str">
            <v xml:space="preserve">--  </v>
          </cell>
          <cell r="M109" t="str">
            <v xml:space="preserve">--  </v>
          </cell>
          <cell r="N109">
            <v>-9.274314965371986E-3</v>
          </cell>
          <cell r="O109">
            <v>7.5063154095994206E-2</v>
          </cell>
          <cell r="P109">
            <v>8.8307155322862013E-2</v>
          </cell>
          <cell r="Q109">
            <v>0.10575524620818619</v>
          </cell>
        </row>
        <row r="110">
          <cell r="O110">
            <v>2.7306628172741459E-2</v>
          </cell>
          <cell r="P110">
            <v>4.2582897033158706E-2</v>
          </cell>
          <cell r="Q110">
            <v>5.7864118013712884E-2</v>
          </cell>
        </row>
        <row r="111">
          <cell r="C111" t="str">
            <v xml:space="preserve">--  </v>
          </cell>
          <cell r="D111" t="str">
            <v xml:space="preserve">--  </v>
          </cell>
          <cell r="E111" t="str">
            <v xml:space="preserve">--  </v>
          </cell>
          <cell r="F111" t="str">
            <v xml:space="preserve">--  </v>
          </cell>
          <cell r="G111" t="str">
            <v xml:space="preserve">--  </v>
          </cell>
          <cell r="H111" t="str">
            <v xml:space="preserve">--  </v>
          </cell>
          <cell r="I111" t="str">
            <v xml:space="preserve">--  </v>
          </cell>
          <cell r="J111" t="str">
            <v xml:space="preserve">--  </v>
          </cell>
          <cell r="K111" t="str">
            <v xml:space="preserve">--  </v>
          </cell>
          <cell r="L111" t="str">
            <v xml:space="preserve">--  </v>
          </cell>
          <cell r="M111" t="str">
            <v xml:space="preserve">--  </v>
          </cell>
          <cell r="N111">
            <v>-1.9753086419753197E-2</v>
          </cell>
          <cell r="O111">
            <v>2.4239143510164776E-2</v>
          </cell>
          <cell r="P111">
            <v>3.9092495636998147E-2</v>
          </cell>
          <cell r="Q111">
            <v>5.2565967172241865E-2</v>
          </cell>
        </row>
        <row r="112">
          <cell r="C112" t="str">
            <v xml:space="preserve">--  </v>
          </cell>
          <cell r="D112" t="str">
            <v xml:space="preserve">--  </v>
          </cell>
          <cell r="E112" t="str">
            <v xml:space="preserve">--  </v>
          </cell>
          <cell r="F112" t="str">
            <v xml:space="preserve">--  </v>
          </cell>
          <cell r="G112" t="str">
            <v xml:space="preserve">--  </v>
          </cell>
          <cell r="H112" t="str">
            <v xml:space="preserve">--  </v>
          </cell>
          <cell r="I112" t="str">
            <v xml:space="preserve">--  </v>
          </cell>
          <cell r="J112" t="str">
            <v xml:space="preserve">--  </v>
          </cell>
          <cell r="K112" t="str">
            <v xml:space="preserve">--  </v>
          </cell>
          <cell r="L112" t="str">
            <v xml:space="preserve">--  </v>
          </cell>
          <cell r="M112" t="str">
            <v xml:space="preserve">--  </v>
          </cell>
          <cell r="N112">
            <v>-1.1261668172237387E-2</v>
          </cell>
          <cell r="O112">
            <v>2.0291110309154307E-2</v>
          </cell>
          <cell r="P112">
            <v>2.4531892135337394E-2</v>
          </cell>
          <cell r="Q112">
            <v>4.1865953609919189E-2</v>
          </cell>
        </row>
        <row r="113">
          <cell r="C113" t="str">
            <v xml:space="preserve">--  </v>
          </cell>
          <cell r="D113" t="str">
            <v xml:space="preserve">--  </v>
          </cell>
          <cell r="E113" t="str">
            <v xml:space="preserve">--  </v>
          </cell>
          <cell r="F113" t="str">
            <v xml:space="preserve">--  </v>
          </cell>
          <cell r="G113" t="str">
            <v xml:space="preserve">--  </v>
          </cell>
          <cell r="H113" t="str">
            <v xml:space="preserve">--  </v>
          </cell>
          <cell r="I113" t="str">
            <v xml:space="preserve">--  </v>
          </cell>
          <cell r="J113" t="str">
            <v xml:space="preserve">--  </v>
          </cell>
          <cell r="K113" t="str">
            <v xml:space="preserve">--  </v>
          </cell>
          <cell r="L113" t="str">
            <v xml:space="preserve">--  </v>
          </cell>
          <cell r="M113" t="str">
            <v xml:space="preserve">--  </v>
          </cell>
          <cell r="N113">
            <v>-1.8006624510689663E-2</v>
          </cell>
          <cell r="O113">
            <v>9.7437748105376858E-3</v>
          </cell>
          <cell r="P113">
            <v>2.0942408376963245E-2</v>
          </cell>
          <cell r="Q113">
            <v>1.9738209017244986E-2</v>
          </cell>
        </row>
        <row r="114">
          <cell r="O114">
            <v>0.38102971249849638</v>
          </cell>
          <cell r="P114">
            <v>0.3898778359511344</v>
          </cell>
          <cell r="Q114">
            <v>0.38001246623727403</v>
          </cell>
        </row>
        <row r="115">
          <cell r="O115">
            <v>4.7756525923252746E-2</v>
          </cell>
          <cell r="P115">
            <v>4.5724258289703314E-2</v>
          </cell>
          <cell r="Q115">
            <v>4.7891128194473304E-2</v>
          </cell>
        </row>
        <row r="119">
          <cell r="O119">
            <v>2.0291110309154307E-2</v>
          </cell>
          <cell r="P119">
            <v>2.4531892135337394E-2</v>
          </cell>
          <cell r="Q119">
            <v>4.1865953609919189E-2</v>
          </cell>
        </row>
        <row r="120">
          <cell r="O120">
            <v>1.6476410667549319</v>
          </cell>
          <cell r="P120">
            <v>1.543495321027273</v>
          </cell>
          <cell r="Q120">
            <v>1.4871335755242472</v>
          </cell>
        </row>
        <row r="121">
          <cell r="O121">
            <v>3.3432466635416998E-2</v>
          </cell>
          <cell r="P121">
            <v>3.7864860726839027E-2</v>
          </cell>
          <cell r="Q121">
            <v>6.2260265284651388E-2</v>
          </cell>
        </row>
        <row r="122">
          <cell r="O122">
            <v>5.1940693546342204E-2</v>
          </cell>
          <cell r="P122" t="str">
            <v>NM</v>
          </cell>
          <cell r="Q122">
            <v>0.18285377083652804</v>
          </cell>
        </row>
        <row r="123">
          <cell r="O123">
            <v>5.1955827862753295E-2</v>
          </cell>
          <cell r="P123">
            <v>4.4323940914220289E-3</v>
          </cell>
          <cell r="Q123">
            <v>2.4395404557812361E-2</v>
          </cell>
        </row>
        <row r="124">
          <cell r="O124">
            <v>-65.851828196232134</v>
          </cell>
          <cell r="P124">
            <v>-50.19735263982281</v>
          </cell>
          <cell r="Q124">
            <v>-25.796365109631054</v>
          </cell>
        </row>
        <row r="125">
          <cell r="O125">
            <v>56.564169413029646</v>
          </cell>
          <cell r="P125">
            <v>15.654475556409324</v>
          </cell>
          <cell r="Q125">
            <v>24.400987530191756</v>
          </cell>
        </row>
        <row r="128">
          <cell r="O128">
            <v>11.98702235039654</v>
          </cell>
          <cell r="P128">
            <v>11.536912751677852</v>
          </cell>
          <cell r="Q128">
            <v>11.29149560117302</v>
          </cell>
        </row>
        <row r="129">
          <cell r="O129">
            <v>24.741071428571427</v>
          </cell>
          <cell r="P129">
            <v>25.410199556541016</v>
          </cell>
          <cell r="Q129">
            <v>26.264665757162344</v>
          </cell>
        </row>
        <row r="130">
          <cell r="O130">
            <v>31.419905320747223</v>
          </cell>
          <cell r="P130">
            <v>28.670069048333815</v>
          </cell>
          <cell r="Q130">
            <v>28.725324898166221</v>
          </cell>
        </row>
        <row r="131">
          <cell r="O131">
            <v>2.3254773061053218</v>
          </cell>
          <cell r="P131">
            <v>2.4063834254917058</v>
          </cell>
          <cell r="Q131">
            <v>2.596183669341245</v>
          </cell>
        </row>
        <row r="132">
          <cell r="O132">
            <v>1.7388239563631114</v>
          </cell>
          <cell r="P132">
            <v>1.6313198221965783</v>
          </cell>
          <cell r="Q132">
            <v>1.5683271557166711</v>
          </cell>
        </row>
        <row r="133">
          <cell r="O133">
            <v>49.335311572700292</v>
          </cell>
          <cell r="P133">
            <v>53.887147335423201</v>
          </cell>
          <cell r="Q133">
            <v>47.535802469135803</v>
          </cell>
        </row>
        <row r="134">
          <cell r="O134" t="str">
            <v xml:space="preserve">--  </v>
          </cell>
          <cell r="P134" t="str">
            <v xml:space="preserve">--  </v>
          </cell>
          <cell r="Q134" t="str">
            <v xml:space="preserve">--  </v>
          </cell>
        </row>
        <row r="135">
          <cell r="O135">
            <v>1.6476410667549319</v>
          </cell>
          <cell r="P135">
            <v>1.543495321027273</v>
          </cell>
          <cell r="Q135">
            <v>1.4871335755242472</v>
          </cell>
        </row>
        <row r="138">
          <cell r="O138">
            <v>1.2646793134597465E-3</v>
          </cell>
          <cell r="P138">
            <v>3.3922771562612829E-2</v>
          </cell>
          <cell r="Q138">
            <v>0.11995346131471789</v>
          </cell>
        </row>
        <row r="139">
          <cell r="O139" t="str">
            <v xml:space="preserve">--  </v>
          </cell>
          <cell r="P139" t="str">
            <v xml:space="preserve">--  </v>
          </cell>
          <cell r="Q139" t="str">
            <v xml:space="preserve">--  </v>
          </cell>
        </row>
        <row r="140">
          <cell r="O140">
            <v>1.2646793134597465E-3</v>
          </cell>
          <cell r="P140">
            <v>3.3922771562612829E-2</v>
          </cell>
          <cell r="Q140">
            <v>0.11995346131471789</v>
          </cell>
        </row>
        <row r="141">
          <cell r="O141">
            <v>-1.5418060200668848</v>
          </cell>
          <cell r="P141">
            <v>1.2222222222222168</v>
          </cell>
          <cell r="Q141">
            <v>5.5555555555562353E-2</v>
          </cell>
        </row>
        <row r="142">
          <cell r="O142">
            <v>-9.1038961038960036</v>
          </cell>
          <cell r="P142">
            <v>0.2163461538461528</v>
          </cell>
          <cell r="Q142">
            <v>0.34123847167325627</v>
          </cell>
        </row>
        <row r="143">
          <cell r="O143">
            <v>-2.2286585365853577</v>
          </cell>
          <cell r="P143">
            <v>0.66749379652605201</v>
          </cell>
          <cell r="Q143">
            <v>0.50595238095238571</v>
          </cell>
        </row>
        <row r="144">
          <cell r="O144">
            <v>-2.8040641711229743</v>
          </cell>
          <cell r="P144">
            <v>0.25000956191146084</v>
          </cell>
          <cell r="Q144">
            <v>0.91130465591481558</v>
          </cell>
        </row>
        <row r="145">
          <cell r="O145">
            <v>0</v>
          </cell>
          <cell r="P145">
            <v>0</v>
          </cell>
          <cell r="Q145">
            <v>0</v>
          </cell>
        </row>
        <row r="146">
          <cell r="O146">
            <v>3.8563218390804597</v>
          </cell>
          <cell r="P146">
            <v>1.1834319526626547E-3</v>
          </cell>
          <cell r="Q146">
            <v>0.21040189125295522</v>
          </cell>
        </row>
        <row r="147">
          <cell r="O147">
            <v>7.4443591711435053E-2</v>
          </cell>
          <cell r="P147">
            <v>1.2214285714285715</v>
          </cell>
          <cell r="Q147">
            <v>0.28553054662379423</v>
          </cell>
        </row>
        <row r="148">
          <cell r="O148">
            <v>7.7862595419847247E-2</v>
          </cell>
          <cell r="P148">
            <v>8.4985835694050993E-2</v>
          </cell>
          <cell r="Q148">
            <v>0.13315926892950397</v>
          </cell>
        </row>
        <row r="149">
          <cell r="O149">
            <v>0</v>
          </cell>
          <cell r="P149">
            <v>0</v>
          </cell>
          <cell r="Q149">
            <v>0</v>
          </cell>
        </row>
        <row r="150">
          <cell r="O150">
            <v>-1.5434042679136899</v>
          </cell>
          <cell r="P150">
            <v>1.1320754716981081</v>
          </cell>
          <cell r="Q150">
            <v>4.8139474368989167E-2</v>
          </cell>
        </row>
        <row r="151">
          <cell r="M151" t="str">
            <v xml:space="preserve">--  </v>
          </cell>
          <cell r="N151" t="str">
            <v xml:space="preserve">--  </v>
          </cell>
          <cell r="O151">
            <v>5.6862745098039229E-2</v>
          </cell>
          <cell r="P151">
            <v>-1.0667903525046403E-2</v>
          </cell>
          <cell r="Q151">
            <v>4.4772620721988399E-3</v>
          </cell>
        </row>
        <row r="152">
          <cell r="O152">
            <v>0.10796915167095124</v>
          </cell>
          <cell r="P152">
            <v>1.392111368909516E-2</v>
          </cell>
          <cell r="Q152">
            <v>0.21510297482837523</v>
          </cell>
        </row>
        <row r="153">
          <cell r="M153" t="str">
            <v>--</v>
          </cell>
          <cell r="N153">
            <v>0</v>
          </cell>
          <cell r="O153">
            <v>0.11231101511879056</v>
          </cell>
          <cell r="P153">
            <v>1.5893203883495144</v>
          </cell>
          <cell r="Q153">
            <v>0.3847019122609675</v>
          </cell>
        </row>
        <row r="154">
          <cell r="O154">
            <v>-2.2815265486725661E-2</v>
          </cell>
          <cell r="P154">
            <v>2.1649922173482317E-2</v>
          </cell>
          <cell r="Q154">
            <v>5.4155124653739645E-2</v>
          </cell>
        </row>
        <row r="155">
          <cell r="O155">
            <v>-0.25388601036269431</v>
          </cell>
          <cell r="P155">
            <v>0.21527777777777773</v>
          </cell>
          <cell r="Q155">
            <v>0.31428571428571428</v>
          </cell>
        </row>
        <row r="159">
          <cell r="P159" t="str">
            <v>5 year CAGR</v>
          </cell>
        </row>
        <row r="160">
          <cell r="P160" t="str">
            <v>Sales</v>
          </cell>
          <cell r="Q160">
            <v>5.4564623324014461E-2</v>
          </cell>
        </row>
        <row r="161">
          <cell r="P161" t="str">
            <v>EBITDA</v>
          </cell>
          <cell r="Q161">
            <v>-1</v>
          </cell>
        </row>
        <row r="162">
          <cell r="P162" t="str">
            <v>NOPAT</v>
          </cell>
          <cell r="Q162">
            <v>0.14900244868922963</v>
          </cell>
        </row>
      </sheetData>
      <sheetData sheetId="7">
        <row r="11">
          <cell r="D11">
            <v>9.6960000000000005E-2</v>
          </cell>
        </row>
        <row r="21">
          <cell r="J21">
            <v>8.3334000000000005E-2</v>
          </cell>
        </row>
        <row r="23">
          <cell r="U23">
            <v>8.2937216123885299E-2</v>
          </cell>
        </row>
      </sheetData>
      <sheetData sheetId="8">
        <row r="1">
          <cell r="F1" t="str">
            <v>Discounted Cash Flow</v>
          </cell>
        </row>
        <row r="2">
          <cell r="D2">
            <v>1</v>
          </cell>
          <cell r="E2">
            <v>2</v>
          </cell>
          <cell r="F2">
            <v>3</v>
          </cell>
          <cell r="G2">
            <v>4</v>
          </cell>
          <cell r="H2">
            <v>5</v>
          </cell>
          <cell r="L2">
            <v>9</v>
          </cell>
          <cell r="M2">
            <v>10</v>
          </cell>
          <cell r="Q2">
            <v>14</v>
          </cell>
          <cell r="R2">
            <v>15</v>
          </cell>
          <cell r="AA2">
            <v>24</v>
          </cell>
          <cell r="AB2">
            <v>25</v>
          </cell>
        </row>
        <row r="3">
          <cell r="C3" t="str">
            <v>Present(P)</v>
          </cell>
          <cell r="D3" t="str">
            <v>Estimated Year 1</v>
          </cell>
          <cell r="E3" t="str">
            <v>EY 2</v>
          </cell>
          <cell r="F3" t="str">
            <v>EY 3</v>
          </cell>
          <cell r="G3" t="str">
            <v>EY 4</v>
          </cell>
          <cell r="H3" t="str">
            <v>EY 5</v>
          </cell>
          <cell r="L3" t="str">
            <v>EY 9</v>
          </cell>
          <cell r="M3" t="str">
            <v>EY 10</v>
          </cell>
          <cell r="Q3" t="str">
            <v>EY 14</v>
          </cell>
          <cell r="R3" t="str">
            <v>EY 15</v>
          </cell>
          <cell r="AA3" t="str">
            <v>EY 24</v>
          </cell>
          <cell r="AB3" t="str">
            <v>EY 25</v>
          </cell>
        </row>
        <row r="4">
          <cell r="C4">
            <v>1999</v>
          </cell>
          <cell r="D4" t="str">
            <v>2000E</v>
          </cell>
          <cell r="E4" t="str">
            <v>2001E</v>
          </cell>
          <cell r="F4" t="str">
            <v>2002E</v>
          </cell>
          <cell r="G4" t="str">
            <v>2003E</v>
          </cell>
          <cell r="H4" t="str">
            <v>2004E</v>
          </cell>
          <cell r="L4" t="str">
            <v>2008E</v>
          </cell>
          <cell r="M4" t="str">
            <v>2009E</v>
          </cell>
          <cell r="Q4" t="str">
            <v>2013E</v>
          </cell>
          <cell r="R4" t="str">
            <v>2014E</v>
          </cell>
          <cell r="AA4" t="str">
            <v>2023E</v>
          </cell>
          <cell r="AB4" t="str">
            <v>2024E</v>
          </cell>
        </row>
        <row r="6">
          <cell r="C6">
            <v>1925.2</v>
          </cell>
          <cell r="D6">
            <v>2054</v>
          </cell>
          <cell r="E6">
            <v>2150</v>
          </cell>
          <cell r="F6">
            <v>2257.5</v>
          </cell>
          <cell r="G6">
            <v>2318.4524999999999</v>
          </cell>
          <cell r="H6">
            <v>2381.0507174999998</v>
          </cell>
          <cell r="I6">
            <v>2445.3390868724996</v>
          </cell>
          <cell r="J6">
            <v>2511.3632422180567</v>
          </cell>
          <cell r="K6">
            <v>2579.1700497579441</v>
          </cell>
          <cell r="L6">
            <v>2648.8076411014085</v>
          </cell>
          <cell r="M6">
            <v>2720.3254474111463</v>
          </cell>
          <cell r="N6">
            <v>2793.7742344912472</v>
          </cell>
          <cell r="O6">
            <v>2869.2061388225106</v>
          </cell>
          <cell r="P6">
            <v>2946.6747045707179</v>
          </cell>
          <cell r="Q6">
            <v>3026.2349215941272</v>
          </cell>
          <cell r="R6">
            <v>3107.9432644771682</v>
          </cell>
          <cell r="S6">
            <v>3191.8577326180516</v>
          </cell>
          <cell r="T6">
            <v>3278.0378913987388</v>
          </cell>
          <cell r="U6">
            <v>3366.5449144665045</v>
          </cell>
          <cell r="V6">
            <v>3457.4416271570999</v>
          </cell>
          <cell r="W6">
            <v>3550.7925510903415</v>
          </cell>
          <cell r="X6">
            <v>3646.6639499697803</v>
          </cell>
          <cell r="Y6">
            <v>3745.123876618964</v>
          </cell>
          <cell r="Z6">
            <v>3846.2422212876759</v>
          </cell>
          <cell r="AA6">
            <v>3950.0907612624428</v>
          </cell>
          <cell r="AB6">
            <v>4056.7432118165284</v>
          </cell>
          <cell r="AC6">
            <v>4166.2752785355742</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row>
        <row r="8">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row>
        <row r="9">
          <cell r="C9">
            <v>1925.2</v>
          </cell>
          <cell r="D9">
            <v>2054</v>
          </cell>
          <cell r="E9">
            <v>2150</v>
          </cell>
          <cell r="F9">
            <v>2257.5</v>
          </cell>
          <cell r="G9">
            <v>2318.4524999999999</v>
          </cell>
          <cell r="H9">
            <v>2381.0507174999998</v>
          </cell>
          <cell r="I9">
            <v>2445.3390868724996</v>
          </cell>
          <cell r="J9">
            <v>2511.3632422180567</v>
          </cell>
          <cell r="K9">
            <v>2579.1700497579441</v>
          </cell>
          <cell r="L9">
            <v>2648.8076411014085</v>
          </cell>
          <cell r="M9">
            <v>2720.3254474111463</v>
          </cell>
          <cell r="N9">
            <v>2793.7742344912472</v>
          </cell>
          <cell r="O9">
            <v>2869.2061388225106</v>
          </cell>
          <cell r="P9">
            <v>2946.6747045707179</v>
          </cell>
          <cell r="Q9">
            <v>3026.2349215941272</v>
          </cell>
          <cell r="R9">
            <v>3107.9432644771682</v>
          </cell>
          <cell r="S9">
            <v>3191.8577326180516</v>
          </cell>
          <cell r="T9">
            <v>3278.0378913987388</v>
          </cell>
          <cell r="U9">
            <v>3366.5449144665045</v>
          </cell>
          <cell r="V9">
            <v>3457.4416271570999</v>
          </cell>
          <cell r="W9">
            <v>3550.7925510903415</v>
          </cell>
          <cell r="X9">
            <v>3646.6639499697803</v>
          </cell>
          <cell r="Y9">
            <v>3745.123876618964</v>
          </cell>
          <cell r="Z9">
            <v>3846.2422212876759</v>
          </cell>
          <cell r="AA9">
            <v>3950.0907612624428</v>
          </cell>
          <cell r="AB9">
            <v>4056.7432118165284</v>
          </cell>
          <cell r="AC9">
            <v>4166.2752785355742</v>
          </cell>
        </row>
        <row r="10">
          <cell r="C10">
            <v>0.11995346131471789</v>
          </cell>
          <cell r="D10">
            <v>6.690214003739868E-2</v>
          </cell>
          <cell r="E10">
            <v>4.6738072054527749E-2</v>
          </cell>
          <cell r="F10">
            <v>0.05</v>
          </cell>
          <cell r="G10">
            <v>2.6999999999999944E-2</v>
          </cell>
          <cell r="H10">
            <v>2.6999999999999965E-2</v>
          </cell>
          <cell r="L10">
            <v>2.6999999999999989E-2</v>
          </cell>
          <cell r="M10">
            <v>2.6999999999999916E-2</v>
          </cell>
          <cell r="Q10">
            <v>2.6999999999999944E-2</v>
          </cell>
          <cell r="R10">
            <v>2.6999999999999871E-2</v>
          </cell>
          <cell r="AA10">
            <v>2.699999999999992E-2</v>
          </cell>
          <cell r="AB10">
            <v>2.6999999999999906E-2</v>
          </cell>
        </row>
        <row r="12">
          <cell r="C12">
            <v>80.600333889816426</v>
          </cell>
          <cell r="D12">
            <v>132.05600000000018</v>
          </cell>
          <cell r="E12">
            <v>141.47550000000001</v>
          </cell>
          <cell r="F12">
            <v>161.33199999999999</v>
          </cell>
          <cell r="G12">
            <v>136.78869749999998</v>
          </cell>
          <cell r="H12">
            <v>140.48199233249997</v>
          </cell>
          <cell r="I12">
            <v>144.27500612547746</v>
          </cell>
          <cell r="J12">
            <v>148.17043129086534</v>
          </cell>
          <cell r="K12">
            <v>152.1710329357187</v>
          </cell>
          <cell r="L12">
            <v>156.27965082498309</v>
          </cell>
          <cell r="M12">
            <v>160.49920139725762</v>
          </cell>
          <cell r="N12">
            <v>164.83267983498357</v>
          </cell>
          <cell r="O12">
            <v>169.28316219052812</v>
          </cell>
          <cell r="P12">
            <v>173.85380756967234</v>
          </cell>
          <cell r="Q12">
            <v>178.5478603740535</v>
          </cell>
          <cell r="R12">
            <v>183.36865260415291</v>
          </cell>
          <cell r="S12">
            <v>188.31960622446505</v>
          </cell>
          <cell r="T12">
            <v>193.40423559252557</v>
          </cell>
          <cell r="U12">
            <v>198.62614995352376</v>
          </cell>
          <cell r="V12">
            <v>203.98905600226888</v>
          </cell>
          <cell r="W12">
            <v>209.49676051433013</v>
          </cell>
          <cell r="X12">
            <v>215.15317304821704</v>
          </cell>
          <cell r="Y12">
            <v>220.96230872051888</v>
          </cell>
          <cell r="Z12">
            <v>226.92829105597286</v>
          </cell>
          <cell r="AA12">
            <v>233.05535491448413</v>
          </cell>
          <cell r="AB12">
            <v>239.34784949717516</v>
          </cell>
          <cell r="AC12">
            <v>245.81024143359886</v>
          </cell>
        </row>
        <row r="13">
          <cell r="C13">
            <v>2.4573914927420999</v>
          </cell>
          <cell r="D13">
            <v>0.6384051234890108</v>
          </cell>
          <cell r="E13">
            <v>7.1329587447748047E-2</v>
          </cell>
          <cell r="F13">
            <v>0.14035292329767332</v>
          </cell>
          <cell r="G13">
            <v>-0.15212916532368043</v>
          </cell>
          <cell r="H13">
            <v>2.6999999999999909E-2</v>
          </cell>
          <cell r="L13">
            <v>2.699999999999993E-2</v>
          </cell>
          <cell r="M13">
            <v>2.6999999999999903E-2</v>
          </cell>
          <cell r="Q13">
            <v>2.7000000000000027E-2</v>
          </cell>
          <cell r="R13">
            <v>2.699999999999983E-2</v>
          </cell>
          <cell r="AA13">
            <v>2.6999999999999982E-2</v>
          </cell>
          <cell r="AB13">
            <v>2.699999999999984E-2</v>
          </cell>
        </row>
        <row r="15">
          <cell r="C15">
            <v>203.60000000000005</v>
          </cell>
          <cell r="D15">
            <v>235.40000000000018</v>
          </cell>
          <cell r="E15">
            <v>257</v>
          </cell>
          <cell r="F15">
            <v>332.5</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row>
        <row r="18">
          <cell r="C18">
            <v>2.4620000000000175</v>
          </cell>
          <cell r="D18">
            <v>23.036888888888825</v>
          </cell>
          <cell r="E18">
            <v>0.2004728132387612</v>
          </cell>
          <cell r="F18">
            <v>-1.1893617021276555</v>
          </cell>
          <cell r="G18">
            <v>2.4380999999999915</v>
          </cell>
          <cell r="H18">
            <v>2.503928700000003</v>
          </cell>
          <cell r="L18">
            <v>2.7855036537385729</v>
          </cell>
          <cell r="M18">
            <v>2.8607122523895185</v>
          </cell>
          <cell r="Q18">
            <v>3.1824086809363621</v>
          </cell>
          <cell r="R18">
            <v>3.2683337153216456</v>
          </cell>
          <cell r="AA18">
            <v>4.1539415989906843</v>
          </cell>
          <cell r="AB18">
            <v>4.266098022163419</v>
          </cell>
        </row>
        <row r="19">
          <cell r="C19">
            <v>149.10000000000014</v>
          </cell>
          <cell r="D19">
            <v>-57.25151515151515</v>
          </cell>
          <cell r="E19">
            <v>38.733604703753826</v>
          </cell>
          <cell r="F19">
            <v>44.359086918349476</v>
          </cell>
          <cell r="G19">
            <v>-39.912009803921819</v>
          </cell>
          <cell r="H19">
            <v>34.776787499999955</v>
          </cell>
          <cell r="L19">
            <v>30.277213627593255</v>
          </cell>
          <cell r="M19">
            <v>31.094698395537989</v>
          </cell>
          <cell r="Q19">
            <v>26.520072341136483</v>
          </cell>
          <cell r="R19">
            <v>27.236114294346976</v>
          </cell>
          <cell r="AA19">
            <v>25.962134993691734</v>
          </cell>
          <cell r="AB19">
            <v>26.663112638521397</v>
          </cell>
        </row>
        <row r="20">
          <cell r="C20">
            <v>0</v>
          </cell>
          <cell r="D20">
            <v>0</v>
          </cell>
          <cell r="E20">
            <v>0</v>
          </cell>
          <cell r="F20">
            <v>0</v>
          </cell>
          <cell r="G20">
            <v>0</v>
          </cell>
          <cell r="H20">
            <v>0</v>
          </cell>
          <cell r="L20">
            <v>0</v>
          </cell>
          <cell r="M20">
            <v>0</v>
          </cell>
          <cell r="Q20">
            <v>0</v>
          </cell>
          <cell r="R20">
            <v>0</v>
          </cell>
          <cell r="AA20">
            <v>0</v>
          </cell>
          <cell r="AB20">
            <v>0</v>
          </cell>
        </row>
        <row r="21">
          <cell r="C21">
            <v>151.56200000000015</v>
          </cell>
          <cell r="D21">
            <v>-34.214626262626325</v>
          </cell>
          <cell r="E21">
            <v>38.934077516992588</v>
          </cell>
          <cell r="F21">
            <v>43.169725216221821</v>
          </cell>
          <cell r="G21">
            <v>-37.473909803921828</v>
          </cell>
          <cell r="H21">
            <v>37.280716199999958</v>
          </cell>
          <cell r="L21">
            <v>33.062717281331828</v>
          </cell>
          <cell r="M21">
            <v>33.955410647927508</v>
          </cell>
          <cell r="Q21">
            <v>29.702481022072845</v>
          </cell>
          <cell r="R21">
            <v>30.504448009668621</v>
          </cell>
          <cell r="AA21">
            <v>30.116076592682418</v>
          </cell>
          <cell r="AB21">
            <v>30.929210660684817</v>
          </cell>
        </row>
        <row r="23">
          <cell r="C23">
            <v>-70.961666110183728</v>
          </cell>
          <cell r="D23">
            <v>166.27062626262651</v>
          </cell>
          <cell r="E23">
            <v>102.54142248300742</v>
          </cell>
          <cell r="F23">
            <v>118.16227478377817</v>
          </cell>
          <cell r="G23">
            <v>174.26260730392181</v>
          </cell>
          <cell r="H23">
            <v>103.20127613250001</v>
          </cell>
          <cell r="L23">
            <v>123.21693354365127</v>
          </cell>
          <cell r="M23">
            <v>126.54379074933011</v>
          </cell>
          <cell r="Q23">
            <v>148.84537935198065</v>
          </cell>
          <cell r="R23">
            <v>152.86420459448431</v>
          </cell>
          <cell r="AA23">
            <v>202.93927832180171</v>
          </cell>
          <cell r="AB23">
            <v>208.41863883649035</v>
          </cell>
        </row>
        <row r="26">
          <cell r="C26">
            <v>-70.961666110183728</v>
          </cell>
          <cell r="D26">
            <v>153.61797400452798</v>
          </cell>
          <cell r="E26">
            <v>87.529074993618622</v>
          </cell>
          <cell r="F26">
            <v>93.187646757366721</v>
          </cell>
          <cell r="G26">
            <v>126.97265762682181</v>
          </cell>
          <cell r="H26">
            <v>69.473242698746958</v>
          </cell>
          <cell r="L26">
            <v>60.437835362730539</v>
          </cell>
          <cell r="M26">
            <v>57.346358506917269</v>
          </cell>
          <cell r="Q26">
            <v>49.148058301092711</v>
          </cell>
          <cell r="R26">
            <v>46.634068780553278</v>
          </cell>
          <cell r="AA26">
            <v>30.367016435282814</v>
          </cell>
          <cell r="AB26">
            <v>28.813702556214388</v>
          </cell>
        </row>
        <row r="27">
          <cell r="C27">
            <v>-70.961666110183728</v>
          </cell>
          <cell r="D27">
            <v>153.61797400452798</v>
          </cell>
          <cell r="E27">
            <v>241.1470489981466</v>
          </cell>
          <cell r="F27">
            <v>334.33469575551334</v>
          </cell>
          <cell r="G27">
            <v>461.30735338233512</v>
          </cell>
          <cell r="H27">
            <v>530.78059608108208</v>
          </cell>
          <cell r="L27">
            <v>971.6462308429135</v>
          </cell>
          <cell r="M27">
            <v>1028.9925893498307</v>
          </cell>
          <cell r="Q27">
            <v>1357.6086507618668</v>
          </cell>
          <cell r="R27">
            <v>1404.24271954242</v>
          </cell>
          <cell r="AA27">
            <v>1817.5246198979821</v>
          </cell>
          <cell r="AB27">
            <v>1846.3383224541965</v>
          </cell>
        </row>
        <row r="29">
          <cell r="C29">
            <v>1606.7779318688074</v>
          </cell>
          <cell r="D29">
            <v>1717.6777831198917</v>
          </cell>
          <cell r="E29">
            <v>1958.7588812642352</v>
          </cell>
          <cell r="F29">
            <v>1660.7745275871612</v>
          </cell>
          <cell r="G29">
            <v>1705.6154398320143</v>
          </cell>
          <cell r="H29">
            <v>1751.6670567074787</v>
          </cell>
          <cell r="L29">
            <v>1948.6477336963253</v>
          </cell>
          <cell r="M29">
            <v>2001.2612225061259</v>
          </cell>
          <cell r="Q29">
            <v>2226.3095779748642</v>
          </cell>
          <cell r="R29">
            <v>2286.4199365801855</v>
          </cell>
          <cell r="AA29">
            <v>2905.9623999831865</v>
          </cell>
          <cell r="AB29">
            <v>2984.4233847827318</v>
          </cell>
        </row>
        <row r="30">
          <cell r="C30">
            <v>1606.7779318688074</v>
          </cell>
          <cell r="D30">
            <v>1586.9681071549396</v>
          </cell>
          <cell r="E30">
            <v>1671.9911706023504</v>
          </cell>
          <cell r="F30">
            <v>1309.7553369180025</v>
          </cell>
          <cell r="G30">
            <v>1242.7595835698114</v>
          </cell>
          <cell r="H30">
            <v>1179.1907534340528</v>
          </cell>
          <cell r="L30">
            <v>955.81059779721056</v>
          </cell>
          <cell r="M30">
            <v>906.91959559805866</v>
          </cell>
          <cell r="Q30">
            <v>735.1171625949014</v>
          </cell>
          <cell r="R30">
            <v>697.51492749111458</v>
          </cell>
          <cell r="AA30">
            <v>434.83651213478834</v>
          </cell>
          <cell r="AB30">
            <v>412.59403761101856</v>
          </cell>
        </row>
        <row r="32">
          <cell r="C32">
            <v>1535.8162657586236</v>
          </cell>
          <cell r="D32">
            <v>1740.5860811594675</v>
          </cell>
          <cell r="E32">
            <v>1913.138219600497</v>
          </cell>
          <cell r="F32">
            <v>1644.0900326735159</v>
          </cell>
          <cell r="G32">
            <v>1704.0669369521465</v>
          </cell>
          <cell r="H32">
            <v>1709.971349515135</v>
          </cell>
          <cell r="L32">
            <v>1927.4568286401241</v>
          </cell>
          <cell r="M32">
            <v>1935.9121849478893</v>
          </cell>
          <cell r="Q32">
            <v>2092.7258133567684</v>
          </cell>
          <cell r="R32">
            <v>2101.7576470335343</v>
          </cell>
          <cell r="AA32">
            <v>2252.3611320327705</v>
          </cell>
          <cell r="AB32">
            <v>2258.9323600652151</v>
          </cell>
        </row>
        <row r="33">
          <cell r="C33">
            <v>33.847999999999999</v>
          </cell>
          <cell r="D33">
            <v>33.847999999999999</v>
          </cell>
          <cell r="E33">
            <v>33.847999999999999</v>
          </cell>
          <cell r="F33">
            <v>33.847999999999999</v>
          </cell>
          <cell r="G33">
            <v>33.847999999999999</v>
          </cell>
          <cell r="H33">
            <v>33.847999999999999</v>
          </cell>
          <cell r="I33">
            <v>33.847999999999999</v>
          </cell>
          <cell r="J33">
            <v>33.847999999999999</v>
          </cell>
          <cell r="K33">
            <v>33.847999999999999</v>
          </cell>
          <cell r="L33">
            <v>33.847999999999999</v>
          </cell>
          <cell r="M33">
            <v>33.847999999999999</v>
          </cell>
          <cell r="N33">
            <v>33.847999999999999</v>
          </cell>
          <cell r="O33">
            <v>33.847999999999999</v>
          </cell>
          <cell r="P33">
            <v>33.847999999999999</v>
          </cell>
          <cell r="Q33">
            <v>33.847999999999999</v>
          </cell>
          <cell r="R33">
            <v>33.847999999999999</v>
          </cell>
          <cell r="S33">
            <v>33.847999999999999</v>
          </cell>
          <cell r="T33">
            <v>33.847999999999999</v>
          </cell>
          <cell r="U33">
            <v>33.847999999999999</v>
          </cell>
          <cell r="V33">
            <v>33.847999999999999</v>
          </cell>
          <cell r="W33">
            <v>33.847999999999999</v>
          </cell>
          <cell r="X33">
            <v>33.847999999999999</v>
          </cell>
          <cell r="Y33">
            <v>33.847999999999999</v>
          </cell>
          <cell r="Z33">
            <v>33.847999999999999</v>
          </cell>
          <cell r="AA33">
            <v>33.847999999999999</v>
          </cell>
          <cell r="AB33">
            <v>33.847999999999999</v>
          </cell>
        </row>
        <row r="34">
          <cell r="C34">
            <v>0</v>
          </cell>
          <cell r="D34">
            <v>0</v>
          </cell>
          <cell r="E34">
            <v>0</v>
          </cell>
          <cell r="F34">
            <v>0</v>
          </cell>
          <cell r="G34">
            <v>0</v>
          </cell>
          <cell r="H34">
            <v>0</v>
          </cell>
          <cell r="L34">
            <v>0</v>
          </cell>
          <cell r="M34">
            <v>0</v>
          </cell>
          <cell r="Q34">
            <v>0</v>
          </cell>
          <cell r="R34">
            <v>0</v>
          </cell>
          <cell r="AA34">
            <v>0</v>
          </cell>
          <cell r="AB34">
            <v>0</v>
          </cell>
        </row>
        <row r="35">
          <cell r="C35">
            <v>369.3</v>
          </cell>
          <cell r="D35">
            <v>369.3</v>
          </cell>
          <cell r="E35">
            <v>369.3</v>
          </cell>
          <cell r="F35">
            <v>369.3</v>
          </cell>
          <cell r="G35">
            <v>369.3</v>
          </cell>
          <cell r="H35">
            <v>369.3</v>
          </cell>
          <cell r="I35">
            <v>369.3</v>
          </cell>
          <cell r="J35">
            <v>369.3</v>
          </cell>
          <cell r="K35">
            <v>369.3</v>
          </cell>
          <cell r="L35">
            <v>369.3</v>
          </cell>
          <cell r="M35">
            <v>369.3</v>
          </cell>
          <cell r="N35">
            <v>369.3</v>
          </cell>
          <cell r="O35">
            <v>369.3</v>
          </cell>
          <cell r="P35">
            <v>369.3</v>
          </cell>
          <cell r="Q35">
            <v>369.3</v>
          </cell>
          <cell r="R35">
            <v>369.3</v>
          </cell>
          <cell r="S35">
            <v>369.3</v>
          </cell>
          <cell r="T35">
            <v>369.3</v>
          </cell>
          <cell r="U35">
            <v>369.3</v>
          </cell>
          <cell r="V35">
            <v>369.3</v>
          </cell>
          <cell r="W35">
            <v>369.3</v>
          </cell>
          <cell r="X35">
            <v>369.3</v>
          </cell>
          <cell r="Y35">
            <v>369.3</v>
          </cell>
          <cell r="Z35">
            <v>369.3</v>
          </cell>
          <cell r="AA35">
            <v>369.3</v>
          </cell>
          <cell r="AB35">
            <v>369.3</v>
          </cell>
        </row>
        <row r="36">
          <cell r="C36">
            <v>1200.3642657586236</v>
          </cell>
          <cell r="D36">
            <v>1405.1340811594675</v>
          </cell>
          <cell r="E36">
            <v>1577.686219600497</v>
          </cell>
          <cell r="F36">
            <v>1308.6380326735159</v>
          </cell>
          <cell r="G36">
            <v>1368.6149369521465</v>
          </cell>
          <cell r="H36">
            <v>1374.519349515135</v>
          </cell>
          <cell r="L36">
            <v>1592.0048286401241</v>
          </cell>
          <cell r="M36">
            <v>1600.4601849478893</v>
          </cell>
          <cell r="Q36">
            <v>1757.2738133567684</v>
          </cell>
          <cell r="R36">
            <v>1766.3056470335343</v>
          </cell>
          <cell r="AA36">
            <v>1916.9091320327705</v>
          </cell>
          <cell r="AB36">
            <v>1923.4803600652151</v>
          </cell>
        </row>
        <row r="37">
          <cell r="C37">
            <v>42.850999999999999</v>
          </cell>
          <cell r="D37">
            <v>42.850999999999999</v>
          </cell>
          <cell r="E37">
            <v>42.850999999999999</v>
          </cell>
          <cell r="F37">
            <v>42.850999999999999</v>
          </cell>
          <cell r="G37">
            <v>42.850999999999999</v>
          </cell>
          <cell r="H37">
            <v>42.850999999999999</v>
          </cell>
          <cell r="I37">
            <v>42.850999999999999</v>
          </cell>
          <cell r="J37">
            <v>42.850999999999999</v>
          </cell>
          <cell r="K37">
            <v>42.850999999999999</v>
          </cell>
          <cell r="L37">
            <v>42.850999999999999</v>
          </cell>
          <cell r="M37">
            <v>42.850999999999999</v>
          </cell>
          <cell r="N37">
            <v>42.850999999999999</v>
          </cell>
          <cell r="O37">
            <v>42.850999999999999</v>
          </cell>
          <cell r="P37">
            <v>42.850999999999999</v>
          </cell>
          <cell r="Q37">
            <v>42.850999999999999</v>
          </cell>
          <cell r="R37">
            <v>42.850999999999999</v>
          </cell>
          <cell r="S37">
            <v>42.850999999999999</v>
          </cell>
          <cell r="T37">
            <v>42.850999999999999</v>
          </cell>
          <cell r="U37">
            <v>42.850999999999999</v>
          </cell>
          <cell r="V37">
            <v>42.850999999999999</v>
          </cell>
          <cell r="W37">
            <v>42.850999999999999</v>
          </cell>
          <cell r="X37">
            <v>42.850999999999999</v>
          </cell>
          <cell r="Y37">
            <v>42.850999999999999</v>
          </cell>
          <cell r="Z37">
            <v>42.850999999999999</v>
          </cell>
          <cell r="AA37">
            <v>42.850999999999999</v>
          </cell>
          <cell r="AB37">
            <v>42.850999999999999</v>
          </cell>
        </row>
        <row r="39">
          <cell r="C39">
            <v>28.012514661469361</v>
          </cell>
          <cell r="D39">
            <v>32.791161960268546</v>
          </cell>
          <cell r="E39">
            <v>36.817955697661596</v>
          </cell>
          <cell r="F39">
            <v>30.539264723659095</v>
          </cell>
          <cell r="G39">
            <v>31.938926441673392</v>
          </cell>
          <cell r="H39">
            <v>32.076715817953726</v>
          </cell>
          <cell r="L39">
            <v>37.152104469910249</v>
          </cell>
          <cell r="M39">
            <v>37.349424399614698</v>
          </cell>
          <cell r="Q39">
            <v>41.008933592139471</v>
          </cell>
          <cell r="R39">
            <v>41.219706588726851</v>
          </cell>
          <cell r="AA39">
            <v>44.734291662569611</v>
          </cell>
          <cell r="AB39">
            <v>44.887642296917576</v>
          </cell>
        </row>
        <row r="41">
          <cell r="D41">
            <v>1</v>
          </cell>
          <cell r="E41">
            <v>2</v>
          </cell>
          <cell r="F41">
            <v>3</v>
          </cell>
          <cell r="G41">
            <v>4</v>
          </cell>
          <cell r="H41">
            <v>5</v>
          </cell>
          <cell r="L41">
            <v>9</v>
          </cell>
          <cell r="M41">
            <v>10</v>
          </cell>
          <cell r="Q41">
            <v>14</v>
          </cell>
          <cell r="R41">
            <v>15</v>
          </cell>
          <cell r="AA41">
            <v>24</v>
          </cell>
          <cell r="AB41">
            <v>25</v>
          </cell>
        </row>
        <row r="44">
          <cell r="C44">
            <v>6.2260265284651388E-2</v>
          </cell>
          <cell r="D44">
            <v>9.7584717147915431E-2</v>
          </cell>
          <cell r="E44">
            <v>0.10436341066456289</v>
          </cell>
          <cell r="F44">
            <v>0.11551302807906516</v>
          </cell>
          <cell r="G44">
            <v>9.7740825209288076E-2</v>
          </cell>
          <cell r="H44">
            <v>0.1003867564005331</v>
          </cell>
          <cell r="L44">
            <v>0.12592266309582537</v>
          </cell>
          <cell r="M44">
            <v>0.12592266309582539</v>
          </cell>
          <cell r="Q44">
            <v>0.16014077806751709</v>
          </cell>
          <cell r="R44">
            <v>0.16014077806751709</v>
          </cell>
          <cell r="AA44">
            <v>0.20615824302944727</v>
          </cell>
          <cell r="AB44">
            <v>0.20615824302944724</v>
          </cell>
        </row>
        <row r="45">
          <cell r="C45">
            <v>2.4395404557812361E-2</v>
          </cell>
          <cell r="D45">
            <v>3.5324451863264043E-2</v>
          </cell>
          <cell r="E45">
            <v>6.7786935166474632E-3</v>
          </cell>
          <cell r="F45">
            <v>1.1149617414502266E-2</v>
          </cell>
          <cell r="G45">
            <v>-1.7772202869777085E-2</v>
          </cell>
          <cell r="H45">
            <v>2.645931191245024E-3</v>
          </cell>
          <cell r="L45">
            <v>0</v>
          </cell>
          <cell r="M45">
            <v>2.7755575615628914E-17</v>
          </cell>
          <cell r="Q45">
            <v>2.7755575615628914E-17</v>
          </cell>
          <cell r="R45">
            <v>0</v>
          </cell>
          <cell r="AA45">
            <v>0</v>
          </cell>
          <cell r="AB45">
            <v>-2.7755575615628914E-17</v>
          </cell>
        </row>
        <row r="46">
          <cell r="C46">
            <v>0.27521045045069142</v>
          </cell>
          <cell r="D46">
            <v>0.30019964827312351</v>
          </cell>
          <cell r="E46">
            <v>0.63542523199201806</v>
          </cell>
          <cell r="F46">
            <v>1.6858019297902467</v>
          </cell>
          <cell r="G46">
            <v>0.10604321877934655</v>
          </cell>
          <cell r="H46">
            <v>-2.3117446434781502E-2</v>
          </cell>
          <cell r="L46">
            <v>0.12426739926739899</v>
          </cell>
          <cell r="M46">
            <v>0.12426739926739935</v>
          </cell>
          <cell r="Q46">
            <v>0.15803571428571447</v>
          </cell>
          <cell r="R46">
            <v>0.15803571428571425</v>
          </cell>
          <cell r="AA46">
            <v>0.20344827586206882</v>
          </cell>
          <cell r="AB46">
            <v>0.20344827586206873</v>
          </cell>
        </row>
        <row r="47">
          <cell r="C47">
            <v>0.18285377083652804</v>
          </cell>
          <cell r="D47">
            <v>0.33950242217827548</v>
          </cell>
          <cell r="E47" t="str">
            <v>NM</v>
          </cell>
          <cell r="F47">
            <v>0.51000309411038958</v>
          </cell>
          <cell r="G47">
            <v>-0.56853043138614601</v>
          </cell>
          <cell r="H47" t="str">
            <v>NM</v>
          </cell>
          <cell r="L47">
            <v>0.12762261904761915</v>
          </cell>
          <cell r="M47">
            <v>0.12762261904761804</v>
          </cell>
          <cell r="Q47">
            <v>0.16230267857142888</v>
          </cell>
          <cell r="R47">
            <v>0.1623026785714278</v>
          </cell>
          <cell r="AA47">
            <v>0.20894137931034434</v>
          </cell>
          <cell r="AB47">
            <v>0.20894137931034376</v>
          </cell>
        </row>
        <row r="48">
          <cell r="C48">
            <v>-25.796365109631054</v>
          </cell>
          <cell r="D48">
            <v>20.596813312872911</v>
          </cell>
          <cell r="E48">
            <v>29.821955927425165</v>
          </cell>
          <cell r="F48">
            <v>46.297240702505349</v>
          </cell>
          <cell r="G48">
            <v>21.519371993032919</v>
          </cell>
          <cell r="H48">
            <v>25.220622963168339</v>
          </cell>
          <cell r="L48">
            <v>54.059134232080993</v>
          </cell>
          <cell r="M48">
            <v>55.51873085634719</v>
          </cell>
          <cell r="Q48">
            <v>86.716238419572363</v>
          </cell>
          <cell r="R48">
            <v>89.057576856900795</v>
          </cell>
          <cell r="AA48">
            <v>139.94501310983122</v>
          </cell>
          <cell r="AB48">
            <v>143.72352846379664</v>
          </cell>
        </row>
        <row r="49">
          <cell r="C49">
            <v>-19.568164225417576</v>
          </cell>
          <cell r="D49">
            <v>17.727652287159664</v>
          </cell>
          <cell r="E49">
            <v>26.824589306716202</v>
          </cell>
          <cell r="F49">
            <v>37.913980410043543</v>
          </cell>
          <cell r="G49">
            <v>14.55516083374035</v>
          </cell>
          <cell r="H49">
            <v>18.011607337147428</v>
          </cell>
          <cell r="L49">
            <v>27.183836174209752</v>
          </cell>
          <cell r="M49">
            <v>25.793346262047617</v>
          </cell>
          <cell r="Q49">
            <v>29.037201755347919</v>
          </cell>
          <cell r="R49">
            <v>27.551909692098441</v>
          </cell>
          <cell r="AA49">
            <v>21.126393707773452</v>
          </cell>
          <cell r="AB49">
            <v>20.045750153906884</v>
          </cell>
        </row>
        <row r="50">
          <cell r="C50">
            <v>-19.568164225417576</v>
          </cell>
          <cell r="D50">
            <v>17.727652287159664</v>
          </cell>
          <cell r="E50">
            <v>44.552241593875863</v>
          </cell>
          <cell r="F50">
            <v>82.466222003919398</v>
          </cell>
          <cell r="G50">
            <v>97.021382837659743</v>
          </cell>
          <cell r="H50">
            <v>115.03299017480717</v>
          </cell>
          <cell r="L50">
            <v>218.15013764603546</v>
          </cell>
          <cell r="M50">
            <v>243.94348390808307</v>
          </cell>
          <cell r="Q50">
            <v>360.30954526591273</v>
          </cell>
          <cell r="R50">
            <v>387.86145495801117</v>
          </cell>
          <cell r="AA50">
            <v>618.58456586239242</v>
          </cell>
          <cell r="AB50">
            <v>638.63031601629928</v>
          </cell>
        </row>
        <row r="51">
          <cell r="C51">
            <v>-19.568164225417576</v>
          </cell>
          <cell r="D51">
            <v>19.187779731200195</v>
          </cell>
          <cell r="E51">
            <v>31.425346894545456</v>
          </cell>
          <cell r="F51">
            <v>48.075064960304857</v>
          </cell>
          <cell r="G51">
            <v>19.976113944705858</v>
          </cell>
          <cell r="H51">
            <v>26.755924873859982</v>
          </cell>
          <cell r="L51">
            <v>55.420729667704265</v>
          </cell>
          <cell r="M51">
            <v>56.917089368732263</v>
          </cell>
          <cell r="Q51">
            <v>87.939451933519564</v>
          </cell>
          <cell r="R51">
            <v>90.313817135724577</v>
          </cell>
          <cell r="AA51">
            <v>141.18525939928639</v>
          </cell>
          <cell r="AB51">
            <v>144.99726140306709</v>
          </cell>
        </row>
        <row r="52">
          <cell r="C52">
            <v>1318.9584981152339</v>
          </cell>
          <cell r="D52">
            <v>1370.3519999999999</v>
          </cell>
          <cell r="E52">
            <v>1370.3519999999999</v>
          </cell>
          <cell r="F52">
            <v>1370.3519999999999</v>
          </cell>
          <cell r="G52">
            <v>1370.3519999999999</v>
          </cell>
          <cell r="H52">
            <v>1370.3519999999999</v>
          </cell>
          <cell r="L52">
            <v>1370.3519999999999</v>
          </cell>
          <cell r="M52">
            <v>1370.3519999999999</v>
          </cell>
          <cell r="Q52">
            <v>1370.3519999999999</v>
          </cell>
          <cell r="R52">
            <v>1370.3519999999999</v>
          </cell>
          <cell r="AA52">
            <v>1370.3519999999999</v>
          </cell>
          <cell r="AB52">
            <v>1370.3519999999999</v>
          </cell>
        </row>
        <row r="54">
          <cell r="C54">
            <v>236.42593186880762</v>
          </cell>
          <cell r="D54">
            <v>381.54040938251785</v>
          </cell>
          <cell r="E54">
            <v>583.68743000986899</v>
          </cell>
          <cell r="F54">
            <v>242.5333511165729</v>
          </cell>
          <cell r="G54">
            <v>324.84817316534787</v>
          </cell>
          <cell r="H54">
            <v>333.61907384081229</v>
          </cell>
          <cell r="L54">
            <v>691.03993192122152</v>
          </cell>
          <cell r="M54">
            <v>709.69801008309469</v>
          </cell>
          <cell r="Q54">
            <v>1096.51520724639</v>
          </cell>
          <cell r="R54">
            <v>1126.1211178420428</v>
          </cell>
          <cell r="AA54">
            <v>1760.4360792170778</v>
          </cell>
          <cell r="AB54">
            <v>1807.9678533559388</v>
          </cell>
        </row>
        <row r="55">
          <cell r="C55">
            <v>236.42593186880762</v>
          </cell>
          <cell r="D55">
            <v>352.50642887230759</v>
          </cell>
          <cell r="E55">
            <v>498.23397800662093</v>
          </cell>
          <cell r="F55">
            <v>191.27181066959594</v>
          </cell>
          <cell r="G55">
            <v>236.69355411448601</v>
          </cell>
          <cell r="H55">
            <v>224.58635934032674</v>
          </cell>
          <cell r="L55">
            <v>338.95469099408729</v>
          </cell>
          <cell r="M55">
            <v>321.61670103980492</v>
          </cell>
          <cell r="Q55">
            <v>362.06426809085366</v>
          </cell>
          <cell r="R55">
            <v>343.54419207552172</v>
          </cell>
          <cell r="AA55">
            <v>263.42456617037618</v>
          </cell>
          <cell r="AB55">
            <v>249.95004404891398</v>
          </cell>
        </row>
        <row r="56">
          <cell r="C56">
            <v>216.85776764339005</v>
          </cell>
          <cell r="D56">
            <v>370.23408115946728</v>
          </cell>
          <cell r="E56">
            <v>542.78621960049679</v>
          </cell>
          <cell r="F56">
            <v>273.73803267351536</v>
          </cell>
          <cell r="G56">
            <v>333.71493695214576</v>
          </cell>
          <cell r="H56">
            <v>339.61934951513388</v>
          </cell>
          <cell r="L56">
            <v>557.10482864012272</v>
          </cell>
          <cell r="M56">
            <v>565.56018494788805</v>
          </cell>
          <cell r="Q56">
            <v>722.37381335676639</v>
          </cell>
          <cell r="R56">
            <v>731.40564703353289</v>
          </cell>
          <cell r="AA56">
            <v>882.00913203276855</v>
          </cell>
          <cell r="AB56">
            <v>888.5803600652132</v>
          </cell>
        </row>
        <row r="58">
          <cell r="C58">
            <v>1535.816265758624</v>
          </cell>
          <cell r="D58">
            <v>1740.5860811594671</v>
          </cell>
          <cell r="E58">
            <v>1913.1382196004965</v>
          </cell>
          <cell r="F58">
            <v>1644.0900326735152</v>
          </cell>
          <cell r="G58">
            <v>1704.0669369521456</v>
          </cell>
          <cell r="H58">
            <v>1709.9713495151336</v>
          </cell>
          <cell r="L58">
            <v>1927.4568286401227</v>
          </cell>
          <cell r="M58">
            <v>1935.9121849478879</v>
          </cell>
          <cell r="Q58">
            <v>2092.7258133567661</v>
          </cell>
          <cell r="R58">
            <v>2101.7576470335325</v>
          </cell>
          <cell r="AA58">
            <v>2252.3611320327682</v>
          </cell>
          <cell r="AB58">
            <v>2258.9323600652133</v>
          </cell>
        </row>
        <row r="59">
          <cell r="C59">
            <v>33.847999999999999</v>
          </cell>
          <cell r="D59">
            <v>33.847999999999999</v>
          </cell>
          <cell r="E59">
            <v>33.847999999999999</v>
          </cell>
          <cell r="F59">
            <v>33.847999999999999</v>
          </cell>
          <cell r="G59">
            <v>33.847999999999999</v>
          </cell>
          <cell r="H59">
            <v>33.847999999999999</v>
          </cell>
          <cell r="L59">
            <v>33.847999999999999</v>
          </cell>
          <cell r="M59">
            <v>33.847999999999999</v>
          </cell>
          <cell r="Q59">
            <v>33.847999999999999</v>
          </cell>
          <cell r="R59">
            <v>33.847999999999999</v>
          </cell>
          <cell r="AA59">
            <v>33.847999999999999</v>
          </cell>
          <cell r="AB59">
            <v>33.847999999999999</v>
          </cell>
        </row>
        <row r="60">
          <cell r="C60">
            <v>369.3</v>
          </cell>
          <cell r="D60">
            <v>369.3</v>
          </cell>
          <cell r="E60">
            <v>369.3</v>
          </cell>
          <cell r="F60">
            <v>369.3</v>
          </cell>
          <cell r="G60">
            <v>369.3</v>
          </cell>
          <cell r="H60">
            <v>369.3</v>
          </cell>
          <cell r="L60">
            <v>369.3</v>
          </cell>
          <cell r="M60">
            <v>369.3</v>
          </cell>
          <cell r="Q60">
            <v>369.3</v>
          </cell>
          <cell r="R60">
            <v>369.3</v>
          </cell>
          <cell r="AA60">
            <v>369.3</v>
          </cell>
          <cell r="AB60">
            <v>369.3</v>
          </cell>
        </row>
        <row r="61">
          <cell r="C61">
            <v>1200.364265758624</v>
          </cell>
          <cell r="D61">
            <v>1405.1340811594671</v>
          </cell>
          <cell r="E61">
            <v>1577.6862196004965</v>
          </cell>
          <cell r="F61">
            <v>1308.6380326735152</v>
          </cell>
          <cell r="G61">
            <v>1368.6149369521456</v>
          </cell>
          <cell r="H61">
            <v>1374.5193495151336</v>
          </cell>
          <cell r="L61">
            <v>1592.0048286401227</v>
          </cell>
          <cell r="M61">
            <v>1600.4601849478879</v>
          </cell>
          <cell r="Q61">
            <v>1757.2738133567661</v>
          </cell>
          <cell r="R61">
            <v>1766.3056470335325</v>
          </cell>
          <cell r="AA61">
            <v>1916.9091320327682</v>
          </cell>
          <cell r="AB61">
            <v>1923.4803600652133</v>
          </cell>
        </row>
        <row r="62">
          <cell r="C62">
            <v>42.850999999999999</v>
          </cell>
          <cell r="D62">
            <v>42.850999999999999</v>
          </cell>
          <cell r="E62">
            <v>42.850999999999999</v>
          </cell>
          <cell r="F62">
            <v>42.850999999999999</v>
          </cell>
          <cell r="G62">
            <v>42.850999999999999</v>
          </cell>
          <cell r="H62">
            <v>42.850999999999999</v>
          </cell>
          <cell r="L62">
            <v>42.850999999999999</v>
          </cell>
          <cell r="M62">
            <v>42.850999999999999</v>
          </cell>
          <cell r="Q62">
            <v>42.850999999999999</v>
          </cell>
          <cell r="R62">
            <v>42.850999999999999</v>
          </cell>
          <cell r="AA62">
            <v>42.850999999999999</v>
          </cell>
          <cell r="AB62">
            <v>42.850999999999999</v>
          </cell>
        </row>
        <row r="64">
          <cell r="C64">
            <v>28.012514661469371</v>
          </cell>
          <cell r="D64">
            <v>32.791161960268539</v>
          </cell>
          <cell r="E64">
            <v>36.817955697661588</v>
          </cell>
          <cell r="F64">
            <v>30.53926472365908</v>
          </cell>
          <cell r="G64">
            <v>31.93892644167337</v>
          </cell>
          <cell r="H64">
            <v>32.076715817953691</v>
          </cell>
          <cell r="L64">
            <v>37.152104469910221</v>
          </cell>
          <cell r="M64">
            <v>37.349424399614662</v>
          </cell>
          <cell r="Q64">
            <v>41.008933592139421</v>
          </cell>
          <cell r="R64">
            <v>41.219706588726808</v>
          </cell>
          <cell r="AA64">
            <v>44.734291662569561</v>
          </cell>
          <cell r="AB64">
            <v>44.887642296917534</v>
          </cell>
        </row>
        <row r="65">
          <cell r="C65">
            <v>24.400987530191756</v>
          </cell>
          <cell r="D65">
            <v>46.393178422503965</v>
          </cell>
          <cell r="E65">
            <v>9.2251426145522544</v>
          </cell>
          <cell r="F65">
            <v>16.475284775080183</v>
          </cell>
          <cell r="G65">
            <v>-24.777868709472429</v>
          </cell>
          <cell r="H65">
            <v>3.701250970135419</v>
          </cell>
          <cell r="L65">
            <v>1.4212235874062173</v>
          </cell>
          <cell r="M65">
            <v>1.4595966242661973</v>
          </cell>
          <cell r="Q65">
            <v>2.2797842622477731</v>
          </cell>
          <cell r="R65">
            <v>2.3413384373284316</v>
          </cell>
          <cell r="AA65">
            <v>3.6791775598495065</v>
          </cell>
          <cell r="AB65">
            <v>3.7785153539654175</v>
          </cell>
        </row>
        <row r="68">
          <cell r="C68">
            <v>0.11995346131471789</v>
          </cell>
          <cell r="D68">
            <v>6.690214003739868E-2</v>
          </cell>
          <cell r="E68">
            <v>4.6738072054527749E-2</v>
          </cell>
          <cell r="F68">
            <v>0.05</v>
          </cell>
          <cell r="G68">
            <v>2.6999999999999944E-2</v>
          </cell>
          <cell r="H68">
            <v>2.6999999999999965E-2</v>
          </cell>
          <cell r="L68">
            <v>2.6999999999999989E-2</v>
          </cell>
          <cell r="M68">
            <v>2.6999999999999916E-2</v>
          </cell>
          <cell r="Q68">
            <v>2.6999999999999944E-2</v>
          </cell>
          <cell r="R68">
            <v>2.6999999999999871E-2</v>
          </cell>
          <cell r="AA68">
            <v>2.699999999999992E-2</v>
          </cell>
          <cell r="AB68">
            <v>2.6999999999999906E-2</v>
          </cell>
        </row>
        <row r="69">
          <cell r="C69">
            <v>4.1865953609919189E-2</v>
          </cell>
          <cell r="D69">
            <v>6.4292112950340888E-2</v>
          </cell>
          <cell r="E69">
            <v>6.5802558139534895E-2</v>
          </cell>
          <cell r="F69">
            <v>7.1464894795127354E-2</v>
          </cell>
          <cell r="G69">
            <v>5.8999999999999997E-2</v>
          </cell>
          <cell r="H69">
            <v>5.899999999999999E-2</v>
          </cell>
          <cell r="L69">
            <v>5.8999999999999997E-2</v>
          </cell>
          <cell r="M69">
            <v>5.8999999999999997E-2</v>
          </cell>
          <cell r="Q69">
            <v>5.8999999999999997E-2</v>
          </cell>
          <cell r="R69">
            <v>5.8999999999999997E-2</v>
          </cell>
          <cell r="AA69">
            <v>5.8999999999999997E-2</v>
          </cell>
          <cell r="AB69">
            <v>5.8999999999999997E-2</v>
          </cell>
        </row>
        <row r="70">
          <cell r="C70">
            <v>1.1939864209505416E-2</v>
          </cell>
          <cell r="D70">
            <v>0.17885783298826735</v>
          </cell>
          <cell r="E70">
            <v>2.0882584712370957E-3</v>
          </cell>
          <cell r="F70">
            <v>-1.1063829787234004E-2</v>
          </cell>
          <cell r="G70">
            <v>3.9999999999999945E-2</v>
          </cell>
          <cell r="H70">
            <v>4.0000000000000098E-2</v>
          </cell>
          <cell r="L70">
            <v>3.9999999999999918E-2</v>
          </cell>
          <cell r="M70">
            <v>4.0000000000000084E-2</v>
          </cell>
          <cell r="Q70">
            <v>3.9999999999999918E-2</v>
          </cell>
          <cell r="R70">
            <v>4.0000000000000049E-2</v>
          </cell>
          <cell r="AA70">
            <v>4.0000000000000063E-2</v>
          </cell>
          <cell r="AB70">
            <v>3.9999999999999959E-2</v>
          </cell>
        </row>
        <row r="71">
          <cell r="C71">
            <v>0.72308438409311393</v>
          </cell>
          <cell r="D71">
            <v>-0.44449934123847185</v>
          </cell>
          <cell r="E71">
            <v>0.40347504899743569</v>
          </cell>
          <cell r="F71">
            <v>0.41264266900790209</v>
          </cell>
          <cell r="G71">
            <v>-0.65480513192932044</v>
          </cell>
          <cell r="H71">
            <v>0.55555555555555558</v>
          </cell>
          <cell r="L71">
            <v>0.43478260869565233</v>
          </cell>
          <cell r="M71">
            <v>0.43478260869564955</v>
          </cell>
          <cell r="Q71">
            <v>0.33333333333333426</v>
          </cell>
          <cell r="R71">
            <v>0.33333333333333287</v>
          </cell>
          <cell r="AA71">
            <v>0.25</v>
          </cell>
          <cell r="AB71">
            <v>0.25</v>
          </cell>
        </row>
        <row r="74">
          <cell r="C74">
            <v>68.252000000000066</v>
          </cell>
          <cell r="D74">
            <v>91.288888888888891</v>
          </cell>
          <cell r="E74">
            <v>91.489361702127653</v>
          </cell>
          <cell r="F74">
            <v>90.3</v>
          </cell>
          <cell r="G74">
            <v>92.738099999999989</v>
          </cell>
          <cell r="H74">
            <v>95.242028699999992</v>
          </cell>
          <cell r="L74">
            <v>105.95230564405634</v>
          </cell>
          <cell r="M74">
            <v>108.81301789644586</v>
          </cell>
          <cell r="Q74">
            <v>121.04939686376508</v>
          </cell>
          <cell r="R74">
            <v>124.31773057908673</v>
          </cell>
          <cell r="AA74">
            <v>158.00363045049772</v>
          </cell>
          <cell r="AB74">
            <v>162.26972847266114</v>
          </cell>
        </row>
        <row r="75">
          <cell r="C75">
            <v>1302.1000000000001</v>
          </cell>
          <cell r="D75">
            <v>1244.848484848485</v>
          </cell>
          <cell r="E75">
            <v>1283.5820895522388</v>
          </cell>
          <cell r="F75">
            <v>1327.9411764705883</v>
          </cell>
          <cell r="G75">
            <v>1288.0291666666665</v>
          </cell>
          <cell r="H75">
            <v>1322.8059541666664</v>
          </cell>
          <cell r="L75">
            <v>1151.6554961310474</v>
          </cell>
          <cell r="M75">
            <v>1182.7501945265853</v>
          </cell>
          <cell r="Q75">
            <v>1008.7449738647091</v>
          </cell>
          <cell r="R75">
            <v>1035.9810881590561</v>
          </cell>
          <cell r="AA75">
            <v>987.5226903156107</v>
          </cell>
          <cell r="AB75">
            <v>1014.1858029541321</v>
          </cell>
        </row>
        <row r="76">
          <cell r="C76">
            <v>0</v>
          </cell>
          <cell r="D76">
            <v>0</v>
          </cell>
          <cell r="E76">
            <v>0</v>
          </cell>
          <cell r="F76">
            <v>0</v>
          </cell>
          <cell r="G76">
            <v>0</v>
          </cell>
          <cell r="H76">
            <v>0</v>
          </cell>
          <cell r="L76">
            <v>0</v>
          </cell>
          <cell r="M76">
            <v>0</v>
          </cell>
          <cell r="Q76">
            <v>0</v>
          </cell>
          <cell r="R76">
            <v>0</v>
          </cell>
          <cell r="AA76">
            <v>0</v>
          </cell>
          <cell r="AB76">
            <v>0</v>
          </cell>
        </row>
        <row r="77">
          <cell r="C77">
            <v>1370.3519999999999</v>
          </cell>
          <cell r="D77">
            <v>1336.1373737373738</v>
          </cell>
          <cell r="E77">
            <v>1375.0714512543664</v>
          </cell>
          <cell r="F77">
            <v>1418.2411764705882</v>
          </cell>
          <cell r="G77">
            <v>1380.7672666666665</v>
          </cell>
          <cell r="H77">
            <v>1418.0479828666664</v>
          </cell>
          <cell r="I77">
            <v>1161.0044708107694</v>
          </cell>
          <cell r="J77">
            <v>1192.3515915226601</v>
          </cell>
          <cell r="K77">
            <v>1224.5450844937718</v>
          </cell>
          <cell r="L77">
            <v>1257.6078017751038</v>
          </cell>
          <cell r="M77">
            <v>1291.5632124230312</v>
          </cell>
          <cell r="N77">
            <v>1043.009047543399</v>
          </cell>
          <cell r="O77">
            <v>1071.1702918270705</v>
          </cell>
          <cell r="P77">
            <v>1100.0918897064014</v>
          </cell>
          <cell r="Q77">
            <v>1129.7943707284742</v>
          </cell>
          <cell r="R77">
            <v>1160.2988187381427</v>
          </cell>
          <cell r="S77">
            <v>925.638742459235</v>
          </cell>
          <cell r="T77">
            <v>950.63098850563426</v>
          </cell>
          <cell r="U77">
            <v>976.2980251952863</v>
          </cell>
          <cell r="V77">
            <v>1002.658071875559</v>
          </cell>
          <cell r="W77">
            <v>1029.729839816199</v>
          </cell>
          <cell r="X77">
            <v>1057.5325454912363</v>
          </cell>
          <cell r="Y77">
            <v>1086.0859242194995</v>
          </cell>
          <cell r="Z77">
            <v>1115.410244173426</v>
          </cell>
          <cell r="AA77">
            <v>1145.5263207661085</v>
          </cell>
          <cell r="AB77">
            <v>1176.4555314267932</v>
          </cell>
        </row>
        <row r="78">
          <cell r="C78">
            <v>1294.5709999999999</v>
          </cell>
          <cell r="D78">
            <v>1353.2446868686868</v>
          </cell>
          <cell r="E78">
            <v>1355.6044124958701</v>
          </cell>
          <cell r="F78">
            <v>1396.6563138624774</v>
          </cell>
          <cell r="G78">
            <v>1399.5042215686274</v>
          </cell>
          <cell r="H78">
            <v>1399.4076247666665</v>
          </cell>
          <cell r="I78">
            <v>1289.5262268387178</v>
          </cell>
          <cell r="J78">
            <v>1176.6780311667148</v>
          </cell>
          <cell r="K78">
            <v>1208.4483380082161</v>
          </cell>
          <cell r="L78">
            <v>1241.0764431344378</v>
          </cell>
          <cell r="M78">
            <v>1274.5855070990674</v>
          </cell>
          <cell r="N78">
            <v>1167.2861299832152</v>
          </cell>
          <cell r="O78">
            <v>1057.0896696852346</v>
          </cell>
          <cell r="P78">
            <v>1085.631090766736</v>
          </cell>
          <cell r="Q78">
            <v>1114.9431302174378</v>
          </cell>
          <cell r="R78">
            <v>1145.0465947333084</v>
          </cell>
          <cell r="S78">
            <v>1042.9687805986889</v>
          </cell>
          <cell r="T78">
            <v>938.13486548243463</v>
          </cell>
          <cell r="U78">
            <v>963.46450685046034</v>
          </cell>
          <cell r="V78">
            <v>989.47804853542266</v>
          </cell>
          <cell r="W78">
            <v>1016.193955845879</v>
          </cell>
          <cell r="X78">
            <v>1043.6311926537178</v>
          </cell>
          <cell r="Y78">
            <v>1071.8092348553678</v>
          </cell>
          <cell r="Z78">
            <v>1100.7480841964627</v>
          </cell>
          <cell r="AA78">
            <v>1130.4682824697672</v>
          </cell>
          <cell r="AB78">
            <v>1160.9909260964509</v>
          </cell>
        </row>
        <row r="79">
          <cell r="C79">
            <v>0.12435448272466947</v>
          </cell>
          <cell r="D79">
            <v>-2.4967764678437438E-2</v>
          </cell>
          <cell r="E79">
            <v>2.9139277354459616E-2</v>
          </cell>
          <cell r="F79">
            <v>3.1394532390910765E-2</v>
          </cell>
          <cell r="G79">
            <v>-2.6422804827299331E-2</v>
          </cell>
          <cell r="H79">
            <v>2.6999999999999941E-2</v>
          </cell>
          <cell r="L79">
            <v>2.7000000000000107E-2</v>
          </cell>
          <cell r="M79">
            <v>2.6999999999999733E-2</v>
          </cell>
          <cell r="Q79">
            <v>2.6999999999999955E-2</v>
          </cell>
          <cell r="R79">
            <v>2.699999999999975E-2</v>
          </cell>
          <cell r="AA79">
            <v>2.6999999999999975E-2</v>
          </cell>
          <cell r="AB79">
            <v>2.6999999999999802E-2</v>
          </cell>
        </row>
        <row r="80">
          <cell r="C80">
            <v>28.725324898166221</v>
          </cell>
          <cell r="D80">
            <v>25.748884994999528</v>
          </cell>
          <cell r="E80">
            <v>23.525775009312529</v>
          </cell>
          <cell r="F80">
            <v>24.836436839456468</v>
          </cell>
          <cell r="G80">
            <v>25.333004440059202</v>
          </cell>
          <cell r="H80">
            <v>25.333004440059202</v>
          </cell>
          <cell r="L80">
            <v>25.333004440059202</v>
          </cell>
          <cell r="M80">
            <v>25.333004440059199</v>
          </cell>
          <cell r="Q80">
            <v>25.333004440059199</v>
          </cell>
          <cell r="R80">
            <v>25.333004440059199</v>
          </cell>
          <cell r="AA80">
            <v>25.333004440059199</v>
          </cell>
          <cell r="AB80">
            <v>25.333004440059199</v>
          </cell>
        </row>
        <row r="81">
          <cell r="C81">
            <v>1.5683271557166711</v>
          </cell>
          <cell r="D81">
            <v>1.6129105179936059</v>
          </cell>
          <cell r="E81">
            <v>1.7006597070671656</v>
          </cell>
          <cell r="F81">
            <v>1.7288760390314419</v>
          </cell>
          <cell r="G81">
            <v>1.7725372965960688</v>
          </cell>
          <cell r="H81">
            <v>1.8239763196842627</v>
          </cell>
          <cell r="L81">
            <v>2.3306364084854461</v>
          </cell>
          <cell r="M81">
            <v>2.3306364084854465</v>
          </cell>
          <cell r="Q81">
            <v>3.039960532807104</v>
          </cell>
          <cell r="R81">
            <v>3.0399605328071035</v>
          </cell>
          <cell r="AA81">
            <v>4.0532807104094717</v>
          </cell>
          <cell r="AB81">
            <v>4.0532807104094717</v>
          </cell>
        </row>
        <row r="82">
          <cell r="C82" t="str">
            <v xml:space="preserve">--  </v>
          </cell>
          <cell r="D82" t="str">
            <v xml:space="preserve">--  </v>
          </cell>
          <cell r="E82" t="str">
            <v xml:space="preserve">--  </v>
          </cell>
          <cell r="F82" t="str">
            <v xml:space="preserve">--  </v>
          </cell>
          <cell r="G82" t="str">
            <v xml:space="preserve">--  </v>
          </cell>
          <cell r="H82" t="str">
            <v xml:space="preserve">--  </v>
          </cell>
          <cell r="L82" t="str">
            <v xml:space="preserve">--  </v>
          </cell>
          <cell r="M82" t="str">
            <v xml:space="preserve">--  </v>
          </cell>
          <cell r="Q82" t="str">
            <v xml:space="preserve">--  </v>
          </cell>
          <cell r="R82" t="str">
            <v xml:space="preserve">--  </v>
          </cell>
          <cell r="AA82" t="str">
            <v xml:space="preserve">--  </v>
          </cell>
          <cell r="AB82" t="str">
            <v xml:space="preserve">--  </v>
          </cell>
        </row>
        <row r="83">
          <cell r="C83">
            <v>1.4871335755242472</v>
          </cell>
          <cell r="D83">
            <v>1.5178334117481826</v>
          </cell>
          <cell r="E83">
            <v>1.5860084108471801</v>
          </cell>
          <cell r="F83">
            <v>1.6163604299735304</v>
          </cell>
          <cell r="G83">
            <v>1.6566241560896287</v>
          </cell>
          <cell r="H83">
            <v>1.7014704474666629</v>
          </cell>
          <cell r="I83">
            <v>1.8963081447883885</v>
          </cell>
          <cell r="J83">
            <v>2.1342824253529726</v>
          </cell>
          <cell r="K83">
            <v>2.1342824253529726</v>
          </cell>
          <cell r="L83">
            <v>2.1342824253529726</v>
          </cell>
          <cell r="M83">
            <v>2.1342824253529726</v>
          </cell>
          <cell r="N83">
            <v>2.3933928132354487</v>
          </cell>
          <cell r="O83">
            <v>2.7142504757206289</v>
          </cell>
          <cell r="P83">
            <v>2.7142504757206285</v>
          </cell>
          <cell r="Q83">
            <v>2.7142504757206285</v>
          </cell>
          <cell r="R83">
            <v>2.7142504757206285</v>
          </cell>
          <cell r="S83">
            <v>3.0603578860585352</v>
          </cell>
          <cell r="T83">
            <v>3.4942075089736826</v>
          </cell>
          <cell r="U83">
            <v>3.4942075089736826</v>
          </cell>
          <cell r="V83">
            <v>3.4942075089736826</v>
          </cell>
          <cell r="W83">
            <v>3.4942075089736826</v>
          </cell>
          <cell r="X83">
            <v>3.4942075089736822</v>
          </cell>
          <cell r="Y83">
            <v>3.494207508973683</v>
          </cell>
          <cell r="Z83">
            <v>3.494207508973683</v>
          </cell>
          <cell r="AA83">
            <v>3.4942075089736826</v>
          </cell>
          <cell r="AB83">
            <v>3.4942075089736822</v>
          </cell>
        </row>
        <row r="85">
          <cell r="C85">
            <v>28.207232022504808</v>
          </cell>
          <cell r="D85">
            <v>22.5</v>
          </cell>
          <cell r="E85">
            <v>23.500000000000004</v>
          </cell>
          <cell r="F85">
            <v>25</v>
          </cell>
          <cell r="G85">
            <v>25</v>
          </cell>
          <cell r="H85">
            <v>25</v>
          </cell>
          <cell r="L85">
            <v>25</v>
          </cell>
          <cell r="M85">
            <v>25</v>
          </cell>
          <cell r="Q85">
            <v>25</v>
          </cell>
          <cell r="R85">
            <v>25</v>
          </cell>
          <cell r="AA85">
            <v>24.999999999999996</v>
          </cell>
          <cell r="AB85">
            <v>25</v>
          </cell>
        </row>
        <row r="86">
          <cell r="C86">
            <v>1.478534674756163</v>
          </cell>
          <cell r="D86">
            <v>1.65</v>
          </cell>
          <cell r="E86">
            <v>1.675</v>
          </cell>
          <cell r="F86">
            <v>1.7</v>
          </cell>
          <cell r="G86">
            <v>1.8000000000000003</v>
          </cell>
          <cell r="H86">
            <v>1.8000000000000003</v>
          </cell>
          <cell r="L86">
            <v>2.2999999999999998</v>
          </cell>
          <cell r="M86">
            <v>2.2999999999999998</v>
          </cell>
          <cell r="Q86">
            <v>3</v>
          </cell>
          <cell r="R86">
            <v>3</v>
          </cell>
          <cell r="AA86">
            <v>4</v>
          </cell>
          <cell r="AB86">
            <v>4</v>
          </cell>
        </row>
        <row r="87">
          <cell r="C87" t="e">
            <v>#DIV/0!</v>
          </cell>
          <cell r="D87" t="e">
            <v>#DIV/0!</v>
          </cell>
          <cell r="E87" t="e">
            <v>#DIV/0!</v>
          </cell>
          <cell r="F87" t="e">
            <v>#DIV/0!</v>
          </cell>
          <cell r="G87" t="e">
            <v>#DIV/0!</v>
          </cell>
          <cell r="H87" t="e">
            <v>#DIV/0!</v>
          </cell>
          <cell r="L87" t="e">
            <v>#DIV/0!</v>
          </cell>
          <cell r="M87" t="e">
            <v>#DIV/0!</v>
          </cell>
          <cell r="Q87" t="e">
            <v>#DIV/0!</v>
          </cell>
          <cell r="R87" t="e">
            <v>#DIV/0!</v>
          </cell>
          <cell r="AA87" t="e">
            <v>#DIV/0!</v>
          </cell>
          <cell r="AB87" t="e">
            <v>#DIV/0!</v>
          </cell>
        </row>
        <row r="88">
          <cell r="C88">
            <v>1.4048945088561189</v>
          </cell>
          <cell r="D88">
            <v>1.5372670807453417</v>
          </cell>
          <cell r="E88">
            <v>1.5635551142005959</v>
          </cell>
          <cell r="F88">
            <v>1.5917602996254681</v>
          </cell>
          <cell r="G88">
            <v>1.6791044776119404</v>
          </cell>
          <cell r="H88">
            <v>1.6791044776119404</v>
          </cell>
          <cell r="L88">
            <v>2.1062271062271058</v>
          </cell>
          <cell r="M88">
            <v>2.1062271062271063</v>
          </cell>
          <cell r="Q88">
            <v>2.6785714285714284</v>
          </cell>
          <cell r="R88">
            <v>2.6785714285714288</v>
          </cell>
          <cell r="AA88">
            <v>3.4482758620689653</v>
          </cell>
          <cell r="AB88">
            <v>3.4482758620689657</v>
          </cell>
        </row>
        <row r="91">
          <cell r="C91" t="str">
            <v>N/A</v>
          </cell>
          <cell r="D91" t="str">
            <v>N/A</v>
          </cell>
          <cell r="E91" t="str">
            <v>NM</v>
          </cell>
          <cell r="F91" t="str">
            <v>NM</v>
          </cell>
          <cell r="G91" t="str">
            <v>NM</v>
          </cell>
          <cell r="H91" t="str">
            <v>NM</v>
          </cell>
          <cell r="L91" t="str">
            <v>NM</v>
          </cell>
          <cell r="M91" t="str">
            <v>NM</v>
          </cell>
          <cell r="Q91">
            <v>0.18285377083652804</v>
          </cell>
        </row>
        <row r="92">
          <cell r="C92">
            <v>0.27521045045069142</v>
          </cell>
          <cell r="D92">
            <v>0.30019964827312351</v>
          </cell>
          <cell r="E92">
            <v>0.63542523199201806</v>
          </cell>
          <cell r="F92">
            <v>1.6858019297902467</v>
          </cell>
          <cell r="G92">
            <v>0.10604321877934655</v>
          </cell>
          <cell r="H92">
            <v>-2.3117446434781502E-2</v>
          </cell>
          <cell r="L92">
            <v>0.12426739926739899</v>
          </cell>
          <cell r="M92">
            <v>0.12426739926739935</v>
          </cell>
          <cell r="Q92">
            <v>0.15803571428571447</v>
          </cell>
          <cell r="R92">
            <v>0.15803571428571425</v>
          </cell>
          <cell r="AA92">
            <v>0.20344827586206882</v>
          </cell>
          <cell r="AB92">
            <v>0.20344827586206873</v>
          </cell>
        </row>
        <row r="93">
          <cell r="C93">
            <v>0.18285377083652804</v>
          </cell>
          <cell r="D93">
            <v>0.33950242217827548</v>
          </cell>
          <cell r="E93" t="str">
            <v>NM</v>
          </cell>
          <cell r="F93">
            <v>0.51000309411038958</v>
          </cell>
          <cell r="G93">
            <v>-0.56853043138614601</v>
          </cell>
          <cell r="H93" t="str">
            <v>NM</v>
          </cell>
          <cell r="L93">
            <v>0.12762261904761915</v>
          </cell>
          <cell r="M93">
            <v>0.12762261904761804</v>
          </cell>
          <cell r="Q93">
            <v>0.16230267857142888</v>
          </cell>
          <cell r="R93">
            <v>0.1623026785714278</v>
          </cell>
          <cell r="AA93">
            <v>0.20894137931034434</v>
          </cell>
          <cell r="AB93">
            <v>0.20894137931034376</v>
          </cell>
        </row>
        <row r="96">
          <cell r="C96">
            <v>6.2260265284651381E-2</v>
          </cell>
          <cell r="D96">
            <v>9.7584717147915431E-2</v>
          </cell>
          <cell r="E96">
            <v>0.10091716360606413</v>
          </cell>
          <cell r="F96">
            <v>0.10556509592406667</v>
          </cell>
          <cell r="G96">
            <v>0.10355218337943868</v>
          </cell>
          <cell r="H96">
            <v>0.10291121192680286</v>
          </cell>
          <cell r="L96">
            <v>0.11109885037711598</v>
          </cell>
          <cell r="M96">
            <v>0.11249908715251131</v>
          </cell>
          <cell r="Q96">
            <v>0.12332796229031721</v>
          </cell>
          <cell r="R96">
            <v>0.12549437146015641</v>
          </cell>
          <cell r="AA96">
            <v>0.15033717985146122</v>
          </cell>
          <cell r="AB96">
            <v>0.15224806138050753</v>
          </cell>
        </row>
        <row r="97">
          <cell r="C97">
            <v>4.1865953609919182E-2</v>
          </cell>
          <cell r="D97">
            <v>6.4292112950340874E-2</v>
          </cell>
          <cell r="E97">
            <v>6.5042951196331411E-2</v>
          </cell>
          <cell r="F97">
            <v>6.7116774723903816E-2</v>
          </cell>
          <cell r="G97">
            <v>6.4988469863203821E-2</v>
          </cell>
          <cell r="H97">
            <v>6.3744020447271912E-2</v>
          </cell>
          <cell r="L97">
            <v>6.1590212225827695E-2</v>
          </cell>
          <cell r="M97">
            <v>6.1326154342083453E-2</v>
          </cell>
          <cell r="Q97">
            <v>6.0652335127827792E-2</v>
          </cell>
          <cell r="R97">
            <v>6.0540753924742279E-2</v>
          </cell>
          <cell r="AA97">
            <v>5.9958311625751194E-2</v>
          </cell>
          <cell r="AB97">
            <v>5.9919681973189177E-2</v>
          </cell>
        </row>
        <row r="98">
          <cell r="C98">
            <v>1.4871335755242472</v>
          </cell>
          <cell r="D98">
            <v>1.5178334117481826</v>
          </cell>
          <cell r="E98">
            <v>1.5515465050385981</v>
          </cell>
          <cell r="F98">
            <v>1.5728571040299015</v>
          </cell>
          <cell r="G98">
            <v>1.5933931603161109</v>
          </cell>
          <cell r="H98">
            <v>1.6144449503609428</v>
          </cell>
          <cell r="L98">
            <v>1.8038393822992378</v>
          </cell>
          <cell r="M98">
            <v>1.8344389658771052</v>
          </cell>
          <cell r="Q98">
            <v>2.0333588481036626</v>
          </cell>
          <cell r="R98">
            <v>2.0728907937974719</v>
          </cell>
          <cell r="AA98">
            <v>2.5073617948056701</v>
          </cell>
          <cell r="AB98">
            <v>2.540868982726415</v>
          </cell>
        </row>
        <row r="99">
          <cell r="C99" t="str">
            <v>N/A</v>
          </cell>
          <cell r="D99">
            <v>6.6902140037398583E-2</v>
          </cell>
          <cell r="E99">
            <v>5.6772013791809517E-2</v>
          </cell>
          <cell r="F99">
            <v>5.4509836791696964E-2</v>
          </cell>
          <cell r="G99">
            <v>4.7564053323486677E-2</v>
          </cell>
          <cell r="H99">
            <v>4.3418562610934019E-2</v>
          </cell>
          <cell r="L99">
            <v>3.6089265490972133E-2</v>
          </cell>
          <cell r="M99">
            <v>3.5176730709026938E-2</v>
          </cell>
          <cell r="Q99">
            <v>3.2833901520632258E-2</v>
          </cell>
          <cell r="R99">
            <v>3.2443945817955289E-2</v>
          </cell>
          <cell r="AA99">
            <v>3.0399092600371436E-2</v>
          </cell>
          <cell r="AB99">
            <v>3.0262913142268255E-2</v>
          </cell>
        </row>
        <row r="100">
          <cell r="C100" t="str">
            <v>N/A</v>
          </cell>
          <cell r="D100">
            <v>0.63840512348901068</v>
          </cell>
          <cell r="E100">
            <v>0.32486674236307955</v>
          </cell>
          <cell r="F100">
            <v>0.26026311488179155</v>
          </cell>
          <cell r="G100">
            <v>0.14137496726711163</v>
          </cell>
          <cell r="H100">
            <v>0.11752375439615048</v>
          </cell>
          <cell r="L100">
            <v>7.6345581581654054E-2</v>
          </cell>
          <cell r="M100">
            <v>7.1306163412143686E-2</v>
          </cell>
          <cell r="Q100">
            <v>5.845573568558815E-2</v>
          </cell>
          <cell r="R100">
            <v>5.6329033988240962E-2</v>
          </cell>
          <cell r="AA100">
            <v>4.5233755979729562E-2</v>
          </cell>
          <cell r="AB100">
            <v>4.4498228053893918E-2</v>
          </cell>
        </row>
        <row r="101">
          <cell r="C101" t="str">
            <v>N/A</v>
          </cell>
          <cell r="D101">
            <v>-2.4967764678437421E-2</v>
          </cell>
          <cell r="E101">
            <v>1.7205049594104516E-3</v>
          </cell>
          <cell r="F101">
            <v>1.1515753143831242E-2</v>
          </cell>
          <cell r="G101">
            <v>1.8947161749167662E-3</v>
          </cell>
          <cell r="H101">
            <v>6.8661898940125532E-3</v>
          </cell>
          <cell r="L101">
            <v>-9.4942307804791737E-3</v>
          </cell>
          <cell r="M101">
            <v>-5.9039392310173966E-3</v>
          </cell>
          <cell r="Q101">
            <v>-1.3693380740634531E-2</v>
          </cell>
          <cell r="R101">
            <v>-1.103137430416723E-2</v>
          </cell>
          <cell r="AA101">
            <v>-7.4390026678454735E-3</v>
          </cell>
          <cell r="AB101">
            <v>-6.0838782074159603E-3</v>
          </cell>
        </row>
        <row r="102">
          <cell r="C102" t="str">
            <v>N/A</v>
          </cell>
          <cell r="D102" t="str">
            <v>NM</v>
          </cell>
          <cell r="E102" t="str">
            <v>NM</v>
          </cell>
          <cell r="F102" t="str">
            <v>NM</v>
          </cell>
          <cell r="G102" t="str">
            <v>NM</v>
          </cell>
          <cell r="H102" t="str">
            <v>NM</v>
          </cell>
          <cell r="L102" t="str">
            <v>NM</v>
          </cell>
          <cell r="M102" t="str">
            <v>NM</v>
          </cell>
          <cell r="Q102" t="str">
            <v>NM</v>
          </cell>
          <cell r="R102" t="str">
            <v>NM</v>
          </cell>
          <cell r="AA102" t="str">
            <v>NM</v>
          </cell>
          <cell r="AB102" t="str">
            <v>NM</v>
          </cell>
        </row>
        <row r="105">
          <cell r="C105" t="str">
            <v>N/A</v>
          </cell>
          <cell r="D105">
            <v>0.56736751283924169</v>
          </cell>
          <cell r="E105">
            <v>6.9464704256636534E-2</v>
          </cell>
          <cell r="F105">
            <v>0.10683454424787375</v>
          </cell>
          <cell r="G105">
            <v>-0.15385453195472076</v>
          </cell>
          <cell r="H105">
            <v>2.7070890649627755E-2</v>
          </cell>
          <cell r="L105">
            <v>0</v>
          </cell>
          <cell r="M105">
            <v>2.2204460492503131E-16</v>
          </cell>
          <cell r="Q105">
            <v>2.2204460492503131E-16</v>
          </cell>
          <cell r="R105">
            <v>0</v>
          </cell>
          <cell r="AA105">
            <v>0</v>
          </cell>
          <cell r="AB105">
            <v>-1.1102230246251565E-16</v>
          </cell>
        </row>
        <row r="106">
          <cell r="C106" t="str">
            <v>N/A</v>
          </cell>
          <cell r="D106" t="str">
            <v>N/A</v>
          </cell>
          <cell r="E106" t="str">
            <v>N/A</v>
          </cell>
          <cell r="F106" t="str">
            <v>N/A</v>
          </cell>
          <cell r="G106" t="str">
            <v>N/A</v>
          </cell>
          <cell r="H106">
            <v>0.1002543417556343</v>
          </cell>
          <cell r="L106">
            <v>5.1975389225104918E-2</v>
          </cell>
          <cell r="M106">
            <v>4.637052013677545E-2</v>
          </cell>
          <cell r="Q106">
            <v>4.9251519648950914E-2</v>
          </cell>
          <cell r="R106">
            <v>4.9251519648950914E-2</v>
          </cell>
          <cell r="AA106">
            <v>0</v>
          </cell>
          <cell r="AB106">
            <v>0</v>
          </cell>
        </row>
        <row r="107">
          <cell r="C107" t="str">
            <v>N/A</v>
          </cell>
          <cell r="D107" t="str">
            <v>N/A</v>
          </cell>
          <cell r="E107" t="str">
            <v>N/A</v>
          </cell>
          <cell r="F107" t="str">
            <v>N/A</v>
          </cell>
          <cell r="G107" t="str">
            <v>N/A</v>
          </cell>
          <cell r="H107" t="str">
            <v>N/A</v>
          </cell>
          <cell r="L107" t="str">
            <v>N/A</v>
          </cell>
          <cell r="M107">
            <v>7.2974234483563327E-2</v>
          </cell>
          <cell r="Q107">
            <v>5.0612571682700613E-2</v>
          </cell>
          <cell r="R107">
            <v>4.7810029714057789E-2</v>
          </cell>
          <cell r="AA107">
            <v>2.5580788722557646E-2</v>
          </cell>
          <cell r="AB107">
            <v>2.5580788722557646E-2</v>
          </cell>
        </row>
      </sheetData>
      <sheetData sheetId="9" refreshError="1"/>
      <sheetData sheetId="10">
        <row r="1">
          <cell r="AD1" t="str">
            <v>Earthgrains</v>
          </cell>
        </row>
        <row r="19">
          <cell r="AD19" t="str">
            <v>PV of Operating Leases</v>
          </cell>
          <cell r="AF19" t="str">
            <v>PV of Operating Leases</v>
          </cell>
        </row>
        <row r="21">
          <cell r="AD21">
            <v>0</v>
          </cell>
          <cell r="AF21">
            <v>0</v>
          </cell>
        </row>
        <row r="22">
          <cell r="AD22">
            <v>0</v>
          </cell>
          <cell r="AF22">
            <v>0</v>
          </cell>
        </row>
        <row r="23">
          <cell r="AD23">
            <v>0</v>
          </cell>
          <cell r="AF23">
            <v>0</v>
          </cell>
        </row>
        <row r="24">
          <cell r="AD24">
            <v>0</v>
          </cell>
          <cell r="AF24">
            <v>0</v>
          </cell>
        </row>
        <row r="25">
          <cell r="AD25">
            <v>0</v>
          </cell>
          <cell r="AF25">
            <v>0</v>
          </cell>
        </row>
        <row r="26">
          <cell r="AD26">
            <v>0</v>
          </cell>
          <cell r="AF26">
            <v>0</v>
          </cell>
        </row>
        <row r="27">
          <cell r="AD27">
            <v>0</v>
          </cell>
          <cell r="AF27">
            <v>0</v>
          </cell>
        </row>
        <row r="28">
          <cell r="AD28">
            <v>0</v>
          </cell>
          <cell r="AF28">
            <v>0</v>
          </cell>
        </row>
        <row r="29">
          <cell r="AD29">
            <v>0</v>
          </cell>
          <cell r="AF29">
            <v>0</v>
          </cell>
        </row>
        <row r="30">
          <cell r="AD30">
            <v>0</v>
          </cell>
          <cell r="AF30">
            <v>0</v>
          </cell>
        </row>
        <row r="31">
          <cell r="AD31">
            <v>0</v>
          </cell>
          <cell r="AF31">
            <v>0</v>
          </cell>
        </row>
        <row r="32">
          <cell r="AD32">
            <v>0</v>
          </cell>
          <cell r="AF32">
            <v>0</v>
          </cell>
        </row>
        <row r="33">
          <cell r="AD33">
            <v>0</v>
          </cell>
          <cell r="AF33">
            <v>0</v>
          </cell>
        </row>
        <row r="34">
          <cell r="AD34">
            <v>0</v>
          </cell>
          <cell r="AF34">
            <v>0</v>
          </cell>
        </row>
        <row r="35">
          <cell r="AD35">
            <v>0</v>
          </cell>
          <cell r="AF35">
            <v>0</v>
          </cell>
        </row>
        <row r="36">
          <cell r="AD36">
            <v>0</v>
          </cell>
          <cell r="AF36">
            <v>0</v>
          </cell>
        </row>
        <row r="37">
          <cell r="AD37">
            <v>0</v>
          </cell>
          <cell r="AF37">
            <v>0</v>
          </cell>
        </row>
        <row r="38">
          <cell r="AD38">
            <v>0</v>
          </cell>
          <cell r="AF38">
            <v>0</v>
          </cell>
        </row>
        <row r="39">
          <cell r="AD39">
            <v>0</v>
          </cell>
          <cell r="AF39">
            <v>0</v>
          </cell>
        </row>
        <row r="40">
          <cell r="AD40">
            <v>0</v>
          </cell>
          <cell r="AF40">
            <v>0</v>
          </cell>
        </row>
        <row r="41">
          <cell r="AD41">
            <v>0</v>
          </cell>
          <cell r="AF41">
            <v>0</v>
          </cell>
        </row>
        <row r="42">
          <cell r="AD42">
            <v>0</v>
          </cell>
          <cell r="AF42">
            <v>0</v>
          </cell>
        </row>
        <row r="43">
          <cell r="AD43">
            <v>0</v>
          </cell>
          <cell r="AF43">
            <v>0</v>
          </cell>
        </row>
        <row r="44">
          <cell r="AD44">
            <v>0</v>
          </cell>
          <cell r="AF44">
            <v>0</v>
          </cell>
        </row>
        <row r="45">
          <cell r="AD45">
            <v>0</v>
          </cell>
          <cell r="AF45">
            <v>0</v>
          </cell>
        </row>
        <row r="46">
          <cell r="AD46">
            <v>0</v>
          </cell>
          <cell r="AF46">
            <v>0</v>
          </cell>
        </row>
        <row r="47">
          <cell r="AD47">
            <v>0</v>
          </cell>
          <cell r="AF47">
            <v>0</v>
          </cell>
        </row>
        <row r="48">
          <cell r="AD48">
            <v>0</v>
          </cell>
          <cell r="AF48">
            <v>0</v>
          </cell>
        </row>
        <row r="49">
          <cell r="AD49">
            <v>0</v>
          </cell>
          <cell r="AF49">
            <v>0</v>
          </cell>
        </row>
        <row r="50">
          <cell r="AD50">
            <v>0</v>
          </cell>
          <cell r="AF50">
            <v>0</v>
          </cell>
        </row>
        <row r="51">
          <cell r="AD51">
            <v>0</v>
          </cell>
          <cell r="AF51">
            <v>0</v>
          </cell>
        </row>
        <row r="52">
          <cell r="AD52">
            <v>0</v>
          </cell>
          <cell r="AF52">
            <v>0</v>
          </cell>
        </row>
        <row r="53">
          <cell r="AD53">
            <v>0</v>
          </cell>
          <cell r="AF53">
            <v>0</v>
          </cell>
        </row>
        <row r="54">
          <cell r="AD54">
            <v>0</v>
          </cell>
          <cell r="AF54">
            <v>0</v>
          </cell>
        </row>
        <row r="55">
          <cell r="AD55">
            <v>0</v>
          </cell>
          <cell r="AF55">
            <v>0</v>
          </cell>
        </row>
        <row r="56">
          <cell r="AD56">
            <v>0</v>
          </cell>
          <cell r="AF56">
            <v>0</v>
          </cell>
        </row>
        <row r="57">
          <cell r="AD57">
            <v>0</v>
          </cell>
          <cell r="AF57">
            <v>0</v>
          </cell>
        </row>
        <row r="58">
          <cell r="AD58">
            <v>0</v>
          </cell>
          <cell r="AF58">
            <v>0</v>
          </cell>
        </row>
        <row r="59">
          <cell r="AD59">
            <v>0</v>
          </cell>
          <cell r="AF59">
            <v>0</v>
          </cell>
        </row>
        <row r="60">
          <cell r="AD60">
            <v>0</v>
          </cell>
          <cell r="AF60">
            <v>0</v>
          </cell>
        </row>
        <row r="62">
          <cell r="D62">
            <v>0</v>
          </cell>
          <cell r="F62">
            <v>0</v>
          </cell>
          <cell r="H62">
            <v>0</v>
          </cell>
          <cell r="J62">
            <v>0</v>
          </cell>
          <cell r="L62">
            <v>0</v>
          </cell>
          <cell r="N62">
            <v>0</v>
          </cell>
          <cell r="P62">
            <v>0</v>
          </cell>
          <cell r="R62">
            <v>0</v>
          </cell>
          <cell r="T62">
            <v>0</v>
          </cell>
          <cell r="V62">
            <v>0</v>
          </cell>
          <cell r="X62">
            <v>0</v>
          </cell>
          <cell r="Z62">
            <v>0</v>
          </cell>
          <cell r="AB62">
            <v>0</v>
          </cell>
          <cell r="AD62">
            <v>0</v>
          </cell>
          <cell r="AF62">
            <v>0</v>
          </cell>
        </row>
        <row r="63">
          <cell r="AD63">
            <v>0</v>
          </cell>
          <cell r="AF63">
            <v>0</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e_eo_ltg payback"/>
      <sheetName val="Income Statement"/>
      <sheetName val="Free Cash"/>
      <sheetName val="Free Cash (DCF)"/>
      <sheetName val="IRR"/>
      <sheetName val="EGR"/>
    </sheetNames>
    <sheetDataSet>
      <sheetData sheetId="0"/>
      <sheetData sheetId="1"/>
      <sheetData sheetId="2"/>
      <sheetData sheetId="3"/>
      <sheetData sheetId="4"/>
      <sheetData sheetId="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e_eo_ltg payback"/>
      <sheetName val="Income Statement"/>
      <sheetName val="Free Cash"/>
      <sheetName val="Free Cash (DCF)"/>
      <sheetName val="IRR"/>
      <sheetName val="EGR"/>
    </sheetNames>
    <sheetDataSet>
      <sheetData sheetId="0"/>
      <sheetData sheetId="1"/>
      <sheetData sheetId="2"/>
      <sheetData sheetId="3"/>
      <sheetData sheetId="4"/>
      <sheetData sheetId="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e_eo_ltg payback"/>
      <sheetName val="Income Statement"/>
      <sheetName val="Free Cash"/>
      <sheetName val="Free Cash (DCF)"/>
      <sheetName val="IRR"/>
      <sheetName val="EGR"/>
    </sheetNames>
    <sheetDataSet>
      <sheetData sheetId="0"/>
      <sheetData sheetId="1"/>
      <sheetData sheetId="2"/>
      <sheetData sheetId="3"/>
      <sheetData sheetId="4"/>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Inputs"/>
      <sheetName val="Summary"/>
      <sheetName val="Assum"/>
      <sheetName val="Op-BS"/>
      <sheetName val="IS"/>
      <sheetName val="BSCF"/>
      <sheetName val="Ratios"/>
      <sheetName val="Contrib"/>
      <sheetName val="LBO"/>
      <sheetName val="AcqIS"/>
      <sheetName val="AcqBSCF"/>
      <sheetName val="AcqRat"/>
      <sheetName val="TargIS"/>
      <sheetName val="TargBSCF"/>
      <sheetName val="TargRat"/>
      <sheetName val="DCF"/>
      <sheetName val="WACC"/>
      <sheetName val="Module1"/>
      <sheetName val="Module2"/>
      <sheetName val="Module3"/>
      <sheetName val="Se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55">
          <cell r="A55" t="str">
            <v>(a)  Merrill Lynch IBK projections</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Z汇总"/>
      <sheetName val="G&amp;A"/>
      <sheetName val="GZ人事行政"/>
      <sheetName val="GZ财务部"/>
      <sheetName val="GZ财务结算"/>
      <sheetName val="SM"/>
      <sheetName val="GZ销售"/>
      <sheetName val="GZ市场合作"/>
      <sheetName val="GZ市场传播"/>
      <sheetName val="GZ特商"/>
      <sheetName val="GZ商旅业务"/>
      <sheetName val="COST"/>
      <sheetName val="GZ机票配送"/>
      <sheetName val="GZ度假OP"/>
      <sheetName val="GZ商旅预订"/>
      <sheetName val="PD"/>
      <sheetName val="GZ酒店业务部"/>
      <sheetName val="GZ机票业务部"/>
      <sheetName val="GZ度假业务部"/>
      <sheetName val="GZIT运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Introduction"/>
      <sheetName val="Income Statement"/>
      <sheetName val="Revenue Breakdown"/>
      <sheetName val="Balance Sheet"/>
      <sheetName val="Cash Flow"/>
      <sheetName val="Notes"/>
      <sheetName val="Restructuring"/>
      <sheetName val="Guidance"/>
      <sheetName val="DCF Valuation"/>
      <sheetName val="WACC"/>
      <sheetName val="DCF Bridge"/>
      <sheetName val="old products"/>
      <sheetName val="Report Models"/>
      <sheetName val="Charts"/>
      <sheetName val="Market Sizing"/>
      <sheetName val="Sens"/>
    </sheetNames>
    <sheetDataSet>
      <sheetData sheetId="0"/>
      <sheetData sheetId="1">
        <row r="3">
          <cell r="B3" t="str">
            <v>Dec-98</v>
          </cell>
          <cell r="C3" t="str">
            <v>Mar-99</v>
          </cell>
          <cell r="D3" t="str">
            <v>Jun-99</v>
          </cell>
          <cell r="E3" t="str">
            <v>Sep-99</v>
          </cell>
          <cell r="F3" t="str">
            <v>Dec-99</v>
          </cell>
          <cell r="G3" t="str">
            <v>Mar-00</v>
          </cell>
          <cell r="H3" t="str">
            <v>Jun-00</v>
          </cell>
          <cell r="I3" t="str">
            <v>Sep-00</v>
          </cell>
          <cell r="J3" t="str">
            <v>Dec-00</v>
          </cell>
          <cell r="K3" t="str">
            <v>Mar-01</v>
          </cell>
          <cell r="L3" t="str">
            <v>Jun-01</v>
          </cell>
          <cell r="M3" t="str">
            <v>Sep-01</v>
          </cell>
          <cell r="N3" t="str">
            <v>Dec-01</v>
          </cell>
          <cell r="O3" t="str">
            <v>Mar-02</v>
          </cell>
          <cell r="P3" t="str">
            <v>Jun-02</v>
          </cell>
          <cell r="Q3" t="str">
            <v>Sep-02</v>
          </cell>
          <cell r="R3" t="str">
            <v>Dec-02</v>
          </cell>
          <cell r="S3" t="str">
            <v>Mar-03</v>
          </cell>
          <cell r="T3" t="str">
            <v>Jun-03</v>
          </cell>
          <cell r="U3" t="str">
            <v>Sep-03</v>
          </cell>
          <cell r="V3" t="str">
            <v>Dec-03</v>
          </cell>
          <cell r="W3" t="str">
            <v>Mar-04</v>
          </cell>
          <cell r="X3" t="str">
            <v>Jun-04</v>
          </cell>
          <cell r="Y3" t="str">
            <v>Sep-04</v>
          </cell>
          <cell r="Z3" t="str">
            <v>Dec-04</v>
          </cell>
          <cell r="AA3" t="str">
            <v>Mar-05</v>
          </cell>
          <cell r="AB3" t="str">
            <v>Jun-05</v>
          </cell>
          <cell r="AC3" t="str">
            <v>Sep-05</v>
          </cell>
          <cell r="AD3" t="str">
            <v>Dec-05</v>
          </cell>
          <cell r="AM3" t="str">
            <v>Fiscal</v>
          </cell>
          <cell r="AN3" t="str">
            <v>Fiscal</v>
          </cell>
          <cell r="AO3" t="str">
            <v>Fiscal</v>
          </cell>
          <cell r="AP3" t="str">
            <v>Fiscal</v>
          </cell>
          <cell r="AQ3" t="str">
            <v>Fiscal</v>
          </cell>
          <cell r="AR3" t="str">
            <v xml:space="preserve">Fiscal </v>
          </cell>
          <cell r="AW3" t="str">
            <v>CY</v>
          </cell>
          <cell r="AX3" t="str">
            <v>CY</v>
          </cell>
          <cell r="AY3" t="str">
            <v>CY</v>
          </cell>
          <cell r="AZ3" t="str">
            <v>CY</v>
          </cell>
          <cell r="BA3" t="str">
            <v>CY</v>
          </cell>
        </row>
        <row r="6">
          <cell r="B6">
            <v>7805</v>
          </cell>
          <cell r="C6">
            <v>6694</v>
          </cell>
          <cell r="D6">
            <v>7245</v>
          </cell>
          <cell r="E6">
            <v>8166</v>
          </cell>
          <cell r="F6">
            <v>6929</v>
          </cell>
          <cell r="G6">
            <v>7154</v>
          </cell>
          <cell r="H6">
            <v>7412</v>
          </cell>
          <cell r="I6">
            <v>7172</v>
          </cell>
          <cell r="J6">
            <v>3828.0662963680002</v>
          </cell>
          <cell r="K6">
            <v>5325.6556426999996</v>
          </cell>
          <cell r="L6">
            <v>5364.9349724909998</v>
          </cell>
          <cell r="M6">
            <v>4751.8249999999998</v>
          </cell>
          <cell r="N6">
            <v>3465</v>
          </cell>
          <cell r="O6">
            <v>3516.3030845823241</v>
          </cell>
          <cell r="P6">
            <v>2948.9909358012501</v>
          </cell>
          <cell r="Q6">
            <v>2197.5239575662499</v>
          </cell>
          <cell r="R6">
            <v>2191.9477967035409</v>
          </cell>
          <cell r="S6">
            <v>2165.1921787433635</v>
          </cell>
          <cell r="T6">
            <v>2100.2474013854144</v>
          </cell>
          <cell r="U6">
            <v>2106.9515936347643</v>
          </cell>
          <cell r="V6">
            <v>2110.9058349861793</v>
          </cell>
          <cell r="W6">
            <v>2201.1532642021994</v>
          </cell>
          <cell r="X6">
            <v>2292.6283917870724</v>
          </cell>
          <cell r="Y6">
            <v>2385.3319356209236</v>
          </cell>
          <cell r="Z6">
            <v>2480.867844237313</v>
          </cell>
          <cell r="AA6">
            <v>2487.184353348579</v>
          </cell>
          <cell r="AB6">
            <v>2553.3100739379879</v>
          </cell>
          <cell r="AC6">
            <v>2625.4378248580742</v>
          </cell>
          <cell r="AD6">
            <v>2689.4897364134267</v>
          </cell>
          <cell r="AM6">
            <v>29910</v>
          </cell>
          <cell r="AN6">
            <v>28667</v>
          </cell>
          <cell r="AO6">
            <v>19270.481911559</v>
          </cell>
          <cell r="AP6">
            <v>12127.817977949824</v>
          </cell>
          <cell r="AQ6">
            <v>8564.3389704670826</v>
          </cell>
          <cell r="AR6">
            <v>8990.0194265963746</v>
          </cell>
          <cell r="AW6">
            <v>29034</v>
          </cell>
          <cell r="AX6">
            <v>25566.066296368001</v>
          </cell>
          <cell r="AY6">
            <v>18907.415615190999</v>
          </cell>
          <cell r="AZ6">
            <v>10854.765774653366</v>
          </cell>
          <cell r="BA6">
            <v>8483.2970087497215</v>
          </cell>
        </row>
        <row r="7">
          <cell r="B7">
            <v>3501</v>
          </cell>
          <cell r="C7">
            <v>3406</v>
          </cell>
          <cell r="D7">
            <v>3743</v>
          </cell>
          <cell r="E7">
            <v>4459</v>
          </cell>
          <cell r="F7">
            <v>3791</v>
          </cell>
          <cell r="G7">
            <v>4247</v>
          </cell>
          <cell r="H7">
            <v>4278</v>
          </cell>
          <cell r="I7">
            <v>4745</v>
          </cell>
          <cell r="J7">
            <v>3336</v>
          </cell>
          <cell r="K7">
            <v>4539</v>
          </cell>
          <cell r="L7">
            <v>4618</v>
          </cell>
          <cell r="M7">
            <v>4206</v>
          </cell>
          <cell r="N7">
            <v>2992</v>
          </cell>
          <cell r="O7">
            <v>2715</v>
          </cell>
          <cell r="P7">
            <v>2255</v>
          </cell>
          <cell r="Q7">
            <v>1999.7468013852874</v>
          </cell>
          <cell r="R7">
            <v>1928.914061099116</v>
          </cell>
          <cell r="S7">
            <v>1775.4575865695581</v>
          </cell>
          <cell r="T7">
            <v>1638.1929730806232</v>
          </cell>
          <cell r="U7">
            <v>1580.2136952260732</v>
          </cell>
          <cell r="V7">
            <v>1583.1793762396346</v>
          </cell>
          <cell r="W7">
            <v>1650.8649481516495</v>
          </cell>
          <cell r="X7">
            <v>1719.4712938403043</v>
          </cell>
          <cell r="Y7">
            <v>1788.9989517156928</v>
          </cell>
          <cell r="Z7">
            <v>1835.8422047356116</v>
          </cell>
          <cell r="AA7">
            <v>1815.6445779444625</v>
          </cell>
          <cell r="AB7">
            <v>1838.3832532353513</v>
          </cell>
          <cell r="AC7">
            <v>1890.3152338978134</v>
          </cell>
          <cell r="AD7">
            <v>1936.4326102176672</v>
          </cell>
          <cell r="AM7">
            <v>15109</v>
          </cell>
          <cell r="AN7">
            <v>17061</v>
          </cell>
          <cell r="AO7">
            <v>16699</v>
          </cell>
          <cell r="AP7">
            <v>9961.7468013852867</v>
          </cell>
          <cell r="AQ7">
            <v>6922.7783159753708</v>
          </cell>
          <cell r="AR7">
            <v>6742.5145699472814</v>
          </cell>
          <cell r="AW7">
            <v>15399</v>
          </cell>
          <cell r="AX7">
            <v>16606</v>
          </cell>
          <cell r="AY7">
            <v>16355</v>
          </cell>
          <cell r="AZ7">
            <v>8898.660862484403</v>
          </cell>
          <cell r="BA7">
            <v>6577.0436311158892</v>
          </cell>
        </row>
        <row r="8">
          <cell r="B8">
            <v>4304</v>
          </cell>
          <cell r="C8">
            <v>3288</v>
          </cell>
          <cell r="D8">
            <v>3502</v>
          </cell>
          <cell r="E8">
            <v>3707</v>
          </cell>
          <cell r="F8">
            <v>3138</v>
          </cell>
          <cell r="G8">
            <v>2907</v>
          </cell>
          <cell r="H8">
            <v>3134</v>
          </cell>
          <cell r="I8">
            <v>2427</v>
          </cell>
          <cell r="J8">
            <v>492.06629636800017</v>
          </cell>
          <cell r="K8">
            <v>786.65564269999959</v>
          </cell>
          <cell r="L8">
            <v>746.93497249099983</v>
          </cell>
          <cell r="M8">
            <v>545.82499999999982</v>
          </cell>
          <cell r="N8">
            <v>473</v>
          </cell>
          <cell r="O8">
            <v>801.30308458232412</v>
          </cell>
          <cell r="P8">
            <v>693.99093580125009</v>
          </cell>
          <cell r="Q8">
            <v>197.77715618096249</v>
          </cell>
          <cell r="R8">
            <v>263.03373560442492</v>
          </cell>
          <cell r="S8">
            <v>389.73459217380537</v>
          </cell>
          <cell r="T8">
            <v>462.05442830479114</v>
          </cell>
          <cell r="U8">
            <v>526.73789840869108</v>
          </cell>
          <cell r="V8">
            <v>527.72645874654472</v>
          </cell>
          <cell r="W8">
            <v>550.28831605054984</v>
          </cell>
          <cell r="X8">
            <v>573.15709794676809</v>
          </cell>
          <cell r="Y8">
            <v>596.33298390523078</v>
          </cell>
          <cell r="Z8">
            <v>645.02563950170133</v>
          </cell>
          <cell r="AA8">
            <v>671.53977540411643</v>
          </cell>
          <cell r="AB8">
            <v>714.92682070263663</v>
          </cell>
          <cell r="AC8">
            <v>735.12259096026082</v>
          </cell>
          <cell r="AD8">
            <v>753.05712619575957</v>
          </cell>
          <cell r="AM8">
            <v>14801</v>
          </cell>
          <cell r="AN8">
            <v>11606</v>
          </cell>
          <cell r="AO8">
            <v>2571.4819115589994</v>
          </cell>
          <cell r="AP8">
            <v>2166.0711765645365</v>
          </cell>
          <cell r="AQ8">
            <v>1641.5606544917125</v>
          </cell>
          <cell r="AR8">
            <v>2247.5048566490932</v>
          </cell>
          <cell r="AW8">
            <v>13635</v>
          </cell>
          <cell r="AX8">
            <v>8960.0662963680006</v>
          </cell>
          <cell r="AY8">
            <v>2552.4156151909992</v>
          </cell>
          <cell r="AZ8">
            <v>1956.1049121689616</v>
          </cell>
          <cell r="BA8">
            <v>1906.2533776338323</v>
          </cell>
        </row>
        <row r="9">
          <cell r="Q9">
            <v>0</v>
          </cell>
          <cell r="AM9">
            <v>0</v>
          </cell>
          <cell r="AN9">
            <v>0</v>
          </cell>
        </row>
        <row r="10">
          <cell r="B10">
            <v>1148</v>
          </cell>
          <cell r="C10">
            <v>1224</v>
          </cell>
          <cell r="D10">
            <v>1286</v>
          </cell>
          <cell r="E10">
            <v>1460</v>
          </cell>
          <cell r="F10">
            <v>1093</v>
          </cell>
          <cell r="G10">
            <v>1228</v>
          </cell>
          <cell r="H10">
            <v>1253</v>
          </cell>
          <cell r="I10">
            <v>1532</v>
          </cell>
          <cell r="J10">
            <v>1197</v>
          </cell>
          <cell r="K10">
            <v>1166</v>
          </cell>
          <cell r="L10">
            <v>909</v>
          </cell>
          <cell r="M10">
            <v>837</v>
          </cell>
          <cell r="N10">
            <v>692</v>
          </cell>
          <cell r="O10">
            <v>615</v>
          </cell>
          <cell r="P10">
            <v>610</v>
          </cell>
          <cell r="Q10">
            <v>600</v>
          </cell>
          <cell r="R10">
            <v>500</v>
          </cell>
          <cell r="S10">
            <v>490</v>
          </cell>
          <cell r="T10">
            <v>480</v>
          </cell>
          <cell r="U10">
            <v>470</v>
          </cell>
          <cell r="V10">
            <v>450</v>
          </cell>
          <cell r="W10">
            <v>440</v>
          </cell>
          <cell r="X10">
            <v>430</v>
          </cell>
          <cell r="Y10">
            <v>430</v>
          </cell>
          <cell r="Z10">
            <v>430</v>
          </cell>
          <cell r="AA10">
            <v>430</v>
          </cell>
          <cell r="AB10">
            <v>430</v>
          </cell>
          <cell r="AC10">
            <v>430</v>
          </cell>
          <cell r="AD10">
            <v>430</v>
          </cell>
          <cell r="AM10">
            <v>5118</v>
          </cell>
          <cell r="AN10">
            <v>5106</v>
          </cell>
          <cell r="AO10">
            <v>4109</v>
          </cell>
          <cell r="AP10">
            <v>2517</v>
          </cell>
          <cell r="AQ10">
            <v>1940</v>
          </cell>
          <cell r="AR10">
            <v>1750</v>
          </cell>
          <cell r="AW10">
            <v>5063</v>
          </cell>
          <cell r="AX10">
            <v>5210</v>
          </cell>
          <cell r="AY10">
            <v>3604</v>
          </cell>
          <cell r="AZ10">
            <v>2325</v>
          </cell>
          <cell r="BA10">
            <v>1890</v>
          </cell>
        </row>
        <row r="11">
          <cell r="J11">
            <v>368</v>
          </cell>
          <cell r="K11">
            <v>705</v>
          </cell>
          <cell r="L11">
            <v>877</v>
          </cell>
          <cell r="M11">
            <v>299</v>
          </cell>
          <cell r="N11">
            <v>451</v>
          </cell>
          <cell r="O11">
            <v>192</v>
          </cell>
          <cell r="P11">
            <v>186</v>
          </cell>
          <cell r="Q11">
            <v>419.94682829091033</v>
          </cell>
          <cell r="R11">
            <v>175.35582373628327</v>
          </cell>
          <cell r="S11">
            <v>173.21537429946909</v>
          </cell>
          <cell r="T11">
            <v>168.01979211083315</v>
          </cell>
          <cell r="U11">
            <v>168.55612749078114</v>
          </cell>
          <cell r="V11">
            <v>158.31793762396345</v>
          </cell>
          <cell r="W11">
            <v>165.08649481516494</v>
          </cell>
          <cell r="X11">
            <v>171.94712938403043</v>
          </cell>
          <cell r="Y11">
            <v>178.89989517156926</v>
          </cell>
          <cell r="Z11">
            <v>186.06508831779846</v>
          </cell>
          <cell r="AA11">
            <v>186.5388265011434</v>
          </cell>
          <cell r="AB11">
            <v>191.49825554534908</v>
          </cell>
          <cell r="AC11">
            <v>196.90783686435557</v>
          </cell>
          <cell r="AD11">
            <v>201.71173023100701</v>
          </cell>
          <cell r="AM11">
            <v>0</v>
          </cell>
          <cell r="AN11">
            <v>0</v>
          </cell>
          <cell r="AO11">
            <v>2249</v>
          </cell>
          <cell r="AP11">
            <v>1248.9468282909104</v>
          </cell>
          <cell r="AQ11">
            <v>685.14711763736659</v>
          </cell>
          <cell r="AR11">
            <v>674.25145699472807</v>
          </cell>
          <cell r="AW11">
            <v>0</v>
          </cell>
          <cell r="AX11">
            <v>368</v>
          </cell>
          <cell r="AY11">
            <v>2332</v>
          </cell>
          <cell r="AZ11">
            <v>973.30265202719363</v>
          </cell>
          <cell r="BA11">
            <v>668.10923152504677</v>
          </cell>
        </row>
        <row r="12">
          <cell r="B12">
            <v>902</v>
          </cell>
          <cell r="C12">
            <v>1134</v>
          </cell>
          <cell r="D12">
            <v>1056</v>
          </cell>
          <cell r="E12">
            <v>1066</v>
          </cell>
          <cell r="F12">
            <v>744</v>
          </cell>
          <cell r="G12">
            <v>839</v>
          </cell>
          <cell r="H12">
            <v>801</v>
          </cell>
          <cell r="I12">
            <v>83</v>
          </cell>
          <cell r="J12">
            <v>995</v>
          </cell>
          <cell r="K12">
            <v>955</v>
          </cell>
          <cell r="L12">
            <v>774</v>
          </cell>
          <cell r="M12">
            <v>725</v>
          </cell>
          <cell r="N12">
            <v>608</v>
          </cell>
          <cell r="O12">
            <v>524</v>
          </cell>
          <cell r="P12">
            <v>480</v>
          </cell>
          <cell r="Q12">
            <v>470</v>
          </cell>
          <cell r="R12">
            <v>400</v>
          </cell>
          <cell r="S12">
            <v>380</v>
          </cell>
          <cell r="T12">
            <v>375</v>
          </cell>
          <cell r="U12">
            <v>370</v>
          </cell>
          <cell r="V12">
            <v>370</v>
          </cell>
          <cell r="W12">
            <v>370</v>
          </cell>
          <cell r="X12">
            <v>370</v>
          </cell>
          <cell r="Y12">
            <v>370</v>
          </cell>
          <cell r="Z12">
            <v>370</v>
          </cell>
          <cell r="AA12">
            <v>370</v>
          </cell>
          <cell r="AB12">
            <v>370</v>
          </cell>
          <cell r="AC12">
            <v>370</v>
          </cell>
          <cell r="AD12">
            <v>370</v>
          </cell>
          <cell r="AM12">
            <v>4158</v>
          </cell>
          <cell r="AN12">
            <v>2467</v>
          </cell>
          <cell r="AO12">
            <v>3449</v>
          </cell>
          <cell r="AP12">
            <v>2082</v>
          </cell>
          <cell r="AQ12">
            <v>1525</v>
          </cell>
          <cell r="AR12">
            <v>1480</v>
          </cell>
          <cell r="AW12">
            <v>4000</v>
          </cell>
          <cell r="AX12">
            <v>2718</v>
          </cell>
          <cell r="AY12">
            <v>3062</v>
          </cell>
          <cell r="AZ12">
            <v>1874</v>
          </cell>
          <cell r="BA12">
            <v>1495</v>
          </cell>
        </row>
        <row r="13">
          <cell r="B13">
            <v>2050</v>
          </cell>
          <cell r="C13">
            <v>2358</v>
          </cell>
          <cell r="D13">
            <v>2342</v>
          </cell>
          <cell r="E13">
            <v>2526</v>
          </cell>
          <cell r="F13">
            <v>1837</v>
          </cell>
          <cell r="G13">
            <v>2067</v>
          </cell>
          <cell r="H13">
            <v>2054</v>
          </cell>
          <cell r="I13">
            <v>1615</v>
          </cell>
          <cell r="J13">
            <v>2560</v>
          </cell>
          <cell r="K13">
            <v>2826</v>
          </cell>
          <cell r="L13">
            <v>2560</v>
          </cell>
          <cell r="M13">
            <v>1861</v>
          </cell>
          <cell r="N13">
            <v>1751</v>
          </cell>
          <cell r="O13">
            <v>1331</v>
          </cell>
          <cell r="P13">
            <v>1276</v>
          </cell>
          <cell r="Q13">
            <v>1489.9468282909104</v>
          </cell>
          <cell r="R13">
            <v>1075.3558237362831</v>
          </cell>
          <cell r="S13">
            <v>1043.2153742994692</v>
          </cell>
          <cell r="T13">
            <v>1023.0197921108331</v>
          </cell>
          <cell r="U13">
            <v>1008.5561274907811</v>
          </cell>
          <cell r="V13">
            <v>978.31793762396342</v>
          </cell>
          <cell r="W13">
            <v>975.086494815165</v>
          </cell>
          <cell r="X13">
            <v>971.9471293840304</v>
          </cell>
          <cell r="Y13">
            <v>978.89989517156926</v>
          </cell>
          <cell r="Z13">
            <v>986.06508831779843</v>
          </cell>
          <cell r="AA13">
            <v>986.53882650114338</v>
          </cell>
          <cell r="AB13">
            <v>991.49825554534914</v>
          </cell>
          <cell r="AC13">
            <v>996.90783686435555</v>
          </cell>
          <cell r="AD13">
            <v>1001.711730231007</v>
          </cell>
          <cell r="AM13">
            <v>9276</v>
          </cell>
          <cell r="AN13">
            <v>7573</v>
          </cell>
          <cell r="AO13">
            <v>9807</v>
          </cell>
          <cell r="AP13">
            <v>5847.9468282909102</v>
          </cell>
          <cell r="AQ13">
            <v>4150.147117637367</v>
          </cell>
          <cell r="AR13">
            <v>3904.251456994728</v>
          </cell>
          <cell r="AW13">
            <v>9063</v>
          </cell>
          <cell r="AX13">
            <v>8296</v>
          </cell>
          <cell r="AY13">
            <v>8998</v>
          </cell>
          <cell r="AZ13">
            <v>5172.3026520271933</v>
          </cell>
          <cell r="BA13">
            <v>4053.1092315250471</v>
          </cell>
        </row>
        <row r="14">
          <cell r="AM14">
            <v>0</v>
          </cell>
          <cell r="AN14">
            <v>0</v>
          </cell>
        </row>
        <row r="15">
          <cell r="B15">
            <v>2254</v>
          </cell>
          <cell r="C15">
            <v>930</v>
          </cell>
          <cell r="D15">
            <v>1160</v>
          </cell>
          <cell r="E15">
            <v>1181</v>
          </cell>
          <cell r="F15">
            <v>1301</v>
          </cell>
          <cell r="G15">
            <v>840</v>
          </cell>
          <cell r="H15">
            <v>1080</v>
          </cell>
          <cell r="I15">
            <v>812</v>
          </cell>
          <cell r="J15">
            <v>-2067.9337036319998</v>
          </cell>
          <cell r="K15">
            <v>-2039.3443573000004</v>
          </cell>
          <cell r="L15">
            <v>-1813.0650275090002</v>
          </cell>
          <cell r="M15">
            <v>-1315.1750000000002</v>
          </cell>
          <cell r="N15">
            <v>-1278</v>
          </cell>
          <cell r="O15">
            <v>-529.69691541767588</v>
          </cell>
          <cell r="P15">
            <v>-582.00906419874991</v>
          </cell>
          <cell r="Q15">
            <v>-1292.1696721099479</v>
          </cell>
          <cell r="R15">
            <v>-812.32208813185821</v>
          </cell>
          <cell r="S15">
            <v>-653.48078212566384</v>
          </cell>
          <cell r="T15">
            <v>-560.96536380604198</v>
          </cell>
          <cell r="U15">
            <v>-481.81822908209006</v>
          </cell>
          <cell r="V15">
            <v>-450.59147887741869</v>
          </cell>
          <cell r="W15">
            <v>-424.79817876461516</v>
          </cell>
          <cell r="X15">
            <v>-398.79003143726231</v>
          </cell>
          <cell r="Y15">
            <v>-382.56691126633848</v>
          </cell>
          <cell r="Z15">
            <v>-341.03944881609709</v>
          </cell>
          <cell r="AA15">
            <v>-314.99905109702695</v>
          </cell>
          <cell r="AB15">
            <v>-276.57143484271251</v>
          </cell>
          <cell r="AC15">
            <v>-261.78524590409472</v>
          </cell>
          <cell r="AD15">
            <v>-248.65460403524742</v>
          </cell>
          <cell r="AM15">
            <v>5525</v>
          </cell>
          <cell r="AN15">
            <v>4033</v>
          </cell>
          <cell r="AO15">
            <v>-7235.5180884410001</v>
          </cell>
          <cell r="AP15">
            <v>-3681.8756517263737</v>
          </cell>
          <cell r="AQ15">
            <v>-2508.5864631456543</v>
          </cell>
          <cell r="AR15">
            <v>-1656.7466003456348</v>
          </cell>
          <cell r="AW15">
            <v>4572</v>
          </cell>
          <cell r="AX15">
            <v>664.06629636800017</v>
          </cell>
          <cell r="AY15">
            <v>-6445.5843848090008</v>
          </cell>
          <cell r="AZ15">
            <v>-3216.1977398582321</v>
          </cell>
          <cell r="BA15">
            <v>-2146.8558538912148</v>
          </cell>
        </row>
        <row r="16">
          <cell r="B16">
            <v>344</v>
          </cell>
          <cell r="C16">
            <v>487</v>
          </cell>
          <cell r="D16">
            <v>0</v>
          </cell>
          <cell r="E16">
            <v>0</v>
          </cell>
          <cell r="F16">
            <v>455</v>
          </cell>
          <cell r="G16">
            <v>237</v>
          </cell>
          <cell r="H16">
            <v>381</v>
          </cell>
          <cell r="I16">
            <v>1245</v>
          </cell>
          <cell r="J16">
            <v>383</v>
          </cell>
          <cell r="K16">
            <v>408</v>
          </cell>
          <cell r="L16">
            <v>421</v>
          </cell>
          <cell r="M16">
            <v>403</v>
          </cell>
          <cell r="N16">
            <v>342</v>
          </cell>
          <cell r="O16">
            <v>322</v>
          </cell>
          <cell r="P16">
            <v>307</v>
          </cell>
          <cell r="Q16">
            <v>251.9</v>
          </cell>
          <cell r="R16">
            <v>258.56665014262688</v>
          </cell>
          <cell r="S16">
            <v>239.76888893243353</v>
          </cell>
          <cell r="T16">
            <v>222.92115673633663</v>
          </cell>
          <cell r="U16">
            <v>207.6409180614354</v>
          </cell>
          <cell r="V16">
            <v>194.07100408667046</v>
          </cell>
          <cell r="W16">
            <v>182.01117931107589</v>
          </cell>
          <cell r="X16">
            <v>171.67502394934723</v>
          </cell>
          <cell r="Y16">
            <v>162.87833623878217</v>
          </cell>
          <cell r="Z16">
            <v>155.45717976924817</v>
          </cell>
          <cell r="AA16">
            <v>149.27270850927508</v>
          </cell>
          <cell r="AB16">
            <v>143.79632172798856</v>
          </cell>
          <cell r="AC16">
            <v>139.21329066323699</v>
          </cell>
          <cell r="AD16">
            <v>135.45175511965641</v>
          </cell>
          <cell r="AM16">
            <v>831</v>
          </cell>
          <cell r="AN16">
            <v>2318</v>
          </cell>
          <cell r="AO16">
            <v>1615</v>
          </cell>
          <cell r="AP16">
            <v>1222.9000000000001</v>
          </cell>
          <cell r="AQ16">
            <v>928.89761387283249</v>
          </cell>
          <cell r="AR16">
            <v>710.63554358587567</v>
          </cell>
          <cell r="AW16">
            <v>942</v>
          </cell>
          <cell r="AX16">
            <v>2246</v>
          </cell>
          <cell r="AY16">
            <v>1574</v>
          </cell>
          <cell r="AZ16">
            <v>1139.4666501426268</v>
          </cell>
          <cell r="BA16">
            <v>864.40196781687598</v>
          </cell>
        </row>
        <row r="17">
          <cell r="B17">
            <v>0</v>
          </cell>
          <cell r="C17">
            <v>0</v>
          </cell>
          <cell r="D17">
            <v>0</v>
          </cell>
          <cell r="E17">
            <v>0</v>
          </cell>
          <cell r="F17">
            <v>0</v>
          </cell>
          <cell r="G17">
            <v>0</v>
          </cell>
          <cell r="H17">
            <v>0</v>
          </cell>
          <cell r="I17">
            <v>0</v>
          </cell>
          <cell r="J17">
            <v>261</v>
          </cell>
          <cell r="K17">
            <v>249</v>
          </cell>
          <cell r="L17">
            <v>233</v>
          </cell>
          <cell r="M17">
            <v>178</v>
          </cell>
          <cell r="N17">
            <v>74</v>
          </cell>
          <cell r="O17">
            <v>69</v>
          </cell>
          <cell r="P17">
            <v>75</v>
          </cell>
          <cell r="Q17">
            <v>5.734375</v>
          </cell>
          <cell r="R17">
            <v>5.734375</v>
          </cell>
          <cell r="S17">
            <v>5.734375</v>
          </cell>
          <cell r="T17">
            <v>5.734375</v>
          </cell>
          <cell r="U17">
            <v>5.734375</v>
          </cell>
          <cell r="V17">
            <v>5.734375</v>
          </cell>
          <cell r="W17">
            <v>5.734375</v>
          </cell>
          <cell r="X17">
            <v>5.734375</v>
          </cell>
          <cell r="Y17">
            <v>5.734375</v>
          </cell>
          <cell r="Z17">
            <v>5.734375</v>
          </cell>
          <cell r="AA17">
            <v>5.734375</v>
          </cell>
          <cell r="AB17">
            <v>5.734375</v>
          </cell>
          <cell r="AC17">
            <v>5.734375</v>
          </cell>
          <cell r="AD17">
            <v>5.734375</v>
          </cell>
          <cell r="AM17">
            <v>0</v>
          </cell>
          <cell r="AN17">
            <v>0</v>
          </cell>
          <cell r="AO17">
            <v>921</v>
          </cell>
          <cell r="AP17">
            <v>223.734375</v>
          </cell>
          <cell r="AQ17">
            <v>22.9375</v>
          </cell>
          <cell r="AR17">
            <v>22.9375</v>
          </cell>
          <cell r="AW17">
            <v>0</v>
          </cell>
          <cell r="AX17">
            <v>261</v>
          </cell>
          <cell r="AY17">
            <v>734</v>
          </cell>
          <cell r="AZ17">
            <v>155.46875</v>
          </cell>
          <cell r="BA17">
            <v>22.9375</v>
          </cell>
        </row>
        <row r="18">
          <cell r="B18">
            <v>2598</v>
          </cell>
          <cell r="C18">
            <v>1417</v>
          </cell>
          <cell r="D18">
            <v>1160</v>
          </cell>
          <cell r="E18">
            <v>1181</v>
          </cell>
          <cell r="F18">
            <v>1756</v>
          </cell>
          <cell r="G18">
            <v>1077</v>
          </cell>
          <cell r="H18">
            <v>1461</v>
          </cell>
          <cell r="I18">
            <v>2057</v>
          </cell>
          <cell r="J18">
            <v>-1423.9337036319998</v>
          </cell>
          <cell r="K18">
            <v>-1382.3443573000004</v>
          </cell>
          <cell r="L18">
            <v>-1159.0650275090002</v>
          </cell>
          <cell r="M18">
            <v>-734.17500000000018</v>
          </cell>
          <cell r="N18">
            <v>-862</v>
          </cell>
          <cell r="O18">
            <v>-138.69691541767588</v>
          </cell>
          <cell r="P18">
            <v>-200.00906419874991</v>
          </cell>
          <cell r="Q18">
            <v>-1034.5352971099478</v>
          </cell>
          <cell r="R18">
            <v>-548.02106298923127</v>
          </cell>
          <cell r="S18">
            <v>-407.97751819323031</v>
          </cell>
          <cell r="T18">
            <v>-332.30983206970535</v>
          </cell>
          <cell r="U18">
            <v>-268.44293602065466</v>
          </cell>
          <cell r="V18">
            <v>-250.78609979074827</v>
          </cell>
          <cell r="W18">
            <v>-237.05262445353927</v>
          </cell>
          <cell r="X18">
            <v>-221.38063248791508</v>
          </cell>
          <cell r="Y18">
            <v>-213.95420002755631</v>
          </cell>
          <cell r="Z18">
            <v>-179.84789404684892</v>
          </cell>
          <cell r="AA18">
            <v>-159.99196758775187</v>
          </cell>
          <cell r="AB18">
            <v>-127.04073811472395</v>
          </cell>
          <cell r="AC18">
            <v>-116.83758024085773</v>
          </cell>
          <cell r="AD18">
            <v>-107.46847391559101</v>
          </cell>
          <cell r="AM18">
            <v>6356</v>
          </cell>
          <cell r="AN18">
            <v>6351</v>
          </cell>
          <cell r="AO18">
            <v>-4699.5180884410001</v>
          </cell>
          <cell r="AP18">
            <v>-2235.2412767263736</v>
          </cell>
          <cell r="AQ18">
            <v>-1556.7513492728217</v>
          </cell>
          <cell r="AR18">
            <v>-923.17355675975898</v>
          </cell>
          <cell r="AW18">
            <v>5514</v>
          </cell>
          <cell r="AX18">
            <v>3171.0662963680002</v>
          </cell>
          <cell r="AY18">
            <v>-4137.5843848090008</v>
          </cell>
          <cell r="AZ18">
            <v>-1921.2623397156049</v>
          </cell>
          <cell r="BA18">
            <v>-1259.5163860743387</v>
          </cell>
        </row>
        <row r="19">
          <cell r="AM19">
            <v>0</v>
          </cell>
          <cell r="AN19">
            <v>0</v>
          </cell>
        </row>
        <row r="20">
          <cell r="B20">
            <v>31</v>
          </cell>
          <cell r="C20">
            <v>-120</v>
          </cell>
          <cell r="D20">
            <v>-86</v>
          </cell>
          <cell r="E20">
            <v>18</v>
          </cell>
          <cell r="F20">
            <v>-12</v>
          </cell>
          <cell r="G20">
            <v>-113</v>
          </cell>
          <cell r="H20">
            <v>26</v>
          </cell>
          <cell r="I20">
            <v>-112</v>
          </cell>
          <cell r="J20">
            <v>-42</v>
          </cell>
          <cell r="K20">
            <v>-67</v>
          </cell>
          <cell r="L20">
            <v>-182</v>
          </cell>
          <cell r="M20">
            <v>-64</v>
          </cell>
          <cell r="N20">
            <v>21</v>
          </cell>
          <cell r="O20">
            <v>-37</v>
          </cell>
          <cell r="P20">
            <v>-99</v>
          </cell>
          <cell r="Q20">
            <v>-70</v>
          </cell>
          <cell r="R20">
            <v>-70</v>
          </cell>
          <cell r="S20">
            <v>-70</v>
          </cell>
          <cell r="T20">
            <v>-70</v>
          </cell>
          <cell r="U20">
            <v>-70</v>
          </cell>
          <cell r="V20">
            <v>-70</v>
          </cell>
          <cell r="W20">
            <v>-70</v>
          </cell>
          <cell r="X20">
            <v>-70</v>
          </cell>
          <cell r="Y20">
            <v>-70</v>
          </cell>
          <cell r="Z20">
            <v>-70</v>
          </cell>
          <cell r="AA20">
            <v>-70</v>
          </cell>
          <cell r="AB20">
            <v>-70</v>
          </cell>
          <cell r="AC20">
            <v>-70</v>
          </cell>
          <cell r="AD20">
            <v>-70</v>
          </cell>
          <cell r="AM20">
            <v>-157</v>
          </cell>
          <cell r="AN20">
            <v>-211</v>
          </cell>
          <cell r="AO20">
            <v>-355</v>
          </cell>
          <cell r="AP20">
            <v>-185</v>
          </cell>
          <cell r="AQ20">
            <v>-280</v>
          </cell>
          <cell r="AR20">
            <v>-280</v>
          </cell>
          <cell r="AW20">
            <v>-200</v>
          </cell>
          <cell r="AX20">
            <v>-241</v>
          </cell>
          <cell r="AY20">
            <v>-292</v>
          </cell>
          <cell r="AZ20">
            <v>-276</v>
          </cell>
          <cell r="BA20">
            <v>-280</v>
          </cell>
        </row>
        <row r="21">
          <cell r="B21">
            <v>0</v>
          </cell>
          <cell r="C21">
            <v>0</v>
          </cell>
          <cell r="D21">
            <v>0</v>
          </cell>
          <cell r="E21">
            <v>0</v>
          </cell>
          <cell r="F21">
            <v>0</v>
          </cell>
          <cell r="G21">
            <v>0</v>
          </cell>
          <cell r="H21">
            <v>0</v>
          </cell>
          <cell r="I21">
            <v>0</v>
          </cell>
          <cell r="J21">
            <v>128</v>
          </cell>
          <cell r="K21">
            <v>152</v>
          </cell>
          <cell r="L21">
            <v>115</v>
          </cell>
          <cell r="M21">
            <v>123</v>
          </cell>
          <cell r="N21">
            <v>96</v>
          </cell>
          <cell r="O21">
            <v>80</v>
          </cell>
          <cell r="P21">
            <v>107</v>
          </cell>
          <cell r="Q21">
            <v>106.18475000000001</v>
          </cell>
          <cell r="R21">
            <v>103.76287500000001</v>
          </cell>
          <cell r="S21">
            <v>103.76287500000001</v>
          </cell>
          <cell r="T21">
            <v>103.76287500000001</v>
          </cell>
          <cell r="U21">
            <v>103.76287500000001</v>
          </cell>
          <cell r="V21">
            <v>103.76287500000001</v>
          </cell>
          <cell r="W21">
            <v>103.76287500000001</v>
          </cell>
          <cell r="X21">
            <v>103.76287500000001</v>
          </cell>
          <cell r="Y21">
            <v>108.037875</v>
          </cell>
          <cell r="Z21">
            <v>116.23162500000001</v>
          </cell>
          <cell r="AA21">
            <v>124.06912500000001</v>
          </cell>
          <cell r="AB21">
            <v>131.550375</v>
          </cell>
          <cell r="AC21">
            <v>139.38787500000001</v>
          </cell>
          <cell r="AD21">
            <v>146.869125</v>
          </cell>
          <cell r="AM21">
            <v>0</v>
          </cell>
          <cell r="AN21">
            <v>0</v>
          </cell>
          <cell r="AO21">
            <v>518</v>
          </cell>
          <cell r="AP21">
            <v>389.18475000000001</v>
          </cell>
          <cell r="AQ21">
            <v>415.05150000000003</v>
          </cell>
          <cell r="AR21">
            <v>419.32650000000001</v>
          </cell>
          <cell r="AW21">
            <v>0</v>
          </cell>
          <cell r="AX21">
            <v>128</v>
          </cell>
          <cell r="AY21">
            <v>486</v>
          </cell>
          <cell r="AZ21">
            <v>396.94762500000002</v>
          </cell>
          <cell r="BA21">
            <v>415.05150000000003</v>
          </cell>
        </row>
        <row r="22">
          <cell r="B22">
            <v>2285</v>
          </cell>
          <cell r="C22">
            <v>810</v>
          </cell>
          <cell r="D22">
            <v>1074</v>
          </cell>
          <cell r="E22">
            <v>1199</v>
          </cell>
          <cell r="F22">
            <v>1289</v>
          </cell>
          <cell r="G22">
            <v>727</v>
          </cell>
          <cell r="H22">
            <v>1106</v>
          </cell>
          <cell r="I22">
            <v>700</v>
          </cell>
          <cell r="J22">
            <v>-2237.9337036319998</v>
          </cell>
          <cell r="K22">
            <v>-2258.3443573000004</v>
          </cell>
          <cell r="L22">
            <v>-2110.0650275090002</v>
          </cell>
          <cell r="M22">
            <v>-1502.1750000000002</v>
          </cell>
          <cell r="N22">
            <v>-1353</v>
          </cell>
          <cell r="O22">
            <v>-646.69691541767588</v>
          </cell>
          <cell r="P22">
            <v>-788.00906419874991</v>
          </cell>
          <cell r="Q22">
            <v>-1468.3544221099478</v>
          </cell>
          <cell r="R22">
            <v>-986.08496313185822</v>
          </cell>
          <cell r="S22">
            <v>-827.24365712566384</v>
          </cell>
          <cell r="T22">
            <v>-734.72823880604199</v>
          </cell>
          <cell r="U22">
            <v>-655.58110408209006</v>
          </cell>
          <cell r="V22">
            <v>-624.3543538774187</v>
          </cell>
          <cell r="W22">
            <v>-598.56105376461517</v>
          </cell>
          <cell r="X22">
            <v>-572.55290643726232</v>
          </cell>
          <cell r="Y22">
            <v>-560.60478626633846</v>
          </cell>
          <cell r="Z22">
            <v>-527.2710738160971</v>
          </cell>
          <cell r="AA22">
            <v>-509.06817609702694</v>
          </cell>
          <cell r="AB22">
            <v>-478.12180984271254</v>
          </cell>
          <cell r="AC22">
            <v>-471.17312090409473</v>
          </cell>
          <cell r="AD22">
            <v>-465.52372903524741</v>
          </cell>
          <cell r="AM22">
            <v>5368</v>
          </cell>
          <cell r="AN22">
            <v>3822</v>
          </cell>
          <cell r="AO22">
            <v>-8108.5180884410001</v>
          </cell>
          <cell r="AP22">
            <v>-4256.060401726374</v>
          </cell>
          <cell r="AQ22">
            <v>-3203.6379631456539</v>
          </cell>
          <cell r="AR22">
            <v>-2356.0731003456349</v>
          </cell>
          <cell r="AW22">
            <v>4372</v>
          </cell>
          <cell r="AX22">
            <v>295.06629636800017</v>
          </cell>
          <cell r="AY22">
            <v>-7223.5843848090008</v>
          </cell>
          <cell r="AZ22">
            <v>-3889.1453648582319</v>
          </cell>
          <cell r="BA22">
            <v>-2841.9073538912148</v>
          </cell>
        </row>
        <row r="23">
          <cell r="AM23">
            <v>0</v>
          </cell>
          <cell r="AN23">
            <v>0</v>
          </cell>
        </row>
        <row r="24">
          <cell r="B24">
            <v>0.32603938730853393</v>
          </cell>
          <cell r="C24">
            <v>0.31728395061728393</v>
          </cell>
          <cell r="D24">
            <v>0.31843575418994413</v>
          </cell>
          <cell r="E24">
            <v>0.33027522935779818</v>
          </cell>
          <cell r="F24">
            <v>0.2583397982932506</v>
          </cell>
          <cell r="G24">
            <v>0.29986244841815679</v>
          </cell>
          <cell r="H24">
            <v>0.29837251356238698</v>
          </cell>
          <cell r="I24">
            <v>1.5714285714285715E-2</v>
          </cell>
          <cell r="J24">
            <v>0.35791944984788271</v>
          </cell>
          <cell r="K24">
            <v>0.38435236734124606</v>
          </cell>
          <cell r="L24">
            <v>0.37107861122382413</v>
          </cell>
          <cell r="M24">
            <v>0.37811839499392541</v>
          </cell>
          <cell r="N24">
            <v>0.44050258684405025</v>
          </cell>
          <cell r="O24">
            <v>2.4741110740672444E-2</v>
          </cell>
          <cell r="P24">
            <v>0.35278782012827642</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M24">
            <v>0.32414307004470938</v>
          </cell>
          <cell r="AN24">
            <v>0.23338566195709054</v>
          </cell>
          <cell r="AO24">
            <v>0.37244783412460097</v>
          </cell>
          <cell r="AP24">
            <v>0.20911357358532595</v>
          </cell>
          <cell r="AQ24">
            <v>0</v>
          </cell>
          <cell r="AR24">
            <v>0</v>
          </cell>
          <cell r="AW24">
            <v>0.30375114364135408</v>
          </cell>
          <cell r="AX24">
            <v>-0.8201546668623344</v>
          </cell>
          <cell r="AY24">
            <v>0.38969573137677571</v>
          </cell>
          <cell r="AZ24">
            <v>7.5595014435958729E-2</v>
          </cell>
          <cell r="BA24">
            <v>0</v>
          </cell>
        </row>
        <row r="25">
          <cell r="B25">
            <v>745</v>
          </cell>
          <cell r="C25">
            <v>257</v>
          </cell>
          <cell r="D25">
            <v>342</v>
          </cell>
          <cell r="E25">
            <v>396</v>
          </cell>
          <cell r="F25">
            <v>333</v>
          </cell>
          <cell r="G25">
            <v>218</v>
          </cell>
          <cell r="H25">
            <v>330</v>
          </cell>
          <cell r="I25">
            <v>11</v>
          </cell>
          <cell r="J25">
            <v>-801</v>
          </cell>
          <cell r="K25">
            <v>-868</v>
          </cell>
          <cell r="L25">
            <v>-783</v>
          </cell>
          <cell r="M25">
            <v>-568</v>
          </cell>
          <cell r="N25">
            <v>-596</v>
          </cell>
          <cell r="O25">
            <v>-16</v>
          </cell>
          <cell r="P25">
            <v>-278</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M25">
            <v>1740</v>
          </cell>
          <cell r="AN25">
            <v>892</v>
          </cell>
          <cell r="AO25">
            <v>-3020</v>
          </cell>
          <cell r="AP25">
            <v>-890</v>
          </cell>
          <cell r="AQ25">
            <v>0</v>
          </cell>
          <cell r="AR25">
            <v>0</v>
          </cell>
          <cell r="AW25">
            <v>1328</v>
          </cell>
          <cell r="AX25">
            <v>-242</v>
          </cell>
          <cell r="AY25">
            <v>-2815</v>
          </cell>
          <cell r="AZ25">
            <v>-294</v>
          </cell>
          <cell r="BA25">
            <v>0</v>
          </cell>
        </row>
        <row r="26">
          <cell r="B26">
            <v>1540</v>
          </cell>
          <cell r="C26">
            <v>553</v>
          </cell>
          <cell r="D26">
            <v>732</v>
          </cell>
          <cell r="E26">
            <v>803</v>
          </cell>
          <cell r="F26">
            <v>956</v>
          </cell>
          <cell r="G26">
            <v>509</v>
          </cell>
          <cell r="H26">
            <v>776</v>
          </cell>
          <cell r="I26">
            <v>689</v>
          </cell>
          <cell r="J26">
            <v>-1436.9337036319998</v>
          </cell>
          <cell r="K26">
            <v>-1390.3443573000004</v>
          </cell>
          <cell r="L26">
            <v>-1327.0650275090002</v>
          </cell>
          <cell r="M26">
            <v>-934.17500000000018</v>
          </cell>
          <cell r="N26">
            <v>-757</v>
          </cell>
          <cell r="O26">
            <v>-630.69691541767588</v>
          </cell>
          <cell r="P26">
            <v>-510.00906419874991</v>
          </cell>
          <cell r="Q26">
            <v>-1468.3544221099478</v>
          </cell>
          <cell r="R26">
            <v>-986.08496313185822</v>
          </cell>
          <cell r="S26">
            <v>-827.24365712566384</v>
          </cell>
          <cell r="T26">
            <v>-734.72823880604199</v>
          </cell>
          <cell r="U26">
            <v>-655.58110408209006</v>
          </cell>
          <cell r="V26">
            <v>-624.3543538774187</v>
          </cell>
          <cell r="W26">
            <v>-598.56105376461517</v>
          </cell>
          <cell r="X26">
            <v>-572.55290643726232</v>
          </cell>
          <cell r="Y26">
            <v>-560.60478626633846</v>
          </cell>
          <cell r="Z26">
            <v>-527.2710738160971</v>
          </cell>
          <cell r="AA26">
            <v>-509.06817609702694</v>
          </cell>
          <cell r="AB26">
            <v>-478.12180984271254</v>
          </cell>
          <cell r="AC26">
            <v>-471.17312090409473</v>
          </cell>
          <cell r="AD26">
            <v>-465.52372903524741</v>
          </cell>
          <cell r="AM26">
            <v>3628</v>
          </cell>
          <cell r="AN26">
            <v>2930</v>
          </cell>
          <cell r="AO26">
            <v>-5088.5180884410011</v>
          </cell>
          <cell r="AP26">
            <v>-3366.0604017263736</v>
          </cell>
          <cell r="AQ26">
            <v>-3203.6379631456539</v>
          </cell>
          <cell r="AR26">
            <v>-2356.0731003456349</v>
          </cell>
          <cell r="AW26">
            <v>3044</v>
          </cell>
          <cell r="AX26">
            <v>537.06629636800017</v>
          </cell>
          <cell r="AY26">
            <v>-4408.5843848090008</v>
          </cell>
          <cell r="AZ26">
            <v>-3595.1453648582319</v>
          </cell>
          <cell r="BA26">
            <v>-2841.9073538912148</v>
          </cell>
        </row>
        <row r="27">
          <cell r="AM27">
            <v>0</v>
          </cell>
          <cell r="AN27">
            <v>0</v>
          </cell>
        </row>
        <row r="28">
          <cell r="B28">
            <v>0</v>
          </cell>
          <cell r="C28">
            <v>0</v>
          </cell>
          <cell r="D28">
            <v>0</v>
          </cell>
          <cell r="E28">
            <v>0</v>
          </cell>
          <cell r="F28">
            <v>0</v>
          </cell>
          <cell r="G28">
            <v>0</v>
          </cell>
          <cell r="H28">
            <v>0</v>
          </cell>
          <cell r="I28">
            <v>0</v>
          </cell>
          <cell r="J28">
            <v>0</v>
          </cell>
          <cell r="K28">
            <v>0</v>
          </cell>
          <cell r="L28">
            <v>0</v>
          </cell>
          <cell r="M28">
            <v>-28</v>
          </cell>
          <cell r="N28">
            <v>-42</v>
          </cell>
          <cell r="O28">
            <v>-40</v>
          </cell>
          <cell r="P28">
            <v>-42</v>
          </cell>
          <cell r="Q28">
            <v>-36.94</v>
          </cell>
          <cell r="R28">
            <v>-36.94</v>
          </cell>
          <cell r="S28">
            <v>-36.94</v>
          </cell>
          <cell r="T28">
            <v>-36.94</v>
          </cell>
          <cell r="U28">
            <v>-36.94</v>
          </cell>
          <cell r="V28">
            <v>-36.94</v>
          </cell>
          <cell r="W28">
            <v>-36.94</v>
          </cell>
          <cell r="X28">
            <v>-36.94</v>
          </cell>
          <cell r="Y28">
            <v>-36.94</v>
          </cell>
          <cell r="Z28">
            <v>-36.94</v>
          </cell>
          <cell r="AA28">
            <v>-36.94</v>
          </cell>
          <cell r="AB28">
            <v>-36.94</v>
          </cell>
          <cell r="AC28">
            <v>-36.94</v>
          </cell>
          <cell r="AD28">
            <v>-36.94</v>
          </cell>
          <cell r="AM28">
            <v>0</v>
          </cell>
          <cell r="AN28">
            <v>0</v>
          </cell>
          <cell r="AO28">
            <v>-28</v>
          </cell>
          <cell r="AP28">
            <v>-160.94</v>
          </cell>
          <cell r="AQ28">
            <v>-147.76</v>
          </cell>
          <cell r="AR28">
            <v>-147.76</v>
          </cell>
          <cell r="AW28">
            <v>0</v>
          </cell>
          <cell r="AX28">
            <v>0</v>
          </cell>
          <cell r="AY28">
            <v>-70</v>
          </cell>
          <cell r="AZ28">
            <v>-155.88</v>
          </cell>
          <cell r="BA28">
            <v>-147.76</v>
          </cell>
        </row>
        <row r="29">
          <cell r="B29">
            <v>1540</v>
          </cell>
          <cell r="C29">
            <v>553</v>
          </cell>
          <cell r="D29">
            <v>732</v>
          </cell>
          <cell r="E29">
            <v>803</v>
          </cell>
          <cell r="F29">
            <v>956</v>
          </cell>
          <cell r="G29">
            <v>509</v>
          </cell>
          <cell r="H29">
            <v>776</v>
          </cell>
          <cell r="I29">
            <v>689</v>
          </cell>
          <cell r="J29">
            <v>-1436.9337036319998</v>
          </cell>
          <cell r="K29">
            <v>-1390.3443573000004</v>
          </cell>
          <cell r="L29">
            <v>-1327.0650275090002</v>
          </cell>
          <cell r="M29">
            <v>-962.17500000000018</v>
          </cell>
          <cell r="N29">
            <v>-799</v>
          </cell>
          <cell r="O29">
            <v>-670.69691541767588</v>
          </cell>
          <cell r="P29">
            <v>-552.00906419874991</v>
          </cell>
          <cell r="Q29">
            <v>-1505.2944221099478</v>
          </cell>
          <cell r="R29">
            <v>-1023.0249631318582</v>
          </cell>
          <cell r="S29">
            <v>-864.18365712566379</v>
          </cell>
          <cell r="T29">
            <v>-771.66823880604193</v>
          </cell>
          <cell r="U29">
            <v>-692.52110408209001</v>
          </cell>
          <cell r="V29">
            <v>-661.29435387741864</v>
          </cell>
          <cell r="W29">
            <v>-635.50105376461511</v>
          </cell>
          <cell r="X29">
            <v>-609.49290643726226</v>
          </cell>
          <cell r="Y29">
            <v>-597.54478626633841</v>
          </cell>
          <cell r="Z29">
            <v>-564.21107381609704</v>
          </cell>
          <cell r="AA29">
            <v>-546.00817609702699</v>
          </cell>
          <cell r="AB29">
            <v>-515.06180984271259</v>
          </cell>
          <cell r="AC29">
            <v>-508.11312090409473</v>
          </cell>
          <cell r="AD29">
            <v>-502.46372903524741</v>
          </cell>
          <cell r="AM29">
            <v>3628</v>
          </cell>
          <cell r="AN29">
            <v>2930</v>
          </cell>
          <cell r="AO29">
            <v>-5116.5180884410011</v>
          </cell>
          <cell r="AP29">
            <v>-3527.0004017263736</v>
          </cell>
          <cell r="AQ29">
            <v>-3351.3979631456536</v>
          </cell>
          <cell r="AR29">
            <v>-2503.8331003456342</v>
          </cell>
          <cell r="AW29">
            <v>3044</v>
          </cell>
          <cell r="AX29">
            <v>537.06629636800017</v>
          </cell>
          <cell r="AY29">
            <v>-4478.5843848090008</v>
          </cell>
          <cell r="AZ29">
            <v>-3751.025364858232</v>
          </cell>
          <cell r="BA29">
            <v>-2989.6673538912146</v>
          </cell>
        </row>
        <row r="30">
          <cell r="AM30">
            <v>0</v>
          </cell>
          <cell r="AN30">
            <v>0</v>
          </cell>
        </row>
        <row r="31">
          <cell r="B31">
            <v>0</v>
          </cell>
          <cell r="C31">
            <v>0</v>
          </cell>
          <cell r="D31">
            <v>0</v>
          </cell>
          <cell r="E31">
            <v>0</v>
          </cell>
          <cell r="F31">
            <v>0</v>
          </cell>
          <cell r="G31">
            <v>0</v>
          </cell>
          <cell r="H31">
            <v>0</v>
          </cell>
          <cell r="I31">
            <v>0</v>
          </cell>
          <cell r="J31">
            <v>-973</v>
          </cell>
          <cell r="K31">
            <v>2306</v>
          </cell>
          <cell r="L31">
            <v>1843</v>
          </cell>
          <cell r="M31">
            <v>7934</v>
          </cell>
          <cell r="N31">
            <v>-334</v>
          </cell>
          <cell r="O31">
            <v>-136</v>
          </cell>
          <cell r="P31">
            <v>7516</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M31">
            <v>0</v>
          </cell>
          <cell r="AN31">
            <v>0</v>
          </cell>
          <cell r="AO31">
            <v>11110</v>
          </cell>
          <cell r="AP31">
            <v>7046</v>
          </cell>
          <cell r="AQ31">
            <v>0</v>
          </cell>
          <cell r="AR31">
            <v>0</v>
          </cell>
          <cell r="AW31">
            <v>0</v>
          </cell>
          <cell r="AX31">
            <v>-973</v>
          </cell>
          <cell r="AY31">
            <v>11749</v>
          </cell>
          <cell r="AZ31">
            <v>7380</v>
          </cell>
          <cell r="BA31">
            <v>0</v>
          </cell>
        </row>
        <row r="32">
          <cell r="B32">
            <v>1540</v>
          </cell>
          <cell r="C32">
            <v>553</v>
          </cell>
          <cell r="D32">
            <v>732</v>
          </cell>
          <cell r="E32">
            <v>803</v>
          </cell>
          <cell r="F32">
            <v>956</v>
          </cell>
          <cell r="G32">
            <v>509</v>
          </cell>
          <cell r="H32">
            <v>776</v>
          </cell>
          <cell r="I32">
            <v>689</v>
          </cell>
          <cell r="J32">
            <v>-463.93370363199983</v>
          </cell>
          <cell r="K32">
            <v>-3696.3443573000004</v>
          </cell>
          <cell r="L32">
            <v>-3170.0650275090002</v>
          </cell>
          <cell r="M32">
            <v>-8896.1749999999993</v>
          </cell>
          <cell r="N32">
            <v>-465</v>
          </cell>
          <cell r="O32">
            <v>-534.69691541767588</v>
          </cell>
          <cell r="P32">
            <v>-8068.0090641987499</v>
          </cell>
          <cell r="Q32">
            <v>-1505.2944221099478</v>
          </cell>
          <cell r="R32">
            <v>-1023.0249631318582</v>
          </cell>
          <cell r="S32">
            <v>-864.18365712566379</v>
          </cell>
          <cell r="T32">
            <v>-771.66823880604193</v>
          </cell>
          <cell r="U32">
            <v>-692.52110408209001</v>
          </cell>
          <cell r="V32">
            <v>-661.29435387741864</v>
          </cell>
          <cell r="W32">
            <v>-635.50105376461511</v>
          </cell>
          <cell r="X32">
            <v>-609.49290643726226</v>
          </cell>
          <cell r="Y32">
            <v>-597.54478626633841</v>
          </cell>
          <cell r="Z32">
            <v>-564.21107381609704</v>
          </cell>
          <cell r="AA32">
            <v>-546.00817609702699</v>
          </cell>
          <cell r="AB32">
            <v>-515.06180984271259</v>
          </cell>
          <cell r="AC32">
            <v>-508.11312090409473</v>
          </cell>
          <cell r="AD32">
            <v>-502.46372903524741</v>
          </cell>
          <cell r="AM32">
            <v>3628</v>
          </cell>
          <cell r="AN32">
            <v>2930</v>
          </cell>
          <cell r="AO32">
            <v>-16226.518088441</v>
          </cell>
          <cell r="AP32">
            <v>-10573.000401726373</v>
          </cell>
          <cell r="AQ32">
            <v>-3351.3979631456536</v>
          </cell>
          <cell r="AR32">
            <v>-2503.8331003456342</v>
          </cell>
          <cell r="AW32">
            <v>3044</v>
          </cell>
          <cell r="AX32">
            <v>1510.0662963680002</v>
          </cell>
          <cell r="AY32">
            <v>-16227.584384809001</v>
          </cell>
          <cell r="AZ32">
            <v>-11131.025364858231</v>
          </cell>
          <cell r="BA32">
            <v>-2989.6673538912146</v>
          </cell>
        </row>
        <row r="34">
          <cell r="B34">
            <v>2640.49</v>
          </cell>
          <cell r="C34">
            <v>2672.3620000000001</v>
          </cell>
          <cell r="D34">
            <v>3048.9870000000001</v>
          </cell>
          <cell r="E34">
            <v>3071.7510000000002</v>
          </cell>
          <cell r="F34">
            <v>3268</v>
          </cell>
          <cell r="G34">
            <v>3274</v>
          </cell>
          <cell r="H34">
            <v>3331</v>
          </cell>
          <cell r="I34">
            <v>3424</v>
          </cell>
          <cell r="J34">
            <v>3387</v>
          </cell>
          <cell r="K34">
            <v>3401</v>
          </cell>
          <cell r="L34">
            <v>3405</v>
          </cell>
          <cell r="M34">
            <v>3412</v>
          </cell>
          <cell r="N34">
            <v>3416.3</v>
          </cell>
          <cell r="O34">
            <v>3423</v>
          </cell>
          <cell r="P34">
            <v>3428.5</v>
          </cell>
          <cell r="Q34">
            <v>3472</v>
          </cell>
          <cell r="R34">
            <v>3490</v>
          </cell>
          <cell r="S34">
            <v>3500</v>
          </cell>
          <cell r="T34">
            <v>3500</v>
          </cell>
          <cell r="U34">
            <v>3500</v>
          </cell>
          <cell r="V34">
            <v>3500</v>
          </cell>
          <cell r="W34">
            <v>3500</v>
          </cell>
          <cell r="X34">
            <v>3500</v>
          </cell>
          <cell r="Y34">
            <v>3500</v>
          </cell>
          <cell r="Z34">
            <v>3500</v>
          </cell>
          <cell r="AA34">
            <v>3500</v>
          </cell>
          <cell r="AB34">
            <v>3500</v>
          </cell>
          <cell r="AC34">
            <v>3500</v>
          </cell>
          <cell r="AD34">
            <v>3500</v>
          </cell>
          <cell r="AM34">
            <v>2858.3975</v>
          </cell>
          <cell r="AN34">
            <v>3324.25</v>
          </cell>
          <cell r="AO34">
            <v>3401.25</v>
          </cell>
          <cell r="AP34">
            <v>3434.95</v>
          </cell>
          <cell r="AQ34">
            <v>3497.5</v>
          </cell>
          <cell r="AR34">
            <v>3500</v>
          </cell>
          <cell r="AW34">
            <v>3015.2750000000001</v>
          </cell>
          <cell r="AX34">
            <v>3354</v>
          </cell>
          <cell r="AY34">
            <v>3408.5749999999998</v>
          </cell>
          <cell r="AZ34">
            <v>3453.375</v>
          </cell>
          <cell r="BA34">
            <v>3500</v>
          </cell>
        </row>
        <row r="37">
          <cell r="B37">
            <v>0.58322508322318967</v>
          </cell>
          <cell r="C37">
            <v>0.20693304275393826</v>
          </cell>
          <cell r="D37">
            <v>0.24007973795886961</v>
          </cell>
          <cell r="E37">
            <v>0.26141441803062809</v>
          </cell>
          <cell r="F37">
            <v>0.29253365973072215</v>
          </cell>
          <cell r="G37">
            <v>0.15546731826511911</v>
          </cell>
          <cell r="H37">
            <v>0.23296307415190634</v>
          </cell>
          <cell r="I37">
            <v>0.2012266355140187</v>
          </cell>
          <cell r="J37">
            <v>-0.42424969106347793</v>
          </cell>
          <cell r="K37">
            <v>-0.4088045743310792</v>
          </cell>
          <cell r="L37">
            <v>-0.38974009618472838</v>
          </cell>
          <cell r="M37">
            <v>-0.28199736225087929</v>
          </cell>
          <cell r="N37">
            <v>-0.2338787577203407</v>
          </cell>
          <cell r="O37">
            <v>-0.19593833345535375</v>
          </cell>
          <cell r="P37">
            <v>-0.16100599801626073</v>
          </cell>
          <cell r="Q37">
            <v>-0.4335525409302845</v>
          </cell>
          <cell r="R37">
            <v>-0.29313036192889919</v>
          </cell>
          <cell r="S37">
            <v>-0.24690961632161823</v>
          </cell>
          <cell r="T37">
            <v>-0.22047663965886913</v>
          </cell>
          <cell r="U37">
            <v>-0.19786317259488287</v>
          </cell>
          <cell r="V37">
            <v>-0.18894124396497675</v>
          </cell>
          <cell r="W37">
            <v>-0.18157172964703289</v>
          </cell>
          <cell r="X37">
            <v>-0.17414083041064637</v>
          </cell>
          <cell r="Y37">
            <v>-0.1707270817903824</v>
          </cell>
          <cell r="Z37">
            <v>-0.16120316394745629</v>
          </cell>
          <cell r="AA37">
            <v>-0.15600233602772201</v>
          </cell>
          <cell r="AB37">
            <v>-0.14716051709791789</v>
          </cell>
          <cell r="AC37">
            <v>-0.14517517740116992</v>
          </cell>
          <cell r="AD37">
            <v>-0.14356106543864211</v>
          </cell>
          <cell r="AM37">
            <v>1.2692426438240307</v>
          </cell>
          <cell r="AN37">
            <v>0.88140181995938938</v>
          </cell>
          <cell r="AO37">
            <v>-1.5043052079209118</v>
          </cell>
          <cell r="AP37">
            <v>-1.0267981780597604</v>
          </cell>
          <cell r="AQ37">
            <v>-0.95822672284364652</v>
          </cell>
          <cell r="AR37">
            <v>-0.71538088581303838</v>
          </cell>
          <cell r="AW37">
            <v>1.0095264942666922</v>
          </cell>
          <cell r="AX37">
            <v>0.16012710088491358</v>
          </cell>
          <cell r="AY37">
            <v>-1.3139169256387202</v>
          </cell>
          <cell r="AZ37">
            <v>-1.0861911506448712</v>
          </cell>
          <cell r="BA37">
            <v>-0.85419067254034697</v>
          </cell>
        </row>
        <row r="38">
          <cell r="B38">
            <v>0.58322508322318967</v>
          </cell>
          <cell r="C38">
            <v>0.20693304275393826</v>
          </cell>
          <cell r="D38">
            <v>0.24007973795886961</v>
          </cell>
          <cell r="E38">
            <v>0.26141441803062809</v>
          </cell>
          <cell r="F38">
            <v>0.29253365973072215</v>
          </cell>
          <cell r="G38">
            <v>0.15546731826511911</v>
          </cell>
          <cell r="H38">
            <v>0.23296307415190634</v>
          </cell>
          <cell r="I38">
            <v>0.2012266355140187</v>
          </cell>
          <cell r="J38">
            <v>-0.13697481654325358</v>
          </cell>
          <cell r="K38">
            <v>-1.0868404461334902</v>
          </cell>
          <cell r="L38">
            <v>-0.93100294493656388</v>
          </cell>
          <cell r="M38">
            <v>-2.6073197538100819</v>
          </cell>
          <cell r="N38">
            <v>-0.13611216813511692</v>
          </cell>
          <cell r="O38">
            <v>-0.15620710354007475</v>
          </cell>
          <cell r="P38">
            <v>-2.3532183357732972</v>
          </cell>
          <cell r="Q38">
            <v>-0.4335525409302845</v>
          </cell>
          <cell r="R38">
            <v>-0.29313036192889919</v>
          </cell>
          <cell r="S38">
            <v>-0.24690961632161823</v>
          </cell>
          <cell r="T38">
            <v>-0.22047663965886913</v>
          </cell>
          <cell r="U38">
            <v>-0.19786317259488287</v>
          </cell>
          <cell r="V38">
            <v>-0.18894124396497675</v>
          </cell>
          <cell r="W38">
            <v>-0.18157172964703289</v>
          </cell>
          <cell r="X38">
            <v>-0.17414083041064637</v>
          </cell>
          <cell r="Y38">
            <v>-0.1707270817903824</v>
          </cell>
          <cell r="Z38">
            <v>-0.16120316394745629</v>
          </cell>
          <cell r="AA38">
            <v>-0.15600233602772201</v>
          </cell>
          <cell r="AB38">
            <v>-0.14716051709791789</v>
          </cell>
          <cell r="AC38">
            <v>-0.14517517740116992</v>
          </cell>
          <cell r="AD38">
            <v>-0.14356106543864211</v>
          </cell>
          <cell r="AM38">
            <v>1.2692426438240307</v>
          </cell>
          <cell r="AN38">
            <v>0.88140181995938938</v>
          </cell>
          <cell r="AO38">
            <v>-4.7707513674210951</v>
          </cell>
          <cell r="AP38">
            <v>-3.078065299851926</v>
          </cell>
          <cell r="AQ38">
            <v>-0.95822672284364652</v>
          </cell>
          <cell r="AR38">
            <v>-0.71538088581303838</v>
          </cell>
          <cell r="AW38">
            <v>1.0095264942666922</v>
          </cell>
          <cell r="AX38">
            <v>0.45022847238163394</v>
          </cell>
          <cell r="AY38">
            <v>-4.7608118890765203</v>
          </cell>
          <cell r="AZ38">
            <v>-3.2232310029632552</v>
          </cell>
          <cell r="BA38">
            <v>-0.85419067254034697</v>
          </cell>
        </row>
        <row r="41">
          <cell r="B41">
            <v>0.55144138372837925</v>
          </cell>
          <cell r="C41">
            <v>0.49118613683896029</v>
          </cell>
          <cell r="D41">
            <v>0.48336783988957904</v>
          </cell>
          <cell r="E41">
            <v>0.45395542493264757</v>
          </cell>
          <cell r="F41">
            <v>0.4528792033482465</v>
          </cell>
          <cell r="G41">
            <v>0.40634610008386918</v>
          </cell>
          <cell r="H41">
            <v>0.42282784673502427</v>
          </cell>
          <cell r="I41">
            <v>0.33839933073061906</v>
          </cell>
          <cell r="J41">
            <v>0.12854173837973071</v>
          </cell>
          <cell r="K41">
            <v>0.14771057227071879</v>
          </cell>
          <cell r="L41">
            <v>0.13922535432786234</v>
          </cell>
          <cell r="M41">
            <v>0.11486639343831051</v>
          </cell>
          <cell r="N41">
            <v>0.13650793650793649</v>
          </cell>
          <cell r="O41">
            <v>0.22788225739008078</v>
          </cell>
          <cell r="P41">
            <v>0.23533166120522189</v>
          </cell>
          <cell r="Q41">
            <v>0.09</v>
          </cell>
          <cell r="R41">
            <v>0.12000000000000001</v>
          </cell>
          <cell r="S41">
            <v>0.17999999999999997</v>
          </cell>
          <cell r="T41">
            <v>0.22</v>
          </cell>
          <cell r="U41">
            <v>0.25</v>
          </cell>
          <cell r="V41">
            <v>0.24999999999999994</v>
          </cell>
          <cell r="W41">
            <v>0.25</v>
          </cell>
          <cell r="X41">
            <v>0.25</v>
          </cell>
          <cell r="Y41">
            <v>0.24999999999999994</v>
          </cell>
          <cell r="Z41">
            <v>0.26</v>
          </cell>
          <cell r="AA41">
            <v>0.27</v>
          </cell>
          <cell r="AB41">
            <v>0.28000000000000003</v>
          </cell>
          <cell r="AC41">
            <v>0.28000000000000003</v>
          </cell>
          <cell r="AD41">
            <v>0.28000000000000003</v>
          </cell>
          <cell r="AM41">
            <v>0.49485122032764961</v>
          </cell>
          <cell r="AN41">
            <v>0.40485575749119196</v>
          </cell>
          <cell r="AO41">
            <v>0.13344149478776393</v>
          </cell>
          <cell r="AP41">
            <v>0.17860353614333394</v>
          </cell>
          <cell r="AQ41">
            <v>0.19167394706729887</v>
          </cell>
          <cell r="AR41">
            <v>0.24999999999999994</v>
          </cell>
          <cell r="AW41">
            <v>0.46962182269063857</v>
          </cell>
          <cell r="AX41">
            <v>0.35046714627509579</v>
          </cell>
          <cell r="AY41">
            <v>0.13499547834238557</v>
          </cell>
          <cell r="AZ41">
            <v>0.18020701254895824</v>
          </cell>
          <cell r="BA41">
            <v>0.22470666483416901</v>
          </cell>
        </row>
        <row r="42">
          <cell r="B42">
            <v>0.14708520179372198</v>
          </cell>
          <cell r="C42">
            <v>0.18285031371377353</v>
          </cell>
          <cell r="D42">
            <v>0.17750172532781228</v>
          </cell>
          <cell r="E42">
            <v>0.17879010531471956</v>
          </cell>
          <cell r="F42">
            <v>0.15774282003175061</v>
          </cell>
          <cell r="G42">
            <v>0.17165222253284876</v>
          </cell>
          <cell r="H42">
            <v>0.16905018888289261</v>
          </cell>
          <cell r="I42">
            <v>0.21360847741215838</v>
          </cell>
          <cell r="J42">
            <v>0.40882259575411312</v>
          </cell>
          <cell r="K42">
            <v>0.35131824615146179</v>
          </cell>
          <cell r="L42">
            <v>0.33290245066488477</v>
          </cell>
          <cell r="M42">
            <v>0.23906604304661894</v>
          </cell>
          <cell r="N42">
            <v>0.32987012987012987</v>
          </cell>
          <cell r="O42">
            <v>0.22950240084206439</v>
          </cell>
          <cell r="P42">
            <v>0.26992283710893278</v>
          </cell>
          <cell r="Q42">
            <v>0.46413456598693831</v>
          </cell>
          <cell r="R42">
            <v>0.30810762224900951</v>
          </cell>
          <cell r="S42">
            <v>0.3063078560926572</v>
          </cell>
          <cell r="T42">
            <v>0.30854450370150255</v>
          </cell>
          <cell r="U42">
            <v>0.30307109542521055</v>
          </cell>
          <cell r="V42">
            <v>0.28817862338608119</v>
          </cell>
          <cell r="W42">
            <v>0.27489521273043954</v>
          </cell>
          <cell r="X42">
            <v>0.2625576528409041</v>
          </cell>
          <cell r="Y42">
            <v>0.25526841194664468</v>
          </cell>
          <cell r="Z42">
            <v>0.24832644340520837</v>
          </cell>
          <cell r="AA42">
            <v>0.24788625968600866</v>
          </cell>
          <cell r="AB42">
            <v>0.24340884481249395</v>
          </cell>
          <cell r="AC42">
            <v>0.23878220650616433</v>
          </cell>
          <cell r="AD42">
            <v>0.23488162891204306</v>
          </cell>
          <cell r="AM42">
            <v>0.17111334002006018</v>
          </cell>
          <cell r="AN42">
            <v>0.17811420797432587</v>
          </cell>
          <cell r="AO42">
            <v>0.32993466531764759</v>
          </cell>
          <cell r="AP42">
            <v>0.31052138440220339</v>
          </cell>
          <cell r="AQ42">
            <v>0.3065206931544649</v>
          </cell>
          <cell r="AR42">
            <v>0.26966031350530134</v>
          </cell>
          <cell r="AW42">
            <v>0.17438175931666322</v>
          </cell>
          <cell r="AX42">
            <v>0.21817983006609151</v>
          </cell>
          <cell r="AY42">
            <v>0.31395089211614791</v>
          </cell>
          <cell r="AZ42">
            <v>0.30385756086317034</v>
          </cell>
          <cell r="BA42">
            <v>0.30154658370284548</v>
          </cell>
        </row>
        <row r="43">
          <cell r="B43">
            <v>0.11556694426649583</v>
          </cell>
          <cell r="C43">
            <v>0.16940543770540784</v>
          </cell>
          <cell r="D43">
            <v>0.14575569358178053</v>
          </cell>
          <cell r="E43">
            <v>0.13054126867499388</v>
          </cell>
          <cell r="F43">
            <v>0.10737480155866648</v>
          </cell>
          <cell r="G43">
            <v>0.11727704780542354</v>
          </cell>
          <cell r="H43">
            <v>0.10806799784133837</v>
          </cell>
          <cell r="I43">
            <v>1.1572783045175684E-2</v>
          </cell>
          <cell r="J43">
            <v>0.25992235321108154</v>
          </cell>
          <cell r="K43">
            <v>0.17932064408051632</v>
          </cell>
          <cell r="L43">
            <v>0.14427015499138904</v>
          </cell>
          <cell r="M43">
            <v>0.15257295881056226</v>
          </cell>
          <cell r="N43">
            <v>0.17546897546897547</v>
          </cell>
          <cell r="O43">
            <v>0.14902014627167501</v>
          </cell>
          <cell r="P43">
            <v>0.16276753996518559</v>
          </cell>
          <cell r="Q43">
            <v>0.21387707668976833</v>
          </cell>
          <cell r="R43">
            <v>0.1824860977992076</v>
          </cell>
          <cell r="S43">
            <v>0.17550405166369334</v>
          </cell>
          <cell r="T43">
            <v>0.17855039351679888</v>
          </cell>
          <cell r="U43">
            <v>0.17560916022835726</v>
          </cell>
          <cell r="V43">
            <v>0.17528020145077788</v>
          </cell>
          <cell r="W43">
            <v>0.16809370161423323</v>
          </cell>
          <cell r="X43">
            <v>0.16138681756077794</v>
          </cell>
          <cell r="Y43">
            <v>0.15511468004711287</v>
          </cell>
          <cell r="Z43">
            <v>0.14914135827890027</v>
          </cell>
          <cell r="AA43">
            <v>0.14876259554377491</v>
          </cell>
          <cell r="AB43">
            <v>0.14490993623400641</v>
          </cell>
          <cell r="AC43">
            <v>0.14092887536576931</v>
          </cell>
          <cell r="AD43">
            <v>0.13757256441268823</v>
          </cell>
          <cell r="AM43">
            <v>0.13901705115346039</v>
          </cell>
          <cell r="AN43">
            <v>8.605713887047825E-2</v>
          </cell>
          <cell r="AO43">
            <v>0.17897839897460938</v>
          </cell>
          <cell r="AP43">
            <v>0.17167144195150236</v>
          </cell>
          <cell r="AQ43">
            <v>0.17806394693843247</v>
          </cell>
          <cell r="AR43">
            <v>0.16462700799305488</v>
          </cell>
          <cell r="AW43">
            <v>0.13776951160708134</v>
          </cell>
          <cell r="AX43">
            <v>0.10631279636422315</v>
          </cell>
          <cell r="AY43">
            <v>0.1619470403739294</v>
          </cell>
          <cell r="AZ43">
            <v>0.17264306194205686</v>
          </cell>
          <cell r="BA43">
            <v>0.17622865242818309</v>
          </cell>
        </row>
        <row r="44">
          <cell r="B44">
            <v>0.28878923766816145</v>
          </cell>
          <cell r="C44">
            <v>0.1389303854197789</v>
          </cell>
          <cell r="D44">
            <v>0.16011042097998621</v>
          </cell>
          <cell r="E44">
            <v>0.14462405094293412</v>
          </cell>
          <cell r="F44">
            <v>0.18776158175782942</v>
          </cell>
          <cell r="G44">
            <v>0.11741682974559686</v>
          </cell>
          <cell r="H44">
            <v>0.1457096600107933</v>
          </cell>
          <cell r="I44">
            <v>0.113218070273285</v>
          </cell>
          <cell r="J44">
            <v>-0.54020321058546394</v>
          </cell>
          <cell r="K44">
            <v>-0.38292831796125937</v>
          </cell>
          <cell r="L44">
            <v>-0.33794725132841147</v>
          </cell>
          <cell r="M44">
            <v>-0.27677260841887069</v>
          </cell>
          <cell r="N44">
            <v>-0.36883116883116884</v>
          </cell>
          <cell r="O44">
            <v>-0.15064028972365864</v>
          </cell>
          <cell r="P44">
            <v>-0.19735871586889642</v>
          </cell>
          <cell r="Q44">
            <v>-0.58801164267670658</v>
          </cell>
          <cell r="R44">
            <v>-0.37059372004821706</v>
          </cell>
          <cell r="S44">
            <v>-0.30181190775635064</v>
          </cell>
          <cell r="T44">
            <v>-0.26709489721830143</v>
          </cell>
          <cell r="U44">
            <v>-0.22868025565356784</v>
          </cell>
          <cell r="V44">
            <v>-0.21345882483685913</v>
          </cell>
          <cell r="W44">
            <v>-0.19298891434467277</v>
          </cell>
          <cell r="X44">
            <v>-0.17394447040168204</v>
          </cell>
          <cell r="Y44">
            <v>-0.16038309199375761</v>
          </cell>
          <cell r="Z44">
            <v>-0.13746780168410866</v>
          </cell>
          <cell r="AA44">
            <v>-0.12664885522978353</v>
          </cell>
          <cell r="AB44">
            <v>-0.10831878104650033</v>
          </cell>
          <cell r="AC44">
            <v>-9.9711081871933602E-2</v>
          </cell>
          <cell r="AD44">
            <v>-9.2454193324731232E-2</v>
          </cell>
          <cell r="AM44">
            <v>0.18472082915412905</v>
          </cell>
          <cell r="AN44">
            <v>0.14068441064638784</v>
          </cell>
          <cell r="AO44">
            <v>-0.37547156950449301</v>
          </cell>
          <cell r="AP44">
            <v>-0.30358929021037179</v>
          </cell>
          <cell r="AQ44">
            <v>-0.29291069302559852</v>
          </cell>
          <cell r="AR44">
            <v>-0.18428732149835628</v>
          </cell>
          <cell r="AW44">
            <v>0.15747055176689398</v>
          </cell>
          <cell r="AX44">
            <v>2.5974519844781111E-2</v>
          </cell>
          <cell r="AY44">
            <v>-0.34090245414769177</v>
          </cell>
          <cell r="AZ44">
            <v>-0.29629361025626899</v>
          </cell>
          <cell r="BA44">
            <v>-0.25306857129685961</v>
          </cell>
        </row>
        <row r="45">
          <cell r="B45">
            <v>0.29276105060858426</v>
          </cell>
          <cell r="C45">
            <v>0.12100388407529131</v>
          </cell>
          <cell r="D45">
            <v>0.14824016563146997</v>
          </cell>
          <cell r="E45">
            <v>0.14682831251530737</v>
          </cell>
          <cell r="F45">
            <v>0.18602973011978641</v>
          </cell>
          <cell r="G45">
            <v>0.10162147050601063</v>
          </cell>
          <cell r="H45">
            <v>0.1492174851592013</v>
          </cell>
          <cell r="I45">
            <v>9.7601784718349141E-2</v>
          </cell>
          <cell r="J45">
            <v>-0.58461205485268386</v>
          </cell>
          <cell r="K45">
            <v>-0.42405001539961856</v>
          </cell>
          <cell r="L45">
            <v>-0.39330672940650263</v>
          </cell>
          <cell r="M45">
            <v>-0.31612590951897435</v>
          </cell>
          <cell r="N45">
            <v>-0.39047619047619048</v>
          </cell>
          <cell r="O45">
            <v>-0.18391387200187617</v>
          </cell>
          <cell r="P45">
            <v>-0.26721311843728857</v>
          </cell>
          <cell r="Q45">
            <v>-0.66818585392631857</v>
          </cell>
          <cell r="R45">
            <v>-0.44986699255102075</v>
          </cell>
          <cell r="S45">
            <v>-0.38206477247011877</v>
          </cell>
          <cell r="T45">
            <v>-0.34982937644459566</v>
          </cell>
          <cell r="U45">
            <v>-0.31115147878225707</v>
          </cell>
          <cell r="V45">
            <v>-0.29577555925487625</v>
          </cell>
          <cell r="W45">
            <v>-0.27193065721462228</v>
          </cell>
          <cell r="X45">
            <v>-0.24973646339211789</v>
          </cell>
          <cell r="Y45">
            <v>-0.23502170825563024</v>
          </cell>
          <cell r="Z45">
            <v>-0.21253493008137028</v>
          </cell>
          <cell r="AA45">
            <v>-0.20467649509440325</v>
          </cell>
          <cell r="AB45">
            <v>-0.18725567831458165</v>
          </cell>
          <cell r="AC45">
            <v>-0.17946458927457762</v>
          </cell>
          <cell r="AD45">
            <v>-0.17308998161712538</v>
          </cell>
          <cell r="AM45">
            <v>0.17947174857907056</v>
          </cell>
          <cell r="AN45">
            <v>0.13332403111591726</v>
          </cell>
          <cell r="AO45">
            <v>-0.42077401725886643</v>
          </cell>
          <cell r="AP45">
            <v>-0.350933730161891</v>
          </cell>
          <cell r="AQ45">
            <v>-0.37406716083902664</v>
          </cell>
          <cell r="AR45">
            <v>-0.26207653048839352</v>
          </cell>
          <cell r="AW45">
            <v>0.15058207618653993</v>
          </cell>
          <cell r="AX45">
            <v>1.15413256363932E-2</v>
          </cell>
          <cell r="AY45">
            <v>-0.38205033050658044</v>
          </cell>
          <cell r="AZ45">
            <v>-0.35828920177528445</v>
          </cell>
          <cell r="BA45">
            <v>-0.33500033665685114</v>
          </cell>
        </row>
        <row r="46">
          <cell r="B46">
            <v>0.19730941704035873</v>
          </cell>
          <cell r="C46">
            <v>8.2611293695847021E-2</v>
          </cell>
          <cell r="D46">
            <v>0.1010351966873706</v>
          </cell>
          <cell r="E46">
            <v>9.8334557923095769E-2</v>
          </cell>
          <cell r="F46">
            <v>0.13797084716409294</v>
          </cell>
          <cell r="G46">
            <v>7.1149007548224771E-2</v>
          </cell>
          <cell r="H46">
            <v>0.10469508904479223</v>
          </cell>
          <cell r="I46">
            <v>9.6068042387060792E-2</v>
          </cell>
          <cell r="J46">
            <v>-0.37536802980537104</v>
          </cell>
          <cell r="K46">
            <v>-0.26106538810968333</v>
          </cell>
          <cell r="L46">
            <v>-0.24735901447335323</v>
          </cell>
          <cell r="M46">
            <v>-0.19659288799566488</v>
          </cell>
          <cell r="N46">
            <v>-0.21847041847041848</v>
          </cell>
          <cell r="O46">
            <v>-0.17936363852793188</v>
          </cell>
          <cell r="P46">
            <v>-0.17294358487411859</v>
          </cell>
          <cell r="Q46">
            <v>-0.66818585392631857</v>
          </cell>
          <cell r="R46">
            <v>-0.44986699255102075</v>
          </cell>
          <cell r="S46">
            <v>-0.38206477247011877</v>
          </cell>
          <cell r="T46">
            <v>-0.34982937644459566</v>
          </cell>
          <cell r="U46">
            <v>-0.31115147878225707</v>
          </cell>
          <cell r="V46">
            <v>-0.29577555925487625</v>
          </cell>
          <cell r="W46">
            <v>-0.27193065721462228</v>
          </cell>
          <cell r="X46">
            <v>-0.24973646339211789</v>
          </cell>
          <cell r="Y46">
            <v>-0.23502170825563024</v>
          </cell>
          <cell r="Z46">
            <v>-0.21253493008137028</v>
          </cell>
          <cell r="AA46">
            <v>-0.20467649509440325</v>
          </cell>
          <cell r="AB46">
            <v>-0.18725567831458165</v>
          </cell>
          <cell r="AC46">
            <v>-0.17946458927457762</v>
          </cell>
          <cell r="AD46">
            <v>-0.17308998161712538</v>
          </cell>
          <cell r="AM46">
            <v>0.12129722500835841</v>
          </cell>
          <cell r="AN46">
            <v>0.10220811385914118</v>
          </cell>
          <cell r="AO46">
            <v>-0.26405764587489422</v>
          </cell>
          <cell r="AP46">
            <v>-0.27754872375610945</v>
          </cell>
          <cell r="AQ46">
            <v>-0.37406716083902664</v>
          </cell>
          <cell r="AR46">
            <v>-0.26207653048839352</v>
          </cell>
          <cell r="AW46">
            <v>0.10484259833298891</v>
          </cell>
          <cell r="AX46">
            <v>2.1006997718858986E-2</v>
          </cell>
          <cell r="AY46">
            <v>-0.23316694753707967</v>
          </cell>
          <cell r="AZ46">
            <v>-0.33120432439483372</v>
          </cell>
          <cell r="BA46">
            <v>-0.33500033665685114</v>
          </cell>
        </row>
        <row r="49">
          <cell r="C49">
            <v>-0.14234465086483028</v>
          </cell>
          <cell r="D49">
            <v>8.2312518673438806E-2</v>
          </cell>
          <cell r="E49">
            <v>0.1271221532091098</v>
          </cell>
          <cell r="F49">
            <v>-0.15148175361253979</v>
          </cell>
          <cell r="G49">
            <v>3.247221821330637E-2</v>
          </cell>
          <cell r="H49">
            <v>3.606374056471906E-2</v>
          </cell>
          <cell r="I49">
            <v>-3.2379924446843011E-2</v>
          </cell>
          <cell r="J49">
            <v>-0.46624842493474616</v>
          </cell>
          <cell r="K49">
            <v>0.39121301210297355</v>
          </cell>
          <cell r="L49">
            <v>7.3754918504431721E-3</v>
          </cell>
          <cell r="M49">
            <v>-0.11428096997163162</v>
          </cell>
          <cell r="N49">
            <v>-0.27080647961572657</v>
          </cell>
          <cell r="O49">
            <v>1.480608501654368E-2</v>
          </cell>
          <cell r="P49">
            <v>-0.16133767059743109</v>
          </cell>
          <cell r="Q49">
            <v>-0.25482173210913051</v>
          </cell>
          <cell r="R49">
            <v>-2.5374744350384892E-3</v>
          </cell>
          <cell r="S49">
            <v>-1.2206320789397984E-2</v>
          </cell>
          <cell r="T49">
            <v>-2.9994925159780417E-2</v>
          </cell>
          <cell r="U49">
            <v>3.1920964382232686E-3</v>
          </cell>
          <cell r="V49">
            <v>1.8767594677358002E-3</v>
          </cell>
          <cell r="W49">
            <v>4.2752939387564304E-2</v>
          </cell>
          <cell r="X49">
            <v>4.1557818382096157E-2</v>
          </cell>
          <cell r="Y49">
            <v>4.0435486259327913E-2</v>
          </cell>
          <cell r="Z49">
            <v>4.0051410535247189E-2</v>
          </cell>
          <cell r="AA49">
            <v>2.5460885092845054E-3</v>
          </cell>
          <cell r="AB49">
            <v>2.6586577911034803E-2</v>
          </cell>
          <cell r="AC49">
            <v>2.8248723747383853E-2</v>
          </cell>
          <cell r="AD49">
            <v>2.4396659082495997E-2</v>
          </cell>
          <cell r="AN49">
            <v>-4.1558007355399496E-2</v>
          </cell>
          <cell r="AO49">
            <v>-0.32778170329790357</v>
          </cell>
          <cell r="AP49">
            <v>-0.37065310387099326</v>
          </cell>
          <cell r="AQ49">
            <v>-0.29382688740560559</v>
          </cell>
          <cell r="AR49">
            <v>4.9703830919956671E-2</v>
          </cell>
          <cell r="AX49">
            <v>-0.1194438831587793</v>
          </cell>
          <cell r="AY49">
            <v>-0.26044877627978891</v>
          </cell>
          <cell r="AZ49">
            <v>-0.42589902313607586</v>
          </cell>
          <cell r="BA49">
            <v>-0.21847258753764998</v>
          </cell>
        </row>
        <row r="50">
          <cell r="C50">
            <v>0.1502439024390243</v>
          </cell>
          <cell r="D50">
            <v>-6.7854113655639869E-3</v>
          </cell>
          <cell r="E50">
            <v>7.8565328778821497E-2</v>
          </cell>
          <cell r="F50">
            <v>-0.27276326207442592</v>
          </cell>
          <cell r="G50">
            <v>0.12520413718018508</v>
          </cell>
          <cell r="H50">
            <v>-6.2893081761006275E-3</v>
          </cell>
          <cell r="I50">
            <v>-0.21372930866601758</v>
          </cell>
          <cell r="J50">
            <v>0.58513931888544901</v>
          </cell>
          <cell r="K50">
            <v>0.10390625000000009</v>
          </cell>
          <cell r="L50">
            <v>-9.412597310686488E-2</v>
          </cell>
          <cell r="M50">
            <v>-0.27304687500000002</v>
          </cell>
          <cell r="N50">
            <v>-5.9108006448146178E-2</v>
          </cell>
          <cell r="O50">
            <v>-0.23986293546544835</v>
          </cell>
          <cell r="P50">
            <v>-4.132231404958675E-2</v>
          </cell>
          <cell r="Q50">
            <v>0.16766992812767278</v>
          </cell>
          <cell r="R50">
            <v>-0.27825892621295534</v>
          </cell>
          <cell r="S50">
            <v>-2.9888199540448968E-2</v>
          </cell>
          <cell r="T50">
            <v>-1.9358976761819302E-2</v>
          </cell>
          <cell r="U50">
            <v>-1.4138206055826719E-2</v>
          </cell>
          <cell r="V50">
            <v>-2.9981662936348741E-2</v>
          </cell>
          <cell r="W50">
            <v>-3.3030599609025213E-3</v>
          </cell>
          <cell r="X50">
            <v>-3.2195763635611829E-3</v>
          </cell>
          <cell r="Y50">
            <v>7.1534403233899369E-3</v>
          </cell>
          <cell r="Z50">
            <v>7.3196382812701355E-3</v>
          </cell>
          <cell r="AA50">
            <v>4.8043297441258126E-4</v>
          </cell>
          <cell r="AB50">
            <v>5.0270997055381628E-3</v>
          </cell>
          <cell r="AC50">
            <v>5.455966552387892E-3</v>
          </cell>
          <cell r="AD50">
            <v>4.8187938633941219E-3</v>
          </cell>
          <cell r="AN50">
            <v>-0.18359206554549379</v>
          </cell>
          <cell r="AO50">
            <v>0.29499537831770772</v>
          </cell>
          <cell r="AP50">
            <v>-0.40369666276221983</v>
          </cell>
          <cell r="AQ50">
            <v>-0.29032406766080887</v>
          </cell>
          <cell r="AR50">
            <v>-5.9249866010201768E-2</v>
          </cell>
          <cell r="AX50">
            <v>-8.4629813527529518E-2</v>
          </cell>
          <cell r="AY50">
            <v>8.4619093539054946E-2</v>
          </cell>
          <cell r="AZ50">
            <v>-0.42517196576714889</v>
          </cell>
          <cell r="BA50">
            <v>-0.21638204409084594</v>
          </cell>
        </row>
        <row r="51">
          <cell r="C51">
            <v>-0.58740017746228923</v>
          </cell>
          <cell r="D51">
            <v>0.24731182795698925</v>
          </cell>
          <cell r="E51">
            <v>1.8103448275861966E-2</v>
          </cell>
          <cell r="F51">
            <v>0.10160880609652834</v>
          </cell>
          <cell r="G51">
            <v>-0.35434281322059957</v>
          </cell>
          <cell r="H51">
            <v>0.28571428571428581</v>
          </cell>
          <cell r="I51">
            <v>-0.24814814814814812</v>
          </cell>
          <cell r="J51">
            <v>-3.5467163837832509</v>
          </cell>
          <cell r="K51">
            <v>-1.3825078764269305E-2</v>
          </cell>
          <cell r="L51">
            <v>-0.11095690091818722</v>
          </cell>
          <cell r="M51">
            <v>-0.27461233874940449</v>
          </cell>
          <cell r="N51">
            <v>-2.8266200315547496E-2</v>
          </cell>
          <cell r="O51">
            <v>-0.58552667025220972</v>
          </cell>
          <cell r="P51">
            <v>9.8758643402378388E-2</v>
          </cell>
          <cell r="Q51">
            <v>1.2201882266024051</v>
          </cell>
          <cell r="R51">
            <v>-0.37135029116923934</v>
          </cell>
          <cell r="S51">
            <v>-0.19553980905713209</v>
          </cell>
          <cell r="T51">
            <v>-0.14157328088315724</v>
          </cell>
          <cell r="U51">
            <v>-0.14109094755325691</v>
          </cell>
          <cell r="V51">
            <v>-6.4810229916292927E-2</v>
          </cell>
          <cell r="W51">
            <v>-5.7243204370095224E-2</v>
          </cell>
          <cell r="X51">
            <v>-6.1224714764523958E-2</v>
          </cell>
          <cell r="Y51">
            <v>-4.0680856821959099E-2</v>
          </cell>
          <cell r="Z51">
            <v>-0.1085495405569209</v>
          </cell>
          <cell r="AA51">
            <v>-7.6355969403153257E-2</v>
          </cell>
          <cell r="AB51">
            <v>-0.12199280004331781</v>
          </cell>
          <cell r="AC51">
            <v>-5.3462458793066436E-2</v>
          </cell>
          <cell r="AD51">
            <v>-5.0158066866983542E-2</v>
          </cell>
          <cell r="AN51">
            <v>-0.27004524886877823</v>
          </cell>
          <cell r="AO51">
            <v>-2.7940783755122736</v>
          </cell>
          <cell r="AP51">
            <v>-0.49113862936666519</v>
          </cell>
          <cell r="AQ51">
            <v>-0.31866616354373145</v>
          </cell>
          <cell r="AR51">
            <v>-0.33956966415734013</v>
          </cell>
          <cell r="AX51">
            <v>-0.85475365346281706</v>
          </cell>
          <cell r="AY51">
            <v>-10.706236290054244</v>
          </cell>
          <cell r="AZ51">
            <v>-0.50102309614653562</v>
          </cell>
          <cell r="BA51">
            <v>-0.33248636199033998</v>
          </cell>
        </row>
        <row r="52">
          <cell r="C52">
            <v>-0.64551422319474838</v>
          </cell>
          <cell r="D52">
            <v>0.32592592592592595</v>
          </cell>
          <cell r="E52">
            <v>0.11638733705772819</v>
          </cell>
          <cell r="F52">
            <v>7.5062552126772264E-2</v>
          </cell>
          <cell r="G52">
            <v>-0.4359968968192397</v>
          </cell>
          <cell r="H52">
            <v>0.52132049518569468</v>
          </cell>
          <cell r="I52">
            <v>-0.36708860759493667</v>
          </cell>
          <cell r="J52">
            <v>-4.197048148045714</v>
          </cell>
          <cell r="K52">
            <v>9.1203120248271041E-3</v>
          </cell>
          <cell r="L52">
            <v>-6.5658423309843617E-2</v>
          </cell>
          <cell r="M52">
            <v>-0.28809066051705234</v>
          </cell>
          <cell r="N52">
            <v>-9.9306006290878379E-2</v>
          </cell>
          <cell r="O52">
            <v>-0.52202740915175472</v>
          </cell>
          <cell r="P52">
            <v>0.2185137201246834</v>
          </cell>
          <cell r="Q52">
            <v>0.86337250270461685</v>
          </cell>
          <cell r="R52">
            <v>-0.32844213339521522</v>
          </cell>
          <cell r="S52">
            <v>-0.16108277881218869</v>
          </cell>
          <cell r="T52">
            <v>-0.1118357542215257</v>
          </cell>
          <cell r="U52">
            <v>-0.10772300633574217</v>
          </cell>
          <cell r="V52">
            <v>-4.7632169399381086E-2</v>
          </cell>
          <cell r="W52">
            <v>-4.1311956828073315E-2</v>
          </cell>
          <cell r="X52">
            <v>-4.3451118584772797E-2</v>
          </cell>
          <cell r="Y52">
            <v>-2.0868150412983844E-2</v>
          </cell>
          <cell r="Z52">
            <v>-5.9460270883960664E-2</v>
          </cell>
          <cell r="AA52">
            <v>-3.4522845312426553E-2</v>
          </cell>
          <cell r="AB52">
            <v>-6.0790219674655366E-2</v>
          </cell>
          <cell r="AC52">
            <v>-1.4533302592709019E-2</v>
          </cell>
          <cell r="AD52">
            <v>-1.1990055498087737E-2</v>
          </cell>
          <cell r="AN52">
            <v>-0.28800298062593144</v>
          </cell>
          <cell r="AO52">
            <v>-3.1215379613922032</v>
          </cell>
          <cell r="AP52">
            <v>-0.47511242432898437</v>
          </cell>
          <cell r="AQ52">
            <v>-0.24727619893595232</v>
          </cell>
          <cell r="AR52">
            <v>-0.26456324733016789</v>
          </cell>
          <cell r="AX52">
            <v>-0.93250999625617559</v>
          </cell>
          <cell r="AY52">
            <v>-25.481224977995812</v>
          </cell>
          <cell r="AZ52">
            <v>-0.46160449471082565</v>
          </cell>
          <cell r="BA52">
            <v>-0.26927201549978352</v>
          </cell>
        </row>
        <row r="53">
          <cell r="C53">
            <v>-0.64090909090909087</v>
          </cell>
          <cell r="D53">
            <v>0.32368896925858959</v>
          </cell>
          <cell r="E53">
            <v>9.6994535519125735E-2</v>
          </cell>
          <cell r="F53">
            <v>0.19053549190535501</v>
          </cell>
          <cell r="G53">
            <v>-0.46757322175732219</v>
          </cell>
          <cell r="H53">
            <v>0.5245579567779961</v>
          </cell>
          <cell r="I53">
            <v>-0.11211340206185572</v>
          </cell>
          <cell r="J53">
            <v>-3.0855351286386066</v>
          </cell>
          <cell r="K53">
            <v>-3.2422752848123793E-2</v>
          </cell>
          <cell r="L53">
            <v>-4.5513422238708134E-2</v>
          </cell>
          <cell r="M53">
            <v>-0.29605936360668306</v>
          </cell>
          <cell r="N53">
            <v>-0.18965932507292549</v>
          </cell>
          <cell r="O53">
            <v>-0.16684687527387598</v>
          </cell>
          <cell r="P53">
            <v>-0.19135633656778084</v>
          </cell>
          <cell r="Q53">
            <v>1.8790751482364474</v>
          </cell>
          <cell r="R53">
            <v>-0.32844213339521522</v>
          </cell>
          <cell r="S53">
            <v>-0.16108277881218869</v>
          </cell>
          <cell r="T53">
            <v>-0.1118357542215257</v>
          </cell>
          <cell r="U53">
            <v>-0.10772300633574217</v>
          </cell>
          <cell r="V53">
            <v>-4.7632169399381086E-2</v>
          </cell>
          <cell r="W53">
            <v>-4.1311956828073315E-2</v>
          </cell>
          <cell r="X53">
            <v>-4.3451118584772797E-2</v>
          </cell>
          <cell r="Y53">
            <v>-2.0868150412983844E-2</v>
          </cell>
          <cell r="Z53">
            <v>-5.9460270883960664E-2</v>
          </cell>
          <cell r="AA53">
            <v>-3.4522845312426553E-2</v>
          </cell>
          <cell r="AB53">
            <v>-6.0790219674655366E-2</v>
          </cell>
          <cell r="AC53">
            <v>-1.4533302592709019E-2</v>
          </cell>
          <cell r="AD53">
            <v>-1.1990055498087737E-2</v>
          </cell>
          <cell r="AN53">
            <v>-0.19239250275633957</v>
          </cell>
          <cell r="AO53">
            <v>-2.7366955933245736</v>
          </cell>
          <cell r="AP53">
            <v>-0.33849888253857952</v>
          </cell>
          <cell r="AQ53">
            <v>-4.8252978020660864E-2</v>
          </cell>
          <cell r="AR53">
            <v>-0.26456324733016789</v>
          </cell>
          <cell r="AX53">
            <v>-0.82356560566097237</v>
          </cell>
          <cell r="AY53">
            <v>-9.2086409343181348</v>
          </cell>
          <cell r="AZ53">
            <v>-0.18451252124235129</v>
          </cell>
          <cell r="BA53">
            <v>-0.20951531427067061</v>
          </cell>
        </row>
        <row r="54">
          <cell r="C54">
            <v>-0.64519179866146337</v>
          </cell>
          <cell r="D54">
            <v>0.16018077521020024</v>
          </cell>
          <cell r="E54">
            <v>8.8864975666599344E-2</v>
          </cell>
          <cell r="F54">
            <v>0.11904179553114025</v>
          </cell>
          <cell r="G54">
            <v>-0.46854895806442542</v>
          </cell>
          <cell r="H54">
            <v>0.49846975397513038</v>
          </cell>
          <cell r="I54">
            <v>-0.13622948080258213</v>
          </cell>
          <cell r="J54">
            <v>-3.1083177680716232</v>
          </cell>
          <cell r="K54">
            <v>-3.64057229922361E-2</v>
          </cell>
          <cell r="L54">
            <v>-4.6634698688354348E-2</v>
          </cell>
          <cell r="M54">
            <v>-0.276447650597339</v>
          </cell>
          <cell r="N54">
            <v>-0.17063494547062397</v>
          </cell>
          <cell r="O54">
            <v>-0.16222261754252176</v>
          </cell>
          <cell r="P54">
            <v>-0.17828229332701073</v>
          </cell>
          <cell r="Q54">
            <v>1.6927726064372961</v>
          </cell>
          <cell r="R54">
            <v>-0.32388733946773307</v>
          </cell>
          <cell r="S54">
            <v>-0.1576798298993406</v>
          </cell>
          <cell r="T54">
            <v>-0.107055274138526</v>
          </cell>
          <cell r="U54">
            <v>-0.10256627232243187</v>
          </cell>
          <cell r="V54">
            <v>-4.5091405908938009E-2</v>
          </cell>
          <cell r="W54">
            <v>-3.9004264835421076E-2</v>
          </cell>
          <cell r="X54">
            <v>-4.0925419672059316E-2</v>
          </cell>
          <cell r="Y54">
            <v>-1.9603378554092776E-2</v>
          </cell>
          <cell r="Z54">
            <v>-5.5784458698939887E-2</v>
          </cell>
          <cell r="AA54">
            <v>-3.2262567262200115E-2</v>
          </cell>
          <cell r="AB54">
            <v>-5.6677477754133787E-2</v>
          </cell>
          <cell r="AC54">
            <v>-1.3490980705286315E-2</v>
          </cell>
          <cell r="AD54">
            <v>-1.1118374307664491E-2</v>
          </cell>
          <cell r="AN54">
            <v>-0.30556869937503617</v>
          </cell>
          <cell r="AO54">
            <v>-2.7067189718194848</v>
          </cell>
          <cell r="AP54">
            <v>-0.31742696053090858</v>
          </cell>
          <cell r="AQ54">
            <v>-6.6781824005265222E-2</v>
          </cell>
          <cell r="AR54">
            <v>-0.2534325449721706</v>
          </cell>
          <cell r="AX54">
            <v>-0.84138395396821364</v>
          </cell>
          <cell r="AY54">
            <v>-9.2054625255662224</v>
          </cell>
          <cell r="AZ54">
            <v>-0.17331824451774014</v>
          </cell>
          <cell r="BA54">
            <v>-0.21359083800930034</v>
          </cell>
        </row>
        <row r="57">
          <cell r="F57">
            <v>-0.11223574631646382</v>
          </cell>
          <cell r="G57">
            <v>6.8718255153869201E-2</v>
          </cell>
          <cell r="H57">
            <v>2.305037957211864E-2</v>
          </cell>
          <cell r="I57">
            <v>-0.12172422238550085</v>
          </cell>
          <cell r="J57">
            <v>-0.4475297595081541</v>
          </cell>
          <cell r="K57">
            <v>-0.25556952156835344</v>
          </cell>
          <cell r="L57">
            <v>-0.27618254553548305</v>
          </cell>
          <cell r="M57">
            <v>-0.33744771332961521</v>
          </cell>
          <cell r="N57">
            <v>-9.484326243578145E-2</v>
          </cell>
          <cell r="O57">
            <v>-0.33974268700564547</v>
          </cell>
          <cell r="P57">
            <v>-0.45032121527616575</v>
          </cell>
          <cell r="Q57">
            <v>-0.53754105894761484</v>
          </cell>
          <cell r="R57">
            <v>-0.36740323327459135</v>
          </cell>
          <cell r="S57">
            <v>-0.38424187942247567</v>
          </cell>
          <cell r="T57">
            <v>-0.28780811907963</v>
          </cell>
          <cell r="U57">
            <v>-4.1215643460740359E-2</v>
          </cell>
          <cell r="V57">
            <v>-3.6972578379485199E-2</v>
          </cell>
          <cell r="W57">
            <v>1.6608726842763266E-2</v>
          </cell>
          <cell r="X57">
            <v>9.1599204110313526E-2</v>
          </cell>
          <cell r="Y57">
            <v>0.1321246975142496</v>
          </cell>
          <cell r="Z57">
            <v>0.17526220408290061</v>
          </cell>
          <cell r="AA57">
            <v>0.12994601230098834</v>
          </cell>
          <cell r="AB57">
            <v>0.11370428940196353</v>
          </cell>
          <cell r="AC57">
            <v>0.1006593194228329</v>
          </cell>
          <cell r="AD57">
            <v>8.4092303691513104E-2</v>
          </cell>
          <cell r="AN57">
            <v>-4.1558007355399496E-2</v>
          </cell>
          <cell r="AO57">
            <v>-0.32778170329790357</v>
          </cell>
          <cell r="AP57">
            <v>-0.37065310387099326</v>
          </cell>
          <cell r="AQ57">
            <v>-0.29382688740560559</v>
          </cell>
          <cell r="AR57">
            <v>4.9703830919956671E-2</v>
          </cell>
          <cell r="AX57">
            <v>-0.1194438831587793</v>
          </cell>
          <cell r="AY57">
            <v>-0.26044877627978891</v>
          </cell>
          <cell r="AZ57">
            <v>-0.42589902313607586</v>
          </cell>
          <cell r="BA57">
            <v>-0.21847258753764998</v>
          </cell>
        </row>
        <row r="58">
          <cell r="F58">
            <v>-0.10390243902439023</v>
          </cell>
          <cell r="G58">
            <v>-0.12340966921119589</v>
          </cell>
          <cell r="H58">
            <v>-0.12297181895815545</v>
          </cell>
          <cell r="I58">
            <v>-0.36064924782264451</v>
          </cell>
          <cell r="J58">
            <v>0.3935764833968427</v>
          </cell>
          <cell r="K58">
            <v>0.36719883889695204</v>
          </cell>
          <cell r="L58">
            <v>0.24634858812074012</v>
          </cell>
          <cell r="M58">
            <v>0.15232198142414854</v>
          </cell>
          <cell r="N58">
            <v>-0.31601562500000002</v>
          </cell>
          <cell r="O58">
            <v>-0.52901627742392066</v>
          </cell>
          <cell r="P58">
            <v>-0.50156250000000002</v>
          </cell>
          <cell r="Q58">
            <v>-0.19938375696350863</v>
          </cell>
          <cell r="R58">
            <v>-0.385861893925595</v>
          </cell>
          <cell r="S58">
            <v>-0.21621684876072933</v>
          </cell>
          <cell r="T58">
            <v>-0.19826035101031891</v>
          </cell>
          <cell r="U58">
            <v>-0.32309253703524665</v>
          </cell>
          <cell r="V58">
            <v>-9.0237932385175745E-2</v>
          </cell>
          <cell r="W58">
            <v>-6.5306629065022603E-2</v>
          </cell>
          <cell r="X58">
            <v>-4.9923435617430845E-2</v>
          </cell>
          <cell r="Y58">
            <v>-2.9404642449592289E-2</v>
          </cell>
          <cell r="Z58">
            <v>7.9188476423630583E-3</v>
          </cell>
          <cell r="AA58">
            <v>1.1744939291923329E-2</v>
          </cell>
          <cell r="AB58">
            <v>2.0115421477410189E-2</v>
          </cell>
          <cell r="AC58">
            <v>1.8396101359914985E-2</v>
          </cell>
          <cell r="AD58">
            <v>1.5867757715569697E-2</v>
          </cell>
          <cell r="AN58">
            <v>-0.18359206554549379</v>
          </cell>
          <cell r="AO58">
            <v>0.29499537831770772</v>
          </cell>
          <cell r="AP58">
            <v>-0.40369666276221983</v>
          </cell>
          <cell r="AQ58">
            <v>-0.29032406766080887</v>
          </cell>
          <cell r="AR58">
            <v>-5.9249866010201768E-2</v>
          </cell>
          <cell r="AX58">
            <v>-8.4629813527529518E-2</v>
          </cell>
          <cell r="AY58">
            <v>8.4619093539054946E-2</v>
          </cell>
          <cell r="AZ58">
            <v>-0.42517196576714889</v>
          </cell>
          <cell r="BA58">
            <v>-0.21638204409084594</v>
          </cell>
        </row>
        <row r="59">
          <cell r="F59">
            <v>-0.42280390417036384</v>
          </cell>
          <cell r="G59">
            <v>-9.6774193548387122E-2</v>
          </cell>
          <cell r="H59">
            <v>-6.8965517241379337E-2</v>
          </cell>
          <cell r="I59">
            <v>-0.31244707874682476</v>
          </cell>
          <cell r="J59">
            <v>-2.5894955446825518</v>
          </cell>
          <cell r="K59">
            <v>-3.4277909015476196</v>
          </cell>
          <cell r="L59">
            <v>-2.6787639143601853</v>
          </cell>
          <cell r="M59">
            <v>-2.619673645320197</v>
          </cell>
          <cell r="N59">
            <v>-0.38199179318205689</v>
          </cell>
          <cell r="O59">
            <v>-0.74026117093879595</v>
          </cell>
          <cell r="P59">
            <v>-0.67899162171895089</v>
          </cell>
          <cell r="Q59">
            <v>-1.7492218062274856E-2</v>
          </cell>
          <cell r="R59">
            <v>-0.36438021272937537</v>
          </cell>
          <cell r="S59">
            <v>0.2336881018277821</v>
          </cell>
          <cell r="T59">
            <v>-3.6156997695007909E-2</v>
          </cell>
          <cell r="U59">
            <v>-0.62712464200205031</v>
          </cell>
          <cell r="V59">
            <v>-0.44530441131587506</v>
          </cell>
          <cell r="W59">
            <v>-0.34994541479426888</v>
          </cell>
          <cell r="X59">
            <v>-0.28910043798150253</v>
          </cell>
          <cell r="Y59">
            <v>-0.20599328092014046</v>
          </cell>
          <cell r="Z59">
            <v>-0.24312938703202758</v>
          </cell>
          <cell r="AA59">
            <v>-0.25847363090609898</v>
          </cell>
          <cell r="AB59">
            <v>-0.30647354988806241</v>
          </cell>
          <cell r="AC59">
            <v>-0.31571383150320864</v>
          </cell>
          <cell r="AD59">
            <v>-0.27089196015756967</v>
          </cell>
          <cell r="AN59">
            <v>-0.27004524886877823</v>
          </cell>
          <cell r="AO59">
            <v>-2.7940783755122736</v>
          </cell>
          <cell r="AP59">
            <v>-0.49113862936666519</v>
          </cell>
          <cell r="AQ59">
            <v>-0.31866616354373145</v>
          </cell>
          <cell r="AR59">
            <v>-0.33956966415734013</v>
          </cell>
          <cell r="AX59">
            <v>-0.85475365346281706</v>
          </cell>
          <cell r="AY59">
            <v>-10.706236290054244</v>
          </cell>
          <cell r="AZ59">
            <v>-0.50102309614653562</v>
          </cell>
          <cell r="BA59">
            <v>-0.33248636199033998</v>
          </cell>
        </row>
        <row r="60">
          <cell r="F60">
            <v>-0.43588621444201314</v>
          </cell>
          <cell r="G60">
            <v>-0.10246913580246919</v>
          </cell>
          <cell r="H60">
            <v>2.9795158286778367E-2</v>
          </cell>
          <cell r="I60">
            <v>-0.41618015012510423</v>
          </cell>
          <cell r="J60">
            <v>-2.7361782029728472</v>
          </cell>
          <cell r="K60">
            <v>-4.1063883869326006</v>
          </cell>
          <cell r="L60">
            <v>-2.9078345637513561</v>
          </cell>
          <cell r="M60">
            <v>-3.1459642857142858</v>
          </cell>
          <cell r="N60">
            <v>-0.39542444988241532</v>
          </cell>
          <cell r="O60">
            <v>-0.71364114010015522</v>
          </cell>
          <cell r="P60">
            <v>-0.62654749786122943</v>
          </cell>
          <cell r="Q60">
            <v>-2.2514406037946522E-2</v>
          </cell>
          <cell r="R60">
            <v>-0.27118628002079959</v>
          </cell>
          <cell r="S60">
            <v>0.27918293315405718</v>
          </cell>
          <cell r="T60">
            <v>-6.7614482895427153E-2</v>
          </cell>
          <cell r="U60">
            <v>-0.55352665936058232</v>
          </cell>
          <cell r="V60">
            <v>-0.36683513366390241</v>
          </cell>
          <cell r="W60">
            <v>-0.27643923454865515</v>
          </cell>
          <cell r="X60">
            <v>-0.22072832348504801</v>
          </cell>
          <cell r="Y60">
            <v>-0.14487348281450607</v>
          </cell>
          <cell r="Z60">
            <v>-0.15549387852972707</v>
          </cell>
          <cell r="AA60">
            <v>-0.1495133656036054</v>
          </cell>
          <cell r="AB60">
            <v>-0.16492990522422069</v>
          </cell>
          <cell r="AC60">
            <v>-0.15952711705846112</v>
          </cell>
          <cell r="AD60">
            <v>-0.1171074004381778</v>
          </cell>
          <cell r="AN60">
            <v>-0.28800298062593144</v>
          </cell>
          <cell r="AO60">
            <v>-3.1215379613922032</v>
          </cell>
          <cell r="AP60">
            <v>-0.47511242432898437</v>
          </cell>
          <cell r="AQ60">
            <v>-0.24727619893595232</v>
          </cell>
          <cell r="AR60">
            <v>-0.26456324733016789</v>
          </cell>
          <cell r="AX60">
            <v>-0.93250999625617559</v>
          </cell>
          <cell r="AY60">
            <v>-25.481224977995812</v>
          </cell>
          <cell r="AZ60">
            <v>-0.46160449471082565</v>
          </cell>
          <cell r="BA60">
            <v>-0.26927201549978352</v>
          </cell>
        </row>
        <row r="61">
          <cell r="F61">
            <v>-0.37922077922077924</v>
          </cell>
          <cell r="G61">
            <v>-7.9566003616636571E-2</v>
          </cell>
          <cell r="H61">
            <v>6.0109289617486406E-2</v>
          </cell>
          <cell r="I61">
            <v>-0.14196762141967623</v>
          </cell>
          <cell r="J61">
            <v>-2.5030687276485355</v>
          </cell>
          <cell r="K61">
            <v>-3.7315213306483308</v>
          </cell>
          <cell r="L61">
            <v>-2.7101353447280929</v>
          </cell>
          <cell r="M61">
            <v>-2.3558417997097245</v>
          </cell>
          <cell r="N61">
            <v>-0.47318376756937108</v>
          </cell>
          <cell r="O61">
            <v>-0.54637359291156695</v>
          </cell>
          <cell r="P61">
            <v>-0.61568645572999925</v>
          </cell>
          <cell r="Q61">
            <v>0.57181943651879741</v>
          </cell>
          <cell r="R61">
            <v>0.30262214416361721</v>
          </cell>
          <cell r="S61">
            <v>0.31163422065862778</v>
          </cell>
          <cell r="T61">
            <v>0.44061800148657615</v>
          </cell>
          <cell r="U61">
            <v>-0.55352665936058232</v>
          </cell>
          <cell r="V61">
            <v>-0.36683513366390241</v>
          </cell>
          <cell r="W61">
            <v>-0.27643923454865515</v>
          </cell>
          <cell r="X61">
            <v>-0.22072832348504801</v>
          </cell>
          <cell r="Y61">
            <v>-0.14487348281450607</v>
          </cell>
          <cell r="Z61">
            <v>-0.15549387852972707</v>
          </cell>
          <cell r="AA61">
            <v>-0.1495133656036054</v>
          </cell>
          <cell r="AB61">
            <v>-0.16492990522422069</v>
          </cell>
          <cell r="AC61">
            <v>-0.15952711705846112</v>
          </cell>
          <cell r="AD61">
            <v>-0.1171074004381778</v>
          </cell>
          <cell r="AN61">
            <v>-0.19239250275633957</v>
          </cell>
          <cell r="AO61">
            <v>-2.7366955933245736</v>
          </cell>
          <cell r="AP61">
            <v>-0.33849888253857952</v>
          </cell>
          <cell r="AQ61">
            <v>-4.8252978020660864E-2</v>
          </cell>
          <cell r="AR61">
            <v>-0.26456324733016789</v>
          </cell>
          <cell r="AX61">
            <v>-0.82356560566097237</v>
          </cell>
          <cell r="AY61">
            <v>-9.2086409343181348</v>
          </cell>
          <cell r="AZ61">
            <v>-0.18451252124235129</v>
          </cell>
          <cell r="BA61">
            <v>-0.20951531427067061</v>
          </cell>
        </row>
        <row r="62">
          <cell r="F62">
            <v>-0.49842064728417246</v>
          </cell>
          <cell r="G62">
            <v>-0.24870713639491815</v>
          </cell>
          <cell r="H62">
            <v>-2.9642917255193302E-2</v>
          </cell>
          <cell r="I62">
            <v>-0.23023895533396943</v>
          </cell>
          <cell r="J62">
            <v>-2.4502594041793366</v>
          </cell>
          <cell r="K62">
            <v>-3.6295209751669026</v>
          </cell>
          <cell r="L62">
            <v>-2.6729694077207862</v>
          </cell>
          <cell r="M62">
            <v>-2.4013918263381866</v>
          </cell>
          <cell r="N62">
            <v>-0.44872379957644604</v>
          </cell>
          <cell r="O62">
            <v>-0.52070415607270371</v>
          </cell>
          <cell r="P62">
            <v>-0.58688880206991234</v>
          </cell>
          <cell r="Q62">
            <v>0.53743473864331381</v>
          </cell>
          <cell r="R62">
            <v>0.25334324838260125</v>
          </cell>
          <cell r="S62">
            <v>0.26013941206598412</v>
          </cell>
          <cell r="T62">
            <v>0.3693691065882041</v>
          </cell>
          <cell r="U62">
            <v>-0.54362354290365156</v>
          </cell>
          <cell r="V62">
            <v>-0.35543611817732557</v>
          </cell>
          <cell r="W62">
            <v>-0.26462268925758592</v>
          </cell>
          <cell r="X62">
            <v>-0.21016198958726651</v>
          </cell>
          <cell r="Y62">
            <v>-0.13714573787847095</v>
          </cell>
          <cell r="Z62">
            <v>-0.14680796757462944</v>
          </cell>
          <cell r="AA62">
            <v>-0.14082254803110927</v>
          </cell>
          <cell r="AB62">
            <v>-0.15493387305610895</v>
          </cell>
          <cell r="AC62">
            <v>-0.14966520906498559</v>
          </cell>
          <cell r="AD62">
            <v>-0.1094401504089868</v>
          </cell>
          <cell r="AN62">
            <v>-0.30556869937503617</v>
          </cell>
          <cell r="AO62">
            <v>-2.7067189718194848</v>
          </cell>
          <cell r="AP62">
            <v>-0.31742696053090858</v>
          </cell>
          <cell r="AQ62">
            <v>-6.6781824005265222E-2</v>
          </cell>
          <cell r="AR62">
            <v>-0.2534325449721706</v>
          </cell>
          <cell r="AX62">
            <v>-0.84138395396821364</v>
          </cell>
          <cell r="AY62">
            <v>-9.2054625255662224</v>
          </cell>
          <cell r="AZ62">
            <v>-0.17331824451774014</v>
          </cell>
          <cell r="BA62">
            <v>-0.21359083800930034</v>
          </cell>
        </row>
        <row r="65">
          <cell r="K65">
            <v>536</v>
          </cell>
          <cell r="L65">
            <v>143</v>
          </cell>
          <cell r="M65">
            <v>580</v>
          </cell>
          <cell r="N65">
            <v>11</v>
          </cell>
          <cell r="O65">
            <v>-1</v>
          </cell>
          <cell r="P65">
            <v>43</v>
          </cell>
          <cell r="AM65">
            <v>0</v>
          </cell>
          <cell r="AN65">
            <v>0</v>
          </cell>
          <cell r="AO65">
            <v>1259</v>
          </cell>
          <cell r="AP65">
            <v>53</v>
          </cell>
          <cell r="AQ65">
            <v>0</v>
          </cell>
          <cell r="AR65">
            <v>0</v>
          </cell>
          <cell r="AW65">
            <v>0</v>
          </cell>
          <cell r="AX65">
            <v>0</v>
          </cell>
          <cell r="AY65">
            <v>1270</v>
          </cell>
          <cell r="AZ65">
            <v>42</v>
          </cell>
          <cell r="BA65">
            <v>0</v>
          </cell>
        </row>
        <row r="66">
          <cell r="K66">
            <v>2174</v>
          </cell>
          <cell r="L66">
            <v>541</v>
          </cell>
          <cell r="M66">
            <v>7442</v>
          </cell>
          <cell r="N66">
            <v>-79</v>
          </cell>
          <cell r="O66">
            <v>-59</v>
          </cell>
          <cell r="P66">
            <v>765</v>
          </cell>
          <cell r="AM66">
            <v>0</v>
          </cell>
          <cell r="AN66">
            <v>0</v>
          </cell>
          <cell r="AO66">
            <v>10157</v>
          </cell>
          <cell r="AP66">
            <v>627</v>
          </cell>
          <cell r="AQ66">
            <v>0</v>
          </cell>
          <cell r="AR66">
            <v>0</v>
          </cell>
          <cell r="AW66">
            <v>0</v>
          </cell>
          <cell r="AX66">
            <v>0</v>
          </cell>
          <cell r="AY66">
            <v>10078</v>
          </cell>
          <cell r="AZ66">
            <v>706</v>
          </cell>
          <cell r="BA66">
            <v>0</v>
          </cell>
        </row>
        <row r="67">
          <cell r="J67">
            <v>261</v>
          </cell>
          <cell r="K67">
            <v>249</v>
          </cell>
          <cell r="L67">
            <v>233</v>
          </cell>
          <cell r="M67">
            <v>178</v>
          </cell>
          <cell r="N67">
            <v>74</v>
          </cell>
          <cell r="O67">
            <v>69</v>
          </cell>
          <cell r="P67">
            <v>75</v>
          </cell>
          <cell r="AM67">
            <v>0</v>
          </cell>
          <cell r="AN67">
            <v>0</v>
          </cell>
          <cell r="AO67">
            <v>921</v>
          </cell>
          <cell r="AP67">
            <v>218</v>
          </cell>
          <cell r="AQ67">
            <v>0</v>
          </cell>
          <cell r="AR67">
            <v>0</v>
          </cell>
          <cell r="AW67">
            <v>0</v>
          </cell>
          <cell r="AX67">
            <v>261</v>
          </cell>
          <cell r="AY67">
            <v>734</v>
          </cell>
          <cell r="AZ67">
            <v>144</v>
          </cell>
          <cell r="BA67">
            <v>0</v>
          </cell>
        </row>
        <row r="68">
          <cell r="J68">
            <v>-141</v>
          </cell>
          <cell r="K68">
            <v>128</v>
          </cell>
          <cell r="L68">
            <v>1178</v>
          </cell>
          <cell r="M68">
            <v>1466</v>
          </cell>
          <cell r="N68">
            <v>73</v>
          </cell>
          <cell r="O68">
            <v>-100</v>
          </cell>
          <cell r="P68">
            <v>27</v>
          </cell>
          <cell r="AM68">
            <v>0</v>
          </cell>
          <cell r="AN68">
            <v>0</v>
          </cell>
          <cell r="AO68">
            <v>2631</v>
          </cell>
          <cell r="AP68">
            <v>0</v>
          </cell>
          <cell r="AQ68">
            <v>0</v>
          </cell>
          <cell r="AR68">
            <v>0</v>
          </cell>
          <cell r="AW68">
            <v>0</v>
          </cell>
          <cell r="AX68">
            <v>-141</v>
          </cell>
          <cell r="AY68">
            <v>2845</v>
          </cell>
          <cell r="AZ68">
            <v>-73</v>
          </cell>
          <cell r="BA68">
            <v>0</v>
          </cell>
        </row>
        <row r="69">
          <cell r="J69">
            <v>-1154</v>
          </cell>
          <cell r="M69">
            <v>-28</v>
          </cell>
          <cell r="AM69">
            <v>0</v>
          </cell>
          <cell r="AN69">
            <v>0</v>
          </cell>
          <cell r="AO69">
            <v>-1182</v>
          </cell>
          <cell r="AP69">
            <v>0</v>
          </cell>
          <cell r="AQ69">
            <v>0</v>
          </cell>
          <cell r="AR69">
            <v>0</v>
          </cell>
          <cell r="AW69">
            <v>0</v>
          </cell>
          <cell r="AX69">
            <v>-1154</v>
          </cell>
          <cell r="AY69">
            <v>-28</v>
          </cell>
          <cell r="AZ69">
            <v>0</v>
          </cell>
          <cell r="BA69">
            <v>0</v>
          </cell>
        </row>
        <row r="70">
          <cell r="N70">
            <v>-523</v>
          </cell>
          <cell r="AM70">
            <v>0</v>
          </cell>
          <cell r="AN70">
            <v>0</v>
          </cell>
          <cell r="AO70">
            <v>0</v>
          </cell>
          <cell r="AP70">
            <v>-523</v>
          </cell>
          <cell r="AQ70">
            <v>0</v>
          </cell>
          <cell r="AR70">
            <v>0</v>
          </cell>
          <cell r="AW70">
            <v>0</v>
          </cell>
          <cell r="AX70">
            <v>0</v>
          </cell>
          <cell r="AY70">
            <v>-523</v>
          </cell>
          <cell r="AZ70">
            <v>0</v>
          </cell>
          <cell r="BA70">
            <v>0</v>
          </cell>
        </row>
        <row r="71">
          <cell r="J71">
            <v>38</v>
          </cell>
          <cell r="L71">
            <v>-68</v>
          </cell>
          <cell r="M71">
            <v>68</v>
          </cell>
          <cell r="AM71">
            <v>0</v>
          </cell>
          <cell r="AN71">
            <v>0</v>
          </cell>
          <cell r="AO71">
            <v>38</v>
          </cell>
          <cell r="AP71">
            <v>0</v>
          </cell>
          <cell r="AQ71">
            <v>0</v>
          </cell>
          <cell r="AR71">
            <v>0</v>
          </cell>
          <cell r="AW71">
            <v>0</v>
          </cell>
          <cell r="AX71">
            <v>38</v>
          </cell>
          <cell r="AY71">
            <v>0</v>
          </cell>
          <cell r="AZ71">
            <v>0</v>
          </cell>
          <cell r="BA71">
            <v>0</v>
          </cell>
        </row>
        <row r="72">
          <cell r="P72">
            <v>837</v>
          </cell>
          <cell r="AM72">
            <v>0</v>
          </cell>
          <cell r="AN72">
            <v>0</v>
          </cell>
          <cell r="AO72">
            <v>0</v>
          </cell>
          <cell r="AP72">
            <v>837</v>
          </cell>
          <cell r="AQ72">
            <v>0</v>
          </cell>
          <cell r="AR72">
            <v>0</v>
          </cell>
          <cell r="AW72">
            <v>0</v>
          </cell>
          <cell r="AX72">
            <v>0</v>
          </cell>
          <cell r="AY72">
            <v>0</v>
          </cell>
          <cell r="AZ72">
            <v>837</v>
          </cell>
          <cell r="BA72">
            <v>0</v>
          </cell>
        </row>
        <row r="73">
          <cell r="P73">
            <v>162</v>
          </cell>
          <cell r="AM73">
            <v>0</v>
          </cell>
          <cell r="AN73">
            <v>0</v>
          </cell>
          <cell r="AO73">
            <v>0</v>
          </cell>
          <cell r="AP73">
            <v>162</v>
          </cell>
          <cell r="AQ73">
            <v>0</v>
          </cell>
          <cell r="AR73">
            <v>0</v>
          </cell>
          <cell r="AW73">
            <v>0</v>
          </cell>
          <cell r="AX73">
            <v>0</v>
          </cell>
          <cell r="AY73">
            <v>0</v>
          </cell>
          <cell r="AZ73">
            <v>162</v>
          </cell>
          <cell r="BA73">
            <v>0</v>
          </cell>
        </row>
        <row r="74">
          <cell r="J74">
            <v>0</v>
          </cell>
          <cell r="K74">
            <v>0</v>
          </cell>
          <cell r="L74">
            <v>0</v>
          </cell>
          <cell r="M74">
            <v>0</v>
          </cell>
          <cell r="N74">
            <v>0</v>
          </cell>
          <cell r="O74">
            <v>0</v>
          </cell>
          <cell r="P74">
            <v>5830</v>
          </cell>
          <cell r="AM74">
            <v>0</v>
          </cell>
          <cell r="AN74">
            <v>0</v>
          </cell>
          <cell r="AO74">
            <v>0</v>
          </cell>
          <cell r="AP74">
            <v>5830</v>
          </cell>
          <cell r="AQ74">
            <v>0</v>
          </cell>
          <cell r="AR74">
            <v>0</v>
          </cell>
          <cell r="AW74">
            <v>0</v>
          </cell>
          <cell r="AX74">
            <v>0</v>
          </cell>
          <cell r="AY74">
            <v>0</v>
          </cell>
          <cell r="AZ74">
            <v>5830</v>
          </cell>
          <cell r="BA74">
            <v>0</v>
          </cell>
        </row>
        <row r="75">
          <cell r="J75">
            <v>-996</v>
          </cell>
          <cell r="K75">
            <v>3087</v>
          </cell>
          <cell r="L75">
            <v>2027</v>
          </cell>
          <cell r="M75">
            <v>9706</v>
          </cell>
          <cell r="N75">
            <v>-444</v>
          </cell>
          <cell r="O75">
            <v>-91</v>
          </cell>
          <cell r="P75">
            <v>7739</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M75">
            <v>0</v>
          </cell>
          <cell r="AN75">
            <v>0</v>
          </cell>
          <cell r="AO75">
            <v>13824</v>
          </cell>
          <cell r="AP75">
            <v>7204</v>
          </cell>
          <cell r="AQ75">
            <v>0</v>
          </cell>
          <cell r="AR75">
            <v>0</v>
          </cell>
          <cell r="AW75">
            <v>0</v>
          </cell>
          <cell r="AX75">
            <v>-996</v>
          </cell>
          <cell r="AY75">
            <v>14376</v>
          </cell>
          <cell r="AZ75">
            <v>7648</v>
          </cell>
          <cell r="BA75">
            <v>0</v>
          </cell>
        </row>
        <row r="76">
          <cell r="J76">
            <v>23</v>
          </cell>
          <cell r="K76">
            <v>-781</v>
          </cell>
          <cell r="L76">
            <v>-184</v>
          </cell>
          <cell r="M76">
            <v>-1772</v>
          </cell>
          <cell r="N76">
            <v>110</v>
          </cell>
          <cell r="O76">
            <v>-45</v>
          </cell>
          <cell r="P76">
            <v>-223</v>
          </cell>
          <cell r="AM76">
            <v>0</v>
          </cell>
          <cell r="AN76">
            <v>0</v>
          </cell>
          <cell r="AO76">
            <v>-2714</v>
          </cell>
          <cell r="AP76">
            <v>-158</v>
          </cell>
          <cell r="AQ76">
            <v>0</v>
          </cell>
          <cell r="AR76">
            <v>0</v>
          </cell>
          <cell r="AW76">
            <v>0</v>
          </cell>
          <cell r="AX76">
            <v>23</v>
          </cell>
          <cell r="AY76">
            <v>-2627</v>
          </cell>
          <cell r="AZ76">
            <v>-268</v>
          </cell>
          <cell r="BA76">
            <v>0</v>
          </cell>
        </row>
        <row r="77">
          <cell r="J77">
            <v>-973</v>
          </cell>
          <cell r="K77">
            <v>2306</v>
          </cell>
          <cell r="L77">
            <v>1843</v>
          </cell>
          <cell r="M77">
            <v>7934</v>
          </cell>
          <cell r="N77">
            <v>-334</v>
          </cell>
          <cell r="O77">
            <v>-136</v>
          </cell>
          <cell r="P77">
            <v>7516</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M77">
            <v>0</v>
          </cell>
          <cell r="AN77">
            <v>0</v>
          </cell>
          <cell r="AO77">
            <v>11110</v>
          </cell>
          <cell r="AP77">
            <v>7046</v>
          </cell>
          <cell r="AQ77">
            <v>0</v>
          </cell>
          <cell r="AR77">
            <v>0</v>
          </cell>
          <cell r="AW77">
            <v>0</v>
          </cell>
          <cell r="AX77">
            <v>-973</v>
          </cell>
          <cell r="AY77">
            <v>11749</v>
          </cell>
          <cell r="AZ77">
            <v>7380</v>
          </cell>
          <cell r="BA77">
            <v>0</v>
          </cell>
        </row>
        <row r="78">
          <cell r="J78">
            <v>-0.28727487452022438</v>
          </cell>
          <cell r="K78">
            <v>0.67803587180241109</v>
          </cell>
          <cell r="L78">
            <v>0.5412628487518355</v>
          </cell>
          <cell r="M78">
            <v>2.3253223915592027</v>
          </cell>
          <cell r="N78">
            <v>-9.7766589585223773E-2</v>
          </cell>
          <cell r="O78">
            <v>-3.9731229915278998E-2</v>
          </cell>
          <cell r="P78">
            <v>2.1922123377570366</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M78">
            <v>0</v>
          </cell>
          <cell r="AN78">
            <v>0</v>
          </cell>
          <cell r="AO78">
            <v>3.2664461595001839</v>
          </cell>
          <cell r="AP78">
            <v>2.0512671217921659</v>
          </cell>
          <cell r="AQ78">
            <v>0</v>
          </cell>
          <cell r="AR78">
            <v>0</v>
          </cell>
          <cell r="AW78">
            <v>0</v>
          </cell>
          <cell r="AX78">
            <v>-0.29010137149672033</v>
          </cell>
          <cell r="AY78">
            <v>3.4468949634378006</v>
          </cell>
          <cell r="AZ78">
            <v>2.137039852318384</v>
          </cell>
          <cell r="BA78">
            <v>0</v>
          </cell>
        </row>
        <row r="79">
          <cell r="P79">
            <v>808</v>
          </cell>
          <cell r="AM79">
            <v>0</v>
          </cell>
          <cell r="AN79">
            <v>0</v>
          </cell>
          <cell r="AO79">
            <v>0</v>
          </cell>
          <cell r="AP79">
            <v>808</v>
          </cell>
          <cell r="AQ79">
            <v>0</v>
          </cell>
          <cell r="AR79">
            <v>0</v>
          </cell>
          <cell r="AW79">
            <v>0</v>
          </cell>
          <cell r="AX79">
            <v>0</v>
          </cell>
          <cell r="AY79">
            <v>0</v>
          </cell>
          <cell r="AZ79">
            <v>808</v>
          </cell>
          <cell r="BA79">
            <v>0</v>
          </cell>
        </row>
        <row r="80">
          <cell r="K80">
            <v>55</v>
          </cell>
          <cell r="M80">
            <v>420</v>
          </cell>
          <cell r="N80">
            <v>301</v>
          </cell>
          <cell r="O80">
            <v>292</v>
          </cell>
          <cell r="P80">
            <v>335</v>
          </cell>
          <cell r="Q80">
            <v>142.5</v>
          </cell>
          <cell r="R80">
            <v>142.5</v>
          </cell>
          <cell r="S80">
            <v>142.5</v>
          </cell>
          <cell r="T80">
            <v>142.5</v>
          </cell>
          <cell r="U80">
            <v>50.375</v>
          </cell>
          <cell r="V80">
            <v>50.375</v>
          </cell>
          <cell r="W80">
            <v>50.375</v>
          </cell>
          <cell r="X80">
            <v>50.375</v>
          </cell>
          <cell r="Y80">
            <v>50.375</v>
          </cell>
          <cell r="Z80">
            <v>50.375</v>
          </cell>
          <cell r="AA80">
            <v>50.375</v>
          </cell>
          <cell r="AB80">
            <v>50.375</v>
          </cell>
          <cell r="AM80">
            <v>0</v>
          </cell>
          <cell r="AN80">
            <v>0</v>
          </cell>
          <cell r="AO80">
            <v>475</v>
          </cell>
          <cell r="AP80">
            <v>1070.5</v>
          </cell>
          <cell r="AQ80">
            <v>477.875</v>
          </cell>
          <cell r="AR80">
            <v>201.5</v>
          </cell>
          <cell r="AW80">
            <v>0</v>
          </cell>
          <cell r="AX80">
            <v>0</v>
          </cell>
          <cell r="AY80">
            <v>776</v>
          </cell>
          <cell r="AZ80">
            <v>912</v>
          </cell>
          <cell r="BA80">
            <v>385.75</v>
          </cell>
        </row>
      </sheetData>
      <sheetData sheetId="2"/>
      <sheetData sheetId="3">
        <row r="6">
          <cell r="B6" t="str">
            <v>Dec-98</v>
          </cell>
          <cell r="C6" t="str">
            <v>Mar-99</v>
          </cell>
          <cell r="D6" t="str">
            <v>Jun-99</v>
          </cell>
          <cell r="E6" t="str">
            <v>Sep-99</v>
          </cell>
          <cell r="F6" t="str">
            <v>Dec-99</v>
          </cell>
          <cell r="G6" t="str">
            <v>Mar-00</v>
          </cell>
          <cell r="H6" t="str">
            <v>Jun-00</v>
          </cell>
          <cell r="I6" t="str">
            <v>Sep-00</v>
          </cell>
          <cell r="J6" t="str">
            <v>Dec-00</v>
          </cell>
          <cell r="K6" t="str">
            <v>Mar-01</v>
          </cell>
          <cell r="L6" t="str">
            <v>Jun-01</v>
          </cell>
          <cell r="M6" t="str">
            <v>Sep-01</v>
          </cell>
          <cell r="N6" t="str">
            <v>Dec-01</v>
          </cell>
          <cell r="O6" t="str">
            <v>Mar-02</v>
          </cell>
          <cell r="P6" t="str">
            <v>Jun-02</v>
          </cell>
          <cell r="Q6" t="str">
            <v>Sep-02</v>
          </cell>
          <cell r="R6" t="str">
            <v>Dec-02</v>
          </cell>
          <cell r="S6" t="str">
            <v>Mar-03</v>
          </cell>
          <cell r="T6" t="str">
            <v>Jun-03</v>
          </cell>
          <cell r="U6" t="str">
            <v>Sep-03</v>
          </cell>
          <cell r="V6" t="str">
            <v>Dec-03</v>
          </cell>
          <cell r="W6" t="str">
            <v>Mar-04</v>
          </cell>
          <cell r="X6" t="str">
            <v>Jun-04</v>
          </cell>
          <cell r="Y6" t="str">
            <v>Sep-04</v>
          </cell>
          <cell r="Z6" t="str">
            <v>Dec-04</v>
          </cell>
          <cell r="AA6" t="str">
            <v>Mar-05</v>
          </cell>
          <cell r="AB6" t="str">
            <v>Jun-05</v>
          </cell>
          <cell r="AC6" t="str">
            <v>Sep-05</v>
          </cell>
        </row>
        <row r="37">
          <cell r="B37">
            <v>8437</v>
          </cell>
          <cell r="C37">
            <v>12051</v>
          </cell>
          <cell r="D37">
            <v>12403</v>
          </cell>
          <cell r="E37">
            <v>13936</v>
          </cell>
          <cell r="F37">
            <v>16079</v>
          </cell>
          <cell r="G37">
            <v>17582</v>
          </cell>
          <cell r="H37">
            <v>26130</v>
          </cell>
          <cell r="I37">
            <v>26172</v>
          </cell>
          <cell r="J37">
            <v>25748</v>
          </cell>
          <cell r="K37">
            <v>22060</v>
          </cell>
          <cell r="L37">
            <v>19825</v>
          </cell>
          <cell r="M37">
            <v>12857</v>
          </cell>
          <cell r="N37">
            <v>12465</v>
          </cell>
          <cell r="O37">
            <v>11906</v>
          </cell>
          <cell r="P37">
            <v>2767</v>
          </cell>
          <cell r="Q37">
            <v>1224.7655778900516</v>
          </cell>
          <cell r="R37">
            <v>238.68061475819559</v>
          </cell>
          <cell r="S37">
            <v>-662.44304236747121</v>
          </cell>
          <cell r="T37">
            <v>-1397.1712811735124</v>
          </cell>
          <cell r="U37">
            <v>-2126.6323852556052</v>
          </cell>
          <cell r="V37">
            <v>-2750.9867391330208</v>
          </cell>
          <cell r="W37">
            <v>-3423.4277928976371</v>
          </cell>
          <cell r="X37">
            <v>-3995.9806993348975</v>
          </cell>
          <cell r="Y37">
            <v>-4630.4654856012367</v>
          </cell>
          <cell r="Z37">
            <v>-5157.7365594173352</v>
          </cell>
          <cell r="AA37">
            <v>-5740.6847355143618</v>
          </cell>
          <cell r="AB37">
            <v>-6218.8065453570744</v>
          </cell>
          <cell r="AC37">
            <v>-6763.8596662611671</v>
          </cell>
        </row>
        <row r="38">
          <cell r="B38">
            <v>8437</v>
          </cell>
          <cell r="C38">
            <v>12051</v>
          </cell>
          <cell r="D38">
            <v>12403</v>
          </cell>
          <cell r="E38">
            <v>12976</v>
          </cell>
          <cell r="F38">
            <v>12087</v>
          </cell>
          <cell r="G38">
            <v>17582</v>
          </cell>
          <cell r="H38">
            <v>17394</v>
          </cell>
          <cell r="I38">
            <v>16227</v>
          </cell>
          <cell r="J38">
            <v>16168</v>
          </cell>
          <cell r="K38">
            <v>16937</v>
          </cell>
          <cell r="L38">
            <v>14945</v>
          </cell>
          <cell r="M38">
            <v>11391</v>
          </cell>
          <cell r="N38">
            <v>11108</v>
          </cell>
          <cell r="O38">
            <v>10623</v>
          </cell>
          <cell r="P38">
            <v>2400</v>
          </cell>
          <cell r="Q38">
            <v>863.49995289005165</v>
          </cell>
          <cell r="R38">
            <v>-116.85063524180441</v>
          </cell>
          <cell r="S38">
            <v>-1012.2399173674712</v>
          </cell>
          <cell r="T38">
            <v>-1741.2337811735124</v>
          </cell>
          <cell r="U38">
            <v>-2464.9605102556052</v>
          </cell>
          <cell r="V38">
            <v>-3083.5804891330208</v>
          </cell>
          <cell r="W38">
            <v>-3750.2871678976371</v>
          </cell>
          <cell r="X38">
            <v>-4317.1056993348975</v>
          </cell>
          <cell r="Y38">
            <v>-4945.8561106012367</v>
          </cell>
          <cell r="Z38">
            <v>-5467.3928094173352</v>
          </cell>
          <cell r="AA38">
            <v>-6044.6066105143618</v>
          </cell>
          <cell r="AB38">
            <v>-6516.9940453570744</v>
          </cell>
          <cell r="AC38">
            <v>-7056.3127912611671</v>
          </cell>
        </row>
        <row r="42">
          <cell r="B42">
            <v>7733</v>
          </cell>
          <cell r="C42">
            <v>11605</v>
          </cell>
          <cell r="D42">
            <v>10439</v>
          </cell>
          <cell r="E42">
            <v>10109</v>
          </cell>
          <cell r="F42">
            <v>12114</v>
          </cell>
          <cell r="G42">
            <v>13303</v>
          </cell>
          <cell r="H42">
            <v>13005</v>
          </cell>
          <cell r="I42">
            <v>12629</v>
          </cell>
          <cell r="J42">
            <v>11652</v>
          </cell>
          <cell r="K42">
            <v>7687</v>
          </cell>
          <cell r="L42">
            <v>7341</v>
          </cell>
          <cell r="M42">
            <v>4679</v>
          </cell>
          <cell r="N42">
            <v>3647</v>
          </cell>
          <cell r="O42">
            <v>3085</v>
          </cell>
          <cell r="P42">
            <v>-800</v>
          </cell>
          <cell r="Q42">
            <v>-1672.2891236941296</v>
          </cell>
          <cell r="R42">
            <v>-2178.7762406561515</v>
          </cell>
          <cell r="S42">
            <v>-2048.8462570053089</v>
          </cell>
          <cell r="T42">
            <v>-2123.8184887698653</v>
          </cell>
          <cell r="U42">
            <v>-2164.7083665267564</v>
          </cell>
          <cell r="V42">
            <v>-2184.8081905309982</v>
          </cell>
          <cell r="W42">
            <v>-2140.6885264027442</v>
          </cell>
          <cell r="X42">
            <v>-2097.6454547974372</v>
          </cell>
          <cell r="Y42">
            <v>-2029.578195215322</v>
          </cell>
          <cell r="Z42">
            <v>-1986.6188743050661</v>
          </cell>
          <cell r="AA42">
            <v>-1982.0502211396579</v>
          </cell>
          <cell r="AB42">
            <v>-1962.2037829482824</v>
          </cell>
          <cell r="AC42">
            <v>-1910.8251110600022</v>
          </cell>
        </row>
        <row r="43">
          <cell r="B43">
            <v>1.3946628084559118</v>
          </cell>
          <cell r="C43">
            <v>1.7967479674796747</v>
          </cell>
          <cell r="D43">
            <v>1.7405486784877886</v>
          </cell>
          <cell r="E43">
            <v>2.1027322404371587</v>
          </cell>
          <cell r="F43">
            <v>2.1758596349702533</v>
          </cell>
          <cell r="G43">
            <v>2.4121825226000859</v>
          </cell>
          <cell r="H43">
            <v>2.5138634420422621</v>
          </cell>
          <cell r="I43">
            <v>1.9757286016364806</v>
          </cell>
          <cell r="J43">
            <v>1.8366872444480078</v>
          </cell>
          <cell r="K43">
            <v>1.5625207572235138</v>
          </cell>
          <cell r="L43">
            <v>1.607447413303013</v>
          </cell>
          <cell r="M43">
            <v>1.5835382043465434</v>
          </cell>
          <cell r="N43">
            <v>1.858639420589757</v>
          </cell>
          <cell r="O43">
            <v>2.1373147340889278</v>
          </cell>
          <cell r="P43">
            <v>1.662596783799881</v>
          </cell>
          <cell r="Q43">
            <v>1.4264869866287671</v>
          </cell>
          <cell r="R43">
            <v>1.3105467553788643</v>
          </cell>
          <cell r="S43">
            <v>1.1869192695434816</v>
          </cell>
          <cell r="T43">
            <v>1.0809801675290327</v>
          </cell>
          <cell r="U43">
            <v>0.98383391500121553</v>
          </cell>
          <cell r="V43">
            <v>0.89984621335636628</v>
          </cell>
          <cell r="W43">
            <v>0.80795722022628758</v>
          </cell>
          <cell r="X43">
            <v>0.73035465217573137</v>
          </cell>
          <cell r="Y43">
            <v>0.67202778508720817</v>
          </cell>
          <cell r="Z43">
            <v>0.63190082114110946</v>
          </cell>
          <cell r="AA43">
            <v>0.58730185828932047</v>
          </cell>
          <cell r="AB43">
            <v>0.55792871768709207</v>
          </cell>
          <cell r="AC43">
            <v>0.53528946667862487</v>
          </cell>
        </row>
        <row r="44">
          <cell r="B44">
            <v>0.8138413310827104</v>
          </cell>
          <cell r="C44">
            <v>0.82546272271233345</v>
          </cell>
          <cell r="D44">
            <v>0.91845098695215788</v>
          </cell>
          <cell r="E44">
            <v>1.1459016393442623</v>
          </cell>
          <cell r="F44">
            <v>1.2465463345769889</v>
          </cell>
          <cell r="G44">
            <v>1.3217821782178218</v>
          </cell>
          <cell r="H44">
            <v>1.3205081226334432</v>
          </cell>
          <cell r="I44">
            <v>1.0136066930219729</v>
          </cell>
          <cell r="J44">
            <v>0.88992223202116572</v>
          </cell>
          <cell r="K44">
            <v>0.62587180338757886</v>
          </cell>
          <cell r="L44">
            <v>0.6540648095508812</v>
          </cell>
          <cell r="M44">
            <v>0.68679319500442526</v>
          </cell>
          <cell r="N44">
            <v>0.81130367304707707</v>
          </cell>
          <cell r="O44">
            <v>1.1131938390002907</v>
          </cell>
          <cell r="P44">
            <v>1.1417510422870756</v>
          </cell>
          <cell r="Q44">
            <v>0.94459210905947066</v>
          </cell>
          <cell r="R44">
            <v>0.85403860209582227</v>
          </cell>
          <cell r="S44">
            <v>0.74092058640721981</v>
          </cell>
          <cell r="T44">
            <v>0.64473249229186269</v>
          </cell>
          <cell r="U44">
            <v>0.55180886073495972</v>
          </cell>
          <cell r="V44">
            <v>0.46760363457508808</v>
          </cell>
          <cell r="W44">
            <v>0.37079499454166465</v>
          </cell>
          <cell r="X44">
            <v>0.28829210231314611</v>
          </cell>
          <cell r="Y44">
            <v>0.26114591409672461</v>
          </cell>
          <cell r="Z44">
            <v>0.24621599961245652</v>
          </cell>
          <cell r="AA44">
            <v>0.22764641580236286</v>
          </cell>
          <cell r="AB44">
            <v>0.21670101389227428</v>
          </cell>
          <cell r="AC44">
            <v>0.21209146168031132</v>
          </cell>
        </row>
        <row r="45">
          <cell r="B45">
            <v>3.1952402773727608</v>
          </cell>
          <cell r="C45">
            <v>4.5094938485130385</v>
          </cell>
          <cell r="D45">
            <v>4.0679084561528143</v>
          </cell>
          <cell r="E45">
            <v>4.5368260643522209</v>
          </cell>
          <cell r="F45">
            <v>4.9201346389228888</v>
          </cell>
          <cell r="G45">
            <v>5.3701893708002446</v>
          </cell>
          <cell r="H45">
            <v>7.8444911438006608</v>
          </cell>
          <cell r="I45">
            <v>7.643691588785047</v>
          </cell>
          <cell r="J45">
            <v>7.6020076764098024</v>
          </cell>
          <cell r="K45">
            <v>6.4863275507203761</v>
          </cell>
          <cell r="L45">
            <v>5.8223201174743027</v>
          </cell>
          <cell r="M45">
            <v>3.7681711606096133</v>
          </cell>
          <cell r="N45">
            <v>3.6486842490413602</v>
          </cell>
          <cell r="O45">
            <v>3.4782354659655272</v>
          </cell>
          <cell r="P45">
            <v>0.80705848038500805</v>
          </cell>
          <cell r="Q45">
            <v>0.35275506275635127</v>
          </cell>
          <cell r="R45">
            <v>6.8389860962233692E-2</v>
          </cell>
          <cell r="S45">
            <v>-0.18926944067642035</v>
          </cell>
          <cell r="T45">
            <v>-0.39919179462100352</v>
          </cell>
          <cell r="U45">
            <v>-0.60760925293017287</v>
          </cell>
          <cell r="V45">
            <v>-0.78599621118086305</v>
          </cell>
          <cell r="W45">
            <v>-0.97812222654218206</v>
          </cell>
          <cell r="X45">
            <v>-1.1417087712385421</v>
          </cell>
          <cell r="Y45">
            <v>-1.3229901387432104</v>
          </cell>
          <cell r="Z45">
            <v>-1.4736390169763816</v>
          </cell>
          <cell r="AA45">
            <v>-1.6401956387183891</v>
          </cell>
          <cell r="AB45">
            <v>-1.7768018701020212</v>
          </cell>
          <cell r="AC45">
            <v>-1.9325313332174763</v>
          </cell>
        </row>
        <row r="46">
          <cell r="B46">
            <v>3.1952402773727608</v>
          </cell>
          <cell r="C46">
            <v>4.5094938485130385</v>
          </cell>
          <cell r="D46">
            <v>4.0679084561528143</v>
          </cell>
          <cell r="E46">
            <v>4.2243007327091284</v>
          </cell>
          <cell r="F46">
            <v>3.69859241126071</v>
          </cell>
          <cell r="G46">
            <v>5.3701893708002446</v>
          </cell>
          <cell r="H46">
            <v>5.2218552987090963</v>
          </cell>
          <cell r="I46">
            <v>4.7391939252336446</v>
          </cell>
          <cell r="J46">
            <v>4.7735459108355478</v>
          </cell>
          <cell r="K46">
            <v>4.980005880623346</v>
          </cell>
          <cell r="L46">
            <v>4.3891336270190893</v>
          </cell>
          <cell r="M46">
            <v>3.3385111371629543</v>
          </cell>
          <cell r="N46">
            <v>3.2514708895588793</v>
          </cell>
          <cell r="O46">
            <v>3.1034180543382996</v>
          </cell>
          <cell r="P46">
            <v>0.70001458363715907</v>
          </cell>
          <cell r="Q46">
            <v>0.24870390348215773</v>
          </cell>
          <cell r="R46">
            <v>-3.3481557375875187E-2</v>
          </cell>
          <cell r="S46">
            <v>-0.28921140496213465</v>
          </cell>
          <cell r="T46">
            <v>-0.49749536604957495</v>
          </cell>
          <cell r="U46">
            <v>-0.70427443150160152</v>
          </cell>
          <cell r="V46">
            <v>-0.88102299689514885</v>
          </cell>
          <cell r="W46">
            <v>-1.0715106193993249</v>
          </cell>
          <cell r="X46">
            <v>-1.2334587712385421</v>
          </cell>
          <cell r="Y46">
            <v>-1.4131017458860675</v>
          </cell>
          <cell r="Z46">
            <v>-1.5621122312620959</v>
          </cell>
          <cell r="AA46">
            <v>-1.7270304601469606</v>
          </cell>
          <cell r="AB46">
            <v>-1.8619982986734498</v>
          </cell>
          <cell r="AC46">
            <v>-2.016089368931762</v>
          </cell>
        </row>
        <row r="47">
          <cell r="B47">
            <v>0.35599453131805087</v>
          </cell>
          <cell r="C47">
            <v>0.29636703410690618</v>
          </cell>
          <cell r="D47">
            <v>0.49032678722474055</v>
          </cell>
          <cell r="E47">
            <v>0.54887261369818052</v>
          </cell>
          <cell r="F47">
            <v>0.67900856793145659</v>
          </cell>
          <cell r="G47">
            <v>0.52199144777031159</v>
          </cell>
          <cell r="H47">
            <v>0.21314920444311017</v>
          </cell>
          <cell r="I47">
            <v>0.42844626168224298</v>
          </cell>
          <cell r="J47">
            <v>1.1260702686743431</v>
          </cell>
          <cell r="K47">
            <v>0.41223169655983533</v>
          </cell>
          <cell r="L47">
            <v>0.671071953010279</v>
          </cell>
          <cell r="M47">
            <v>0.7004689331770223</v>
          </cell>
          <cell r="N47">
            <v>0.8983403096917717</v>
          </cell>
          <cell r="O47">
            <v>1.4092900964066608</v>
          </cell>
          <cell r="P47">
            <v>1.5817412862767974</v>
          </cell>
          <cell r="Q47">
            <v>1.3780769487893618</v>
          </cell>
          <cell r="R47">
            <v>1.2433261986536714</v>
          </cell>
          <cell r="S47">
            <v>0.94987153408785885</v>
          </cell>
          <cell r="T47">
            <v>0.76198285655626852</v>
          </cell>
          <cell r="U47">
            <v>0.5877402859822245</v>
          </cell>
          <cell r="V47">
            <v>0.43366589050052368</v>
          </cell>
          <cell r="W47">
            <v>0.24302694931484331</v>
          </cell>
          <cell r="X47">
            <v>7.723645938207041E-2</v>
          </cell>
          <cell r="Y47">
            <v>5.4457141657925048E-2</v>
          </cell>
          <cell r="Z47">
            <v>5.1986126307468856E-2</v>
          </cell>
          <cell r="AA47">
            <v>4.2736949196867727E-2</v>
          </cell>
          <cell r="AB47">
            <v>4.2466962264405245E-2</v>
          </cell>
          <cell r="AC47">
            <v>5.4895065086273433E-2</v>
          </cell>
        </row>
        <row r="48">
          <cell r="B48">
            <v>0.18252933507170796</v>
          </cell>
          <cell r="C48">
            <v>4.5888308024230356E-2</v>
          </cell>
          <cell r="D48">
            <v>5.9017979521083612E-2</v>
          </cell>
          <cell r="E48">
            <v>5.7620551090700342E-2</v>
          </cell>
          <cell r="F48">
            <v>5.9456433857826979E-2</v>
          </cell>
          <cell r="G48">
            <v>2.8950062563985895E-2</v>
          </cell>
          <cell r="H48">
            <v>2.9697665518561039E-2</v>
          </cell>
          <cell r="I48">
            <v>2.6325844413877426E-2</v>
          </cell>
          <cell r="J48">
            <v>-5.580758519620941E-2</v>
          </cell>
          <cell r="K48">
            <v>-6.3025582833182242E-2</v>
          </cell>
          <cell r="L48">
            <v>-6.693896733967214E-2</v>
          </cell>
          <cell r="M48">
            <v>-7.2658862876254199E-2</v>
          </cell>
          <cell r="N48">
            <v>-6.0730044123545927E-2</v>
          </cell>
          <cell r="O48">
            <v>-5.2973031699787995E-2</v>
          </cell>
          <cell r="P48">
            <v>-0.18431841857562339</v>
          </cell>
          <cell r="Q48">
            <v>-1.1988860959331784</v>
          </cell>
          <cell r="R48">
            <v>-4.1313994608688915</v>
          </cell>
          <cell r="S48">
            <v>1.2487770332211836</v>
          </cell>
          <cell r="T48">
            <v>0.52586840905356225</v>
          </cell>
          <cell r="U48">
            <v>0.30827194611883763</v>
          </cell>
          <cell r="V48">
            <v>0.22695651163850586</v>
          </cell>
          <cell r="W48">
            <v>0.17484261096624007</v>
          </cell>
          <cell r="X48">
            <v>0.14328220016992563</v>
          </cell>
          <cell r="Y48">
            <v>0.12106877548479286</v>
          </cell>
          <cell r="Z48">
            <v>0.10222915958229215</v>
          </cell>
          <cell r="AA48">
            <v>8.8677257078360494E-2</v>
          </cell>
          <cell r="AB48">
            <v>7.6883210042878028E-2</v>
          </cell>
          <cell r="AC48">
            <v>6.9660392756868528E-2</v>
          </cell>
        </row>
        <row r="49">
          <cell r="B49">
            <v>4.8671028096457125E-2</v>
          </cell>
          <cell r="C49">
            <v>1.5429687500000001E-2</v>
          </cell>
          <cell r="D49">
            <v>1.9700721283238239E-2</v>
          </cell>
          <cell r="E49">
            <v>2.2701571864751781E-2</v>
          </cell>
          <cell r="F49">
            <v>2.4745043226173838E-2</v>
          </cell>
          <cell r="G49">
            <v>1.2725954446583494E-2</v>
          </cell>
          <cell r="H49">
            <v>1.6745791972378077E-2</v>
          </cell>
          <cell r="I49">
            <v>1.4121167404492541E-2</v>
          </cell>
          <cell r="J49">
            <v>-2.8715127667952277E-2</v>
          </cell>
          <cell r="K49">
            <v>-3.150779244680129E-2</v>
          </cell>
          <cell r="L49">
            <v>-3.3310701260297705E-2</v>
          </cell>
          <cell r="M49">
            <v>-2.7749970294676813E-2</v>
          </cell>
          <cell r="N49">
            <v>-2.5067055200503327E-2</v>
          </cell>
          <cell r="O49">
            <v>-2.0783527167260129E-2</v>
          </cell>
          <cell r="P49">
            <v>-2.3875711071520523E-2</v>
          </cell>
          <cell r="Q49">
            <v>-7.1868901787725717E-2</v>
          </cell>
          <cell r="R49">
            <v>-5.2004458199185151E-2</v>
          </cell>
          <cell r="S49">
            <v>-4.6511073892791563E-2</v>
          </cell>
          <cell r="T49">
            <v>-4.3758112940537289E-2</v>
          </cell>
          <cell r="U49">
            <v>-4.1073997477024227E-2</v>
          </cell>
          <cell r="V49">
            <v>-4.0837374743150107E-2</v>
          </cell>
          <cell r="W49">
            <v>-4.0929515431383338E-2</v>
          </cell>
          <cell r="X49">
            <v>-4.0721346445564688E-2</v>
          </cell>
          <cell r="Y49">
            <v>-3.9942775426925904E-2</v>
          </cell>
          <cell r="Z49">
            <v>-3.7533966700104927E-2</v>
          </cell>
          <cell r="AA49">
            <v>-3.6499813448669968E-2</v>
          </cell>
          <cell r="AB49">
            <v>-3.4302973492663862E-2</v>
          </cell>
          <cell r="AC49">
            <v>-3.3564571164775368E-2</v>
          </cell>
        </row>
        <row r="52">
          <cell r="B52">
            <v>107.38388853299168</v>
          </cell>
          <cell r="C52">
            <v>119.30385419778905</v>
          </cell>
          <cell r="D52">
            <v>119.4751552795031</v>
          </cell>
          <cell r="E52">
            <v>98.323383541513593</v>
          </cell>
          <cell r="F52">
            <v>133.5760932313465</v>
          </cell>
          <cell r="G52">
            <v>134.85969387755102</v>
          </cell>
          <cell r="H52">
            <v>124.35459390178089</v>
          </cell>
          <cell r="I52">
            <v>121.60729224762966</v>
          </cell>
          <cell r="J52">
            <v>173.67711228794425</v>
          </cell>
          <cell r="K52">
            <v>105.13447311740512</v>
          </cell>
          <cell r="L52">
            <v>78.545686417582559</v>
          </cell>
          <cell r="M52">
            <v>88.449700904389374</v>
          </cell>
          <cell r="N52">
            <v>102.67929292929293</v>
          </cell>
          <cell r="O52">
            <v>78.383637124027658</v>
          </cell>
          <cell r="P52">
            <v>69.466558039568852</v>
          </cell>
          <cell r="Q52">
            <v>90.391760257051445</v>
          </cell>
          <cell r="R52">
            <v>77.242438440434114</v>
          </cell>
          <cell r="S52">
            <v>70.26211115933819</v>
          </cell>
          <cell r="T52">
            <v>73.628669113934606</v>
          </cell>
          <cell r="U52">
            <v>70.885450182289077</v>
          </cell>
          <cell r="V52">
            <v>69.434436465613146</v>
          </cell>
          <cell r="W52">
            <v>67.085497721313303</v>
          </cell>
          <cell r="X52">
            <v>66.143411052123724</v>
          </cell>
          <cell r="Y52">
            <v>65.698055951015633</v>
          </cell>
          <cell r="Z52">
            <v>65.209946220600486</v>
          </cell>
          <cell r="AA52">
            <v>65.916192460606652</v>
          </cell>
          <cell r="AB52">
            <v>64.645364755450586</v>
          </cell>
          <cell r="AC52">
            <v>64.107138671231141</v>
          </cell>
        </row>
        <row r="53">
          <cell r="B53">
            <v>98.46972293630391</v>
          </cell>
          <cell r="C53">
            <v>116.0584263065179</v>
          </cell>
          <cell r="D53">
            <v>126.25801496126103</v>
          </cell>
          <cell r="E53">
            <v>86.768333707109221</v>
          </cell>
          <cell r="F53">
            <v>129.49749406489053</v>
          </cell>
          <cell r="G53">
            <v>114.32570049446669</v>
          </cell>
          <cell r="H53">
            <v>105.28517999064984</v>
          </cell>
          <cell r="I53">
            <v>109.17307692307692</v>
          </cell>
          <cell r="J53">
            <v>188.162095323741</v>
          </cell>
          <cell r="K53">
            <v>123.01360431813174</v>
          </cell>
          <cell r="L53">
            <v>99.963999566912079</v>
          </cell>
          <cell r="M53">
            <v>79.100689491203042</v>
          </cell>
          <cell r="N53">
            <v>83.290023395721931</v>
          </cell>
          <cell r="O53">
            <v>81.099907918968697</v>
          </cell>
          <cell r="P53">
            <v>80.162416851441236</v>
          </cell>
          <cell r="Q53">
            <v>91.25</v>
          </cell>
          <cell r="R53">
            <v>78.475000000000009</v>
          </cell>
          <cell r="S53">
            <v>78.475000000000009</v>
          </cell>
          <cell r="T53">
            <v>78.474999999999994</v>
          </cell>
          <cell r="U53">
            <v>78.475000000000009</v>
          </cell>
          <cell r="V53">
            <v>78.47499999999998</v>
          </cell>
          <cell r="W53">
            <v>78.474999999999994</v>
          </cell>
          <cell r="X53">
            <v>78.475000000000009</v>
          </cell>
          <cell r="Y53">
            <v>78.475000000000009</v>
          </cell>
          <cell r="Z53">
            <v>78.474999999999994</v>
          </cell>
          <cell r="AA53">
            <v>78.474999999999994</v>
          </cell>
          <cell r="AB53">
            <v>78.475000000000009</v>
          </cell>
          <cell r="AC53">
            <v>78.474999999999994</v>
          </cell>
        </row>
        <row r="54">
          <cell r="C54">
            <v>6.6032059186189889</v>
          </cell>
          <cell r="D54">
            <v>6.0939964251918832</v>
          </cell>
          <cell r="E54">
            <v>6.9357681282514063</v>
          </cell>
          <cell r="F54">
            <v>5.7621621621621619</v>
          </cell>
          <cell r="G54">
            <v>5.3482852069900009</v>
          </cell>
          <cell r="H54">
            <v>5.7810275909135225</v>
          </cell>
          <cell r="I54">
            <v>5.4061999434655608</v>
          </cell>
          <cell r="J54">
            <v>2.4390355504096846</v>
          </cell>
          <cell r="K54">
            <v>3.2778308310201565</v>
          </cell>
          <cell r="L54">
            <v>3.839638556085883</v>
          </cell>
          <cell r="M54">
            <v>4.3669844916714533</v>
          </cell>
          <cell r="N54">
            <v>4.3468715697036222</v>
          </cell>
          <cell r="O54">
            <v>5.4685895561155897</v>
          </cell>
          <cell r="P54">
            <v>5.3691232331383709</v>
          </cell>
          <cell r="Q54">
            <v>4.4163049140458135</v>
          </cell>
          <cell r="R54">
            <v>4.7929592121426845</v>
          </cell>
          <cell r="S54">
            <v>5.4371765332016162</v>
          </cell>
          <cell r="T54">
            <v>5.7232528015898456</v>
          </cell>
          <cell r="U54">
            <v>6.0898300706486834</v>
          </cell>
          <cell r="V54">
            <v>6.2073643411030375</v>
          </cell>
          <cell r="W54">
            <v>6.3313431308688033</v>
          </cell>
          <cell r="X54">
            <v>6.327788744588136</v>
          </cell>
          <cell r="Y54">
            <v>6.3244470472427858</v>
          </cell>
          <cell r="Z54">
            <v>6.3665797797614241</v>
          </cell>
          <cell r="AA54">
            <v>6.3362131681657665</v>
          </cell>
          <cell r="AB54">
            <v>6.5001479778983589</v>
          </cell>
          <cell r="AC54">
            <v>6.5499201731695313</v>
          </cell>
        </row>
        <row r="58">
          <cell r="I58">
            <v>1263</v>
          </cell>
          <cell r="J58">
            <v>1843</v>
          </cell>
          <cell r="K58">
            <v>1000</v>
          </cell>
          <cell r="L58">
            <v>2293</v>
          </cell>
          <cell r="M58">
            <v>2528</v>
          </cell>
          <cell r="N58">
            <v>788</v>
          </cell>
          <cell r="O58">
            <v>987</v>
          </cell>
          <cell r="P58">
            <v>967</v>
          </cell>
        </row>
        <row r="59">
          <cell r="I59">
            <v>3270</v>
          </cell>
          <cell r="J59">
            <v>2260</v>
          </cell>
          <cell r="K59">
            <v>800</v>
          </cell>
          <cell r="L59">
            <v>1561</v>
          </cell>
          <cell r="M59">
            <v>1411</v>
          </cell>
          <cell r="N59">
            <v>938</v>
          </cell>
          <cell r="O59">
            <v>787</v>
          </cell>
          <cell r="P59">
            <v>520</v>
          </cell>
        </row>
        <row r="60">
          <cell r="I60">
            <v>2121</v>
          </cell>
          <cell r="J60">
            <v>1606</v>
          </cell>
          <cell r="K60">
            <v>200</v>
          </cell>
          <cell r="L60">
            <v>725</v>
          </cell>
          <cell r="M60">
            <v>655</v>
          </cell>
          <cell r="N60">
            <v>262</v>
          </cell>
          <cell r="O60">
            <v>201</v>
          </cell>
          <cell r="P60">
            <v>201</v>
          </cell>
        </row>
        <row r="61">
          <cell r="F61">
            <v>0</v>
          </cell>
          <cell r="G61">
            <v>0</v>
          </cell>
          <cell r="H61">
            <v>0</v>
          </cell>
          <cell r="I61">
            <v>6654</v>
          </cell>
          <cell r="J61">
            <v>5709</v>
          </cell>
          <cell r="K61">
            <v>2000</v>
          </cell>
          <cell r="L61">
            <v>4579</v>
          </cell>
          <cell r="M61">
            <v>4594</v>
          </cell>
          <cell r="N61">
            <v>1988</v>
          </cell>
          <cell r="O61">
            <v>1975</v>
          </cell>
          <cell r="P61">
            <v>1688</v>
          </cell>
          <cell r="Q61">
            <v>0</v>
          </cell>
          <cell r="R61">
            <v>0</v>
          </cell>
          <cell r="S61">
            <v>0</v>
          </cell>
          <cell r="T61">
            <v>0</v>
          </cell>
          <cell r="U61">
            <v>0</v>
          </cell>
          <cell r="V61">
            <v>0</v>
          </cell>
          <cell r="W61">
            <v>0</v>
          </cell>
          <cell r="X61">
            <v>0</v>
          </cell>
          <cell r="Y61">
            <v>0</v>
          </cell>
          <cell r="Z61">
            <v>0</v>
          </cell>
        </row>
        <row r="64">
          <cell r="I64">
            <v>771</v>
          </cell>
          <cell r="J64">
            <v>740</v>
          </cell>
          <cell r="K64">
            <v>200</v>
          </cell>
          <cell r="L64">
            <v>659</v>
          </cell>
          <cell r="M64">
            <v>428</v>
          </cell>
          <cell r="N64">
            <v>381</v>
          </cell>
          <cell r="O64">
            <v>217</v>
          </cell>
          <cell r="P64">
            <v>235</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94RIG"/>
      <sheetName val="Annual"/>
    </sheetNames>
    <sheetDataSet>
      <sheetData sheetId="0">
        <row r="408">
          <cell r="A408">
            <v>37</v>
          </cell>
          <cell r="B408">
            <v>33856</v>
          </cell>
          <cell r="C408">
            <v>33851</v>
          </cell>
          <cell r="J408">
            <v>706</v>
          </cell>
          <cell r="K408">
            <v>45</v>
          </cell>
          <cell r="L408">
            <v>661</v>
          </cell>
          <cell r="M408">
            <v>6.3739376770538245E-2</v>
          </cell>
          <cell r="N408">
            <v>39</v>
          </cell>
          <cell r="O408">
            <v>12</v>
          </cell>
          <cell r="P408">
            <v>97</v>
          </cell>
          <cell r="Q408">
            <v>1</v>
          </cell>
          <cell r="R408">
            <v>96</v>
          </cell>
          <cell r="S408">
            <v>330</v>
          </cell>
          <cell r="T408">
            <v>887.75414012738861</v>
          </cell>
          <cell r="U408">
            <v>326</v>
          </cell>
          <cell r="V408">
            <v>-106</v>
          </cell>
          <cell r="W408">
            <v>-10</v>
          </cell>
          <cell r="X408">
            <v>0.49695121951219512</v>
          </cell>
          <cell r="Y408">
            <v>66</v>
          </cell>
          <cell r="Z408">
            <v>53</v>
          </cell>
          <cell r="AA408">
            <v>0.16855524079320114</v>
          </cell>
          <cell r="AB408">
            <v>9.3484419263456089E-2</v>
          </cell>
          <cell r="AC408">
            <v>21.686</v>
          </cell>
          <cell r="AD408">
            <v>2.08</v>
          </cell>
          <cell r="AE408" t="e">
            <v>#REF!</v>
          </cell>
          <cell r="AF408">
            <v>6.94</v>
          </cell>
          <cell r="AG408">
            <v>7.81</v>
          </cell>
          <cell r="AH408">
            <v>8.93</v>
          </cell>
          <cell r="AI408" t="e">
            <v>#REF!</v>
          </cell>
          <cell r="AJ408">
            <v>803</v>
          </cell>
          <cell r="AK408">
            <v>757</v>
          </cell>
          <cell r="AL408">
            <v>46</v>
          </cell>
          <cell r="AM408">
            <v>587</v>
          </cell>
          <cell r="AN408">
            <v>649</v>
          </cell>
          <cell r="AP408">
            <v>33851</v>
          </cell>
          <cell r="AQ408">
            <v>1.92</v>
          </cell>
          <cell r="BA408">
            <v>33851</v>
          </cell>
          <cell r="BB408">
            <v>21.686</v>
          </cell>
          <cell r="BC408">
            <v>2.08</v>
          </cell>
          <cell r="BP408">
            <v>36049</v>
          </cell>
          <cell r="CQ408">
            <v>33851</v>
          </cell>
          <cell r="CR408">
            <v>2.08</v>
          </cell>
        </row>
        <row r="409">
          <cell r="A409">
            <v>38</v>
          </cell>
          <cell r="B409">
            <v>33863</v>
          </cell>
          <cell r="C409">
            <v>33858</v>
          </cell>
          <cell r="J409">
            <v>687</v>
          </cell>
          <cell r="K409">
            <v>43</v>
          </cell>
          <cell r="L409">
            <v>644</v>
          </cell>
          <cell r="M409">
            <v>6.2590975254730716E-2</v>
          </cell>
          <cell r="N409">
            <v>37</v>
          </cell>
          <cell r="O409">
            <v>12</v>
          </cell>
          <cell r="P409">
            <v>68</v>
          </cell>
          <cell r="Q409">
            <v>1</v>
          </cell>
          <cell r="R409">
            <v>67</v>
          </cell>
          <cell r="S409">
            <v>334</v>
          </cell>
          <cell r="T409">
            <v>836.89936305732476</v>
          </cell>
          <cell r="U409">
            <v>336</v>
          </cell>
          <cell r="V409">
            <v>-85</v>
          </cell>
          <cell r="W409">
            <v>27</v>
          </cell>
          <cell r="X409">
            <v>0.5014925373134328</v>
          </cell>
          <cell r="Y409">
            <v>66</v>
          </cell>
          <cell r="Z409">
            <v>50</v>
          </cell>
          <cell r="AA409">
            <v>0.16885007278020378</v>
          </cell>
          <cell r="AB409">
            <v>9.606986899563319E-2</v>
          </cell>
          <cell r="AC409">
            <v>21.972000000000001</v>
          </cell>
          <cell r="AD409">
            <v>2.0299999999999998</v>
          </cell>
          <cell r="AE409" t="e">
            <v>#REF!</v>
          </cell>
          <cell r="AF409">
            <v>6.94</v>
          </cell>
          <cell r="AG409">
            <v>7.81</v>
          </cell>
          <cell r="AH409">
            <v>8.93</v>
          </cell>
          <cell r="AI409" t="e">
            <v>#REF!</v>
          </cell>
          <cell r="AJ409">
            <v>755</v>
          </cell>
          <cell r="AK409">
            <v>711</v>
          </cell>
          <cell r="AL409">
            <v>44</v>
          </cell>
          <cell r="AM409">
            <v>571</v>
          </cell>
          <cell r="AN409">
            <v>632</v>
          </cell>
          <cell r="AP409">
            <v>33858</v>
          </cell>
          <cell r="AQ409">
            <v>1.9</v>
          </cell>
          <cell r="BA409">
            <v>33858</v>
          </cell>
          <cell r="BB409">
            <v>21.972000000000001</v>
          </cell>
          <cell r="BC409">
            <v>2.0299999999999998</v>
          </cell>
          <cell r="BP409">
            <v>36056</v>
          </cell>
          <cell r="CQ409">
            <v>33858</v>
          </cell>
          <cell r="CR409">
            <v>2.0299999999999998</v>
          </cell>
        </row>
        <row r="410">
          <cell r="A410">
            <v>39</v>
          </cell>
          <cell r="B410">
            <v>33870</v>
          </cell>
          <cell r="C410">
            <v>33865</v>
          </cell>
          <cell r="J410">
            <v>720</v>
          </cell>
          <cell r="K410">
            <v>46</v>
          </cell>
          <cell r="L410">
            <v>674</v>
          </cell>
          <cell r="M410">
            <v>6.3888888888888884E-2</v>
          </cell>
          <cell r="N410">
            <v>42</v>
          </cell>
          <cell r="O410">
            <v>11</v>
          </cell>
          <cell r="P410">
            <v>94</v>
          </cell>
          <cell r="Q410">
            <v>1</v>
          </cell>
          <cell r="R410">
            <v>93</v>
          </cell>
          <cell r="S410">
            <v>315</v>
          </cell>
          <cell r="T410">
            <v>900.828025477707</v>
          </cell>
          <cell r="U410">
            <v>333</v>
          </cell>
          <cell r="V410">
            <v>-125</v>
          </cell>
          <cell r="W410">
            <v>30</v>
          </cell>
          <cell r="X410">
            <v>0.51388888888888884</v>
          </cell>
          <cell r="Y410">
            <v>64</v>
          </cell>
          <cell r="Z410">
            <v>48</v>
          </cell>
          <cell r="AA410">
            <v>0.15555555555555556</v>
          </cell>
          <cell r="AB410">
            <v>8.8888888888888892E-2</v>
          </cell>
          <cell r="AC410">
            <v>22.231999999999999</v>
          </cell>
          <cell r="AD410">
            <v>2.028</v>
          </cell>
          <cell r="AE410" t="e">
            <v>#REF!</v>
          </cell>
          <cell r="AF410">
            <v>6.94</v>
          </cell>
          <cell r="AG410">
            <v>7.81</v>
          </cell>
          <cell r="AH410">
            <v>8.93</v>
          </cell>
          <cell r="AI410" t="e">
            <v>#REF!</v>
          </cell>
          <cell r="AJ410">
            <v>814</v>
          </cell>
          <cell r="AK410">
            <v>767</v>
          </cell>
          <cell r="AL410">
            <v>47</v>
          </cell>
          <cell r="AM410">
            <v>608</v>
          </cell>
          <cell r="AN410">
            <v>663</v>
          </cell>
          <cell r="AP410">
            <v>33865</v>
          </cell>
          <cell r="AQ410">
            <v>1.99</v>
          </cell>
          <cell r="BA410">
            <v>33865</v>
          </cell>
          <cell r="BB410">
            <v>22.231999999999999</v>
          </cell>
          <cell r="BC410">
            <v>2.028</v>
          </cell>
          <cell r="BP410">
            <v>36063</v>
          </cell>
          <cell r="CQ410">
            <v>33865</v>
          </cell>
          <cell r="CR410">
            <v>2.028</v>
          </cell>
        </row>
        <row r="411">
          <cell r="A411">
            <v>40</v>
          </cell>
          <cell r="B411">
            <v>33877</v>
          </cell>
          <cell r="C411">
            <v>33872</v>
          </cell>
          <cell r="J411">
            <v>755</v>
          </cell>
          <cell r="K411">
            <v>46</v>
          </cell>
          <cell r="L411">
            <v>709</v>
          </cell>
          <cell r="M411">
            <v>6.0927152317880796E-2</v>
          </cell>
          <cell r="N411">
            <v>41</v>
          </cell>
          <cell r="O411">
            <v>9</v>
          </cell>
          <cell r="P411">
            <v>89</v>
          </cell>
          <cell r="Q411">
            <v>1</v>
          </cell>
          <cell r="R411">
            <v>88</v>
          </cell>
          <cell r="S411">
            <v>342</v>
          </cell>
          <cell r="T411">
            <v>931.01273885350315</v>
          </cell>
          <cell r="U411">
            <v>345</v>
          </cell>
          <cell r="V411">
            <v>-94</v>
          </cell>
          <cell r="W411">
            <v>39</v>
          </cell>
          <cell r="X411">
            <v>0.50218340611353707</v>
          </cell>
          <cell r="Y411">
            <v>67</v>
          </cell>
          <cell r="Z411">
            <v>47</v>
          </cell>
          <cell r="AA411">
            <v>0.15099337748344371</v>
          </cell>
          <cell r="AB411">
            <v>8.8741721854304637E-2</v>
          </cell>
          <cell r="AC411">
            <v>21.756</v>
          </cell>
          <cell r="AD411">
            <v>2.214</v>
          </cell>
          <cell r="AE411" t="e">
            <v>#REF!</v>
          </cell>
          <cell r="AF411">
            <v>6.94</v>
          </cell>
          <cell r="AG411">
            <v>7.81</v>
          </cell>
          <cell r="AH411">
            <v>8.93</v>
          </cell>
          <cell r="AI411" t="e">
            <v>#REF!</v>
          </cell>
          <cell r="AJ411">
            <v>844</v>
          </cell>
          <cell r="AK411">
            <v>797</v>
          </cell>
          <cell r="AL411">
            <v>47</v>
          </cell>
          <cell r="AM411">
            <v>641</v>
          </cell>
          <cell r="AN411">
            <v>700</v>
          </cell>
          <cell r="AP411">
            <v>33872</v>
          </cell>
          <cell r="AQ411">
            <v>2.4500000000000002</v>
          </cell>
          <cell r="BA411">
            <v>33872</v>
          </cell>
          <cell r="BB411">
            <v>21.756</v>
          </cell>
          <cell r="BC411">
            <v>2.214</v>
          </cell>
          <cell r="BP411">
            <v>36070</v>
          </cell>
          <cell r="CQ411">
            <v>33872</v>
          </cell>
          <cell r="CR411">
            <v>2.214</v>
          </cell>
        </row>
        <row r="412">
          <cell r="A412">
            <v>41</v>
          </cell>
          <cell r="B412">
            <v>33884</v>
          </cell>
          <cell r="C412">
            <v>33879</v>
          </cell>
          <cell r="J412">
            <v>756</v>
          </cell>
          <cell r="K412">
            <v>52</v>
          </cell>
          <cell r="L412">
            <v>704</v>
          </cell>
          <cell r="M412">
            <v>6.8783068783068779E-2</v>
          </cell>
          <cell r="N412">
            <v>46</v>
          </cell>
          <cell r="O412">
            <v>12</v>
          </cell>
          <cell r="P412">
            <v>96</v>
          </cell>
          <cell r="Q412">
            <v>1</v>
          </cell>
          <cell r="R412">
            <v>95</v>
          </cell>
          <cell r="S412">
            <v>364</v>
          </cell>
          <cell r="T412">
            <v>950.53248407643309</v>
          </cell>
          <cell r="U412">
            <v>381</v>
          </cell>
          <cell r="V412">
            <v>-70</v>
          </cell>
          <cell r="W412">
            <v>61</v>
          </cell>
          <cell r="X412">
            <v>0.51140939597315438</v>
          </cell>
          <cell r="Y412">
            <v>67</v>
          </cell>
          <cell r="Z412">
            <v>51</v>
          </cell>
          <cell r="AA412">
            <v>0.15608465608465608</v>
          </cell>
          <cell r="AB412">
            <v>8.8624338624338619E-2</v>
          </cell>
          <cell r="AC412">
            <v>21.777999999999999</v>
          </cell>
          <cell r="AD412">
            <v>2.5419999999999998</v>
          </cell>
          <cell r="AE412" t="e">
            <v>#REF!</v>
          </cell>
          <cell r="AF412">
            <v>6.94</v>
          </cell>
          <cell r="AG412">
            <v>7.81</v>
          </cell>
          <cell r="AH412">
            <v>8.93</v>
          </cell>
          <cell r="AI412" t="e">
            <v>#REF!</v>
          </cell>
          <cell r="AJ412">
            <v>852</v>
          </cell>
          <cell r="AK412">
            <v>799</v>
          </cell>
          <cell r="AL412">
            <v>53</v>
          </cell>
          <cell r="AM412">
            <v>638</v>
          </cell>
          <cell r="AN412">
            <v>692</v>
          </cell>
          <cell r="AP412">
            <v>33879</v>
          </cell>
          <cell r="AQ412">
            <v>2.4</v>
          </cell>
          <cell r="BA412">
            <v>33879</v>
          </cell>
          <cell r="BB412">
            <v>21.777999999999999</v>
          </cell>
          <cell r="BC412">
            <v>2.5419999999999998</v>
          </cell>
          <cell r="BP412">
            <v>36077</v>
          </cell>
          <cell r="CQ412">
            <v>33879</v>
          </cell>
          <cell r="CR412">
            <v>2.5419999999999998</v>
          </cell>
        </row>
        <row r="413">
          <cell r="A413">
            <v>42</v>
          </cell>
          <cell r="B413">
            <v>33891</v>
          </cell>
          <cell r="C413">
            <v>33886</v>
          </cell>
          <cell r="J413">
            <v>787</v>
          </cell>
          <cell r="K413">
            <v>51</v>
          </cell>
          <cell r="L413">
            <v>736</v>
          </cell>
          <cell r="M413">
            <v>6.480304955527319E-2</v>
          </cell>
          <cell r="N413">
            <v>46</v>
          </cell>
          <cell r="O413">
            <v>7</v>
          </cell>
          <cell r="P413">
            <v>99</v>
          </cell>
          <cell r="Q413">
            <v>1</v>
          </cell>
          <cell r="R413">
            <v>98</v>
          </cell>
          <cell r="S413">
            <v>377</v>
          </cell>
          <cell r="T413">
            <v>982.4585987261147</v>
          </cell>
          <cell r="U413">
            <v>399</v>
          </cell>
          <cell r="V413">
            <v>-61</v>
          </cell>
          <cell r="W413">
            <v>82</v>
          </cell>
          <cell r="X413">
            <v>0.51417525773195871</v>
          </cell>
          <cell r="Y413">
            <v>76</v>
          </cell>
          <cell r="Z413">
            <v>51</v>
          </cell>
          <cell r="AA413">
            <v>0.16137229987293519</v>
          </cell>
          <cell r="AB413">
            <v>9.6569250317662003E-2</v>
          </cell>
          <cell r="AC413">
            <v>21.966000000000001</v>
          </cell>
          <cell r="AD413">
            <v>2.5379999999999998</v>
          </cell>
          <cell r="AE413" t="e">
            <v>#REF!</v>
          </cell>
          <cell r="AF413">
            <v>6.94</v>
          </cell>
          <cell r="AG413">
            <v>7.81</v>
          </cell>
          <cell r="AH413">
            <v>8.93</v>
          </cell>
          <cell r="AI413" t="e">
            <v>#REF!</v>
          </cell>
          <cell r="AJ413">
            <v>886</v>
          </cell>
          <cell r="AK413">
            <v>834</v>
          </cell>
          <cell r="AL413">
            <v>52</v>
          </cell>
          <cell r="AM413">
            <v>660</v>
          </cell>
          <cell r="AN413">
            <v>729</v>
          </cell>
          <cell r="AP413">
            <v>33886</v>
          </cell>
          <cell r="AQ413">
            <v>2.2200000000000002</v>
          </cell>
          <cell r="BA413">
            <v>33886</v>
          </cell>
          <cell r="BB413">
            <v>21.966000000000001</v>
          </cell>
          <cell r="BC413">
            <v>2.5379999999999998</v>
          </cell>
          <cell r="BP413">
            <v>36084</v>
          </cell>
          <cell r="CQ413">
            <v>33886</v>
          </cell>
          <cell r="CR413">
            <v>2.5379999999999998</v>
          </cell>
        </row>
        <row r="414">
          <cell r="A414">
            <v>43</v>
          </cell>
          <cell r="B414">
            <v>33898</v>
          </cell>
          <cell r="C414">
            <v>33893</v>
          </cell>
          <cell r="J414">
            <v>803</v>
          </cell>
          <cell r="K414">
            <v>51</v>
          </cell>
          <cell r="L414">
            <v>752</v>
          </cell>
          <cell r="M414">
            <v>6.351183063511831E-2</v>
          </cell>
          <cell r="N414">
            <v>46</v>
          </cell>
          <cell r="O414">
            <v>7</v>
          </cell>
          <cell r="P414">
            <v>92</v>
          </cell>
          <cell r="Q414">
            <v>1</v>
          </cell>
          <cell r="R414">
            <v>91</v>
          </cell>
          <cell r="S414">
            <v>393</v>
          </cell>
          <cell r="T414">
            <v>991.71719745222936</v>
          </cell>
          <cell r="U414">
            <v>399</v>
          </cell>
          <cell r="V414">
            <v>-34</v>
          </cell>
          <cell r="W414">
            <v>59</v>
          </cell>
          <cell r="X414">
            <v>0.50378787878787878</v>
          </cell>
          <cell r="Y414">
            <v>71</v>
          </cell>
          <cell r="Z414">
            <v>49</v>
          </cell>
          <cell r="AA414">
            <v>0.149439601494396</v>
          </cell>
          <cell r="AB414">
            <v>8.8418430884184315E-2</v>
          </cell>
          <cell r="AC414">
            <v>22.216000000000001</v>
          </cell>
          <cell r="AD414">
            <v>2.3260000000000001</v>
          </cell>
          <cell r="AE414" t="e">
            <v>#REF!</v>
          </cell>
          <cell r="AF414">
            <v>6.94</v>
          </cell>
          <cell r="AG414">
            <v>7.81</v>
          </cell>
          <cell r="AH414">
            <v>8.93</v>
          </cell>
          <cell r="AI414" t="e">
            <v>#REF!</v>
          </cell>
          <cell r="AJ414">
            <v>895</v>
          </cell>
          <cell r="AK414">
            <v>843</v>
          </cell>
          <cell r="AL414">
            <v>52</v>
          </cell>
          <cell r="AM414">
            <v>683</v>
          </cell>
          <cell r="AN414">
            <v>745</v>
          </cell>
          <cell r="AP414">
            <v>33893</v>
          </cell>
          <cell r="AQ414">
            <v>2.1</v>
          </cell>
          <cell r="BA414">
            <v>33893</v>
          </cell>
          <cell r="BB414">
            <v>22.216000000000001</v>
          </cell>
          <cell r="BC414">
            <v>2.3260000000000001</v>
          </cell>
          <cell r="BP414">
            <v>36091</v>
          </cell>
          <cell r="CQ414">
            <v>33893</v>
          </cell>
          <cell r="CR414">
            <v>2.3260000000000001</v>
          </cell>
        </row>
        <row r="415">
          <cell r="A415">
            <v>44</v>
          </cell>
          <cell r="B415">
            <v>33905</v>
          </cell>
          <cell r="C415">
            <v>33900</v>
          </cell>
          <cell r="J415">
            <v>830</v>
          </cell>
          <cell r="K415">
            <v>55</v>
          </cell>
          <cell r="L415">
            <v>775</v>
          </cell>
          <cell r="M415">
            <v>6.6265060240963861E-2</v>
          </cell>
          <cell r="N415">
            <v>50</v>
          </cell>
          <cell r="O415">
            <v>12</v>
          </cell>
          <cell r="P415">
            <v>116</v>
          </cell>
          <cell r="Q415">
            <v>0</v>
          </cell>
          <cell r="R415">
            <v>116</v>
          </cell>
          <cell r="S415">
            <v>415</v>
          </cell>
          <cell r="T415">
            <v>1049.6828025477707</v>
          </cell>
          <cell r="U415">
            <v>403</v>
          </cell>
          <cell r="V415">
            <v>-17</v>
          </cell>
          <cell r="W415">
            <v>62</v>
          </cell>
          <cell r="X415">
            <v>0.49266503667481665</v>
          </cell>
          <cell r="Y415">
            <v>77</v>
          </cell>
          <cell r="Z415">
            <v>47</v>
          </cell>
          <cell r="AA415">
            <v>0.14939759036144579</v>
          </cell>
          <cell r="AB415">
            <v>9.2771084337349402E-2</v>
          </cell>
          <cell r="AC415">
            <v>21.542000000000002</v>
          </cell>
          <cell r="AD415">
            <v>2.3380000000000001</v>
          </cell>
          <cell r="AE415" t="e">
            <v>#REF!</v>
          </cell>
          <cell r="AF415">
            <v>6.94</v>
          </cell>
          <cell r="AG415">
            <v>7.81</v>
          </cell>
          <cell r="AH415">
            <v>8.93</v>
          </cell>
          <cell r="AI415" t="e">
            <v>#REF!</v>
          </cell>
          <cell r="AJ415">
            <v>946</v>
          </cell>
          <cell r="AK415">
            <v>891</v>
          </cell>
          <cell r="AL415">
            <v>55</v>
          </cell>
          <cell r="AM415">
            <v>706</v>
          </cell>
          <cell r="AN415">
            <v>763</v>
          </cell>
          <cell r="AP415">
            <v>33900</v>
          </cell>
          <cell r="AQ415">
            <v>2.25</v>
          </cell>
          <cell r="BA415">
            <v>33900</v>
          </cell>
          <cell r="BB415">
            <v>21.542000000000002</v>
          </cell>
          <cell r="BC415">
            <v>2.3380000000000001</v>
          </cell>
          <cell r="BP415">
            <v>36098</v>
          </cell>
          <cell r="CQ415">
            <v>33900</v>
          </cell>
          <cell r="CR415">
            <v>2.3380000000000001</v>
          </cell>
        </row>
        <row r="416">
          <cell r="A416">
            <v>45</v>
          </cell>
          <cell r="B416">
            <v>33912</v>
          </cell>
          <cell r="C416">
            <v>33907</v>
          </cell>
          <cell r="J416">
            <v>838</v>
          </cell>
          <cell r="K416">
            <v>55</v>
          </cell>
          <cell r="L416">
            <v>783</v>
          </cell>
          <cell r="M416">
            <v>6.5632458233890217E-2</v>
          </cell>
          <cell r="N416">
            <v>51</v>
          </cell>
          <cell r="O416">
            <v>13</v>
          </cell>
          <cell r="P416">
            <v>116</v>
          </cell>
          <cell r="Q416">
            <v>0</v>
          </cell>
          <cell r="R416">
            <v>116</v>
          </cell>
          <cell r="S416">
            <v>410</v>
          </cell>
          <cell r="T416">
            <v>1057.6828025477707</v>
          </cell>
          <cell r="U416">
            <v>415</v>
          </cell>
          <cell r="V416">
            <v>-22</v>
          </cell>
          <cell r="W416">
            <v>80</v>
          </cell>
          <cell r="X416">
            <v>0.50303030303030305</v>
          </cell>
          <cell r="Y416">
            <v>79</v>
          </cell>
          <cell r="Z416">
            <v>44</v>
          </cell>
          <cell r="AA416">
            <v>0.1467780429594272</v>
          </cell>
          <cell r="AB416">
            <v>9.4272076372315036E-2</v>
          </cell>
          <cell r="AC416">
            <v>20.948</v>
          </cell>
          <cell r="AD416">
            <v>2.3380000000000001</v>
          </cell>
          <cell r="AE416" t="e">
            <v>#REF!</v>
          </cell>
          <cell r="AF416">
            <v>6.94</v>
          </cell>
          <cell r="AG416">
            <v>7.81</v>
          </cell>
          <cell r="AH416">
            <v>8.93</v>
          </cell>
          <cell r="AI416" t="e">
            <v>#REF!</v>
          </cell>
          <cell r="AJ416">
            <v>954</v>
          </cell>
          <cell r="AK416">
            <v>899</v>
          </cell>
          <cell r="AL416">
            <v>55</v>
          </cell>
          <cell r="AM416">
            <v>715</v>
          </cell>
          <cell r="AN416">
            <v>770</v>
          </cell>
          <cell r="AP416">
            <v>33907</v>
          </cell>
          <cell r="AQ416">
            <v>2.1</v>
          </cell>
          <cell r="BA416">
            <v>33907</v>
          </cell>
          <cell r="BB416">
            <v>20.948</v>
          </cell>
          <cell r="BC416">
            <v>2.3380000000000001</v>
          </cell>
          <cell r="BP416">
            <v>36105</v>
          </cell>
          <cell r="CQ416">
            <v>33907</v>
          </cell>
          <cell r="CR416">
            <v>2.3380000000000001</v>
          </cell>
        </row>
        <row r="417">
          <cell r="A417">
            <v>46</v>
          </cell>
          <cell r="B417">
            <v>33919</v>
          </cell>
          <cell r="C417">
            <v>33914</v>
          </cell>
          <cell r="J417">
            <v>853</v>
          </cell>
          <cell r="K417">
            <v>58</v>
          </cell>
          <cell r="L417">
            <v>795</v>
          </cell>
          <cell r="M417">
            <v>6.799531066822978E-2</v>
          </cell>
          <cell r="N417">
            <v>54</v>
          </cell>
          <cell r="O417">
            <v>13</v>
          </cell>
          <cell r="P417">
            <v>109</v>
          </cell>
          <cell r="Q417">
            <v>0</v>
          </cell>
          <cell r="R417">
            <v>109</v>
          </cell>
          <cell r="S417">
            <v>412</v>
          </cell>
          <cell r="T417">
            <v>1071.8305732484075</v>
          </cell>
          <cell r="U417">
            <v>429</v>
          </cell>
          <cell r="V417">
            <v>-24</v>
          </cell>
          <cell r="W417">
            <v>100</v>
          </cell>
          <cell r="X417">
            <v>0.51010701545778836</v>
          </cell>
          <cell r="Y417">
            <v>76</v>
          </cell>
          <cell r="Z417">
            <v>44</v>
          </cell>
          <cell r="AA417">
            <v>0.1406799531066823</v>
          </cell>
          <cell r="AB417">
            <v>8.9097303634232128E-2</v>
          </cell>
          <cell r="AC417">
            <v>20.547999999999998</v>
          </cell>
          <cell r="AD417">
            <v>2.2480000000000002</v>
          </cell>
          <cell r="AE417" t="e">
            <v>#REF!</v>
          </cell>
          <cell r="AF417">
            <v>6.94</v>
          </cell>
          <cell r="AG417">
            <v>7.81</v>
          </cell>
          <cell r="AH417">
            <v>8.93</v>
          </cell>
          <cell r="AI417" t="e">
            <v>#REF!</v>
          </cell>
          <cell r="AJ417">
            <v>962</v>
          </cell>
          <cell r="AK417">
            <v>904</v>
          </cell>
          <cell r="AL417">
            <v>58</v>
          </cell>
          <cell r="AM417">
            <v>733</v>
          </cell>
          <cell r="AN417">
            <v>782</v>
          </cell>
          <cell r="AP417">
            <v>33914</v>
          </cell>
          <cell r="AQ417">
            <v>2.16</v>
          </cell>
          <cell r="BA417">
            <v>33914</v>
          </cell>
          <cell r="BB417">
            <v>20.547999999999998</v>
          </cell>
          <cell r="BC417">
            <v>2.2480000000000002</v>
          </cell>
          <cell r="BP417">
            <v>36112</v>
          </cell>
          <cell r="CQ417">
            <v>33914</v>
          </cell>
          <cell r="CR417">
            <v>2.2480000000000002</v>
          </cell>
        </row>
        <row r="418">
          <cell r="A418">
            <v>47</v>
          </cell>
          <cell r="B418">
            <v>33926</v>
          </cell>
          <cell r="C418">
            <v>33921</v>
          </cell>
          <cell r="J418">
            <v>885</v>
          </cell>
          <cell r="K418">
            <v>65</v>
          </cell>
          <cell r="L418">
            <v>820</v>
          </cell>
          <cell r="M418">
            <v>7.3446327683615822E-2</v>
          </cell>
          <cell r="N418">
            <v>61</v>
          </cell>
          <cell r="O418">
            <v>15</v>
          </cell>
          <cell r="P418">
            <v>124</v>
          </cell>
          <cell r="Q418">
            <v>0</v>
          </cell>
          <cell r="R418">
            <v>124</v>
          </cell>
          <cell r="S418">
            <v>430</v>
          </cell>
          <cell r="T418">
            <v>1132.0178343949044</v>
          </cell>
          <cell r="U418">
            <v>440</v>
          </cell>
          <cell r="V418">
            <v>-25</v>
          </cell>
          <cell r="W418">
            <v>118</v>
          </cell>
          <cell r="X418">
            <v>0.50574712643678166</v>
          </cell>
          <cell r="Y418">
            <v>80</v>
          </cell>
          <cell r="Z418">
            <v>45</v>
          </cell>
          <cell r="AA418">
            <v>0.14124293785310735</v>
          </cell>
          <cell r="AB418">
            <v>9.03954802259887E-2</v>
          </cell>
          <cell r="AC418">
            <v>20.37</v>
          </cell>
          <cell r="AD418">
            <v>2.3079999999999998</v>
          </cell>
          <cell r="AE418" t="e">
            <v>#REF!</v>
          </cell>
          <cell r="AF418">
            <v>6.94</v>
          </cell>
          <cell r="AG418">
            <v>7.81</v>
          </cell>
          <cell r="AH418">
            <v>8.93</v>
          </cell>
          <cell r="AI418" t="e">
            <v>#REF!</v>
          </cell>
          <cell r="AJ418">
            <v>1009</v>
          </cell>
          <cell r="AK418">
            <v>944</v>
          </cell>
          <cell r="AL418">
            <v>65</v>
          </cell>
          <cell r="AM418">
            <v>760</v>
          </cell>
          <cell r="AN418">
            <v>805</v>
          </cell>
          <cell r="AP418">
            <v>33921</v>
          </cell>
          <cell r="AQ418">
            <v>2.16</v>
          </cell>
          <cell r="BA418">
            <v>33921</v>
          </cell>
          <cell r="BB418">
            <v>20.37</v>
          </cell>
          <cell r="BC418">
            <v>2.3079999999999998</v>
          </cell>
          <cell r="BP418">
            <v>36119</v>
          </cell>
          <cell r="CQ418">
            <v>33921</v>
          </cell>
          <cell r="CR418">
            <v>2.3079999999999998</v>
          </cell>
        </row>
        <row r="419">
          <cell r="A419">
            <v>48</v>
          </cell>
          <cell r="B419">
            <v>33933</v>
          </cell>
          <cell r="C419">
            <v>33928</v>
          </cell>
          <cell r="J419">
            <v>890</v>
          </cell>
          <cell r="K419">
            <v>59</v>
          </cell>
          <cell r="L419">
            <v>831</v>
          </cell>
          <cell r="M419">
            <v>6.6292134831460681E-2</v>
          </cell>
          <cell r="N419">
            <v>55</v>
          </cell>
          <cell r="O419">
            <v>16</v>
          </cell>
          <cell r="P419">
            <v>138</v>
          </cell>
          <cell r="Q419">
            <v>0</v>
          </cell>
          <cell r="R419">
            <v>138</v>
          </cell>
          <cell r="S419">
            <v>407</v>
          </cell>
          <cell r="T419">
            <v>1138.7222929936306</v>
          </cell>
          <cell r="U419">
            <v>469</v>
          </cell>
          <cell r="V419">
            <v>-69</v>
          </cell>
          <cell r="W419">
            <v>136</v>
          </cell>
          <cell r="X419">
            <v>0.53538812785388123</v>
          </cell>
          <cell r="Y419">
            <v>83</v>
          </cell>
          <cell r="Z419">
            <v>46</v>
          </cell>
          <cell r="AA419">
            <v>0.14494382022471911</v>
          </cell>
          <cell r="AB419">
            <v>9.3258426966292135E-2</v>
          </cell>
          <cell r="AC419">
            <v>20.352</v>
          </cell>
          <cell r="AD419">
            <v>2.2799999999999998</v>
          </cell>
          <cell r="AE419" t="e">
            <v>#REF!</v>
          </cell>
          <cell r="AF419">
            <v>6.94</v>
          </cell>
          <cell r="AG419">
            <v>7.81</v>
          </cell>
          <cell r="AH419">
            <v>8.93</v>
          </cell>
          <cell r="AI419" t="e">
            <v>#REF!</v>
          </cell>
          <cell r="AJ419">
            <v>1028</v>
          </cell>
          <cell r="AK419">
            <v>969</v>
          </cell>
          <cell r="AL419">
            <v>59</v>
          </cell>
          <cell r="AM419">
            <v>761</v>
          </cell>
          <cell r="AN419">
            <v>815</v>
          </cell>
          <cell r="AP419">
            <v>33928</v>
          </cell>
          <cell r="AQ419">
            <v>2.13</v>
          </cell>
          <cell r="BA419">
            <v>33928</v>
          </cell>
          <cell r="BB419">
            <v>20.352</v>
          </cell>
          <cell r="BC419">
            <v>2.2799999999999998</v>
          </cell>
          <cell r="BP419">
            <v>36126</v>
          </cell>
          <cell r="CQ419">
            <v>33928</v>
          </cell>
          <cell r="CR419">
            <v>2.2799999999999998</v>
          </cell>
        </row>
        <row r="420">
          <cell r="A420">
            <v>49</v>
          </cell>
          <cell r="B420">
            <v>33940</v>
          </cell>
          <cell r="C420">
            <v>33933</v>
          </cell>
          <cell r="J420">
            <v>899</v>
          </cell>
          <cell r="K420">
            <v>60</v>
          </cell>
          <cell r="L420">
            <v>839</v>
          </cell>
          <cell r="M420">
            <v>6.6740823136818686E-2</v>
          </cell>
          <cell r="N420">
            <v>56</v>
          </cell>
          <cell r="O420">
            <v>17</v>
          </cell>
          <cell r="P420">
            <v>173</v>
          </cell>
          <cell r="Q420">
            <v>0</v>
          </cell>
          <cell r="R420">
            <v>173</v>
          </cell>
          <cell r="S420">
            <v>421</v>
          </cell>
          <cell r="T420">
            <v>1183.392356687898</v>
          </cell>
          <cell r="U420">
            <v>466</v>
          </cell>
          <cell r="V420">
            <v>-63</v>
          </cell>
          <cell r="W420">
            <v>145</v>
          </cell>
          <cell r="X420">
            <v>0.52536640360766629</v>
          </cell>
          <cell r="Y420">
            <v>86</v>
          </cell>
          <cell r="Z420">
            <v>48</v>
          </cell>
          <cell r="AA420">
            <v>0.14905450500556172</v>
          </cell>
          <cell r="AB420">
            <v>9.5661846496106789E-2</v>
          </cell>
          <cell r="AC420">
            <v>20.138000000000002</v>
          </cell>
          <cell r="AD420">
            <v>2.2759999999999998</v>
          </cell>
          <cell r="AE420" t="e">
            <v>#REF!</v>
          </cell>
          <cell r="AF420">
            <v>6.94</v>
          </cell>
          <cell r="AG420">
            <v>7.81</v>
          </cell>
          <cell r="AH420">
            <v>8.93</v>
          </cell>
          <cell r="AI420" t="e">
            <v>#REF!</v>
          </cell>
          <cell r="AJ420">
            <v>1072</v>
          </cell>
          <cell r="AK420">
            <v>1012</v>
          </cell>
          <cell r="AL420">
            <v>60</v>
          </cell>
          <cell r="AM420">
            <v>765</v>
          </cell>
          <cell r="AN420">
            <v>822</v>
          </cell>
          <cell r="AP420">
            <v>33935</v>
          </cell>
          <cell r="AQ420">
            <v>2.17</v>
          </cell>
          <cell r="BA420">
            <v>33935</v>
          </cell>
          <cell r="BB420">
            <v>20.138000000000002</v>
          </cell>
          <cell r="BC420">
            <v>2.2759999999999998</v>
          </cell>
          <cell r="BP420">
            <v>36133</v>
          </cell>
          <cell r="CQ420">
            <v>33935</v>
          </cell>
          <cell r="CR420">
            <v>2.2759999999999998</v>
          </cell>
        </row>
        <row r="421">
          <cell r="A421">
            <v>50</v>
          </cell>
          <cell r="B421">
            <v>33947</v>
          </cell>
          <cell r="C421">
            <v>33942</v>
          </cell>
          <cell r="J421">
            <v>914</v>
          </cell>
          <cell r="K421">
            <v>60</v>
          </cell>
          <cell r="L421">
            <v>854</v>
          </cell>
          <cell r="M421">
            <v>6.5645514223194742E-2</v>
          </cell>
          <cell r="N421">
            <v>55</v>
          </cell>
          <cell r="O421">
            <v>18</v>
          </cell>
          <cell r="P421">
            <v>185</v>
          </cell>
          <cell r="Q421">
            <v>0</v>
          </cell>
          <cell r="R421">
            <v>185</v>
          </cell>
          <cell r="S421">
            <v>432</v>
          </cell>
          <cell r="T421">
            <v>1209.9490445859872</v>
          </cell>
          <cell r="U421">
            <v>470</v>
          </cell>
          <cell r="V421">
            <v>-66</v>
          </cell>
          <cell r="W421">
            <v>171</v>
          </cell>
          <cell r="X421">
            <v>0.52106430155210648</v>
          </cell>
          <cell r="Y421">
            <v>87</v>
          </cell>
          <cell r="Z421">
            <v>45</v>
          </cell>
          <cell r="AA421">
            <v>0.14442013129102846</v>
          </cell>
          <cell r="AB421">
            <v>9.5185995623632391E-2</v>
          </cell>
          <cell r="AC421">
            <v>19.373999999999999</v>
          </cell>
          <cell r="AD421">
            <v>2.282</v>
          </cell>
          <cell r="AE421" t="e">
            <v>#REF!</v>
          </cell>
          <cell r="AF421">
            <v>6.94</v>
          </cell>
          <cell r="AG421">
            <v>7.81</v>
          </cell>
          <cell r="AH421">
            <v>8.93</v>
          </cell>
          <cell r="AI421" t="e">
            <v>#REF!</v>
          </cell>
          <cell r="AJ421">
            <v>1099</v>
          </cell>
          <cell r="AK421">
            <v>1039</v>
          </cell>
          <cell r="AL421">
            <v>60</v>
          </cell>
          <cell r="AM421">
            <v>782</v>
          </cell>
          <cell r="AN421">
            <v>836</v>
          </cell>
          <cell r="AP421">
            <v>33942</v>
          </cell>
          <cell r="AQ421">
            <v>2.17</v>
          </cell>
          <cell r="BA421">
            <v>33942</v>
          </cell>
          <cell r="BB421">
            <v>19.373999999999999</v>
          </cell>
          <cell r="BC421">
            <v>2.282</v>
          </cell>
          <cell r="BP421">
            <v>36140</v>
          </cell>
          <cell r="CQ421">
            <v>33942</v>
          </cell>
          <cell r="CR421">
            <v>2.282</v>
          </cell>
        </row>
        <row r="422">
          <cell r="A422">
            <v>51</v>
          </cell>
          <cell r="B422">
            <v>33954</v>
          </cell>
          <cell r="C422">
            <v>33949</v>
          </cell>
          <cell r="J422">
            <v>930</v>
          </cell>
          <cell r="K422">
            <v>61</v>
          </cell>
          <cell r="L422">
            <v>869</v>
          </cell>
          <cell r="M422">
            <v>6.5591397849462371E-2</v>
          </cell>
          <cell r="N422">
            <v>56</v>
          </cell>
          <cell r="O422">
            <v>20</v>
          </cell>
          <cell r="P422">
            <v>197</v>
          </cell>
          <cell r="Q422">
            <v>0</v>
          </cell>
          <cell r="R422">
            <v>197</v>
          </cell>
          <cell r="S422">
            <v>425</v>
          </cell>
          <cell r="T422">
            <v>1239.4687898089173</v>
          </cell>
          <cell r="U422">
            <v>494</v>
          </cell>
          <cell r="V422">
            <v>-54</v>
          </cell>
          <cell r="W422">
            <v>188</v>
          </cell>
          <cell r="X422">
            <v>0.53754080522306857</v>
          </cell>
          <cell r="Y422">
            <v>89</v>
          </cell>
          <cell r="Z422">
            <v>53</v>
          </cell>
          <cell r="AA422">
            <v>0.15268817204301074</v>
          </cell>
          <cell r="AB422">
            <v>9.56989247311828E-2</v>
          </cell>
          <cell r="AC422">
            <v>19.045999999999999</v>
          </cell>
          <cell r="AD422">
            <v>2.218</v>
          </cell>
          <cell r="AE422" t="e">
            <v>#REF!</v>
          </cell>
          <cell r="AF422">
            <v>6.94</v>
          </cell>
          <cell r="AG422">
            <v>7.81</v>
          </cell>
          <cell r="AH422">
            <v>8.93</v>
          </cell>
          <cell r="AI422" t="e">
            <v>#REF!</v>
          </cell>
          <cell r="AJ422">
            <v>1127</v>
          </cell>
          <cell r="AK422">
            <v>1066</v>
          </cell>
          <cell r="AL422">
            <v>61</v>
          </cell>
          <cell r="AM422">
            <v>788</v>
          </cell>
          <cell r="AN422">
            <v>849</v>
          </cell>
          <cell r="AP422">
            <v>33949</v>
          </cell>
          <cell r="AQ422">
            <v>2.16</v>
          </cell>
          <cell r="BA422">
            <v>33949</v>
          </cell>
          <cell r="BB422">
            <v>19.045999999999999</v>
          </cell>
          <cell r="BC422">
            <v>2.218</v>
          </cell>
          <cell r="BP422">
            <v>36147</v>
          </cell>
          <cell r="CQ422">
            <v>33949</v>
          </cell>
          <cell r="CR422">
            <v>2.218</v>
          </cell>
        </row>
        <row r="423">
          <cell r="A423">
            <v>52</v>
          </cell>
          <cell r="B423">
            <v>33961</v>
          </cell>
          <cell r="C423">
            <v>33956</v>
          </cell>
          <cell r="J423">
            <v>935</v>
          </cell>
          <cell r="K423">
            <v>59</v>
          </cell>
          <cell r="L423">
            <v>876</v>
          </cell>
          <cell r="M423">
            <v>6.310160427807486E-2</v>
          </cell>
          <cell r="N423">
            <v>54</v>
          </cell>
          <cell r="O423">
            <v>21</v>
          </cell>
          <cell r="P423">
            <v>188</v>
          </cell>
          <cell r="Q423">
            <v>0</v>
          </cell>
          <cell r="R423">
            <v>188</v>
          </cell>
          <cell r="S423">
            <v>381</v>
          </cell>
          <cell r="T423">
            <v>1231.8751592356687</v>
          </cell>
          <cell r="U423">
            <v>528</v>
          </cell>
          <cell r="V423">
            <v>-84</v>
          </cell>
          <cell r="W423">
            <v>216</v>
          </cell>
          <cell r="X423">
            <v>0.58085808580858089</v>
          </cell>
          <cell r="Y423">
            <v>92</v>
          </cell>
          <cell r="Z423">
            <v>53</v>
          </cell>
          <cell r="AA423">
            <v>0.15508021390374332</v>
          </cell>
          <cell r="AB423">
            <v>9.8395721925133683E-2</v>
          </cell>
          <cell r="AC423">
            <v>19.396000000000001</v>
          </cell>
          <cell r="AD423">
            <v>2.226</v>
          </cell>
          <cell r="AE423" t="e">
            <v>#REF!</v>
          </cell>
          <cell r="AF423">
            <v>6.94</v>
          </cell>
          <cell r="AG423">
            <v>7.81</v>
          </cell>
          <cell r="AH423">
            <v>8.93</v>
          </cell>
          <cell r="AI423" t="e">
            <v>#REF!</v>
          </cell>
          <cell r="AJ423">
            <v>1123</v>
          </cell>
          <cell r="AK423">
            <v>1064</v>
          </cell>
          <cell r="AL423">
            <v>59</v>
          </cell>
          <cell r="AM423">
            <v>790</v>
          </cell>
          <cell r="AN423">
            <v>855</v>
          </cell>
          <cell r="AP423">
            <v>33956</v>
          </cell>
          <cell r="AQ423">
            <v>2.15</v>
          </cell>
          <cell r="BA423">
            <v>33956</v>
          </cell>
          <cell r="BB423">
            <v>19.396000000000001</v>
          </cell>
          <cell r="BC423">
            <v>2.226</v>
          </cell>
          <cell r="BP423">
            <v>36154</v>
          </cell>
          <cell r="CQ423">
            <v>33956</v>
          </cell>
          <cell r="CR423">
            <v>2.226</v>
          </cell>
        </row>
        <row r="424">
          <cell r="A424">
            <v>53</v>
          </cell>
          <cell r="B424">
            <v>33968</v>
          </cell>
          <cell r="C424">
            <v>33961</v>
          </cell>
          <cell r="J424">
            <v>928</v>
          </cell>
          <cell r="K424">
            <v>56</v>
          </cell>
          <cell r="L424">
            <v>872</v>
          </cell>
          <cell r="M424">
            <v>6.0344827586206899E-2</v>
          </cell>
          <cell r="N424">
            <v>51</v>
          </cell>
          <cell r="O424">
            <v>15</v>
          </cell>
          <cell r="P424">
            <v>135</v>
          </cell>
          <cell r="Q424">
            <v>0</v>
          </cell>
          <cell r="R424">
            <v>135</v>
          </cell>
          <cell r="S424">
            <v>378</v>
          </cell>
          <cell r="T424">
            <v>1167.9439490445859</v>
          </cell>
          <cell r="U424">
            <v>525</v>
          </cell>
          <cell r="V424">
            <v>-55</v>
          </cell>
          <cell r="W424">
            <v>209</v>
          </cell>
          <cell r="X424">
            <v>0.58139534883720934</v>
          </cell>
          <cell r="Y424">
            <v>88</v>
          </cell>
          <cell r="Z424">
            <v>50</v>
          </cell>
          <cell r="AA424">
            <v>0.14870689655172414</v>
          </cell>
          <cell r="AB424">
            <v>9.4827586206896547E-2</v>
          </cell>
          <cell r="AC424">
            <v>19.898</v>
          </cell>
          <cell r="AD424">
            <v>2.125</v>
          </cell>
          <cell r="AE424" t="e">
            <v>#REF!</v>
          </cell>
          <cell r="AF424">
            <v>6.94</v>
          </cell>
          <cell r="AG424">
            <v>7.81</v>
          </cell>
          <cell r="AH424">
            <v>8.93</v>
          </cell>
          <cell r="AI424" t="e">
            <v>#REF!</v>
          </cell>
          <cell r="AJ424">
            <v>1063</v>
          </cell>
          <cell r="AK424">
            <v>1007</v>
          </cell>
          <cell r="AL424">
            <v>56</v>
          </cell>
          <cell r="AM424">
            <v>790</v>
          </cell>
          <cell r="AN424">
            <v>857</v>
          </cell>
          <cell r="AP424">
            <v>33963</v>
          </cell>
          <cell r="AQ424">
            <v>2.02</v>
          </cell>
          <cell r="BA424">
            <v>33963</v>
          </cell>
          <cell r="BB424">
            <v>19.898</v>
          </cell>
          <cell r="BC424">
            <v>2.125</v>
          </cell>
          <cell r="BP424">
            <v>36161</v>
          </cell>
          <cell r="CQ424">
            <v>33963</v>
          </cell>
          <cell r="CR424">
            <v>2.125</v>
          </cell>
        </row>
        <row r="425">
          <cell r="A425">
            <v>1</v>
          </cell>
          <cell r="B425">
            <v>33977</v>
          </cell>
          <cell r="C425">
            <v>33968</v>
          </cell>
          <cell r="J425">
            <v>922</v>
          </cell>
          <cell r="K425">
            <v>59</v>
          </cell>
          <cell r="L425">
            <v>863</v>
          </cell>
          <cell r="M425">
            <v>6.3991323210412149E-2</v>
          </cell>
          <cell r="N425">
            <v>51</v>
          </cell>
          <cell r="O425">
            <v>15</v>
          </cell>
          <cell r="P425">
            <v>114</v>
          </cell>
          <cell r="Q425">
            <v>0</v>
          </cell>
          <cell r="R425">
            <v>114</v>
          </cell>
          <cell r="S425">
            <v>368</v>
          </cell>
          <cell r="T425">
            <v>1147.6089171974522</v>
          </cell>
          <cell r="U425">
            <v>527</v>
          </cell>
          <cell r="V425">
            <v>-59</v>
          </cell>
          <cell r="W425">
            <v>214</v>
          </cell>
          <cell r="X425">
            <v>0.58882681564245809</v>
          </cell>
          <cell r="Y425">
            <v>85</v>
          </cell>
          <cell r="Z425">
            <v>48</v>
          </cell>
          <cell r="AA425">
            <v>0.14425162689804771</v>
          </cell>
          <cell r="AB425">
            <v>9.2190889370932755E-2</v>
          </cell>
          <cell r="AC425">
            <v>19.61</v>
          </cell>
          <cell r="AD425">
            <v>1.992</v>
          </cell>
          <cell r="AE425" t="e">
            <v>#REF!</v>
          </cell>
          <cell r="AF425">
            <v>6.94</v>
          </cell>
          <cell r="AG425">
            <v>7.81</v>
          </cell>
          <cell r="AH425">
            <v>8.93</v>
          </cell>
          <cell r="AI425" t="e">
            <v>#REF!</v>
          </cell>
          <cell r="AJ425">
            <v>1036</v>
          </cell>
          <cell r="AK425">
            <v>977</v>
          </cell>
          <cell r="AL425">
            <v>59</v>
          </cell>
          <cell r="AM425">
            <v>789</v>
          </cell>
          <cell r="AN425">
            <v>848</v>
          </cell>
          <cell r="AP425">
            <v>33970</v>
          </cell>
          <cell r="AQ425">
            <v>1.97</v>
          </cell>
          <cell r="BA425">
            <v>33970</v>
          </cell>
          <cell r="BB425">
            <v>19.61</v>
          </cell>
          <cell r="BC425">
            <v>1.992</v>
          </cell>
          <cell r="BP425">
            <v>36168</v>
          </cell>
          <cell r="CQ425">
            <v>33970</v>
          </cell>
          <cell r="CR425">
            <v>1.992</v>
          </cell>
        </row>
        <row r="426">
          <cell r="A426">
            <v>2</v>
          </cell>
          <cell r="B426">
            <v>33984</v>
          </cell>
          <cell r="C426">
            <v>33977</v>
          </cell>
          <cell r="J426">
            <v>903</v>
          </cell>
          <cell r="K426">
            <v>66</v>
          </cell>
          <cell r="L426">
            <v>837</v>
          </cell>
          <cell r="M426">
            <v>7.3089700996677748E-2</v>
          </cell>
          <cell r="N426">
            <v>58</v>
          </cell>
          <cell r="O426">
            <v>16</v>
          </cell>
          <cell r="P426">
            <v>150</v>
          </cell>
          <cell r="Q426">
            <v>0</v>
          </cell>
          <cell r="R426">
            <v>150</v>
          </cell>
          <cell r="S426">
            <v>356</v>
          </cell>
          <cell r="T426">
            <v>1177.020382165605</v>
          </cell>
          <cell r="U426">
            <v>515</v>
          </cell>
          <cell r="V426">
            <v>-49</v>
          </cell>
          <cell r="W426">
            <v>203</v>
          </cell>
          <cell r="X426">
            <v>0.59127439724454645</v>
          </cell>
          <cell r="Y426">
            <v>89</v>
          </cell>
          <cell r="Z426">
            <v>48</v>
          </cell>
          <cell r="AA426">
            <v>0.15171650055370986</v>
          </cell>
          <cell r="AB426">
            <v>9.8560354374307865E-2</v>
          </cell>
          <cell r="AC426">
            <v>18.995999999999999</v>
          </cell>
          <cell r="AD426">
            <v>1.9239999999999999</v>
          </cell>
          <cell r="AE426" t="e">
            <v>#REF!</v>
          </cell>
          <cell r="AF426">
            <v>6.94</v>
          </cell>
          <cell r="AG426">
            <v>7.81</v>
          </cell>
          <cell r="AH426">
            <v>8.93</v>
          </cell>
          <cell r="AI426" t="e">
            <v>#REF!</v>
          </cell>
          <cell r="AJ426">
            <v>1053</v>
          </cell>
          <cell r="AK426">
            <v>987</v>
          </cell>
          <cell r="AL426">
            <v>66</v>
          </cell>
          <cell r="AM426">
            <v>766</v>
          </cell>
          <cell r="AN426">
            <v>821</v>
          </cell>
          <cell r="AP426">
            <v>33977</v>
          </cell>
          <cell r="AQ426">
            <v>1.91</v>
          </cell>
          <cell r="BA426">
            <v>33977</v>
          </cell>
          <cell r="BB426">
            <v>18.995999999999999</v>
          </cell>
          <cell r="BC426">
            <v>1.9239999999999999</v>
          </cell>
          <cell r="BP426">
            <v>36175</v>
          </cell>
          <cell r="CQ426">
            <v>33977</v>
          </cell>
          <cell r="CR426">
            <v>1.9239999999999999</v>
          </cell>
        </row>
        <row r="427">
          <cell r="A427">
            <v>3</v>
          </cell>
          <cell r="B427">
            <v>33991</v>
          </cell>
          <cell r="C427">
            <v>33984</v>
          </cell>
          <cell r="J427">
            <v>838</v>
          </cell>
          <cell r="K427">
            <v>74</v>
          </cell>
          <cell r="L427">
            <v>764</v>
          </cell>
          <cell r="M427">
            <v>8.83054892601432E-2</v>
          </cell>
          <cell r="N427">
            <v>66</v>
          </cell>
          <cell r="O427">
            <v>16</v>
          </cell>
          <cell r="P427">
            <v>179</v>
          </cell>
          <cell r="Q427">
            <v>0</v>
          </cell>
          <cell r="R427">
            <v>179</v>
          </cell>
          <cell r="S427">
            <v>336</v>
          </cell>
          <cell r="T427">
            <v>1155.6535031847134</v>
          </cell>
          <cell r="U427">
            <v>467</v>
          </cell>
          <cell r="V427">
            <v>-76</v>
          </cell>
          <cell r="W427">
            <v>176</v>
          </cell>
          <cell r="X427">
            <v>0.58156911581569115</v>
          </cell>
          <cell r="Y427">
            <v>85</v>
          </cell>
          <cell r="Z427">
            <v>44</v>
          </cell>
          <cell r="AA427">
            <v>0.15393794749403342</v>
          </cell>
          <cell r="AB427">
            <v>0.10143198090692124</v>
          </cell>
          <cell r="AC427">
            <v>18.646000000000001</v>
          </cell>
          <cell r="AD427">
            <v>1.954</v>
          </cell>
          <cell r="AE427" t="e">
            <v>#REF!</v>
          </cell>
          <cell r="AF427">
            <v>6.94</v>
          </cell>
          <cell r="AG427">
            <v>7.81</v>
          </cell>
          <cell r="AH427">
            <v>8.93</v>
          </cell>
          <cell r="AI427" t="e">
            <v>#REF!</v>
          </cell>
          <cell r="AJ427">
            <v>1017</v>
          </cell>
          <cell r="AK427">
            <v>943</v>
          </cell>
          <cell r="AL427">
            <v>74</v>
          </cell>
          <cell r="AM427">
            <v>709</v>
          </cell>
          <cell r="AN427">
            <v>748</v>
          </cell>
          <cell r="AP427">
            <v>33984</v>
          </cell>
          <cell r="AQ427">
            <v>1.99</v>
          </cell>
          <cell r="BA427">
            <v>33984</v>
          </cell>
          <cell r="BB427">
            <v>18.646000000000001</v>
          </cell>
          <cell r="BC427">
            <v>1.954</v>
          </cell>
          <cell r="BP427">
            <v>36182</v>
          </cell>
          <cell r="CQ427">
            <v>33984</v>
          </cell>
          <cell r="CR427">
            <v>1.954</v>
          </cell>
        </row>
        <row r="428">
          <cell r="A428">
            <v>4</v>
          </cell>
          <cell r="B428">
            <v>33998</v>
          </cell>
          <cell r="C428">
            <v>33991</v>
          </cell>
          <cell r="J428">
            <v>794</v>
          </cell>
          <cell r="K428">
            <v>76</v>
          </cell>
          <cell r="L428">
            <v>718</v>
          </cell>
          <cell r="M428">
            <v>9.5717884130982367E-2</v>
          </cell>
          <cell r="N428">
            <v>68</v>
          </cell>
          <cell r="O428">
            <v>16</v>
          </cell>
          <cell r="P428">
            <v>186</v>
          </cell>
          <cell r="Q428">
            <v>0</v>
          </cell>
          <cell r="R428">
            <v>186</v>
          </cell>
          <cell r="S428">
            <v>325</v>
          </cell>
          <cell r="T428">
            <v>1122.3210191082803</v>
          </cell>
          <cell r="U428">
            <v>434</v>
          </cell>
          <cell r="V428">
            <v>-58</v>
          </cell>
          <cell r="W428">
            <v>143</v>
          </cell>
          <cell r="X428">
            <v>0.57180500658761524</v>
          </cell>
          <cell r="Y428">
            <v>92</v>
          </cell>
          <cell r="Z428">
            <v>46</v>
          </cell>
          <cell r="AA428">
            <v>0.17380352644836272</v>
          </cell>
          <cell r="AB428">
            <v>0.11586901763224182</v>
          </cell>
          <cell r="AC428">
            <v>18.614000000000001</v>
          </cell>
          <cell r="AD428">
            <v>1.998</v>
          </cell>
          <cell r="AE428" t="e">
            <v>#REF!</v>
          </cell>
          <cell r="AF428">
            <v>6.94</v>
          </cell>
          <cell r="AG428">
            <v>7.81</v>
          </cell>
          <cell r="AH428">
            <v>8.93</v>
          </cell>
          <cell r="AI428" t="e">
            <v>#REF!</v>
          </cell>
          <cell r="AJ428">
            <v>980</v>
          </cell>
          <cell r="AK428">
            <v>904</v>
          </cell>
          <cell r="AL428">
            <v>76</v>
          </cell>
          <cell r="AM428">
            <v>656</v>
          </cell>
          <cell r="AN428">
            <v>702</v>
          </cell>
          <cell r="AP428">
            <v>33991</v>
          </cell>
          <cell r="AQ428">
            <v>1.92</v>
          </cell>
          <cell r="BA428">
            <v>33991</v>
          </cell>
          <cell r="BB428">
            <v>18.614000000000001</v>
          </cell>
          <cell r="BC428">
            <v>1.998</v>
          </cell>
          <cell r="BP428">
            <v>36189</v>
          </cell>
          <cell r="CQ428">
            <v>33991</v>
          </cell>
          <cell r="CR428">
            <v>1.998</v>
          </cell>
        </row>
        <row r="429">
          <cell r="A429">
            <v>5</v>
          </cell>
          <cell r="B429">
            <v>34005</v>
          </cell>
          <cell r="C429">
            <v>33998</v>
          </cell>
          <cell r="J429">
            <v>762</v>
          </cell>
          <cell r="K429">
            <v>73</v>
          </cell>
          <cell r="L429">
            <v>689</v>
          </cell>
          <cell r="M429">
            <v>9.5800524934383208E-2</v>
          </cell>
          <cell r="N429">
            <v>65</v>
          </cell>
          <cell r="O429">
            <v>16</v>
          </cell>
          <cell r="P429">
            <v>201</v>
          </cell>
          <cell r="Q429">
            <v>0</v>
          </cell>
          <cell r="R429">
            <v>201</v>
          </cell>
          <cell r="S429">
            <v>321</v>
          </cell>
          <cell r="T429">
            <v>1098.8777070063695</v>
          </cell>
          <cell r="U429">
            <v>401</v>
          </cell>
          <cell r="V429">
            <v>-54</v>
          </cell>
          <cell r="W429">
            <v>136</v>
          </cell>
          <cell r="X429">
            <v>0.55540166204986152</v>
          </cell>
          <cell r="Y429">
            <v>92</v>
          </cell>
          <cell r="Z429">
            <v>47</v>
          </cell>
          <cell r="AA429">
            <v>0.18241469816272965</v>
          </cell>
          <cell r="AB429">
            <v>0.12073490813648294</v>
          </cell>
          <cell r="AC429">
            <v>19.896000000000001</v>
          </cell>
          <cell r="AD429">
            <v>1.8640000000000001</v>
          </cell>
          <cell r="AE429" t="e">
            <v>#REF!</v>
          </cell>
          <cell r="AF429">
            <v>6.94</v>
          </cell>
          <cell r="AG429">
            <v>7.81</v>
          </cell>
          <cell r="AH429">
            <v>8.93</v>
          </cell>
          <cell r="AI429" t="e">
            <v>#REF!</v>
          </cell>
          <cell r="AJ429">
            <v>963</v>
          </cell>
          <cell r="AK429">
            <v>890</v>
          </cell>
          <cell r="AL429">
            <v>73</v>
          </cell>
          <cell r="AM429">
            <v>623</v>
          </cell>
          <cell r="AN429">
            <v>673</v>
          </cell>
          <cell r="AP429">
            <v>33998</v>
          </cell>
          <cell r="AQ429">
            <v>1.6</v>
          </cell>
          <cell r="BA429">
            <v>33998</v>
          </cell>
          <cell r="BB429">
            <v>19.896000000000001</v>
          </cell>
          <cell r="BC429">
            <v>1.8640000000000001</v>
          </cell>
          <cell r="BP429">
            <v>36196</v>
          </cell>
          <cell r="CQ429">
            <v>33998</v>
          </cell>
          <cell r="CR429">
            <v>1.8640000000000001</v>
          </cell>
        </row>
        <row r="430">
          <cell r="A430">
            <v>6</v>
          </cell>
          <cell r="B430">
            <v>34012</v>
          </cell>
          <cell r="C430">
            <v>34005</v>
          </cell>
          <cell r="J430">
            <v>720</v>
          </cell>
          <cell r="K430">
            <v>72</v>
          </cell>
          <cell r="L430">
            <v>648</v>
          </cell>
          <cell r="M430">
            <v>0.1</v>
          </cell>
          <cell r="N430">
            <v>65</v>
          </cell>
          <cell r="O430">
            <v>16</v>
          </cell>
          <cell r="P430">
            <v>219</v>
          </cell>
          <cell r="Q430">
            <v>0</v>
          </cell>
          <cell r="R430">
            <v>219</v>
          </cell>
          <cell r="S430">
            <v>304</v>
          </cell>
          <cell r="T430">
            <v>1072.2496815286624</v>
          </cell>
          <cell r="U430">
            <v>374</v>
          </cell>
          <cell r="V430">
            <v>-79</v>
          </cell>
          <cell r="W430">
            <v>97</v>
          </cell>
          <cell r="X430">
            <v>0.55162241887905605</v>
          </cell>
          <cell r="Y430">
            <v>91</v>
          </cell>
          <cell r="Z430">
            <v>47</v>
          </cell>
          <cell r="AA430">
            <v>0.19166666666666668</v>
          </cell>
          <cell r="AB430">
            <v>0.12638888888888888</v>
          </cell>
          <cell r="AC430">
            <v>20.149999999999999</v>
          </cell>
          <cell r="AD430">
            <v>1.6439999999999999</v>
          </cell>
          <cell r="AE430" t="e">
            <v>#REF!</v>
          </cell>
          <cell r="AF430">
            <v>6.94</v>
          </cell>
          <cell r="AG430">
            <v>7.81</v>
          </cell>
          <cell r="AH430">
            <v>8.93</v>
          </cell>
          <cell r="AI430" t="e">
            <v>#REF!</v>
          </cell>
          <cell r="AJ430">
            <v>939</v>
          </cell>
          <cell r="AK430">
            <v>867</v>
          </cell>
          <cell r="AL430">
            <v>72</v>
          </cell>
          <cell r="AM430">
            <v>582</v>
          </cell>
          <cell r="AN430">
            <v>632</v>
          </cell>
          <cell r="AP430">
            <v>34005</v>
          </cell>
          <cell r="AQ430">
            <v>1.63</v>
          </cell>
          <cell r="BA430">
            <v>34005</v>
          </cell>
          <cell r="BB430">
            <v>20.149999999999999</v>
          </cell>
          <cell r="BC430">
            <v>1.6439999999999999</v>
          </cell>
          <cell r="BP430">
            <v>36203</v>
          </cell>
          <cell r="CQ430">
            <v>34005</v>
          </cell>
          <cell r="CR430">
            <v>1.6439999999999999</v>
          </cell>
        </row>
        <row r="431">
          <cell r="A431">
            <v>7</v>
          </cell>
          <cell r="B431">
            <v>34019</v>
          </cell>
          <cell r="C431">
            <v>34012</v>
          </cell>
          <cell r="J431">
            <v>698</v>
          </cell>
          <cell r="K431">
            <v>67</v>
          </cell>
          <cell r="L431">
            <v>631</v>
          </cell>
          <cell r="M431">
            <v>9.5988538681948427E-2</v>
          </cell>
          <cell r="N431">
            <v>58</v>
          </cell>
          <cell r="O431">
            <v>18</v>
          </cell>
          <cell r="P431">
            <v>239</v>
          </cell>
          <cell r="Q431">
            <v>0</v>
          </cell>
          <cell r="R431">
            <v>239</v>
          </cell>
          <cell r="S431">
            <v>307</v>
          </cell>
          <cell r="T431">
            <v>1059.6955414012739</v>
          </cell>
          <cell r="U431">
            <v>350</v>
          </cell>
          <cell r="V431">
            <v>-63</v>
          </cell>
          <cell r="W431">
            <v>71</v>
          </cell>
          <cell r="X431">
            <v>0.53272450532724502</v>
          </cell>
          <cell r="Y431">
            <v>86</v>
          </cell>
          <cell r="Z431">
            <v>44</v>
          </cell>
          <cell r="AA431">
            <v>0.18624641833810887</v>
          </cell>
          <cell r="AB431">
            <v>0.12320916905444126</v>
          </cell>
          <cell r="AC431">
            <v>20.11</v>
          </cell>
          <cell r="AD431">
            <v>1.6679999999999999</v>
          </cell>
          <cell r="AE431" t="e">
            <v>#REF!</v>
          </cell>
          <cell r="AF431">
            <v>6.94</v>
          </cell>
          <cell r="AG431">
            <v>7.81</v>
          </cell>
          <cell r="AH431">
            <v>8.93</v>
          </cell>
          <cell r="AI431" t="e">
            <v>#REF!</v>
          </cell>
          <cell r="AJ431">
            <v>937</v>
          </cell>
          <cell r="AK431">
            <v>870</v>
          </cell>
          <cell r="AL431">
            <v>67</v>
          </cell>
          <cell r="AM431">
            <v>568</v>
          </cell>
          <cell r="AN431">
            <v>613</v>
          </cell>
          <cell r="AP431">
            <v>34012</v>
          </cell>
          <cell r="AQ431">
            <v>1.71</v>
          </cell>
          <cell r="BA431">
            <v>34012</v>
          </cell>
          <cell r="BB431">
            <v>20.11</v>
          </cell>
          <cell r="BC431">
            <v>1.6679999999999999</v>
          </cell>
          <cell r="BP431">
            <v>36210</v>
          </cell>
          <cell r="CQ431">
            <v>34012</v>
          </cell>
          <cell r="CR431">
            <v>1.6679999999999999</v>
          </cell>
        </row>
        <row r="432">
          <cell r="A432">
            <v>8</v>
          </cell>
          <cell r="B432">
            <v>34026</v>
          </cell>
          <cell r="C432">
            <v>34019</v>
          </cell>
          <cell r="J432">
            <v>656</v>
          </cell>
          <cell r="K432">
            <v>70</v>
          </cell>
          <cell r="L432">
            <v>586</v>
          </cell>
          <cell r="M432">
            <v>0.10670731707317073</v>
          </cell>
          <cell r="N432">
            <v>64</v>
          </cell>
          <cell r="O432">
            <v>10</v>
          </cell>
          <cell r="P432">
            <v>234</v>
          </cell>
          <cell r="Q432">
            <v>0</v>
          </cell>
          <cell r="R432">
            <v>234</v>
          </cell>
          <cell r="S432">
            <v>306</v>
          </cell>
          <cell r="T432">
            <v>1018.7694267515923</v>
          </cell>
          <cell r="U432">
            <v>313</v>
          </cell>
          <cell r="V432">
            <v>-67</v>
          </cell>
          <cell r="W432">
            <v>33</v>
          </cell>
          <cell r="X432">
            <v>0.50565428109854604</v>
          </cell>
          <cell r="Y432">
            <v>85</v>
          </cell>
          <cell r="Z432">
            <v>42</v>
          </cell>
          <cell r="AA432">
            <v>0.19359756097560976</v>
          </cell>
          <cell r="AB432">
            <v>0.12957317073170732</v>
          </cell>
          <cell r="AC432">
            <v>19.475000000000001</v>
          </cell>
          <cell r="AD432">
            <v>1.79</v>
          </cell>
          <cell r="AE432" t="e">
            <v>#REF!</v>
          </cell>
          <cell r="AF432">
            <v>6.94</v>
          </cell>
          <cell r="AG432">
            <v>7.81</v>
          </cell>
          <cell r="AH432">
            <v>8.93</v>
          </cell>
          <cell r="AI432" t="e">
            <v>#REF!</v>
          </cell>
          <cell r="AJ432">
            <v>890</v>
          </cell>
          <cell r="AK432">
            <v>820</v>
          </cell>
          <cell r="AL432">
            <v>70</v>
          </cell>
          <cell r="AM432">
            <v>529</v>
          </cell>
          <cell r="AN432">
            <v>576</v>
          </cell>
          <cell r="AP432">
            <v>34019</v>
          </cell>
          <cell r="AQ432">
            <v>1.86</v>
          </cell>
          <cell r="BA432">
            <v>34019</v>
          </cell>
          <cell r="BB432">
            <v>19.475000000000001</v>
          </cell>
          <cell r="BC432">
            <v>1.79</v>
          </cell>
          <cell r="BP432">
            <v>36217</v>
          </cell>
          <cell r="CQ432">
            <v>34019</v>
          </cell>
          <cell r="CR432">
            <v>1.79</v>
          </cell>
        </row>
        <row r="433">
          <cell r="A433">
            <v>9</v>
          </cell>
          <cell r="B433">
            <v>34033</v>
          </cell>
          <cell r="C433">
            <v>34026</v>
          </cell>
          <cell r="J433">
            <v>663</v>
          </cell>
          <cell r="K433">
            <v>68</v>
          </cell>
          <cell r="L433">
            <v>595</v>
          </cell>
          <cell r="M433">
            <v>0.10256410256410256</v>
          </cell>
          <cell r="N433">
            <v>62</v>
          </cell>
          <cell r="O433">
            <v>11</v>
          </cell>
          <cell r="P433">
            <v>263</v>
          </cell>
          <cell r="Q433">
            <v>0</v>
          </cell>
          <cell r="R433">
            <v>263</v>
          </cell>
          <cell r="S433">
            <v>327</v>
          </cell>
          <cell r="T433">
            <v>1049.771974522293</v>
          </cell>
          <cell r="U433">
            <v>300</v>
          </cell>
          <cell r="V433">
            <v>-60</v>
          </cell>
          <cell r="W433">
            <v>27</v>
          </cell>
          <cell r="X433">
            <v>0.4784688995215311</v>
          </cell>
          <cell r="Y433">
            <v>88</v>
          </cell>
          <cell r="Z433">
            <v>44</v>
          </cell>
          <cell r="AA433">
            <v>0.19909502262443438</v>
          </cell>
          <cell r="AB433">
            <v>0.13273001508295626</v>
          </cell>
          <cell r="AC433">
            <v>20.294</v>
          </cell>
          <cell r="AD433">
            <v>1.84</v>
          </cell>
          <cell r="AE433" t="e">
            <v>#REF!</v>
          </cell>
          <cell r="AF433">
            <v>6.94</v>
          </cell>
          <cell r="AG433">
            <v>7.81</v>
          </cell>
          <cell r="AH433">
            <v>8.93</v>
          </cell>
          <cell r="AI433" t="e">
            <v>#REF!</v>
          </cell>
          <cell r="AJ433">
            <v>926</v>
          </cell>
          <cell r="AK433">
            <v>858</v>
          </cell>
          <cell r="AL433">
            <v>68</v>
          </cell>
          <cell r="AM433">
            <v>531</v>
          </cell>
          <cell r="AN433">
            <v>584</v>
          </cell>
          <cell r="AP433">
            <v>34026</v>
          </cell>
          <cell r="AQ433">
            <v>1.88</v>
          </cell>
          <cell r="BA433">
            <v>34026</v>
          </cell>
          <cell r="BB433">
            <v>20.294</v>
          </cell>
          <cell r="BC433">
            <v>1.84</v>
          </cell>
          <cell r="BP433">
            <v>36224</v>
          </cell>
          <cell r="CQ433">
            <v>34026</v>
          </cell>
          <cell r="CR433">
            <v>1.84</v>
          </cell>
        </row>
        <row r="434">
          <cell r="A434">
            <v>10</v>
          </cell>
          <cell r="B434">
            <v>34040</v>
          </cell>
          <cell r="C434">
            <v>34033</v>
          </cell>
          <cell r="J434">
            <v>620</v>
          </cell>
          <cell r="K434">
            <v>61</v>
          </cell>
          <cell r="L434">
            <v>559</v>
          </cell>
          <cell r="M434">
            <v>9.838709677419355E-2</v>
          </cell>
          <cell r="N434">
            <v>55</v>
          </cell>
          <cell r="O434">
            <v>8</v>
          </cell>
          <cell r="P434">
            <v>249</v>
          </cell>
          <cell r="Q434">
            <v>0</v>
          </cell>
          <cell r="R434">
            <v>249</v>
          </cell>
          <cell r="S434">
            <v>311</v>
          </cell>
          <cell r="T434">
            <v>979.54777070063687</v>
          </cell>
          <cell r="U434">
            <v>277</v>
          </cell>
          <cell r="V434">
            <v>-71</v>
          </cell>
          <cell r="W434">
            <v>15</v>
          </cell>
          <cell r="X434">
            <v>0.47108843537414968</v>
          </cell>
          <cell r="Y434">
            <v>80</v>
          </cell>
          <cell r="Z434">
            <v>45</v>
          </cell>
          <cell r="AA434">
            <v>0.20161290322580644</v>
          </cell>
          <cell r="AB434">
            <v>0.12903225806451613</v>
          </cell>
          <cell r="AC434">
            <v>20.71</v>
          </cell>
          <cell r="AD434">
            <v>1.88</v>
          </cell>
          <cell r="AE434" t="e">
            <v>#REF!</v>
          </cell>
          <cell r="AF434">
            <v>6.94</v>
          </cell>
          <cell r="AG434">
            <v>7.81</v>
          </cell>
          <cell r="AH434">
            <v>8.93</v>
          </cell>
          <cell r="AI434" t="e">
            <v>#REF!</v>
          </cell>
          <cell r="AJ434">
            <v>869</v>
          </cell>
          <cell r="AK434">
            <v>808</v>
          </cell>
          <cell r="AL434">
            <v>61</v>
          </cell>
          <cell r="AM434">
            <v>495</v>
          </cell>
          <cell r="AN434">
            <v>551</v>
          </cell>
          <cell r="AP434">
            <v>34033</v>
          </cell>
          <cell r="AQ434">
            <v>1.87</v>
          </cell>
          <cell r="BA434">
            <v>34033</v>
          </cell>
          <cell r="BB434">
            <v>20.71</v>
          </cell>
          <cell r="BC434">
            <v>1.88</v>
          </cell>
          <cell r="BP434">
            <v>36231</v>
          </cell>
          <cell r="CQ434">
            <v>34033</v>
          </cell>
          <cell r="CR434">
            <v>1.88</v>
          </cell>
        </row>
        <row r="435">
          <cell r="A435">
            <v>11</v>
          </cell>
          <cell r="B435">
            <v>34047</v>
          </cell>
          <cell r="C435">
            <v>34040</v>
          </cell>
          <cell r="J435">
            <v>600</v>
          </cell>
          <cell r="K435">
            <v>60</v>
          </cell>
          <cell r="L435">
            <v>540</v>
          </cell>
          <cell r="M435">
            <v>0.1</v>
          </cell>
          <cell r="N435">
            <v>54</v>
          </cell>
          <cell r="O435">
            <v>7</v>
          </cell>
          <cell r="P435">
            <v>254</v>
          </cell>
          <cell r="Q435">
            <v>0</v>
          </cell>
          <cell r="R435">
            <v>254</v>
          </cell>
          <cell r="S435">
            <v>312</v>
          </cell>
          <cell r="T435">
            <v>962.4</v>
          </cell>
          <cell r="U435">
            <v>257</v>
          </cell>
          <cell r="V435">
            <v>-72</v>
          </cell>
          <cell r="W435">
            <v>8</v>
          </cell>
          <cell r="X435">
            <v>0.45166959578207383</v>
          </cell>
          <cell r="Y435">
            <v>72</v>
          </cell>
          <cell r="Z435">
            <v>47</v>
          </cell>
          <cell r="AA435">
            <v>0.19833333333333333</v>
          </cell>
          <cell r="AB435">
            <v>0.12</v>
          </cell>
          <cell r="AC435">
            <v>20.440000000000001</v>
          </cell>
          <cell r="AD435">
            <v>1.996</v>
          </cell>
          <cell r="AE435" t="e">
            <v>#REF!</v>
          </cell>
          <cell r="AF435">
            <v>6.94</v>
          </cell>
          <cell r="AG435">
            <v>7.81</v>
          </cell>
          <cell r="AH435">
            <v>8.93</v>
          </cell>
          <cell r="AI435" t="e">
            <v>#REF!</v>
          </cell>
          <cell r="AJ435">
            <v>854</v>
          </cell>
          <cell r="AK435">
            <v>794</v>
          </cell>
          <cell r="AL435">
            <v>60</v>
          </cell>
          <cell r="AM435">
            <v>481</v>
          </cell>
          <cell r="AN435">
            <v>533</v>
          </cell>
          <cell r="AP435">
            <v>34040</v>
          </cell>
          <cell r="AQ435">
            <v>2.14</v>
          </cell>
          <cell r="BA435">
            <v>34040</v>
          </cell>
          <cell r="BB435">
            <v>20.440000000000001</v>
          </cell>
          <cell r="BC435">
            <v>1.996</v>
          </cell>
          <cell r="BP435">
            <v>36238</v>
          </cell>
          <cell r="CQ435">
            <v>34040</v>
          </cell>
          <cell r="CR435">
            <v>1.996</v>
          </cell>
        </row>
        <row r="436">
          <cell r="A436">
            <v>12</v>
          </cell>
          <cell r="B436">
            <v>34054</v>
          </cell>
          <cell r="C436">
            <v>34047</v>
          </cell>
          <cell r="J436">
            <v>614</v>
          </cell>
          <cell r="K436">
            <v>63</v>
          </cell>
          <cell r="L436">
            <v>551</v>
          </cell>
          <cell r="M436">
            <v>0.10260586319218241</v>
          </cell>
          <cell r="N436">
            <v>57</v>
          </cell>
          <cell r="O436">
            <v>6</v>
          </cell>
          <cell r="P436">
            <v>237</v>
          </cell>
          <cell r="Q436">
            <v>0</v>
          </cell>
          <cell r="R436">
            <v>237</v>
          </cell>
          <cell r="S436">
            <v>318</v>
          </cell>
          <cell r="T436">
            <v>965.91719745222929</v>
          </cell>
          <cell r="U436">
            <v>270</v>
          </cell>
          <cell r="V436">
            <v>-62</v>
          </cell>
          <cell r="W436">
            <v>25</v>
          </cell>
          <cell r="X436">
            <v>0.45918367346938777</v>
          </cell>
          <cell r="Y436">
            <v>74</v>
          </cell>
          <cell r="Z436">
            <v>43</v>
          </cell>
          <cell r="AA436">
            <v>0.19055374592833876</v>
          </cell>
          <cell r="AB436">
            <v>0.12052117263843648</v>
          </cell>
          <cell r="AC436">
            <v>20.166</v>
          </cell>
          <cell r="AD436">
            <v>2.34</v>
          </cell>
          <cell r="AE436" t="e">
            <v>#REF!</v>
          </cell>
          <cell r="AF436">
            <v>6.94</v>
          </cell>
          <cell r="AG436">
            <v>7.81</v>
          </cell>
          <cell r="AH436">
            <v>8.93</v>
          </cell>
          <cell r="AI436" t="e">
            <v>#REF!</v>
          </cell>
          <cell r="AJ436">
            <v>851</v>
          </cell>
          <cell r="AK436">
            <v>788</v>
          </cell>
          <cell r="AL436">
            <v>63</v>
          </cell>
          <cell r="AM436">
            <v>497</v>
          </cell>
          <cell r="AN436">
            <v>545</v>
          </cell>
          <cell r="AP436">
            <v>34047</v>
          </cell>
          <cell r="AQ436">
            <v>2.3199999999999998</v>
          </cell>
          <cell r="BA436">
            <v>34047</v>
          </cell>
          <cell r="BB436">
            <v>20.166</v>
          </cell>
          <cell r="BC436">
            <v>2.34</v>
          </cell>
          <cell r="BP436">
            <v>36245</v>
          </cell>
          <cell r="CQ436">
            <v>34047</v>
          </cell>
          <cell r="CR436">
            <v>2.34</v>
          </cell>
        </row>
        <row r="437">
          <cell r="A437">
            <v>13</v>
          </cell>
          <cell r="B437">
            <v>34061</v>
          </cell>
          <cell r="C437">
            <v>34054</v>
          </cell>
          <cell r="J437">
            <v>610</v>
          </cell>
          <cell r="K437">
            <v>66</v>
          </cell>
          <cell r="L437">
            <v>544</v>
          </cell>
          <cell r="M437">
            <v>0.10819672131147541</v>
          </cell>
          <cell r="N437">
            <v>60</v>
          </cell>
          <cell r="O437">
            <v>8</v>
          </cell>
          <cell r="P437">
            <v>217</v>
          </cell>
          <cell r="Q437">
            <v>0</v>
          </cell>
          <cell r="R437">
            <v>217</v>
          </cell>
          <cell r="S437">
            <v>320</v>
          </cell>
          <cell r="T437">
            <v>948.54522292993636</v>
          </cell>
          <cell r="U437">
            <v>267</v>
          </cell>
          <cell r="V437">
            <v>-57</v>
          </cell>
          <cell r="W437">
            <v>25</v>
          </cell>
          <cell r="X437">
            <v>0.45485519591141399</v>
          </cell>
          <cell r="Y437">
            <v>76</v>
          </cell>
          <cell r="Z437">
            <v>40</v>
          </cell>
          <cell r="AA437">
            <v>0.1901639344262295</v>
          </cell>
          <cell r="AB437">
            <v>0.12459016393442623</v>
          </cell>
          <cell r="AC437">
            <v>19.954000000000001</v>
          </cell>
          <cell r="AD437">
            <v>2.456</v>
          </cell>
          <cell r="AE437" t="e">
            <v>#REF!</v>
          </cell>
          <cell r="AF437">
            <v>6.94</v>
          </cell>
          <cell r="AG437">
            <v>7.81</v>
          </cell>
          <cell r="AH437">
            <v>8.93</v>
          </cell>
          <cell r="AI437" t="e">
            <v>#REF!</v>
          </cell>
          <cell r="AJ437">
            <v>827</v>
          </cell>
          <cell r="AK437">
            <v>761</v>
          </cell>
          <cell r="AL437">
            <v>66</v>
          </cell>
          <cell r="AM437">
            <v>494</v>
          </cell>
          <cell r="AN437">
            <v>536</v>
          </cell>
          <cell r="AP437">
            <v>34054</v>
          </cell>
          <cell r="AQ437">
            <v>2.06</v>
          </cell>
          <cell r="BA437">
            <v>34054</v>
          </cell>
          <cell r="BB437">
            <v>19.954000000000001</v>
          </cell>
          <cell r="BC437">
            <v>2.456</v>
          </cell>
          <cell r="BP437">
            <v>36252</v>
          </cell>
          <cell r="CQ437">
            <v>34054</v>
          </cell>
          <cell r="CR437">
            <v>2.456</v>
          </cell>
        </row>
        <row r="438">
          <cell r="A438">
            <v>14</v>
          </cell>
          <cell r="B438">
            <v>34068</v>
          </cell>
          <cell r="C438">
            <v>34061</v>
          </cell>
          <cell r="J438">
            <v>627</v>
          </cell>
          <cell r="K438">
            <v>73</v>
          </cell>
          <cell r="L438">
            <v>554</v>
          </cell>
          <cell r="M438">
            <v>0.11642743221690591</v>
          </cell>
          <cell r="N438">
            <v>67</v>
          </cell>
          <cell r="O438">
            <v>8</v>
          </cell>
          <cell r="P438">
            <v>152</v>
          </cell>
          <cell r="Q438">
            <v>0</v>
          </cell>
          <cell r="R438">
            <v>152</v>
          </cell>
          <cell r="S438">
            <v>326</v>
          </cell>
          <cell r="T438">
            <v>916.68789808917199</v>
          </cell>
          <cell r="U438">
            <v>278</v>
          </cell>
          <cell r="V438">
            <v>-56</v>
          </cell>
          <cell r="W438">
            <v>25</v>
          </cell>
          <cell r="X438">
            <v>0.46026490066225167</v>
          </cell>
          <cell r="Y438">
            <v>80</v>
          </cell>
          <cell r="Z438">
            <v>43</v>
          </cell>
          <cell r="AA438">
            <v>0.19617224880382775</v>
          </cell>
          <cell r="AB438">
            <v>0.12759170653907495</v>
          </cell>
          <cell r="AC438">
            <v>20.436</v>
          </cell>
          <cell r="AD438">
            <v>2.2000000000000002</v>
          </cell>
          <cell r="AE438" t="e">
            <v>#REF!</v>
          </cell>
          <cell r="AF438">
            <v>6.94</v>
          </cell>
          <cell r="AG438">
            <v>7.81</v>
          </cell>
          <cell r="AH438">
            <v>8.93</v>
          </cell>
          <cell r="AI438" t="e">
            <v>#REF!</v>
          </cell>
          <cell r="AJ438">
            <v>779</v>
          </cell>
          <cell r="AK438">
            <v>706</v>
          </cell>
          <cell r="AL438">
            <v>73</v>
          </cell>
          <cell r="AM438">
            <v>504</v>
          </cell>
          <cell r="AN438">
            <v>546</v>
          </cell>
          <cell r="AP438">
            <v>34061</v>
          </cell>
          <cell r="AQ438">
            <v>2.1</v>
          </cell>
          <cell r="BA438">
            <v>34061</v>
          </cell>
          <cell r="BB438">
            <v>20.436</v>
          </cell>
          <cell r="BC438">
            <v>2.2000000000000002</v>
          </cell>
          <cell r="BP438">
            <v>36259</v>
          </cell>
          <cell r="CQ438">
            <v>34061</v>
          </cell>
          <cell r="CR438">
            <v>2.2000000000000002</v>
          </cell>
        </row>
        <row r="439">
          <cell r="A439">
            <v>15</v>
          </cell>
          <cell r="B439">
            <v>34075</v>
          </cell>
          <cell r="C439">
            <v>34068</v>
          </cell>
          <cell r="J439">
            <v>615</v>
          </cell>
          <cell r="K439">
            <v>70</v>
          </cell>
          <cell r="L439">
            <v>545</v>
          </cell>
          <cell r="M439">
            <v>0.11382113821138211</v>
          </cell>
          <cell r="N439">
            <v>64</v>
          </cell>
          <cell r="O439">
            <v>10</v>
          </cell>
          <cell r="P439">
            <v>96</v>
          </cell>
          <cell r="Q439">
            <v>0</v>
          </cell>
          <cell r="R439">
            <v>96</v>
          </cell>
          <cell r="S439">
            <v>314</v>
          </cell>
          <cell r="T439">
            <v>844.86751592356677</v>
          </cell>
          <cell r="U439">
            <v>278</v>
          </cell>
          <cell r="V439">
            <v>-59</v>
          </cell>
          <cell r="W439">
            <v>27</v>
          </cell>
          <cell r="X439">
            <v>0.46959459459459457</v>
          </cell>
          <cell r="Y439">
            <v>80</v>
          </cell>
          <cell r="Z439">
            <v>46</v>
          </cell>
          <cell r="AA439">
            <v>0.20487804878048779</v>
          </cell>
          <cell r="AB439">
            <v>0.13008130081300814</v>
          </cell>
          <cell r="AC439">
            <v>20.378</v>
          </cell>
          <cell r="AD439">
            <v>2.21</v>
          </cell>
          <cell r="AE439" t="e">
            <v>#REF!</v>
          </cell>
          <cell r="AF439">
            <v>6.94</v>
          </cell>
          <cell r="AG439">
            <v>7.81</v>
          </cell>
          <cell r="AH439">
            <v>8.93</v>
          </cell>
          <cell r="AI439" t="e">
            <v>#REF!</v>
          </cell>
          <cell r="AJ439">
            <v>711</v>
          </cell>
          <cell r="AK439">
            <v>641</v>
          </cell>
          <cell r="AL439">
            <v>70</v>
          </cell>
          <cell r="AM439">
            <v>489</v>
          </cell>
          <cell r="AN439">
            <v>535</v>
          </cell>
          <cell r="AP439">
            <v>34068</v>
          </cell>
          <cell r="AQ439">
            <v>2.1</v>
          </cell>
          <cell r="BA439">
            <v>34068</v>
          </cell>
          <cell r="BB439">
            <v>20.378</v>
          </cell>
          <cell r="BC439">
            <v>2.21</v>
          </cell>
          <cell r="BP439">
            <v>36266</v>
          </cell>
          <cell r="CQ439">
            <v>34068</v>
          </cell>
          <cell r="CR439">
            <v>2.21</v>
          </cell>
        </row>
        <row r="440">
          <cell r="A440">
            <v>16</v>
          </cell>
          <cell r="B440">
            <v>34082</v>
          </cell>
          <cell r="C440">
            <v>34075</v>
          </cell>
          <cell r="J440">
            <v>603</v>
          </cell>
          <cell r="K440">
            <v>66</v>
          </cell>
          <cell r="L440">
            <v>537</v>
          </cell>
          <cell r="M440">
            <v>0.10945273631840796</v>
          </cell>
          <cell r="N440">
            <v>60</v>
          </cell>
          <cell r="O440">
            <v>11</v>
          </cell>
          <cell r="P440">
            <v>53</v>
          </cell>
          <cell r="Q440">
            <v>0</v>
          </cell>
          <cell r="R440">
            <v>53</v>
          </cell>
          <cell r="S440">
            <v>319</v>
          </cell>
          <cell r="T440">
            <v>783.60382165605097</v>
          </cell>
          <cell r="U440">
            <v>262</v>
          </cell>
          <cell r="V440">
            <v>-50</v>
          </cell>
          <cell r="W440">
            <v>12</v>
          </cell>
          <cell r="X440">
            <v>0.45094664371772808</v>
          </cell>
          <cell r="Y440">
            <v>80</v>
          </cell>
          <cell r="Z440">
            <v>44</v>
          </cell>
          <cell r="AA440">
            <v>0.20563847429519072</v>
          </cell>
          <cell r="AB440">
            <v>0.13266998341625208</v>
          </cell>
          <cell r="AC440">
            <v>20.335999999999999</v>
          </cell>
          <cell r="AD440">
            <v>2.242</v>
          </cell>
          <cell r="AE440" t="e">
            <v>#REF!</v>
          </cell>
          <cell r="AF440">
            <v>6.94</v>
          </cell>
          <cell r="AG440">
            <v>7.81</v>
          </cell>
          <cell r="AH440">
            <v>8.93</v>
          </cell>
          <cell r="AI440" t="e">
            <v>#REF!</v>
          </cell>
          <cell r="AJ440">
            <v>656</v>
          </cell>
          <cell r="AK440">
            <v>590</v>
          </cell>
          <cell r="AL440">
            <v>66</v>
          </cell>
          <cell r="AM440">
            <v>479</v>
          </cell>
          <cell r="AN440">
            <v>526</v>
          </cell>
          <cell r="AP440">
            <v>34075</v>
          </cell>
          <cell r="AQ440">
            <v>2.15</v>
          </cell>
          <cell r="BA440">
            <v>34075</v>
          </cell>
          <cell r="BB440">
            <v>20.335999999999999</v>
          </cell>
          <cell r="BC440">
            <v>2.242</v>
          </cell>
          <cell r="BP440">
            <v>36273</v>
          </cell>
          <cell r="CQ440">
            <v>34075</v>
          </cell>
          <cell r="CR440">
            <v>2.242</v>
          </cell>
        </row>
        <row r="441">
          <cell r="A441">
            <v>17</v>
          </cell>
          <cell r="B441">
            <v>34089</v>
          </cell>
          <cell r="C441">
            <v>34082</v>
          </cell>
          <cell r="J441">
            <v>608</v>
          </cell>
          <cell r="K441">
            <v>69</v>
          </cell>
          <cell r="L441">
            <v>539</v>
          </cell>
          <cell r="M441">
            <v>0.11348684210526316</v>
          </cell>
          <cell r="N441">
            <v>63</v>
          </cell>
          <cell r="O441">
            <v>10</v>
          </cell>
          <cell r="P441">
            <v>50</v>
          </cell>
          <cell r="Q441">
            <v>0</v>
          </cell>
          <cell r="R441">
            <v>50</v>
          </cell>
          <cell r="S441">
            <v>320</v>
          </cell>
          <cell r="T441">
            <v>791.60382165605097</v>
          </cell>
          <cell r="U441">
            <v>265</v>
          </cell>
          <cell r="V441">
            <v>-35</v>
          </cell>
          <cell r="W441">
            <v>14</v>
          </cell>
          <cell r="X441">
            <v>0.45299145299145299</v>
          </cell>
          <cell r="Y441">
            <v>80</v>
          </cell>
          <cell r="Z441">
            <v>44</v>
          </cell>
          <cell r="AA441">
            <v>0.20394736842105263</v>
          </cell>
          <cell r="AB441">
            <v>0.13157894736842105</v>
          </cell>
          <cell r="AC441">
            <v>19.882000000000001</v>
          </cell>
          <cell r="AD441">
            <v>2.3820000000000001</v>
          </cell>
          <cell r="AE441" t="e">
            <v>#REF!</v>
          </cell>
          <cell r="AF441">
            <v>6.94</v>
          </cell>
          <cell r="AG441">
            <v>7.81</v>
          </cell>
          <cell r="AH441">
            <v>8.93</v>
          </cell>
          <cell r="AI441" t="e">
            <v>#REF!</v>
          </cell>
          <cell r="AJ441">
            <v>658</v>
          </cell>
          <cell r="AK441">
            <v>589</v>
          </cell>
          <cell r="AL441">
            <v>69</v>
          </cell>
          <cell r="AM441">
            <v>484</v>
          </cell>
          <cell r="AN441">
            <v>529</v>
          </cell>
          <cell r="AP441">
            <v>34082</v>
          </cell>
          <cell r="AQ441">
            <v>2.57</v>
          </cell>
          <cell r="BA441">
            <v>34082</v>
          </cell>
          <cell r="BB441">
            <v>19.882000000000001</v>
          </cell>
          <cell r="BC441">
            <v>2.3820000000000001</v>
          </cell>
          <cell r="BP441">
            <v>36280</v>
          </cell>
          <cell r="CQ441">
            <v>34082</v>
          </cell>
          <cell r="CR441">
            <v>2.3820000000000001</v>
          </cell>
        </row>
        <row r="442">
          <cell r="A442">
            <v>18</v>
          </cell>
          <cell r="B442">
            <v>34096</v>
          </cell>
          <cell r="C442">
            <v>34089</v>
          </cell>
          <cell r="J442">
            <v>609</v>
          </cell>
          <cell r="K442">
            <v>69</v>
          </cell>
          <cell r="L442">
            <v>540</v>
          </cell>
          <cell r="M442">
            <v>0.11330049261083744</v>
          </cell>
          <cell r="N442">
            <v>63</v>
          </cell>
          <cell r="O442">
            <v>10</v>
          </cell>
          <cell r="P442">
            <v>64</v>
          </cell>
          <cell r="Q442">
            <v>0</v>
          </cell>
          <cell r="R442">
            <v>64</v>
          </cell>
          <cell r="S442">
            <v>319</v>
          </cell>
          <cell r="T442">
            <v>806.08662420382166</v>
          </cell>
          <cell r="U442">
            <v>268</v>
          </cell>
          <cell r="V442">
            <v>-35</v>
          </cell>
          <cell r="W442">
            <v>8</v>
          </cell>
          <cell r="X442">
            <v>0.45655877342419082</v>
          </cell>
          <cell r="Y442">
            <v>79</v>
          </cell>
          <cell r="Z442">
            <v>48</v>
          </cell>
          <cell r="AA442">
            <v>0.20853858784893267</v>
          </cell>
          <cell r="AB442">
            <v>0.1297208538587849</v>
          </cell>
          <cell r="AC442">
            <v>20.346</v>
          </cell>
          <cell r="AD442">
            <v>2.6259999999999999</v>
          </cell>
          <cell r="AE442" t="e">
            <v>#REF!</v>
          </cell>
          <cell r="AF442">
            <v>6.94</v>
          </cell>
          <cell r="AG442">
            <v>7.81</v>
          </cell>
          <cell r="AH442">
            <v>8.93</v>
          </cell>
          <cell r="AI442" t="e">
            <v>#REF!</v>
          </cell>
          <cell r="AJ442">
            <v>673</v>
          </cell>
          <cell r="AK442">
            <v>604</v>
          </cell>
          <cell r="AL442">
            <v>69</v>
          </cell>
          <cell r="AM442">
            <v>482</v>
          </cell>
          <cell r="AN442">
            <v>530</v>
          </cell>
          <cell r="AP442">
            <v>34089</v>
          </cell>
          <cell r="AQ442">
            <v>2.33</v>
          </cell>
          <cell r="BA442">
            <v>34089</v>
          </cell>
          <cell r="BB442">
            <v>20.346</v>
          </cell>
          <cell r="BC442">
            <v>2.6259999999999999</v>
          </cell>
          <cell r="BP442">
            <v>36287</v>
          </cell>
          <cell r="CQ442">
            <v>34089</v>
          </cell>
          <cell r="CR442">
            <v>2.6259999999999999</v>
          </cell>
        </row>
        <row r="443">
          <cell r="A443">
            <v>19</v>
          </cell>
          <cell r="B443">
            <v>34103</v>
          </cell>
          <cell r="C443">
            <v>34096</v>
          </cell>
          <cell r="J443">
            <v>617</v>
          </cell>
          <cell r="K443">
            <v>68</v>
          </cell>
          <cell r="L443">
            <v>549</v>
          </cell>
          <cell r="M443">
            <v>0.11021069692058347</v>
          </cell>
          <cell r="N443">
            <v>63</v>
          </cell>
          <cell r="O443">
            <v>10</v>
          </cell>
          <cell r="P443">
            <v>59</v>
          </cell>
          <cell r="Q443">
            <v>0</v>
          </cell>
          <cell r="R443">
            <v>59</v>
          </cell>
          <cell r="S443">
            <v>319</v>
          </cell>
          <cell r="T443">
            <v>807.30828025477706</v>
          </cell>
          <cell r="U443">
            <v>278</v>
          </cell>
          <cell r="V443">
            <v>-42</v>
          </cell>
          <cell r="W443">
            <v>22</v>
          </cell>
          <cell r="X443">
            <v>0.46566164154103851</v>
          </cell>
          <cell r="Y443">
            <v>77</v>
          </cell>
          <cell r="Z443">
            <v>50</v>
          </cell>
          <cell r="AA443">
            <v>0.20583468395461912</v>
          </cell>
          <cell r="AB443">
            <v>0.12479740680713128</v>
          </cell>
          <cell r="AC443">
            <v>20.466000000000001</v>
          </cell>
          <cell r="AD443">
            <v>2.3860000000000001</v>
          </cell>
          <cell r="AE443" t="e">
            <v>#REF!</v>
          </cell>
          <cell r="AF443">
            <v>6.94</v>
          </cell>
          <cell r="AG443">
            <v>7.81</v>
          </cell>
          <cell r="AH443">
            <v>8.93</v>
          </cell>
          <cell r="AI443" t="e">
            <v>#REF!</v>
          </cell>
          <cell r="AJ443">
            <v>676</v>
          </cell>
          <cell r="AK443">
            <v>608</v>
          </cell>
          <cell r="AL443">
            <v>68</v>
          </cell>
          <cell r="AM443">
            <v>490</v>
          </cell>
          <cell r="AN443">
            <v>539</v>
          </cell>
          <cell r="AP443">
            <v>34096</v>
          </cell>
          <cell r="AQ443">
            <v>2.04</v>
          </cell>
          <cell r="BA443">
            <v>34096</v>
          </cell>
          <cell r="BB443">
            <v>20.466000000000001</v>
          </cell>
          <cell r="BC443">
            <v>2.3860000000000001</v>
          </cell>
          <cell r="BP443">
            <v>36294</v>
          </cell>
          <cell r="CQ443">
            <v>34096</v>
          </cell>
          <cell r="CR443">
            <v>2.3860000000000001</v>
          </cell>
        </row>
        <row r="444">
          <cell r="A444">
            <v>20</v>
          </cell>
          <cell r="B444">
            <v>34110</v>
          </cell>
          <cell r="C444">
            <v>34103</v>
          </cell>
          <cell r="J444">
            <v>619</v>
          </cell>
          <cell r="K444">
            <v>70</v>
          </cell>
          <cell r="L444">
            <v>549</v>
          </cell>
          <cell r="M444">
            <v>0.11308562197092084</v>
          </cell>
          <cell r="N444">
            <v>65</v>
          </cell>
          <cell r="O444">
            <v>11</v>
          </cell>
          <cell r="P444">
            <v>86</v>
          </cell>
          <cell r="Q444">
            <v>1</v>
          </cell>
          <cell r="R444">
            <v>85</v>
          </cell>
          <cell r="S444">
            <v>316</v>
          </cell>
          <cell r="T444">
            <v>839.23694267515918</v>
          </cell>
          <cell r="U444">
            <v>283</v>
          </cell>
          <cell r="V444">
            <v>-39</v>
          </cell>
          <cell r="W444">
            <v>21</v>
          </cell>
          <cell r="X444">
            <v>0.47245409015025042</v>
          </cell>
          <cell r="Y444">
            <v>83</v>
          </cell>
          <cell r="Z444">
            <v>48</v>
          </cell>
          <cell r="AA444">
            <v>0.21163166397415187</v>
          </cell>
          <cell r="AB444">
            <v>0.13408723747980614</v>
          </cell>
          <cell r="AC444">
            <v>20.006</v>
          </cell>
          <cell r="AD444">
            <v>2.1139999999999999</v>
          </cell>
          <cell r="AE444" t="e">
            <v>#REF!</v>
          </cell>
          <cell r="AF444">
            <v>6.94</v>
          </cell>
          <cell r="AG444">
            <v>7.81</v>
          </cell>
          <cell r="AH444">
            <v>8.93</v>
          </cell>
          <cell r="AI444" t="e">
            <v>#REF!</v>
          </cell>
          <cell r="AJ444">
            <v>705</v>
          </cell>
          <cell r="AK444">
            <v>634</v>
          </cell>
          <cell r="AL444">
            <v>71</v>
          </cell>
          <cell r="AM444">
            <v>488</v>
          </cell>
          <cell r="AN444">
            <v>538</v>
          </cell>
          <cell r="AP444">
            <v>34103</v>
          </cell>
          <cell r="AQ444">
            <v>1.9</v>
          </cell>
          <cell r="BA444">
            <v>34103</v>
          </cell>
          <cell r="BB444">
            <v>20.006</v>
          </cell>
          <cell r="BC444">
            <v>2.1139999999999999</v>
          </cell>
          <cell r="BP444">
            <v>36301</v>
          </cell>
          <cell r="CQ444">
            <v>34103</v>
          </cell>
          <cell r="CR444">
            <v>2.1139999999999999</v>
          </cell>
        </row>
        <row r="445">
          <cell r="A445">
            <v>21</v>
          </cell>
          <cell r="B445">
            <v>34117</v>
          </cell>
          <cell r="C445">
            <v>34110</v>
          </cell>
          <cell r="J445">
            <v>641</v>
          </cell>
          <cell r="K445">
            <v>74</v>
          </cell>
          <cell r="L445">
            <v>567</v>
          </cell>
          <cell r="M445">
            <v>0.11544461778471139</v>
          </cell>
          <cell r="N445">
            <v>69</v>
          </cell>
          <cell r="O445">
            <v>12</v>
          </cell>
          <cell r="P445">
            <v>118</v>
          </cell>
          <cell r="Q445">
            <v>1</v>
          </cell>
          <cell r="R445">
            <v>117</v>
          </cell>
          <cell r="S445">
            <v>321</v>
          </cell>
          <cell r="T445">
            <v>899.90700636942677</v>
          </cell>
          <cell r="U445">
            <v>298</v>
          </cell>
          <cell r="V445">
            <v>-33</v>
          </cell>
          <cell r="W445">
            <v>41</v>
          </cell>
          <cell r="X445">
            <v>0.48142164781906299</v>
          </cell>
          <cell r="Y445">
            <v>90</v>
          </cell>
          <cell r="Z445">
            <v>48</v>
          </cell>
          <cell r="AA445">
            <v>0.21528861154446177</v>
          </cell>
          <cell r="AB445">
            <v>0.14040561622464898</v>
          </cell>
          <cell r="AC445">
            <v>19.417999999999999</v>
          </cell>
          <cell r="AD445">
            <v>2.0379999999999998</v>
          </cell>
          <cell r="AE445" t="e">
            <v>#REF!</v>
          </cell>
          <cell r="AF445">
            <v>6.94</v>
          </cell>
          <cell r="AG445">
            <v>7.81</v>
          </cell>
          <cell r="AH445">
            <v>8.93</v>
          </cell>
          <cell r="AI445" t="e">
            <v>#REF!</v>
          </cell>
          <cell r="AJ445">
            <v>759</v>
          </cell>
          <cell r="AK445">
            <v>684</v>
          </cell>
          <cell r="AL445">
            <v>75</v>
          </cell>
          <cell r="AM445">
            <v>503</v>
          </cell>
          <cell r="AN445">
            <v>555</v>
          </cell>
          <cell r="AP445">
            <v>34110</v>
          </cell>
          <cell r="AQ445">
            <v>1.9</v>
          </cell>
          <cell r="BA445">
            <v>34110</v>
          </cell>
          <cell r="BB445">
            <v>19.417999999999999</v>
          </cell>
          <cell r="BC445">
            <v>2.0379999999999998</v>
          </cell>
          <cell r="BP445">
            <v>36308</v>
          </cell>
          <cell r="CQ445">
            <v>34110</v>
          </cell>
          <cell r="CR445">
            <v>2.0379999999999998</v>
          </cell>
        </row>
        <row r="446">
          <cell r="A446">
            <v>22</v>
          </cell>
          <cell r="B446">
            <v>34124</v>
          </cell>
          <cell r="C446">
            <v>34117</v>
          </cell>
          <cell r="J446">
            <v>671</v>
          </cell>
          <cell r="K446">
            <v>78</v>
          </cell>
          <cell r="L446">
            <v>593</v>
          </cell>
          <cell r="M446">
            <v>0.11624441132637854</v>
          </cell>
          <cell r="N446">
            <v>70</v>
          </cell>
          <cell r="O446">
            <v>12</v>
          </cell>
          <cell r="P446">
            <v>146</v>
          </cell>
          <cell r="Q446">
            <v>1</v>
          </cell>
          <cell r="R446">
            <v>145</v>
          </cell>
          <cell r="S446">
            <v>334</v>
          </cell>
          <cell r="T446">
            <v>964.72484076433125</v>
          </cell>
          <cell r="U446">
            <v>315</v>
          </cell>
          <cell r="V446">
            <v>-27</v>
          </cell>
          <cell r="W446">
            <v>52</v>
          </cell>
          <cell r="X446">
            <v>0.48536209553158705</v>
          </cell>
          <cell r="Y446">
            <v>99</v>
          </cell>
          <cell r="Z446">
            <v>47</v>
          </cell>
          <cell r="AA446">
            <v>0.21758569299552907</v>
          </cell>
          <cell r="AB446">
            <v>0.14754098360655737</v>
          </cell>
          <cell r="AC446">
            <v>19.864000000000001</v>
          </cell>
          <cell r="AD446">
            <v>2.0019999999999998</v>
          </cell>
          <cell r="AE446" t="e">
            <v>#REF!</v>
          </cell>
          <cell r="AF446">
            <v>6.94</v>
          </cell>
          <cell r="AG446">
            <v>7.81</v>
          </cell>
          <cell r="AH446">
            <v>8.93</v>
          </cell>
          <cell r="AI446" t="e">
            <v>#REF!</v>
          </cell>
          <cell r="AJ446">
            <v>817</v>
          </cell>
          <cell r="AK446">
            <v>738</v>
          </cell>
          <cell r="AL446">
            <v>79</v>
          </cell>
          <cell r="AM446">
            <v>525</v>
          </cell>
          <cell r="AN446">
            <v>581</v>
          </cell>
          <cell r="AP446">
            <v>34117</v>
          </cell>
          <cell r="AQ446">
            <v>1.79</v>
          </cell>
          <cell r="BA446">
            <v>34117</v>
          </cell>
          <cell r="BB446">
            <v>19.864000000000001</v>
          </cell>
          <cell r="BC446">
            <v>2.0019999999999998</v>
          </cell>
          <cell r="BP446">
            <v>36315</v>
          </cell>
          <cell r="CQ446">
            <v>34117</v>
          </cell>
          <cell r="CR446">
            <v>2.0019999999999998</v>
          </cell>
        </row>
        <row r="447">
          <cell r="A447">
            <v>23</v>
          </cell>
          <cell r="B447">
            <v>34131</v>
          </cell>
          <cell r="C447">
            <v>34124</v>
          </cell>
          <cell r="J447">
            <v>686</v>
          </cell>
          <cell r="K447">
            <v>83</v>
          </cell>
          <cell r="L447">
            <v>603</v>
          </cell>
          <cell r="M447">
            <v>0.12099125364431487</v>
          </cell>
          <cell r="N447">
            <v>70</v>
          </cell>
          <cell r="O447">
            <v>14</v>
          </cell>
          <cell r="P447">
            <v>161</v>
          </cell>
          <cell r="Q447">
            <v>1</v>
          </cell>
          <cell r="R447">
            <v>160</v>
          </cell>
          <cell r="S447">
            <v>340</v>
          </cell>
          <cell r="T447">
            <v>1003.9859872611464</v>
          </cell>
          <cell r="U447">
            <v>325</v>
          </cell>
          <cell r="V447">
            <v>-31</v>
          </cell>
          <cell r="W447">
            <v>69</v>
          </cell>
          <cell r="X447">
            <v>0.48872180451127817</v>
          </cell>
          <cell r="Y447">
            <v>100</v>
          </cell>
          <cell r="Z447">
            <v>48</v>
          </cell>
          <cell r="AA447">
            <v>0.21574344023323616</v>
          </cell>
          <cell r="AB447">
            <v>0.1457725947521866</v>
          </cell>
          <cell r="AC447">
            <v>19.945</v>
          </cell>
          <cell r="AD447">
            <v>1.9</v>
          </cell>
          <cell r="AE447" t="e">
            <v>#REF!</v>
          </cell>
          <cell r="AF447">
            <v>6.94</v>
          </cell>
          <cell r="AG447">
            <v>7.81</v>
          </cell>
          <cell r="AH447">
            <v>8.93</v>
          </cell>
          <cell r="AI447" t="e">
            <v>#REF!</v>
          </cell>
          <cell r="AJ447">
            <v>847</v>
          </cell>
          <cell r="AK447">
            <v>763</v>
          </cell>
          <cell r="AL447">
            <v>84</v>
          </cell>
          <cell r="AM447">
            <v>538</v>
          </cell>
          <cell r="AN447">
            <v>589</v>
          </cell>
          <cell r="AP447">
            <v>34124</v>
          </cell>
          <cell r="AQ447">
            <v>1.79</v>
          </cell>
          <cell r="BA447">
            <v>34124</v>
          </cell>
          <cell r="BB447">
            <v>19.945</v>
          </cell>
          <cell r="BC447">
            <v>1.9</v>
          </cell>
          <cell r="BP447">
            <v>36322</v>
          </cell>
          <cell r="CQ447">
            <v>34124</v>
          </cell>
          <cell r="CR447">
            <v>1.9</v>
          </cell>
        </row>
        <row r="448">
          <cell r="A448">
            <v>24</v>
          </cell>
          <cell r="B448">
            <v>34138</v>
          </cell>
          <cell r="C448">
            <v>34131</v>
          </cell>
          <cell r="J448">
            <v>711</v>
          </cell>
          <cell r="K448">
            <v>88</v>
          </cell>
          <cell r="L448">
            <v>623</v>
          </cell>
          <cell r="M448">
            <v>0.12376933895921238</v>
          </cell>
          <cell r="N448">
            <v>76</v>
          </cell>
          <cell r="O448">
            <v>13</v>
          </cell>
          <cell r="P448">
            <v>191</v>
          </cell>
          <cell r="Q448">
            <v>1</v>
          </cell>
          <cell r="R448">
            <v>190</v>
          </cell>
          <cell r="S448">
            <v>365</v>
          </cell>
          <cell r="T448">
            <v>1067.6929936305733</v>
          </cell>
          <cell r="U448">
            <v>327</v>
          </cell>
          <cell r="V448">
            <v>4</v>
          </cell>
          <cell r="W448">
            <v>85</v>
          </cell>
          <cell r="X448">
            <v>0.4725433526011561</v>
          </cell>
          <cell r="Y448">
            <v>108</v>
          </cell>
          <cell r="Z448">
            <v>46</v>
          </cell>
          <cell r="AA448">
            <v>0.21659634317862167</v>
          </cell>
          <cell r="AB448">
            <v>0.15189873417721519</v>
          </cell>
          <cell r="AC448">
            <v>19.417999999999999</v>
          </cell>
          <cell r="AD448">
            <v>1.948</v>
          </cell>
          <cell r="AE448" t="e">
            <v>#REF!</v>
          </cell>
          <cell r="AF448">
            <v>6.94</v>
          </cell>
          <cell r="AG448">
            <v>7.81</v>
          </cell>
          <cell r="AH448">
            <v>8.93</v>
          </cell>
          <cell r="AI448" t="e">
            <v>#REF!</v>
          </cell>
          <cell r="AJ448">
            <v>902</v>
          </cell>
          <cell r="AK448">
            <v>813</v>
          </cell>
          <cell r="AL448">
            <v>89</v>
          </cell>
          <cell r="AM448">
            <v>557</v>
          </cell>
          <cell r="AN448">
            <v>610</v>
          </cell>
          <cell r="AP448">
            <v>34131</v>
          </cell>
          <cell r="AQ448">
            <v>1.8</v>
          </cell>
          <cell r="BA448">
            <v>34131</v>
          </cell>
          <cell r="BB448">
            <v>19.417999999999999</v>
          </cell>
          <cell r="BC448">
            <v>1.948</v>
          </cell>
          <cell r="BP448">
            <v>36329</v>
          </cell>
          <cell r="CQ448">
            <v>34131</v>
          </cell>
          <cell r="CR448">
            <v>1.948</v>
          </cell>
        </row>
        <row r="449">
          <cell r="A449">
            <v>25</v>
          </cell>
          <cell r="B449">
            <v>34145</v>
          </cell>
          <cell r="C449">
            <v>34138</v>
          </cell>
          <cell r="J449">
            <v>681</v>
          </cell>
          <cell r="K449">
            <v>78</v>
          </cell>
          <cell r="L449">
            <v>603</v>
          </cell>
          <cell r="M449">
            <v>0.11453744493392071</v>
          </cell>
          <cell r="N449">
            <v>68</v>
          </cell>
          <cell r="O449">
            <v>12</v>
          </cell>
          <cell r="P449">
            <v>196</v>
          </cell>
          <cell r="Q449">
            <v>1</v>
          </cell>
          <cell r="R449">
            <v>195</v>
          </cell>
          <cell r="S449">
            <v>344</v>
          </cell>
          <cell r="T449">
            <v>1022.8777070063695</v>
          </cell>
          <cell r="U449">
            <v>321</v>
          </cell>
          <cell r="V449">
            <v>0</v>
          </cell>
          <cell r="W449">
            <v>57</v>
          </cell>
          <cell r="X449">
            <v>0.48270676691729325</v>
          </cell>
          <cell r="Y449">
            <v>95</v>
          </cell>
          <cell r="Z449">
            <v>44</v>
          </cell>
          <cell r="AA449">
            <v>0.20411160058737152</v>
          </cell>
          <cell r="AB449">
            <v>0.1395007342143906</v>
          </cell>
          <cell r="AC449">
            <v>18.736000000000001</v>
          </cell>
          <cell r="AD449">
            <v>2.028</v>
          </cell>
          <cell r="AE449" t="e">
            <v>#REF!</v>
          </cell>
          <cell r="AF449">
            <v>6.94</v>
          </cell>
          <cell r="AG449">
            <v>7.81</v>
          </cell>
          <cell r="AH449">
            <v>8.93</v>
          </cell>
          <cell r="AI449" t="e">
            <v>#REF!</v>
          </cell>
          <cell r="AJ449">
            <v>877</v>
          </cell>
          <cell r="AK449">
            <v>798</v>
          </cell>
          <cell r="AL449">
            <v>79</v>
          </cell>
          <cell r="AM449">
            <v>542</v>
          </cell>
          <cell r="AN449">
            <v>591</v>
          </cell>
          <cell r="AP449">
            <v>34138</v>
          </cell>
          <cell r="AQ449">
            <v>1.86</v>
          </cell>
          <cell r="BA449">
            <v>34138</v>
          </cell>
          <cell r="BB449">
            <v>18.736000000000001</v>
          </cell>
          <cell r="BC449">
            <v>2.028</v>
          </cell>
          <cell r="BP449">
            <v>36336</v>
          </cell>
          <cell r="CQ449">
            <v>34138</v>
          </cell>
          <cell r="CR449">
            <v>2.028</v>
          </cell>
        </row>
        <row r="450">
          <cell r="A450">
            <v>26</v>
          </cell>
          <cell r="B450">
            <v>34152</v>
          </cell>
          <cell r="C450">
            <v>34145</v>
          </cell>
          <cell r="J450">
            <v>702</v>
          </cell>
          <cell r="K450">
            <v>82</v>
          </cell>
          <cell r="L450">
            <v>620</v>
          </cell>
          <cell r="M450">
            <v>0.11680911680911681</v>
          </cell>
          <cell r="N450">
            <v>74</v>
          </cell>
          <cell r="O450">
            <v>13</v>
          </cell>
          <cell r="P450">
            <v>198</v>
          </cell>
          <cell r="Q450">
            <v>1</v>
          </cell>
          <cell r="R450">
            <v>197</v>
          </cell>
          <cell r="S450">
            <v>351</v>
          </cell>
          <cell r="T450">
            <v>1053.656050955414</v>
          </cell>
          <cell r="U450">
            <v>335</v>
          </cell>
          <cell r="V450">
            <v>20</v>
          </cell>
          <cell r="W450">
            <v>59</v>
          </cell>
          <cell r="X450">
            <v>0.48833819241982507</v>
          </cell>
          <cell r="Y450">
            <v>92</v>
          </cell>
          <cell r="Z450">
            <v>52</v>
          </cell>
          <cell r="AA450">
            <v>0.20512820512820512</v>
          </cell>
          <cell r="AB450">
            <v>0.13105413105413105</v>
          </cell>
          <cell r="AC450">
            <v>18.63</v>
          </cell>
          <cell r="AD450">
            <v>2.02</v>
          </cell>
          <cell r="AE450" t="e">
            <v>#REF!</v>
          </cell>
          <cell r="AF450">
            <v>6.94</v>
          </cell>
          <cell r="AG450">
            <v>7.81</v>
          </cell>
          <cell r="AH450">
            <v>8.93</v>
          </cell>
          <cell r="AI450" t="e">
            <v>#REF!</v>
          </cell>
          <cell r="AJ450">
            <v>900</v>
          </cell>
          <cell r="AK450">
            <v>817</v>
          </cell>
          <cell r="AL450">
            <v>83</v>
          </cell>
          <cell r="AM450">
            <v>558</v>
          </cell>
          <cell r="AN450">
            <v>607</v>
          </cell>
          <cell r="AP450">
            <v>34145</v>
          </cell>
          <cell r="AQ450">
            <v>1.84</v>
          </cell>
          <cell r="BA450">
            <v>34145</v>
          </cell>
          <cell r="BB450">
            <v>18.63</v>
          </cell>
          <cell r="BC450">
            <v>2.02</v>
          </cell>
          <cell r="BP450">
            <v>36343</v>
          </cell>
          <cell r="CQ450">
            <v>34145</v>
          </cell>
          <cell r="CR450">
            <v>2.02</v>
          </cell>
        </row>
        <row r="451">
          <cell r="A451">
            <v>27</v>
          </cell>
          <cell r="B451">
            <v>34159</v>
          </cell>
          <cell r="C451">
            <v>34152</v>
          </cell>
          <cell r="J451">
            <v>732</v>
          </cell>
          <cell r="K451">
            <v>86</v>
          </cell>
          <cell r="L451">
            <v>646</v>
          </cell>
          <cell r="M451">
            <v>0.11748633879781421</v>
          </cell>
          <cell r="N451">
            <v>74</v>
          </cell>
          <cell r="O451">
            <v>14</v>
          </cell>
          <cell r="P451">
            <v>176</v>
          </cell>
          <cell r="Q451">
            <v>1</v>
          </cell>
          <cell r="R451">
            <v>175</v>
          </cell>
          <cell r="S451">
            <v>364</v>
          </cell>
          <cell r="T451">
            <v>1070.3210191082803</v>
          </cell>
          <cell r="U451">
            <v>353</v>
          </cell>
          <cell r="V451">
            <v>29</v>
          </cell>
          <cell r="W451">
            <v>111</v>
          </cell>
          <cell r="X451">
            <v>0.49232914923291493</v>
          </cell>
          <cell r="Y451">
            <v>93</v>
          </cell>
          <cell r="Z451">
            <v>61</v>
          </cell>
          <cell r="AA451">
            <v>0.2103825136612022</v>
          </cell>
          <cell r="AB451">
            <v>0.12704918032786885</v>
          </cell>
          <cell r="AC451">
            <v>18.632000000000001</v>
          </cell>
          <cell r="AD451">
            <v>1.97</v>
          </cell>
          <cell r="AE451" t="e">
            <v>#REF!</v>
          </cell>
          <cell r="AF451">
            <v>6.94</v>
          </cell>
          <cell r="AG451">
            <v>7.81</v>
          </cell>
          <cell r="AH451">
            <v>8.93</v>
          </cell>
          <cell r="AI451" t="e">
            <v>#REF!</v>
          </cell>
          <cell r="AJ451">
            <v>908</v>
          </cell>
          <cell r="AK451">
            <v>821</v>
          </cell>
          <cell r="AL451">
            <v>87</v>
          </cell>
          <cell r="AM451">
            <v>578</v>
          </cell>
          <cell r="AN451">
            <v>632</v>
          </cell>
          <cell r="AP451">
            <v>34152</v>
          </cell>
          <cell r="AQ451">
            <v>1.9</v>
          </cell>
          <cell r="BA451">
            <v>34152</v>
          </cell>
          <cell r="BB451">
            <v>18.632000000000001</v>
          </cell>
          <cell r="BC451">
            <v>1.97</v>
          </cell>
          <cell r="BP451">
            <v>36350</v>
          </cell>
          <cell r="CQ451">
            <v>34152</v>
          </cell>
          <cell r="CR451">
            <v>1.97</v>
          </cell>
        </row>
        <row r="452">
          <cell r="A452">
            <v>28</v>
          </cell>
          <cell r="B452">
            <v>34166</v>
          </cell>
          <cell r="C452">
            <v>34159</v>
          </cell>
          <cell r="J452">
            <v>713</v>
          </cell>
          <cell r="K452">
            <v>82</v>
          </cell>
          <cell r="L452">
            <v>631</v>
          </cell>
          <cell r="M452">
            <v>0.11500701262272089</v>
          </cell>
          <cell r="N452">
            <v>71</v>
          </cell>
          <cell r="O452">
            <v>13</v>
          </cell>
          <cell r="P452">
            <v>141</v>
          </cell>
          <cell r="Q452">
            <v>1</v>
          </cell>
          <cell r="R452">
            <v>140</v>
          </cell>
          <cell r="S452">
            <v>353</v>
          </cell>
          <cell r="T452">
            <v>1009.7617834394904</v>
          </cell>
          <cell r="U452">
            <v>346</v>
          </cell>
          <cell r="V452">
            <v>1</v>
          </cell>
          <cell r="W452">
            <v>82</v>
          </cell>
          <cell r="X452">
            <v>0.49499284692417739</v>
          </cell>
          <cell r="Y452">
            <v>85</v>
          </cell>
          <cell r="Z452">
            <v>58</v>
          </cell>
          <cell r="AA452">
            <v>0.2005610098176718</v>
          </cell>
          <cell r="AB452">
            <v>0.11921458625525946</v>
          </cell>
          <cell r="AC452">
            <v>17.998000000000001</v>
          </cell>
          <cell r="AD452">
            <v>2.04</v>
          </cell>
          <cell r="AE452" t="e">
            <v>#REF!</v>
          </cell>
          <cell r="AF452">
            <v>6.94</v>
          </cell>
          <cell r="AG452">
            <v>7.81</v>
          </cell>
          <cell r="AH452">
            <v>8.93</v>
          </cell>
          <cell r="AI452" t="e">
            <v>#REF!</v>
          </cell>
          <cell r="AJ452">
            <v>854</v>
          </cell>
          <cell r="AK452">
            <v>771</v>
          </cell>
          <cell r="AL452">
            <v>83</v>
          </cell>
          <cell r="AM452">
            <v>570</v>
          </cell>
          <cell r="AN452">
            <v>618</v>
          </cell>
          <cell r="AP452">
            <v>34159</v>
          </cell>
          <cell r="AQ452">
            <v>1.95</v>
          </cell>
          <cell r="BA452">
            <v>34159</v>
          </cell>
          <cell r="BB452">
            <v>17.998000000000001</v>
          </cell>
          <cell r="BC452">
            <v>2.04</v>
          </cell>
          <cell r="BP452">
            <v>36357</v>
          </cell>
          <cell r="CQ452">
            <v>34159</v>
          </cell>
          <cell r="CR452">
            <v>2.04</v>
          </cell>
        </row>
        <row r="453">
          <cell r="A453">
            <v>29</v>
          </cell>
          <cell r="B453">
            <v>34173</v>
          </cell>
          <cell r="C453">
            <v>34166</v>
          </cell>
          <cell r="J453">
            <v>720</v>
          </cell>
          <cell r="K453">
            <v>82</v>
          </cell>
          <cell r="L453">
            <v>638</v>
          </cell>
          <cell r="M453">
            <v>0.11388888888888889</v>
          </cell>
          <cell r="N453">
            <v>71</v>
          </cell>
          <cell r="O453">
            <v>14</v>
          </cell>
          <cell r="P453">
            <v>155</v>
          </cell>
          <cell r="Q453">
            <v>1</v>
          </cell>
          <cell r="R453">
            <v>154</v>
          </cell>
          <cell r="S453">
            <v>362</v>
          </cell>
          <cell r="T453">
            <v>1030.2445859872612</v>
          </cell>
          <cell r="U453">
            <v>346</v>
          </cell>
          <cell r="V453">
            <v>9</v>
          </cell>
          <cell r="W453">
            <v>70</v>
          </cell>
          <cell r="X453">
            <v>0.48870056497175141</v>
          </cell>
          <cell r="Y453">
            <v>86</v>
          </cell>
          <cell r="Z453">
            <v>59</v>
          </cell>
          <cell r="AA453">
            <v>0.2013888888888889</v>
          </cell>
          <cell r="AB453">
            <v>0.11944444444444445</v>
          </cell>
          <cell r="AC453">
            <v>17.72</v>
          </cell>
          <cell r="AD453">
            <v>2.0640000000000001</v>
          </cell>
          <cell r="AE453" t="e">
            <v>#REF!</v>
          </cell>
          <cell r="AF453">
            <v>6.94</v>
          </cell>
          <cell r="AG453">
            <v>7.81</v>
          </cell>
          <cell r="AH453">
            <v>8.93</v>
          </cell>
          <cell r="AI453" t="e">
            <v>#REF!</v>
          </cell>
          <cell r="AJ453">
            <v>875</v>
          </cell>
          <cell r="AK453">
            <v>792</v>
          </cell>
          <cell r="AL453">
            <v>83</v>
          </cell>
          <cell r="AM453">
            <v>575</v>
          </cell>
          <cell r="AN453">
            <v>624</v>
          </cell>
          <cell r="AP453">
            <v>34166</v>
          </cell>
          <cell r="AQ453">
            <v>1.95</v>
          </cell>
          <cell r="BA453">
            <v>34166</v>
          </cell>
          <cell r="BB453">
            <v>17.72</v>
          </cell>
          <cell r="BC453">
            <v>2.0640000000000001</v>
          </cell>
          <cell r="BP453">
            <v>36364</v>
          </cell>
          <cell r="CQ453">
            <v>34166</v>
          </cell>
          <cell r="CR453">
            <v>2.0640000000000001</v>
          </cell>
        </row>
        <row r="454">
          <cell r="A454">
            <v>30</v>
          </cell>
          <cell r="B454">
            <v>34180</v>
          </cell>
          <cell r="C454">
            <v>34173</v>
          </cell>
          <cell r="J454">
            <v>765</v>
          </cell>
          <cell r="K454">
            <v>89</v>
          </cell>
          <cell r="L454">
            <v>676</v>
          </cell>
          <cell r="M454">
            <v>0.11633986928104575</v>
          </cell>
          <cell r="N454">
            <v>77</v>
          </cell>
          <cell r="O454">
            <v>16</v>
          </cell>
          <cell r="P454">
            <v>179</v>
          </cell>
          <cell r="Q454">
            <v>1</v>
          </cell>
          <cell r="R454">
            <v>178</v>
          </cell>
          <cell r="S454">
            <v>376</v>
          </cell>
          <cell r="T454">
            <v>1112.0993630573248</v>
          </cell>
          <cell r="U454">
            <v>376</v>
          </cell>
          <cell r="V454">
            <v>36</v>
          </cell>
          <cell r="W454">
            <v>85</v>
          </cell>
          <cell r="X454">
            <v>0.5</v>
          </cell>
          <cell r="Y454">
            <v>93</v>
          </cell>
          <cell r="Z454">
            <v>59</v>
          </cell>
          <cell r="AA454">
            <v>0.19869281045751633</v>
          </cell>
          <cell r="AB454">
            <v>0.12156862745098039</v>
          </cell>
          <cell r="AC454">
            <v>17.456</v>
          </cell>
          <cell r="AD454">
            <v>2.0880000000000001</v>
          </cell>
          <cell r="AE454" t="e">
            <v>#REF!</v>
          </cell>
          <cell r="AF454">
            <v>6.94</v>
          </cell>
          <cell r="AG454">
            <v>7.81</v>
          </cell>
          <cell r="AH454">
            <v>8.93</v>
          </cell>
          <cell r="AI454" t="e">
            <v>#REF!</v>
          </cell>
          <cell r="AJ454">
            <v>944</v>
          </cell>
          <cell r="AK454">
            <v>854</v>
          </cell>
          <cell r="AL454">
            <v>90</v>
          </cell>
          <cell r="AM454">
            <v>613</v>
          </cell>
          <cell r="AN454">
            <v>660</v>
          </cell>
          <cell r="AP454">
            <v>34173</v>
          </cell>
          <cell r="AQ454">
            <v>1.95</v>
          </cell>
          <cell r="BA454">
            <v>34173</v>
          </cell>
          <cell r="BB454">
            <v>17.456</v>
          </cell>
          <cell r="BC454">
            <v>2.0880000000000001</v>
          </cell>
          <cell r="BP454">
            <v>36371</v>
          </cell>
          <cell r="CQ454">
            <v>34173</v>
          </cell>
          <cell r="CR454">
            <v>2.0880000000000001</v>
          </cell>
        </row>
        <row r="455">
          <cell r="A455">
            <v>31</v>
          </cell>
          <cell r="B455">
            <v>34187</v>
          </cell>
          <cell r="C455">
            <v>34180</v>
          </cell>
          <cell r="J455">
            <v>776</v>
          </cell>
          <cell r="K455">
            <v>87</v>
          </cell>
          <cell r="L455">
            <v>689</v>
          </cell>
          <cell r="M455">
            <v>0.11211340206185567</v>
          </cell>
          <cell r="N455">
            <v>75</v>
          </cell>
          <cell r="O455">
            <v>16</v>
          </cell>
          <cell r="P455">
            <v>144</v>
          </cell>
          <cell r="Q455">
            <v>1</v>
          </cell>
          <cell r="R455">
            <v>143</v>
          </cell>
          <cell r="S455">
            <v>385</v>
          </cell>
          <cell r="T455">
            <v>1085.4662420382165</v>
          </cell>
          <cell r="U455">
            <v>380</v>
          </cell>
          <cell r="V455">
            <v>42</v>
          </cell>
          <cell r="W455">
            <v>74</v>
          </cell>
          <cell r="X455">
            <v>0.49673202614379086</v>
          </cell>
          <cell r="Y455">
            <v>92</v>
          </cell>
          <cell r="Z455">
            <v>59</v>
          </cell>
          <cell r="AA455">
            <v>0.19458762886597938</v>
          </cell>
          <cell r="AB455">
            <v>0.11855670103092783</v>
          </cell>
          <cell r="AC455">
            <v>18.143999999999998</v>
          </cell>
          <cell r="AD455">
            <v>2.1059999999999999</v>
          </cell>
          <cell r="AE455" t="e">
            <v>#REF!</v>
          </cell>
          <cell r="AF455">
            <v>6.94</v>
          </cell>
          <cell r="AG455">
            <v>7.81</v>
          </cell>
          <cell r="AH455">
            <v>8.93</v>
          </cell>
          <cell r="AI455" t="e">
            <v>#REF!</v>
          </cell>
          <cell r="AJ455">
            <v>920</v>
          </cell>
          <cell r="AK455">
            <v>832</v>
          </cell>
          <cell r="AL455">
            <v>88</v>
          </cell>
          <cell r="AM455">
            <v>625</v>
          </cell>
          <cell r="AN455">
            <v>673</v>
          </cell>
          <cell r="AP455">
            <v>34180</v>
          </cell>
          <cell r="AQ455">
            <v>1.98</v>
          </cell>
          <cell r="BA455">
            <v>34180</v>
          </cell>
          <cell r="BB455">
            <v>18.143999999999998</v>
          </cell>
          <cell r="BC455">
            <v>2.1059999999999999</v>
          </cell>
          <cell r="BP455">
            <v>36378</v>
          </cell>
          <cell r="CQ455">
            <v>34180</v>
          </cell>
          <cell r="CR455">
            <v>2.1059999999999999</v>
          </cell>
        </row>
        <row r="456">
          <cell r="A456">
            <v>32</v>
          </cell>
          <cell r="B456">
            <v>34194</v>
          </cell>
          <cell r="C456">
            <v>34187</v>
          </cell>
          <cell r="J456">
            <v>776</v>
          </cell>
          <cell r="K456">
            <v>85</v>
          </cell>
          <cell r="L456">
            <v>691</v>
          </cell>
          <cell r="M456">
            <v>0.1095360824742268</v>
          </cell>
          <cell r="N456">
            <v>73</v>
          </cell>
          <cell r="O456">
            <v>16</v>
          </cell>
          <cell r="P456">
            <v>194</v>
          </cell>
          <cell r="Q456">
            <v>1</v>
          </cell>
          <cell r="R456">
            <v>193</v>
          </cell>
          <cell r="S456">
            <v>389</v>
          </cell>
          <cell r="T456">
            <v>1129.6929936305733</v>
          </cell>
          <cell r="U456">
            <v>377</v>
          </cell>
          <cell r="V456">
            <v>37</v>
          </cell>
          <cell r="W456">
            <v>57</v>
          </cell>
          <cell r="X456">
            <v>0.49216710182767626</v>
          </cell>
          <cell r="Y456">
            <v>99</v>
          </cell>
          <cell r="Z456">
            <v>57</v>
          </cell>
          <cell r="AA456">
            <v>0.20103092783505155</v>
          </cell>
          <cell r="AB456">
            <v>0.12757731958762886</v>
          </cell>
          <cell r="AC456">
            <v>17.692</v>
          </cell>
          <cell r="AD456">
            <v>2.1859999999999999</v>
          </cell>
          <cell r="AE456" t="e">
            <v>#REF!</v>
          </cell>
          <cell r="AF456">
            <v>6.94</v>
          </cell>
          <cell r="AG456">
            <v>7.81</v>
          </cell>
          <cell r="AH456">
            <v>8.93</v>
          </cell>
          <cell r="AI456" t="e">
            <v>#REF!</v>
          </cell>
          <cell r="AJ456">
            <v>970</v>
          </cell>
          <cell r="AK456">
            <v>884</v>
          </cell>
          <cell r="AL456">
            <v>86</v>
          </cell>
          <cell r="AM456">
            <v>620</v>
          </cell>
          <cell r="AN456">
            <v>675</v>
          </cell>
          <cell r="AP456">
            <v>34187</v>
          </cell>
          <cell r="AQ456">
            <v>2.0699999999999998</v>
          </cell>
          <cell r="BA456">
            <v>34187</v>
          </cell>
          <cell r="BB456">
            <v>17.692</v>
          </cell>
          <cell r="BC456">
            <v>2.1859999999999999</v>
          </cell>
          <cell r="BP456">
            <v>36385</v>
          </cell>
          <cell r="CQ456">
            <v>34187</v>
          </cell>
          <cell r="CR456">
            <v>2.1859999999999999</v>
          </cell>
        </row>
        <row r="457">
          <cell r="A457">
            <v>33</v>
          </cell>
          <cell r="B457">
            <v>34201</v>
          </cell>
          <cell r="C457">
            <v>34194</v>
          </cell>
          <cell r="J457">
            <v>786</v>
          </cell>
          <cell r="K457">
            <v>85</v>
          </cell>
          <cell r="L457">
            <v>701</v>
          </cell>
          <cell r="M457">
            <v>0.10814249363867684</v>
          </cell>
          <cell r="N457">
            <v>74</v>
          </cell>
          <cell r="O457">
            <v>15</v>
          </cell>
          <cell r="P457">
            <v>176</v>
          </cell>
          <cell r="Q457">
            <v>1</v>
          </cell>
          <cell r="R457">
            <v>175</v>
          </cell>
          <cell r="S457">
            <v>404</v>
          </cell>
          <cell r="T457">
            <v>1122.3579617834394</v>
          </cell>
          <cell r="U457">
            <v>371</v>
          </cell>
          <cell r="V457">
            <v>53</v>
          </cell>
          <cell r="W457">
            <v>53</v>
          </cell>
          <cell r="X457">
            <v>0.47870967741935483</v>
          </cell>
          <cell r="Y457">
            <v>101</v>
          </cell>
          <cell r="Z457">
            <v>54</v>
          </cell>
          <cell r="AA457">
            <v>0.19720101781170485</v>
          </cell>
          <cell r="AB457">
            <v>0.12849872773536897</v>
          </cell>
          <cell r="AC457">
            <v>17.853999999999999</v>
          </cell>
          <cell r="AD457">
            <v>2.274</v>
          </cell>
          <cell r="AE457" t="e">
            <v>#REF!</v>
          </cell>
          <cell r="AF457">
            <v>6.94</v>
          </cell>
          <cell r="AG457">
            <v>7.81</v>
          </cell>
          <cell r="AH457">
            <v>8.93</v>
          </cell>
          <cell r="AI457" t="e">
            <v>#REF!</v>
          </cell>
          <cell r="AJ457">
            <v>962</v>
          </cell>
          <cell r="AK457">
            <v>876</v>
          </cell>
          <cell r="AL457">
            <v>86</v>
          </cell>
          <cell r="AM457">
            <v>631</v>
          </cell>
          <cell r="AN457">
            <v>686</v>
          </cell>
          <cell r="AP457">
            <v>34194</v>
          </cell>
          <cell r="AQ457">
            <v>2.1</v>
          </cell>
          <cell r="BA457">
            <v>34194</v>
          </cell>
          <cell r="BB457">
            <v>17.853999999999999</v>
          </cell>
          <cell r="BC457">
            <v>2.274</v>
          </cell>
          <cell r="BP457">
            <v>36392</v>
          </cell>
          <cell r="CQ457">
            <v>34194</v>
          </cell>
          <cell r="CR457">
            <v>2.274</v>
          </cell>
        </row>
        <row r="458">
          <cell r="A458">
            <v>34</v>
          </cell>
          <cell r="B458">
            <v>34208</v>
          </cell>
          <cell r="C458">
            <v>34201</v>
          </cell>
          <cell r="J458">
            <v>805</v>
          </cell>
          <cell r="K458">
            <v>90</v>
          </cell>
          <cell r="L458">
            <v>715</v>
          </cell>
          <cell r="M458">
            <v>0.11180124223602485</v>
          </cell>
          <cell r="N458">
            <v>79</v>
          </cell>
          <cell r="O458">
            <v>15</v>
          </cell>
          <cell r="P458">
            <v>154</v>
          </cell>
          <cell r="Q458">
            <v>1</v>
          </cell>
          <cell r="R458">
            <v>153</v>
          </cell>
          <cell r="S458">
            <v>400</v>
          </cell>
          <cell r="T458">
            <v>1129.9859872611466</v>
          </cell>
          <cell r="U458">
            <v>395</v>
          </cell>
          <cell r="V458">
            <v>43</v>
          </cell>
          <cell r="W458">
            <v>78</v>
          </cell>
          <cell r="X458">
            <v>0.49685534591194969</v>
          </cell>
          <cell r="Y458">
            <v>104</v>
          </cell>
          <cell r="Z458">
            <v>61</v>
          </cell>
          <cell r="AA458">
            <v>0.20496894409937888</v>
          </cell>
          <cell r="AB458">
            <v>0.12919254658385093</v>
          </cell>
          <cell r="AC458">
            <v>17.835999999999999</v>
          </cell>
          <cell r="AD458">
            <v>2.375</v>
          </cell>
          <cell r="AE458" t="e">
            <v>#REF!</v>
          </cell>
          <cell r="AF458">
            <v>6.94</v>
          </cell>
          <cell r="AG458">
            <v>7.81</v>
          </cell>
          <cell r="AH458">
            <v>8.93</v>
          </cell>
          <cell r="AI458" t="e">
            <v>#REF!</v>
          </cell>
          <cell r="AJ458">
            <v>959</v>
          </cell>
          <cell r="AK458">
            <v>868</v>
          </cell>
          <cell r="AL458">
            <v>91</v>
          </cell>
          <cell r="AM458">
            <v>640</v>
          </cell>
          <cell r="AN458">
            <v>700</v>
          </cell>
          <cell r="AP458">
            <v>34201</v>
          </cell>
          <cell r="AQ458">
            <v>2.25</v>
          </cell>
          <cell r="BA458">
            <v>34201</v>
          </cell>
          <cell r="BB458">
            <v>17.835999999999999</v>
          </cell>
          <cell r="BC458">
            <v>2.375</v>
          </cell>
          <cell r="BP458">
            <v>36399</v>
          </cell>
          <cell r="CQ458">
            <v>34201</v>
          </cell>
          <cell r="CR458">
            <v>2.375</v>
          </cell>
        </row>
        <row r="459">
          <cell r="A459">
            <v>35</v>
          </cell>
          <cell r="B459">
            <v>34215</v>
          </cell>
          <cell r="C459">
            <v>34208</v>
          </cell>
          <cell r="J459">
            <v>822</v>
          </cell>
          <cell r="K459">
            <v>88</v>
          </cell>
          <cell r="L459">
            <v>734</v>
          </cell>
          <cell r="M459">
            <v>0.1070559610705596</v>
          </cell>
          <cell r="N459">
            <v>77</v>
          </cell>
          <cell r="O459">
            <v>12</v>
          </cell>
          <cell r="P459">
            <v>157</v>
          </cell>
          <cell r="Q459">
            <v>1</v>
          </cell>
          <cell r="R459">
            <v>156</v>
          </cell>
          <cell r="S459">
            <v>396</v>
          </cell>
          <cell r="T459">
            <v>1145.9490445859872</v>
          </cell>
          <cell r="U459">
            <v>417</v>
          </cell>
          <cell r="V459">
            <v>40</v>
          </cell>
          <cell r="W459">
            <v>88</v>
          </cell>
          <cell r="X459">
            <v>0.51291512915129156</v>
          </cell>
          <cell r="Y459">
            <v>104</v>
          </cell>
          <cell r="Z459">
            <v>62</v>
          </cell>
          <cell r="AA459">
            <v>0.20194647201946472</v>
          </cell>
          <cell r="AB459">
            <v>0.12652068126520682</v>
          </cell>
          <cell r="AC459">
            <v>18.446000000000002</v>
          </cell>
          <cell r="AD459">
            <v>2.448</v>
          </cell>
          <cell r="AE459" t="e">
            <v>#REF!</v>
          </cell>
          <cell r="AF459">
            <v>6.94</v>
          </cell>
          <cell r="AG459">
            <v>7.81</v>
          </cell>
          <cell r="AH459">
            <v>8.93</v>
          </cell>
          <cell r="AI459" t="e">
            <v>#REF!</v>
          </cell>
          <cell r="AJ459">
            <v>979</v>
          </cell>
          <cell r="AK459">
            <v>890</v>
          </cell>
          <cell r="AL459">
            <v>89</v>
          </cell>
          <cell r="AM459">
            <v>656</v>
          </cell>
          <cell r="AN459">
            <v>722</v>
          </cell>
          <cell r="AP459">
            <v>34208</v>
          </cell>
          <cell r="AQ459">
            <v>2.2000000000000002</v>
          </cell>
          <cell r="BA459">
            <v>34208</v>
          </cell>
          <cell r="BB459">
            <v>18.446000000000002</v>
          </cell>
          <cell r="BC459">
            <v>2.448</v>
          </cell>
          <cell r="BP459">
            <v>36406</v>
          </cell>
          <cell r="CQ459">
            <v>34208</v>
          </cell>
          <cell r="CR459">
            <v>2.448</v>
          </cell>
        </row>
        <row r="460">
          <cell r="A460">
            <v>36</v>
          </cell>
          <cell r="B460">
            <v>34222</v>
          </cell>
          <cell r="C460">
            <v>34215</v>
          </cell>
          <cell r="J460">
            <v>834</v>
          </cell>
          <cell r="K460">
            <v>86</v>
          </cell>
          <cell r="L460">
            <v>748</v>
          </cell>
          <cell r="M460">
            <v>0.10311750599520383</v>
          </cell>
          <cell r="N460">
            <v>76</v>
          </cell>
          <cell r="O460">
            <v>11</v>
          </cell>
          <cell r="P460">
            <v>184</v>
          </cell>
          <cell r="Q460">
            <v>1</v>
          </cell>
          <cell r="R460">
            <v>183</v>
          </cell>
          <cell r="S460">
            <v>405</v>
          </cell>
          <cell r="T460">
            <v>1180.0254777070063</v>
          </cell>
          <cell r="U460">
            <v>419</v>
          </cell>
          <cell r="V460">
            <v>75</v>
          </cell>
          <cell r="W460">
            <v>93</v>
          </cell>
          <cell r="X460">
            <v>0.50849514563106801</v>
          </cell>
          <cell r="Y460">
            <v>100</v>
          </cell>
          <cell r="Z460">
            <v>62</v>
          </cell>
          <cell r="AA460">
            <v>0.19424460431654678</v>
          </cell>
          <cell r="AB460">
            <v>0.11990407673860912</v>
          </cell>
          <cell r="AC460">
            <v>18.138000000000002</v>
          </cell>
          <cell r="AD460">
            <v>2.3959999999999999</v>
          </cell>
          <cell r="AE460" t="e">
            <v>#REF!</v>
          </cell>
          <cell r="AF460">
            <v>6.94</v>
          </cell>
          <cell r="AG460">
            <v>7.81</v>
          </cell>
          <cell r="AH460">
            <v>8.93</v>
          </cell>
          <cell r="AI460" t="e">
            <v>#REF!</v>
          </cell>
          <cell r="AJ460">
            <v>1018</v>
          </cell>
          <cell r="AK460">
            <v>931</v>
          </cell>
          <cell r="AL460">
            <v>87</v>
          </cell>
          <cell r="AM460">
            <v>672</v>
          </cell>
          <cell r="AN460">
            <v>737</v>
          </cell>
          <cell r="AP460">
            <v>34215</v>
          </cell>
          <cell r="AQ460">
            <v>2.21</v>
          </cell>
          <cell r="BA460">
            <v>34215</v>
          </cell>
          <cell r="BB460">
            <v>18.138000000000002</v>
          </cell>
          <cell r="BC460">
            <v>2.3959999999999999</v>
          </cell>
          <cell r="BP460">
            <v>36413</v>
          </cell>
          <cell r="CQ460">
            <v>34215</v>
          </cell>
          <cell r="CR460">
            <v>2.3959999999999999</v>
          </cell>
        </row>
        <row r="461">
          <cell r="A461">
            <v>37</v>
          </cell>
          <cell r="B461">
            <v>34229</v>
          </cell>
          <cell r="C461">
            <v>34222</v>
          </cell>
          <cell r="J461">
            <v>835</v>
          </cell>
          <cell r="K461">
            <v>84</v>
          </cell>
          <cell r="L461">
            <v>751</v>
          </cell>
          <cell r="M461">
            <v>0.10059880239520957</v>
          </cell>
          <cell r="N461">
            <v>74</v>
          </cell>
          <cell r="O461">
            <v>11</v>
          </cell>
          <cell r="P461">
            <v>176</v>
          </cell>
          <cell r="Q461">
            <v>2</v>
          </cell>
          <cell r="R461">
            <v>174</v>
          </cell>
          <cell r="S461">
            <v>405</v>
          </cell>
          <cell r="T461">
            <v>1169.3949044585986</v>
          </cell>
          <cell r="U461">
            <v>421</v>
          </cell>
          <cell r="V461">
            <v>71</v>
          </cell>
          <cell r="W461">
            <v>85</v>
          </cell>
          <cell r="X461">
            <v>0.50968523002421307</v>
          </cell>
          <cell r="Y461">
            <v>103</v>
          </cell>
          <cell r="Z461">
            <v>57</v>
          </cell>
          <cell r="AA461">
            <v>0.19161676646706588</v>
          </cell>
          <cell r="AB461">
            <v>0.12335329341317365</v>
          </cell>
          <cell r="AC461">
            <v>16.957000000000001</v>
          </cell>
          <cell r="AD461">
            <v>2.3450000000000002</v>
          </cell>
          <cell r="AE461" t="e">
            <v>#REF!</v>
          </cell>
          <cell r="AF461">
            <v>6.94</v>
          </cell>
          <cell r="AG461">
            <v>7.81</v>
          </cell>
          <cell r="AH461">
            <v>8.93</v>
          </cell>
          <cell r="AI461" t="e">
            <v>#REF!</v>
          </cell>
          <cell r="AJ461">
            <v>1011</v>
          </cell>
          <cell r="AK461">
            <v>925</v>
          </cell>
          <cell r="AL461">
            <v>86</v>
          </cell>
          <cell r="AM461">
            <v>675</v>
          </cell>
          <cell r="AN461">
            <v>740</v>
          </cell>
          <cell r="AP461">
            <v>34222</v>
          </cell>
          <cell r="AQ461">
            <v>2.11</v>
          </cell>
          <cell r="BA461">
            <v>34222</v>
          </cell>
          <cell r="BB461">
            <v>16.957000000000001</v>
          </cell>
          <cell r="BC461">
            <v>2.3450000000000002</v>
          </cell>
          <cell r="BP461">
            <v>36420</v>
          </cell>
          <cell r="CQ461">
            <v>34222</v>
          </cell>
          <cell r="CR461">
            <v>2.3450000000000002</v>
          </cell>
        </row>
        <row r="462">
          <cell r="A462">
            <v>38</v>
          </cell>
          <cell r="B462">
            <v>34236</v>
          </cell>
          <cell r="C462">
            <v>34229</v>
          </cell>
          <cell r="J462">
            <v>856</v>
          </cell>
          <cell r="K462">
            <v>90</v>
          </cell>
          <cell r="L462">
            <v>766</v>
          </cell>
          <cell r="M462">
            <v>0.10514018691588785</v>
          </cell>
          <cell r="N462">
            <v>81</v>
          </cell>
          <cell r="O462">
            <v>15</v>
          </cell>
          <cell r="P462">
            <v>176</v>
          </cell>
          <cell r="Q462">
            <v>1</v>
          </cell>
          <cell r="R462">
            <v>175</v>
          </cell>
          <cell r="S462">
            <v>423</v>
          </cell>
          <cell r="T462">
            <v>1202.1732484076433</v>
          </cell>
          <cell r="U462">
            <v>422</v>
          </cell>
          <cell r="V462">
            <v>108</v>
          </cell>
          <cell r="W462">
            <v>89</v>
          </cell>
          <cell r="X462">
            <v>0.49940828402366866</v>
          </cell>
          <cell r="Y462">
            <v>115</v>
          </cell>
          <cell r="Z462">
            <v>52</v>
          </cell>
          <cell r="AA462">
            <v>0.19509345794392524</v>
          </cell>
          <cell r="AB462">
            <v>0.13434579439252337</v>
          </cell>
          <cell r="AC462">
            <v>16.934000000000001</v>
          </cell>
          <cell r="AD462">
            <v>2.1659999999999999</v>
          </cell>
          <cell r="AE462" t="e">
            <v>#REF!</v>
          </cell>
          <cell r="AF462">
            <v>6.94</v>
          </cell>
          <cell r="AG462">
            <v>7.81</v>
          </cell>
          <cell r="AH462">
            <v>8.93</v>
          </cell>
          <cell r="AI462" t="e">
            <v>#REF!</v>
          </cell>
          <cell r="AJ462">
            <v>1032</v>
          </cell>
          <cell r="AK462">
            <v>941</v>
          </cell>
          <cell r="AL462">
            <v>91</v>
          </cell>
          <cell r="AM462">
            <v>689</v>
          </cell>
          <cell r="AN462">
            <v>751</v>
          </cell>
          <cell r="AP462">
            <v>34229</v>
          </cell>
          <cell r="AQ462">
            <v>2</v>
          </cell>
          <cell r="BA462">
            <v>34229</v>
          </cell>
          <cell r="BB462">
            <v>16.934000000000001</v>
          </cell>
          <cell r="BC462">
            <v>2.1659999999999999</v>
          </cell>
          <cell r="BP462">
            <v>36427</v>
          </cell>
          <cell r="CQ462">
            <v>34229</v>
          </cell>
          <cell r="CR462">
            <v>2.1659999999999999</v>
          </cell>
        </row>
        <row r="463">
          <cell r="A463">
            <v>39</v>
          </cell>
          <cell r="B463">
            <v>34243</v>
          </cell>
          <cell r="C463">
            <v>34236</v>
          </cell>
          <cell r="J463">
            <v>866</v>
          </cell>
          <cell r="K463">
            <v>94</v>
          </cell>
          <cell r="L463">
            <v>772</v>
          </cell>
          <cell r="M463">
            <v>0.10854503464203233</v>
          </cell>
          <cell r="N463">
            <v>82</v>
          </cell>
          <cell r="O463">
            <v>13</v>
          </cell>
          <cell r="P463">
            <v>172</v>
          </cell>
          <cell r="Q463">
            <v>1</v>
          </cell>
          <cell r="R463">
            <v>171</v>
          </cell>
          <cell r="S463">
            <v>440</v>
          </cell>
          <cell r="T463">
            <v>1216.1732484076433</v>
          </cell>
          <cell r="U463">
            <v>420</v>
          </cell>
          <cell r="V463">
            <v>98</v>
          </cell>
          <cell r="W463">
            <v>75</v>
          </cell>
          <cell r="X463">
            <v>0.48837209302325579</v>
          </cell>
          <cell r="Y463">
            <v>117</v>
          </cell>
          <cell r="Z463">
            <v>50</v>
          </cell>
          <cell r="AA463">
            <v>0.19284064665127021</v>
          </cell>
          <cell r="AB463">
            <v>0.1351039260969977</v>
          </cell>
          <cell r="AC463">
            <v>17.696000000000002</v>
          </cell>
          <cell r="AD463">
            <v>2.1</v>
          </cell>
          <cell r="AE463" t="e">
            <v>#REF!</v>
          </cell>
          <cell r="AF463">
            <v>6.94</v>
          </cell>
          <cell r="AG463">
            <v>7.81</v>
          </cell>
          <cell r="AH463">
            <v>8.93</v>
          </cell>
          <cell r="AI463" t="e">
            <v>#REF!</v>
          </cell>
          <cell r="AJ463">
            <v>1038</v>
          </cell>
          <cell r="AK463">
            <v>943</v>
          </cell>
          <cell r="AL463">
            <v>95</v>
          </cell>
          <cell r="AM463">
            <v>699</v>
          </cell>
          <cell r="AN463">
            <v>759</v>
          </cell>
          <cell r="AP463">
            <v>34236</v>
          </cell>
          <cell r="AQ463">
            <v>2</v>
          </cell>
          <cell r="BA463">
            <v>34236</v>
          </cell>
          <cell r="BB463">
            <v>17.696000000000002</v>
          </cell>
          <cell r="BC463">
            <v>2.1</v>
          </cell>
          <cell r="BP463">
            <v>36434</v>
          </cell>
          <cell r="CQ463">
            <v>34236</v>
          </cell>
          <cell r="CR463">
            <v>2.1</v>
          </cell>
        </row>
        <row r="464">
          <cell r="A464">
            <v>40</v>
          </cell>
          <cell r="B464">
            <v>34250</v>
          </cell>
          <cell r="C464">
            <v>34243</v>
          </cell>
          <cell r="J464">
            <v>856</v>
          </cell>
          <cell r="K464">
            <v>94</v>
          </cell>
          <cell r="L464">
            <v>762</v>
          </cell>
          <cell r="M464">
            <v>0.10981308411214953</v>
          </cell>
          <cell r="N464">
            <v>82</v>
          </cell>
          <cell r="O464">
            <v>13</v>
          </cell>
          <cell r="P464">
            <v>197</v>
          </cell>
          <cell r="Q464">
            <v>1</v>
          </cell>
          <cell r="R464">
            <v>196</v>
          </cell>
          <cell r="S464">
            <v>427</v>
          </cell>
          <cell r="T464">
            <v>1230.2496815286624</v>
          </cell>
          <cell r="U464">
            <v>422</v>
          </cell>
          <cell r="V464">
            <v>63</v>
          </cell>
          <cell r="W464">
            <v>41</v>
          </cell>
          <cell r="X464">
            <v>0.49705535924617195</v>
          </cell>
          <cell r="Y464">
            <v>116</v>
          </cell>
          <cell r="Z464">
            <v>37</v>
          </cell>
          <cell r="AA464">
            <v>0.17873831775700935</v>
          </cell>
          <cell r="AB464">
            <v>0.13551401869158877</v>
          </cell>
          <cell r="AC464">
            <v>18.356000000000002</v>
          </cell>
          <cell r="AD464">
            <v>2.0760000000000001</v>
          </cell>
          <cell r="AE464" t="e">
            <v>#REF!</v>
          </cell>
          <cell r="AF464">
            <v>6.94</v>
          </cell>
          <cell r="AG464">
            <v>7.81</v>
          </cell>
          <cell r="AH464">
            <v>8.93</v>
          </cell>
          <cell r="AI464" t="e">
            <v>#REF!</v>
          </cell>
          <cell r="AJ464">
            <v>1053</v>
          </cell>
          <cell r="AK464">
            <v>958</v>
          </cell>
          <cell r="AL464">
            <v>95</v>
          </cell>
          <cell r="AM464">
            <v>703</v>
          </cell>
          <cell r="AN464">
            <v>749</v>
          </cell>
          <cell r="AP464">
            <v>34243</v>
          </cell>
          <cell r="AQ464">
            <v>1.89</v>
          </cell>
          <cell r="BA464">
            <v>34243</v>
          </cell>
          <cell r="BB464">
            <v>18.356000000000002</v>
          </cell>
          <cell r="BC464">
            <v>2.0760000000000001</v>
          </cell>
          <cell r="BP464">
            <v>36441</v>
          </cell>
          <cell r="CQ464">
            <v>34243</v>
          </cell>
          <cell r="CR464">
            <v>2.0760000000000001</v>
          </cell>
        </row>
        <row r="465">
          <cell r="A465">
            <v>41</v>
          </cell>
          <cell r="B465">
            <v>34257</v>
          </cell>
          <cell r="C465">
            <v>34250</v>
          </cell>
          <cell r="J465">
            <v>856</v>
          </cell>
          <cell r="K465">
            <v>97</v>
          </cell>
          <cell r="L465">
            <v>759</v>
          </cell>
          <cell r="M465">
            <v>0.11331775700934579</v>
          </cell>
          <cell r="N465">
            <v>85</v>
          </cell>
          <cell r="O465">
            <v>13</v>
          </cell>
          <cell r="P465">
            <v>202</v>
          </cell>
          <cell r="Q465">
            <v>1</v>
          </cell>
          <cell r="R465">
            <v>201</v>
          </cell>
          <cell r="S465">
            <v>435</v>
          </cell>
          <cell r="T465">
            <v>1240.9541401273884</v>
          </cell>
          <cell r="U465">
            <v>414</v>
          </cell>
          <cell r="V465">
            <v>58</v>
          </cell>
          <cell r="W465">
            <v>15</v>
          </cell>
          <cell r="X465">
            <v>0.48763250883392228</v>
          </cell>
          <cell r="Y465">
            <v>119</v>
          </cell>
          <cell r="Z465">
            <v>33</v>
          </cell>
          <cell r="AA465">
            <v>0.17757009345794392</v>
          </cell>
          <cell r="AB465">
            <v>0.13901869158878505</v>
          </cell>
          <cell r="AC465">
            <v>18.454000000000001</v>
          </cell>
          <cell r="AD465">
            <v>2.0219999999999998</v>
          </cell>
          <cell r="AE465" t="e">
            <v>#REF!</v>
          </cell>
          <cell r="AF465">
            <v>6.94</v>
          </cell>
          <cell r="AG465">
            <v>7.81</v>
          </cell>
          <cell r="AH465">
            <v>8.93</v>
          </cell>
          <cell r="AI465" t="e">
            <v>#REF!</v>
          </cell>
          <cell r="AJ465">
            <v>1058</v>
          </cell>
          <cell r="AK465">
            <v>960</v>
          </cell>
          <cell r="AL465">
            <v>98</v>
          </cell>
          <cell r="AM465">
            <v>704</v>
          </cell>
          <cell r="AN465">
            <v>746</v>
          </cell>
          <cell r="AP465">
            <v>34250</v>
          </cell>
          <cell r="AQ465">
            <v>1.83</v>
          </cell>
          <cell r="BA465">
            <v>34250</v>
          </cell>
          <cell r="BB465">
            <v>18.454000000000001</v>
          </cell>
          <cell r="BC465">
            <v>2.0219999999999998</v>
          </cell>
          <cell r="BP465">
            <v>36448</v>
          </cell>
          <cell r="CQ465">
            <v>34250</v>
          </cell>
          <cell r="CR465">
            <v>2.0219999999999998</v>
          </cell>
        </row>
        <row r="466">
          <cell r="A466">
            <v>42</v>
          </cell>
          <cell r="B466">
            <v>34264</v>
          </cell>
          <cell r="C466">
            <v>34257</v>
          </cell>
          <cell r="J466">
            <v>860</v>
          </cell>
          <cell r="K466">
            <v>92</v>
          </cell>
          <cell r="L466">
            <v>768</v>
          </cell>
          <cell r="M466">
            <v>0.10697674418604651</v>
          </cell>
          <cell r="N466">
            <v>81</v>
          </cell>
          <cell r="O466">
            <v>12</v>
          </cell>
          <cell r="P466">
            <v>192</v>
          </cell>
          <cell r="Q466">
            <v>1</v>
          </cell>
          <cell r="R466">
            <v>191</v>
          </cell>
          <cell r="S466">
            <v>443</v>
          </cell>
          <cell r="T466">
            <v>1225.5082802547772</v>
          </cell>
          <cell r="U466">
            <v>409</v>
          </cell>
          <cell r="V466">
            <v>50</v>
          </cell>
          <cell r="W466">
            <v>10</v>
          </cell>
          <cell r="X466">
            <v>0.4800469483568075</v>
          </cell>
          <cell r="Y466">
            <v>118</v>
          </cell>
          <cell r="Z466">
            <v>54</v>
          </cell>
          <cell r="AA466">
            <v>0.2</v>
          </cell>
          <cell r="AB466">
            <v>0.1372093023255814</v>
          </cell>
          <cell r="AC466">
            <v>18.577999999999999</v>
          </cell>
          <cell r="AD466">
            <v>1.986</v>
          </cell>
          <cell r="AE466" t="e">
            <v>#REF!</v>
          </cell>
          <cell r="AF466">
            <v>6.94</v>
          </cell>
          <cell r="AG466">
            <v>7.81</v>
          </cell>
          <cell r="AH466">
            <v>8.93</v>
          </cell>
          <cell r="AI466" t="e">
            <v>#REF!</v>
          </cell>
          <cell r="AJ466">
            <v>1052</v>
          </cell>
          <cell r="AK466">
            <v>959</v>
          </cell>
          <cell r="AL466">
            <v>93</v>
          </cell>
          <cell r="AM466">
            <v>688</v>
          </cell>
          <cell r="AN466">
            <v>756</v>
          </cell>
          <cell r="AP466">
            <v>34257</v>
          </cell>
          <cell r="AQ466">
            <v>1.85</v>
          </cell>
          <cell r="BA466">
            <v>34257</v>
          </cell>
          <cell r="BB466">
            <v>18.577999999999999</v>
          </cell>
          <cell r="BC466">
            <v>1.986</v>
          </cell>
          <cell r="BP466">
            <v>36455</v>
          </cell>
          <cell r="CQ466">
            <v>34257</v>
          </cell>
          <cell r="CR466">
            <v>1.986</v>
          </cell>
        </row>
        <row r="467">
          <cell r="A467">
            <v>43</v>
          </cell>
          <cell r="B467">
            <v>34271</v>
          </cell>
          <cell r="C467">
            <v>34264</v>
          </cell>
          <cell r="J467">
            <v>860</v>
          </cell>
          <cell r="K467">
            <v>94</v>
          </cell>
          <cell r="L467">
            <v>766</v>
          </cell>
          <cell r="M467">
            <v>0.10930232558139535</v>
          </cell>
          <cell r="N467">
            <v>83</v>
          </cell>
          <cell r="O467">
            <v>16</v>
          </cell>
          <cell r="P467">
            <v>198</v>
          </cell>
          <cell r="Q467">
            <v>1</v>
          </cell>
          <cell r="R467">
            <v>197</v>
          </cell>
          <cell r="S467">
            <v>450</v>
          </cell>
          <cell r="T467">
            <v>1235.2127388535032</v>
          </cell>
          <cell r="U467">
            <v>402</v>
          </cell>
          <cell r="V467">
            <v>35</v>
          </cell>
          <cell r="W467">
            <v>-1</v>
          </cell>
          <cell r="X467">
            <v>0.47183098591549294</v>
          </cell>
          <cell r="Y467">
            <v>123</v>
          </cell>
          <cell r="Z467">
            <v>53</v>
          </cell>
          <cell r="AA467">
            <v>0.20465116279069767</v>
          </cell>
          <cell r="AB467">
            <v>0.14302325581395348</v>
          </cell>
          <cell r="AC467">
            <v>18.111999999999998</v>
          </cell>
          <cell r="AD467">
            <v>2.04</v>
          </cell>
          <cell r="AE467" t="e">
            <v>#REF!</v>
          </cell>
          <cell r="AF467">
            <v>6.94</v>
          </cell>
          <cell r="AG467">
            <v>7.81</v>
          </cell>
          <cell r="AH467">
            <v>8.93</v>
          </cell>
          <cell r="AI467" t="e">
            <v>#REF!</v>
          </cell>
          <cell r="AJ467">
            <v>1058</v>
          </cell>
          <cell r="AK467">
            <v>963</v>
          </cell>
          <cell r="AL467">
            <v>95</v>
          </cell>
          <cell r="AM467">
            <v>684</v>
          </cell>
          <cell r="AN467">
            <v>750</v>
          </cell>
          <cell r="AP467">
            <v>34264</v>
          </cell>
          <cell r="AQ467">
            <v>1.88</v>
          </cell>
          <cell r="BA467">
            <v>34264</v>
          </cell>
          <cell r="BB467">
            <v>18.111999999999998</v>
          </cell>
          <cell r="BC467">
            <v>2.04</v>
          </cell>
          <cell r="BP467">
            <v>36462</v>
          </cell>
          <cell r="CQ467">
            <v>34264</v>
          </cell>
          <cell r="CR467">
            <v>2.04</v>
          </cell>
        </row>
        <row r="468">
          <cell r="A468">
            <v>44</v>
          </cell>
          <cell r="B468">
            <v>34278</v>
          </cell>
          <cell r="C468">
            <v>34271</v>
          </cell>
          <cell r="J468">
            <v>870</v>
          </cell>
          <cell r="K468">
            <v>86</v>
          </cell>
          <cell r="L468">
            <v>784</v>
          </cell>
          <cell r="M468">
            <v>9.8850574712643677E-2</v>
          </cell>
          <cell r="N468">
            <v>76</v>
          </cell>
          <cell r="O468">
            <v>20</v>
          </cell>
          <cell r="P468">
            <v>206</v>
          </cell>
          <cell r="Q468">
            <v>1</v>
          </cell>
          <cell r="R468">
            <v>205</v>
          </cell>
          <cell r="S468">
            <v>452</v>
          </cell>
          <cell r="T468">
            <v>1237.2127388535032</v>
          </cell>
          <cell r="U468">
            <v>410</v>
          </cell>
          <cell r="V468">
            <v>42</v>
          </cell>
          <cell r="W468">
            <v>-5</v>
          </cell>
          <cell r="X468">
            <v>0.47563805104408352</v>
          </cell>
          <cell r="Y468">
            <v>116</v>
          </cell>
          <cell r="Z468">
            <v>53</v>
          </cell>
          <cell r="AA468">
            <v>0.19425287356321838</v>
          </cell>
          <cell r="AB468">
            <v>0.13333333333333333</v>
          </cell>
          <cell r="AC468">
            <v>17.411999999999999</v>
          </cell>
          <cell r="AD468">
            <v>2.06</v>
          </cell>
          <cell r="AE468" t="e">
            <v>#REF!</v>
          </cell>
          <cell r="AF468">
            <v>6.94</v>
          </cell>
          <cell r="AG468">
            <v>7.81</v>
          </cell>
          <cell r="AH468">
            <v>8.93</v>
          </cell>
          <cell r="AI468" t="e">
            <v>#REF!</v>
          </cell>
          <cell r="AJ468">
            <v>1076</v>
          </cell>
          <cell r="AK468">
            <v>989</v>
          </cell>
          <cell r="AL468">
            <v>87</v>
          </cell>
          <cell r="AM468">
            <v>701</v>
          </cell>
          <cell r="AN468">
            <v>764</v>
          </cell>
          <cell r="AP468">
            <v>34271</v>
          </cell>
          <cell r="AQ468">
            <v>1.96</v>
          </cell>
          <cell r="BA468">
            <v>34271</v>
          </cell>
          <cell r="BB468">
            <v>17.411999999999999</v>
          </cell>
          <cell r="BC468">
            <v>2.06</v>
          </cell>
          <cell r="BP468">
            <v>36469</v>
          </cell>
          <cell r="CQ468">
            <v>34271</v>
          </cell>
          <cell r="CR468">
            <v>2.06</v>
          </cell>
        </row>
        <row r="469">
          <cell r="A469">
            <v>45</v>
          </cell>
          <cell r="B469">
            <v>34285</v>
          </cell>
          <cell r="C469">
            <v>34278</v>
          </cell>
          <cell r="J469">
            <v>870</v>
          </cell>
          <cell r="K469">
            <v>91</v>
          </cell>
          <cell r="L469">
            <v>779</v>
          </cell>
          <cell r="M469">
            <v>0.10459770114942529</v>
          </cell>
          <cell r="N469">
            <v>81</v>
          </cell>
          <cell r="O469">
            <v>20</v>
          </cell>
          <cell r="P469">
            <v>220</v>
          </cell>
          <cell r="Q469">
            <v>1</v>
          </cell>
          <cell r="R469">
            <v>219</v>
          </cell>
          <cell r="S469">
            <v>444</v>
          </cell>
          <cell r="T469">
            <v>1260.5108280254776</v>
          </cell>
          <cell r="U469">
            <v>418</v>
          </cell>
          <cell r="V469">
            <v>32</v>
          </cell>
          <cell r="W469">
            <v>-11</v>
          </cell>
          <cell r="X469">
            <v>0.48491879350348027</v>
          </cell>
          <cell r="Y469">
            <v>116</v>
          </cell>
          <cell r="Z469">
            <v>50</v>
          </cell>
          <cell r="AA469">
            <v>0.19080459770114944</v>
          </cell>
          <cell r="AB469">
            <v>0.13333333333333333</v>
          </cell>
          <cell r="AC469">
            <v>17.297999999999998</v>
          </cell>
          <cell r="AD469">
            <v>2.1819999999999999</v>
          </cell>
          <cell r="AE469" t="e">
            <v>#REF!</v>
          </cell>
          <cell r="AF469">
            <v>6.94</v>
          </cell>
          <cell r="AG469">
            <v>7.81</v>
          </cell>
          <cell r="AH469">
            <v>8.93</v>
          </cell>
          <cell r="AI469" t="e">
            <v>#REF!</v>
          </cell>
          <cell r="AJ469">
            <v>1090</v>
          </cell>
          <cell r="AK469">
            <v>998</v>
          </cell>
          <cell r="AL469">
            <v>92</v>
          </cell>
          <cell r="AM469">
            <v>704</v>
          </cell>
          <cell r="AN469">
            <v>759</v>
          </cell>
          <cell r="AP469">
            <v>34278</v>
          </cell>
          <cell r="AQ469">
            <v>2.11</v>
          </cell>
          <cell r="BA469">
            <v>34278</v>
          </cell>
          <cell r="BB469">
            <v>17.297999999999998</v>
          </cell>
          <cell r="BC469">
            <v>2.1819999999999999</v>
          </cell>
          <cell r="BP469">
            <v>36476</v>
          </cell>
          <cell r="CQ469">
            <v>34278</v>
          </cell>
          <cell r="CR469">
            <v>2.1819999999999999</v>
          </cell>
        </row>
        <row r="470">
          <cell r="A470">
            <v>46</v>
          </cell>
          <cell r="B470">
            <v>34292</v>
          </cell>
          <cell r="C470">
            <v>34285</v>
          </cell>
          <cell r="J470">
            <v>872</v>
          </cell>
          <cell r="K470">
            <v>97</v>
          </cell>
          <cell r="L470">
            <v>775</v>
          </cell>
          <cell r="M470">
            <v>0.11123853211009174</v>
          </cell>
          <cell r="N470">
            <v>87</v>
          </cell>
          <cell r="O470">
            <v>19</v>
          </cell>
          <cell r="P470">
            <v>220</v>
          </cell>
          <cell r="Q470">
            <v>1</v>
          </cell>
          <cell r="R470">
            <v>219</v>
          </cell>
          <cell r="S470">
            <v>453</v>
          </cell>
          <cell r="T470">
            <v>1274.2891719745221</v>
          </cell>
          <cell r="U470">
            <v>412</v>
          </cell>
          <cell r="V470">
            <v>23</v>
          </cell>
          <cell r="W470">
            <v>-28</v>
          </cell>
          <cell r="X470">
            <v>0.47630057803468207</v>
          </cell>
          <cell r="Y470">
            <v>119</v>
          </cell>
          <cell r="Z470">
            <v>48</v>
          </cell>
          <cell r="AA470">
            <v>0.1915137614678899</v>
          </cell>
          <cell r="AB470">
            <v>0.13646788990825687</v>
          </cell>
          <cell r="AC470">
            <v>16.707999999999998</v>
          </cell>
          <cell r="AD470">
            <v>2.3340000000000001</v>
          </cell>
          <cell r="AE470" t="e">
            <v>#REF!</v>
          </cell>
          <cell r="AF470">
            <v>6.94</v>
          </cell>
          <cell r="AG470">
            <v>7.81</v>
          </cell>
          <cell r="AH470">
            <v>8.93</v>
          </cell>
          <cell r="AI470" t="e">
            <v>#REF!</v>
          </cell>
          <cell r="AJ470">
            <v>1092</v>
          </cell>
          <cell r="AK470">
            <v>994</v>
          </cell>
          <cell r="AL470">
            <v>98</v>
          </cell>
          <cell r="AM470">
            <v>705</v>
          </cell>
          <cell r="AN470">
            <v>756</v>
          </cell>
          <cell r="AP470">
            <v>34285</v>
          </cell>
          <cell r="AQ470">
            <v>2.1800000000000002</v>
          </cell>
          <cell r="BA470">
            <v>34285</v>
          </cell>
          <cell r="BB470">
            <v>16.707999999999998</v>
          </cell>
          <cell r="BC470">
            <v>2.3340000000000001</v>
          </cell>
          <cell r="BP470">
            <v>36483</v>
          </cell>
          <cell r="CQ470">
            <v>34285</v>
          </cell>
          <cell r="CR470">
            <v>2.3340000000000001</v>
          </cell>
        </row>
        <row r="471">
          <cell r="A471">
            <v>47</v>
          </cell>
          <cell r="B471">
            <v>34299</v>
          </cell>
          <cell r="C471">
            <v>34292</v>
          </cell>
          <cell r="J471">
            <v>857</v>
          </cell>
          <cell r="K471">
            <v>99</v>
          </cell>
          <cell r="L471">
            <v>758</v>
          </cell>
          <cell r="M471">
            <v>0.11551925320886815</v>
          </cell>
          <cell r="N471">
            <v>91</v>
          </cell>
          <cell r="O471">
            <v>18</v>
          </cell>
          <cell r="P471">
            <v>223</v>
          </cell>
          <cell r="Q471">
            <v>1</v>
          </cell>
          <cell r="R471">
            <v>222</v>
          </cell>
          <cell r="S471">
            <v>449</v>
          </cell>
          <cell r="T471">
            <v>1266.1044585987261</v>
          </cell>
          <cell r="U471">
            <v>401</v>
          </cell>
          <cell r="V471">
            <v>42</v>
          </cell>
          <cell r="W471">
            <v>-68</v>
          </cell>
          <cell r="X471">
            <v>0.47176470588235292</v>
          </cell>
          <cell r="Y471">
            <v>118</v>
          </cell>
          <cell r="Z471">
            <v>54</v>
          </cell>
          <cell r="AA471">
            <v>0.20070011668611434</v>
          </cell>
          <cell r="AB471">
            <v>0.13768961493582263</v>
          </cell>
          <cell r="AC471">
            <v>16.751999999999999</v>
          </cell>
          <cell r="AD471">
            <v>2.3119999999999998</v>
          </cell>
          <cell r="AE471" t="e">
            <v>#REF!</v>
          </cell>
          <cell r="AF471">
            <v>6.94</v>
          </cell>
          <cell r="AG471">
            <v>7.81</v>
          </cell>
          <cell r="AH471">
            <v>8.93</v>
          </cell>
          <cell r="AI471" t="e">
            <v>#REF!</v>
          </cell>
          <cell r="AJ471">
            <v>1080</v>
          </cell>
          <cell r="AK471">
            <v>980</v>
          </cell>
          <cell r="AL471">
            <v>100</v>
          </cell>
          <cell r="AM471">
            <v>685</v>
          </cell>
          <cell r="AN471">
            <v>740</v>
          </cell>
          <cell r="AP471">
            <v>34292</v>
          </cell>
          <cell r="AQ471">
            <v>2.25</v>
          </cell>
          <cell r="BA471">
            <v>34292</v>
          </cell>
          <cell r="BB471">
            <v>16.751999999999999</v>
          </cell>
          <cell r="BC471">
            <v>2.3119999999999998</v>
          </cell>
          <cell r="BP471">
            <v>36490</v>
          </cell>
          <cell r="CQ471">
            <v>34292</v>
          </cell>
          <cell r="CR471">
            <v>2.3119999999999998</v>
          </cell>
        </row>
        <row r="472">
          <cell r="A472">
            <v>48</v>
          </cell>
          <cell r="B472">
            <v>34306</v>
          </cell>
          <cell r="C472">
            <v>34297</v>
          </cell>
          <cell r="J472">
            <v>871</v>
          </cell>
          <cell r="K472">
            <v>108</v>
          </cell>
          <cell r="L472">
            <v>763</v>
          </cell>
          <cell r="M472">
            <v>0.12399540757749714</v>
          </cell>
          <cell r="N472">
            <v>98</v>
          </cell>
          <cell r="O472">
            <v>18</v>
          </cell>
          <cell r="P472">
            <v>238</v>
          </cell>
          <cell r="Q472">
            <v>1</v>
          </cell>
          <cell r="R472">
            <v>237</v>
          </cell>
          <cell r="S472">
            <v>465</v>
          </cell>
          <cell r="T472">
            <v>1312.2178343949045</v>
          </cell>
          <cell r="U472">
            <v>400</v>
          </cell>
          <cell r="V472">
            <v>44</v>
          </cell>
          <cell r="W472">
            <v>-66</v>
          </cell>
          <cell r="X472">
            <v>0.46242774566473988</v>
          </cell>
          <cell r="Y472">
            <v>126</v>
          </cell>
          <cell r="Z472">
            <v>57</v>
          </cell>
          <cell r="AA472">
            <v>0.21010332950631458</v>
          </cell>
          <cell r="AB472">
            <v>0.14466130884041331</v>
          </cell>
          <cell r="AC472">
            <v>16.37</v>
          </cell>
          <cell r="AD472">
            <v>2.37</v>
          </cell>
          <cell r="AE472" t="e">
            <v>#REF!</v>
          </cell>
          <cell r="AF472">
            <v>6.94</v>
          </cell>
          <cell r="AG472">
            <v>7.81</v>
          </cell>
          <cell r="AH472">
            <v>8.93</v>
          </cell>
          <cell r="AI472" t="e">
            <v>#REF!</v>
          </cell>
          <cell r="AJ472">
            <v>1109</v>
          </cell>
          <cell r="AK472">
            <v>1000</v>
          </cell>
          <cell r="AL472">
            <v>109</v>
          </cell>
          <cell r="AM472">
            <v>688</v>
          </cell>
          <cell r="AN472">
            <v>745</v>
          </cell>
          <cell r="AP472">
            <v>34299</v>
          </cell>
          <cell r="AQ472">
            <v>2.35</v>
          </cell>
          <cell r="BA472">
            <v>34299</v>
          </cell>
          <cell r="BB472">
            <v>16.37</v>
          </cell>
          <cell r="BC472">
            <v>2.37</v>
          </cell>
          <cell r="BP472">
            <v>36497</v>
          </cell>
          <cell r="CQ472">
            <v>34299</v>
          </cell>
          <cell r="CR472">
            <v>2.37</v>
          </cell>
        </row>
        <row r="473">
          <cell r="A473">
            <v>49</v>
          </cell>
          <cell r="B473">
            <v>34313</v>
          </cell>
          <cell r="C473">
            <v>34306</v>
          </cell>
          <cell r="J473">
            <v>876</v>
          </cell>
          <cell r="K473">
            <v>103</v>
          </cell>
          <cell r="L473">
            <v>773</v>
          </cell>
          <cell r="M473">
            <v>0.11757990867579908</v>
          </cell>
          <cell r="N473">
            <v>94</v>
          </cell>
          <cell r="O473">
            <v>19</v>
          </cell>
          <cell r="P473">
            <v>264</v>
          </cell>
          <cell r="Q473">
            <v>1</v>
          </cell>
          <cell r="R473">
            <v>263</v>
          </cell>
          <cell r="S473">
            <v>443</v>
          </cell>
          <cell r="T473">
            <v>1332.4420382165606</v>
          </cell>
          <cell r="U473">
            <v>427</v>
          </cell>
          <cell r="V473">
            <v>11</v>
          </cell>
          <cell r="W473">
            <v>-43</v>
          </cell>
          <cell r="X473">
            <v>0.49080459770114943</v>
          </cell>
          <cell r="Y473">
            <v>131</v>
          </cell>
          <cell r="Z473">
            <v>59</v>
          </cell>
          <cell r="AA473">
            <v>0.21689497716894976</v>
          </cell>
          <cell r="AB473">
            <v>0.1495433789954338</v>
          </cell>
          <cell r="AC473">
            <v>15.228</v>
          </cell>
          <cell r="AD473">
            <v>2.4039999999999999</v>
          </cell>
          <cell r="AE473" t="e">
            <v>#REF!</v>
          </cell>
          <cell r="AF473">
            <v>6.94</v>
          </cell>
          <cell r="AG473">
            <v>7.81</v>
          </cell>
          <cell r="AH473">
            <v>8.93</v>
          </cell>
          <cell r="AI473" t="e">
            <v>#REF!</v>
          </cell>
          <cell r="AJ473">
            <v>1140</v>
          </cell>
          <cell r="AK473">
            <v>1036</v>
          </cell>
          <cell r="AL473">
            <v>104</v>
          </cell>
          <cell r="AM473">
            <v>686</v>
          </cell>
          <cell r="AN473">
            <v>754</v>
          </cell>
          <cell r="AP473">
            <v>34306</v>
          </cell>
          <cell r="AQ473">
            <v>2.2400000000000002</v>
          </cell>
          <cell r="BA473">
            <v>34306</v>
          </cell>
          <cell r="BB473">
            <v>15.228</v>
          </cell>
          <cell r="BC473">
            <v>2.4039999999999999</v>
          </cell>
          <cell r="BP473">
            <v>36504</v>
          </cell>
          <cell r="CQ473">
            <v>34306</v>
          </cell>
          <cell r="CR473">
            <v>2.4039999999999999</v>
          </cell>
        </row>
        <row r="474">
          <cell r="A474">
            <v>50</v>
          </cell>
          <cell r="B474">
            <v>34320</v>
          </cell>
          <cell r="C474">
            <v>34313</v>
          </cell>
          <cell r="J474">
            <v>868</v>
          </cell>
          <cell r="K474">
            <v>104</v>
          </cell>
          <cell r="L474">
            <v>764</v>
          </cell>
          <cell r="M474">
            <v>0.11981566820276497</v>
          </cell>
          <cell r="N474">
            <v>95</v>
          </cell>
          <cell r="O474">
            <v>18</v>
          </cell>
          <cell r="P474">
            <v>267</v>
          </cell>
          <cell r="Q474">
            <v>1</v>
          </cell>
          <cell r="R474">
            <v>266</v>
          </cell>
          <cell r="S474">
            <v>443</v>
          </cell>
          <cell r="T474">
            <v>1329.2942675159236</v>
          </cell>
          <cell r="U474">
            <v>417</v>
          </cell>
          <cell r="V474">
            <v>18</v>
          </cell>
          <cell r="W474">
            <v>-77</v>
          </cell>
          <cell r="X474">
            <v>0.48488372093023258</v>
          </cell>
          <cell r="Y474">
            <v>133</v>
          </cell>
          <cell r="Z474">
            <v>57</v>
          </cell>
          <cell r="AA474">
            <v>0.21889400921658986</v>
          </cell>
          <cell r="AB474">
            <v>0.15322580645161291</v>
          </cell>
          <cell r="AC474">
            <v>14.712</v>
          </cell>
          <cell r="AD474">
            <v>2.1800000000000002</v>
          </cell>
          <cell r="AE474" t="e">
            <v>#REF!</v>
          </cell>
          <cell r="AF474">
            <v>6.94</v>
          </cell>
          <cell r="AG474">
            <v>7.81</v>
          </cell>
          <cell r="AH474">
            <v>8.93</v>
          </cell>
          <cell r="AI474" t="e">
            <v>#REF!</v>
          </cell>
          <cell r="AJ474">
            <v>1135</v>
          </cell>
          <cell r="AK474">
            <v>1030</v>
          </cell>
          <cell r="AL474">
            <v>105</v>
          </cell>
          <cell r="AM474">
            <v>678</v>
          </cell>
          <cell r="AN474">
            <v>746</v>
          </cell>
          <cell r="AP474">
            <v>34313</v>
          </cell>
          <cell r="AQ474">
            <v>1.89</v>
          </cell>
          <cell r="BA474">
            <v>34313</v>
          </cell>
          <cell r="BB474">
            <v>14.712</v>
          </cell>
          <cell r="BC474">
            <v>2.1800000000000002</v>
          </cell>
          <cell r="BP474">
            <v>36511</v>
          </cell>
          <cell r="CQ474">
            <v>34313</v>
          </cell>
          <cell r="CR474">
            <v>2.1800000000000002</v>
          </cell>
        </row>
        <row r="475">
          <cell r="A475">
            <v>51</v>
          </cell>
          <cell r="B475">
            <v>34327</v>
          </cell>
          <cell r="C475">
            <v>34320</v>
          </cell>
          <cell r="J475">
            <v>883</v>
          </cell>
          <cell r="K475">
            <v>102</v>
          </cell>
          <cell r="L475">
            <v>781</v>
          </cell>
          <cell r="M475">
            <v>0.11551528878822197</v>
          </cell>
          <cell r="N475">
            <v>94</v>
          </cell>
          <cell r="O475">
            <v>23</v>
          </cell>
          <cell r="P475">
            <v>293</v>
          </cell>
          <cell r="Q475">
            <v>1</v>
          </cell>
          <cell r="R475">
            <v>292</v>
          </cell>
          <cell r="S475">
            <v>445</v>
          </cell>
          <cell r="T475">
            <v>1365.407643312102</v>
          </cell>
          <cell r="U475">
            <v>433</v>
          </cell>
          <cell r="V475">
            <v>64</v>
          </cell>
          <cell r="W475">
            <v>-95</v>
          </cell>
          <cell r="X475">
            <v>0.49316628701594534</v>
          </cell>
          <cell r="Y475">
            <v>124</v>
          </cell>
          <cell r="Z475">
            <v>59</v>
          </cell>
          <cell r="AA475">
            <v>0.20724801812004531</v>
          </cell>
          <cell r="AB475">
            <v>0.1404303510758777</v>
          </cell>
          <cell r="AC475">
            <v>14.318</v>
          </cell>
          <cell r="AD475">
            <v>1.94</v>
          </cell>
          <cell r="AE475" t="e">
            <v>#REF!</v>
          </cell>
          <cell r="AF475">
            <v>6.94</v>
          </cell>
          <cell r="AG475">
            <v>7.81</v>
          </cell>
          <cell r="AH475">
            <v>8.93</v>
          </cell>
          <cell r="AI475" t="e">
            <v>#REF!</v>
          </cell>
          <cell r="AJ475">
            <v>1176</v>
          </cell>
          <cell r="AK475">
            <v>1073</v>
          </cell>
          <cell r="AL475">
            <v>103</v>
          </cell>
          <cell r="AM475">
            <v>700</v>
          </cell>
          <cell r="AN475">
            <v>758</v>
          </cell>
          <cell r="AP475">
            <v>34320</v>
          </cell>
          <cell r="AQ475">
            <v>1.89</v>
          </cell>
          <cell r="BA475">
            <v>34320</v>
          </cell>
          <cell r="BB475">
            <v>14.318</v>
          </cell>
          <cell r="BC475">
            <v>1.94</v>
          </cell>
          <cell r="BP475">
            <v>36518</v>
          </cell>
          <cell r="CQ475">
            <v>34320</v>
          </cell>
          <cell r="CR475">
            <v>1.94</v>
          </cell>
        </row>
        <row r="476">
          <cell r="A476">
            <v>52</v>
          </cell>
          <cell r="B476">
            <v>34334</v>
          </cell>
          <cell r="C476">
            <v>34326</v>
          </cell>
          <cell r="J476">
            <v>843</v>
          </cell>
          <cell r="K476">
            <v>103</v>
          </cell>
          <cell r="L476">
            <v>740</v>
          </cell>
          <cell r="M476">
            <v>0.12218268090154211</v>
          </cell>
          <cell r="N476">
            <v>96</v>
          </cell>
          <cell r="O476">
            <v>22</v>
          </cell>
          <cell r="P476">
            <v>226</v>
          </cell>
          <cell r="Q476">
            <v>1</v>
          </cell>
          <cell r="R476">
            <v>225</v>
          </cell>
          <cell r="S476">
            <v>408</v>
          </cell>
          <cell r="T476">
            <v>1262.8458598726115</v>
          </cell>
          <cell r="U476">
            <v>430</v>
          </cell>
          <cell r="V476">
            <v>30</v>
          </cell>
          <cell r="W476">
            <v>-95</v>
          </cell>
          <cell r="X476">
            <v>0.51312649164677804</v>
          </cell>
          <cell r="Y476">
            <v>128</v>
          </cell>
          <cell r="Z476">
            <v>51</v>
          </cell>
          <cell r="AA476">
            <v>0.21233689205219455</v>
          </cell>
          <cell r="AB476">
            <v>0.15183867141162516</v>
          </cell>
          <cell r="AC476">
            <v>14.414</v>
          </cell>
          <cell r="AD476">
            <v>2.0059999999999998</v>
          </cell>
          <cell r="AE476" t="e">
            <v>#REF!</v>
          </cell>
          <cell r="AF476">
            <v>6.94</v>
          </cell>
          <cell r="AG476">
            <v>7.81</v>
          </cell>
          <cell r="AH476">
            <v>8.93</v>
          </cell>
          <cell r="AI476" t="e">
            <v>#REF!</v>
          </cell>
          <cell r="AJ476">
            <v>1069</v>
          </cell>
          <cell r="AK476">
            <v>965</v>
          </cell>
          <cell r="AL476">
            <v>104</v>
          </cell>
          <cell r="AM476">
            <v>664</v>
          </cell>
          <cell r="AN476">
            <v>718</v>
          </cell>
          <cell r="AP476">
            <v>34327</v>
          </cell>
          <cell r="AQ476">
            <v>1.97</v>
          </cell>
          <cell r="BA476">
            <v>34327</v>
          </cell>
          <cell r="BB476">
            <v>14.414</v>
          </cell>
          <cell r="BC476">
            <v>2.0059999999999998</v>
          </cell>
          <cell r="BP476">
            <v>36525</v>
          </cell>
          <cell r="CQ476">
            <v>34327</v>
          </cell>
          <cell r="CR476">
            <v>2.0059999999999998</v>
          </cell>
        </row>
        <row r="477">
          <cell r="A477">
            <v>1</v>
          </cell>
          <cell r="B477">
            <v>34341</v>
          </cell>
          <cell r="C477">
            <v>34332</v>
          </cell>
          <cell r="F477">
            <v>631</v>
          </cell>
          <cell r="G477">
            <v>1363</v>
          </cell>
          <cell r="H477">
            <v>374</v>
          </cell>
          <cell r="I477">
            <v>2368</v>
          </cell>
          <cell r="J477">
            <v>814</v>
          </cell>
          <cell r="K477">
            <v>101</v>
          </cell>
          <cell r="L477">
            <v>713</v>
          </cell>
          <cell r="M477">
            <v>0.12407862407862408</v>
          </cell>
          <cell r="N477">
            <v>94</v>
          </cell>
          <cell r="O477">
            <v>22</v>
          </cell>
          <cell r="P477">
            <v>237</v>
          </cell>
          <cell r="Q477">
            <v>1</v>
          </cell>
          <cell r="R477">
            <v>236</v>
          </cell>
          <cell r="S477">
            <v>385</v>
          </cell>
          <cell r="T477">
            <v>1240.5133757961783</v>
          </cell>
          <cell r="U477">
            <v>423</v>
          </cell>
          <cell r="V477">
            <v>17</v>
          </cell>
          <cell r="W477">
            <v>-104</v>
          </cell>
          <cell r="X477">
            <v>0.52351485148514854</v>
          </cell>
          <cell r="Y477">
            <v>129</v>
          </cell>
          <cell r="Z477">
            <v>48</v>
          </cell>
          <cell r="AA477">
            <v>0.21744471744471744</v>
          </cell>
          <cell r="AB477">
            <v>0.15847665847665848</v>
          </cell>
          <cell r="AC477">
            <v>14.204000000000001</v>
          </cell>
          <cell r="AD477">
            <v>2.0579999999999998</v>
          </cell>
          <cell r="AE477" t="e">
            <v>#REF!</v>
          </cell>
          <cell r="AF477">
            <v>6.94</v>
          </cell>
          <cell r="AG477">
            <v>7.81</v>
          </cell>
          <cell r="AH477">
            <v>8.93</v>
          </cell>
          <cell r="AI477" t="e">
            <v>#REF!</v>
          </cell>
          <cell r="AJ477">
            <v>1051</v>
          </cell>
          <cell r="AK477">
            <v>949</v>
          </cell>
          <cell r="AL477">
            <v>102</v>
          </cell>
          <cell r="AM477">
            <v>637</v>
          </cell>
          <cell r="AN477">
            <v>691</v>
          </cell>
          <cell r="AP477">
            <v>34334</v>
          </cell>
          <cell r="AQ477">
            <v>1.92</v>
          </cell>
          <cell r="BA477">
            <v>34334</v>
          </cell>
          <cell r="BB477">
            <v>14.204000000000001</v>
          </cell>
          <cell r="BC477">
            <v>2.0579999999999998</v>
          </cell>
          <cell r="BP477">
            <v>36532</v>
          </cell>
          <cell r="CQ477">
            <v>34334</v>
          </cell>
          <cell r="CR477">
            <v>2.0579999999999998</v>
          </cell>
        </row>
        <row r="478">
          <cell r="A478">
            <v>2</v>
          </cell>
          <cell r="B478">
            <v>34348</v>
          </cell>
          <cell r="C478">
            <v>34341</v>
          </cell>
          <cell r="F478">
            <v>540</v>
          </cell>
          <cell r="G478">
            <v>1125</v>
          </cell>
          <cell r="H478">
            <v>348</v>
          </cell>
          <cell r="I478">
            <v>2013</v>
          </cell>
          <cell r="J478">
            <v>807</v>
          </cell>
          <cell r="K478">
            <v>109</v>
          </cell>
          <cell r="L478">
            <v>698</v>
          </cell>
          <cell r="M478">
            <v>0.13506815365551425</v>
          </cell>
          <cell r="N478">
            <v>100</v>
          </cell>
          <cell r="O478">
            <v>21</v>
          </cell>
          <cell r="P478">
            <v>276</v>
          </cell>
          <cell r="Q478">
            <v>0</v>
          </cell>
          <cell r="R478">
            <v>276</v>
          </cell>
          <cell r="S478">
            <v>357</v>
          </cell>
          <cell r="T478">
            <v>1286.7770700636943</v>
          </cell>
          <cell r="U478">
            <v>442</v>
          </cell>
          <cell r="V478">
            <v>1</v>
          </cell>
          <cell r="W478">
            <v>-73</v>
          </cell>
          <cell r="X478">
            <v>0.55319148936170215</v>
          </cell>
          <cell r="Y478">
            <v>140</v>
          </cell>
          <cell r="Z478">
            <v>46</v>
          </cell>
          <cell r="AA478">
            <v>0.23048327137546468</v>
          </cell>
          <cell r="AB478">
            <v>0.17348203221809169</v>
          </cell>
          <cell r="AC478">
            <v>15.061999999999999</v>
          </cell>
          <cell r="AD478">
            <v>2.016</v>
          </cell>
          <cell r="AE478" t="e">
            <v>#REF!</v>
          </cell>
          <cell r="AF478">
            <v>6.94</v>
          </cell>
          <cell r="AG478">
            <v>7.81</v>
          </cell>
          <cell r="AH478">
            <v>8.93</v>
          </cell>
          <cell r="AI478" t="e">
            <v>#REF!</v>
          </cell>
          <cell r="AJ478">
            <v>1083</v>
          </cell>
          <cell r="AK478">
            <v>974</v>
          </cell>
          <cell r="AL478">
            <v>109</v>
          </cell>
          <cell r="AM478">
            <v>621</v>
          </cell>
          <cell r="AN478">
            <v>677</v>
          </cell>
          <cell r="AP478">
            <v>34341</v>
          </cell>
          <cell r="AQ478">
            <v>1.99</v>
          </cell>
          <cell r="BA478">
            <v>34341</v>
          </cell>
          <cell r="BB478">
            <v>15.061999999999999</v>
          </cell>
          <cell r="BC478">
            <v>2.016</v>
          </cell>
          <cell r="BP478">
            <v>36539</v>
          </cell>
          <cell r="CQ478">
            <v>34341</v>
          </cell>
          <cell r="CR478">
            <v>2.016</v>
          </cell>
        </row>
        <row r="479">
          <cell r="A479">
            <v>3</v>
          </cell>
          <cell r="B479">
            <v>34355</v>
          </cell>
          <cell r="C479">
            <v>34348</v>
          </cell>
          <cell r="F479">
            <v>464</v>
          </cell>
          <cell r="G479">
            <v>962</v>
          </cell>
          <cell r="H479">
            <v>334</v>
          </cell>
          <cell r="I479">
            <v>1760</v>
          </cell>
          <cell r="J479">
            <v>792</v>
          </cell>
          <cell r="K479">
            <v>94</v>
          </cell>
          <cell r="L479">
            <v>698</v>
          </cell>
          <cell r="M479">
            <v>0.11868686868686869</v>
          </cell>
          <cell r="N479">
            <v>85</v>
          </cell>
          <cell r="O479">
            <v>20</v>
          </cell>
          <cell r="P479">
            <v>291</v>
          </cell>
          <cell r="Q479">
            <v>0</v>
          </cell>
          <cell r="R479">
            <v>291</v>
          </cell>
          <cell r="S479">
            <v>365</v>
          </cell>
          <cell r="T479">
            <v>1256.7770700636943</v>
          </cell>
          <cell r="U479">
            <v>420</v>
          </cell>
          <cell r="V479">
            <v>29</v>
          </cell>
          <cell r="W479">
            <v>-47</v>
          </cell>
          <cell r="X479">
            <v>0.53503184713375795</v>
          </cell>
          <cell r="Y479">
            <v>128</v>
          </cell>
          <cell r="Z479">
            <v>45</v>
          </cell>
          <cell r="AA479">
            <v>0.21843434343434343</v>
          </cell>
          <cell r="AB479">
            <v>0.16161616161616163</v>
          </cell>
          <cell r="AC479">
            <v>14.628</v>
          </cell>
          <cell r="AD479">
            <v>2.17</v>
          </cell>
          <cell r="AE479" t="e">
            <v>#REF!</v>
          </cell>
          <cell r="AF479">
            <v>6.94</v>
          </cell>
          <cell r="AG479">
            <v>7.81</v>
          </cell>
          <cell r="AH479">
            <v>8.93</v>
          </cell>
          <cell r="AI479" t="e">
            <v>#REF!</v>
          </cell>
          <cell r="AJ479">
            <v>1083</v>
          </cell>
          <cell r="AK479">
            <v>989</v>
          </cell>
          <cell r="AL479">
            <v>94</v>
          </cell>
          <cell r="AM479">
            <v>619</v>
          </cell>
          <cell r="AN479">
            <v>678</v>
          </cell>
          <cell r="AP479">
            <v>34348</v>
          </cell>
          <cell r="AQ479">
            <v>2.1</v>
          </cell>
          <cell r="BA479">
            <v>34348</v>
          </cell>
          <cell r="BB479">
            <v>14.628</v>
          </cell>
          <cell r="BC479">
            <v>2.17</v>
          </cell>
          <cell r="BP479">
            <v>36546</v>
          </cell>
          <cell r="CQ479">
            <v>34348</v>
          </cell>
          <cell r="CR479">
            <v>2.17</v>
          </cell>
        </row>
        <row r="480">
          <cell r="A480">
            <v>4</v>
          </cell>
          <cell r="B480">
            <v>34362</v>
          </cell>
          <cell r="C480">
            <v>34355</v>
          </cell>
          <cell r="F480">
            <v>430</v>
          </cell>
          <cell r="G480">
            <v>874</v>
          </cell>
          <cell r="H480">
            <v>321</v>
          </cell>
          <cell r="I480">
            <v>1624</v>
          </cell>
          <cell r="J480">
            <v>778</v>
          </cell>
          <cell r="K480">
            <v>95</v>
          </cell>
          <cell r="L480">
            <v>683</v>
          </cell>
          <cell r="M480">
            <v>0.12210796915167095</v>
          </cell>
          <cell r="N480">
            <v>86</v>
          </cell>
          <cell r="O480">
            <v>24</v>
          </cell>
          <cell r="P480">
            <v>305</v>
          </cell>
          <cell r="Q480">
            <v>0</v>
          </cell>
          <cell r="R480">
            <v>305</v>
          </cell>
          <cell r="S480">
            <v>356</v>
          </cell>
          <cell r="T480">
            <v>1258.2229299363057</v>
          </cell>
          <cell r="U480">
            <v>413</v>
          </cell>
          <cell r="V480">
            <v>31</v>
          </cell>
          <cell r="W480">
            <v>-21</v>
          </cell>
          <cell r="X480">
            <v>0.53706111833550063</v>
          </cell>
          <cell r="Y480">
            <v>128</v>
          </cell>
          <cell r="Z480">
            <v>47</v>
          </cell>
          <cell r="AA480">
            <v>0.22493573264781491</v>
          </cell>
          <cell r="AB480">
            <v>0.16452442159383032</v>
          </cell>
          <cell r="AC480">
            <v>15.045999999999999</v>
          </cell>
          <cell r="AD480">
            <v>2.5619999999999998</v>
          </cell>
          <cell r="AE480" t="e">
            <v>#REF!</v>
          </cell>
          <cell r="AF480">
            <v>6.94</v>
          </cell>
          <cell r="AG480">
            <v>7.81</v>
          </cell>
          <cell r="AH480">
            <v>8.93</v>
          </cell>
          <cell r="AI480" t="e">
            <v>#REF!</v>
          </cell>
          <cell r="AJ480">
            <v>1083</v>
          </cell>
          <cell r="AK480">
            <v>988</v>
          </cell>
          <cell r="AL480">
            <v>95</v>
          </cell>
          <cell r="AM480">
            <v>603</v>
          </cell>
          <cell r="AN480">
            <v>659</v>
          </cell>
          <cell r="AP480">
            <v>34355</v>
          </cell>
          <cell r="AQ480">
            <v>2.38</v>
          </cell>
          <cell r="BA480">
            <v>34355</v>
          </cell>
          <cell r="BB480">
            <v>15.045999999999999</v>
          </cell>
          <cell r="BC480">
            <v>2.5619999999999998</v>
          </cell>
          <cell r="BP480">
            <v>36553</v>
          </cell>
          <cell r="CQ480">
            <v>34355</v>
          </cell>
          <cell r="CR480">
            <v>2.5619999999999998</v>
          </cell>
        </row>
        <row r="481">
          <cell r="A481">
            <v>5</v>
          </cell>
          <cell r="B481">
            <v>34369</v>
          </cell>
          <cell r="C481">
            <v>34362</v>
          </cell>
          <cell r="F481">
            <v>375</v>
          </cell>
          <cell r="G481">
            <v>750</v>
          </cell>
          <cell r="H481">
            <v>296</v>
          </cell>
          <cell r="I481">
            <v>1421</v>
          </cell>
          <cell r="J481">
            <v>778</v>
          </cell>
          <cell r="K481">
            <v>96</v>
          </cell>
          <cell r="L481">
            <v>682</v>
          </cell>
          <cell r="M481">
            <v>0.12339331619537275</v>
          </cell>
          <cell r="N481">
            <v>87</v>
          </cell>
          <cell r="O481">
            <v>20</v>
          </cell>
          <cell r="P481">
            <v>326</v>
          </cell>
          <cell r="Q481">
            <v>0</v>
          </cell>
          <cell r="R481">
            <v>326</v>
          </cell>
          <cell r="S481">
            <v>345</v>
          </cell>
          <cell r="T481">
            <v>1280.4101910828026</v>
          </cell>
          <cell r="U481">
            <v>423</v>
          </cell>
          <cell r="V481">
            <v>24</v>
          </cell>
          <cell r="W481">
            <v>22</v>
          </cell>
          <cell r="X481">
            <v>0.55078125</v>
          </cell>
          <cell r="Y481">
            <v>128</v>
          </cell>
          <cell r="Z481">
            <v>41</v>
          </cell>
          <cell r="AA481">
            <v>0.21722365038560412</v>
          </cell>
          <cell r="AB481">
            <v>0.16452442159383032</v>
          </cell>
          <cell r="AC481">
            <v>15.276</v>
          </cell>
          <cell r="AD481">
            <v>2.7879999999999998</v>
          </cell>
          <cell r="AE481" t="e">
            <v>#REF!</v>
          </cell>
          <cell r="AF481">
            <v>6.94</v>
          </cell>
          <cell r="AG481">
            <v>7.81</v>
          </cell>
          <cell r="AH481">
            <v>8.93</v>
          </cell>
          <cell r="AI481" t="e">
            <v>#REF!</v>
          </cell>
          <cell r="AJ481">
            <v>1104</v>
          </cell>
          <cell r="AK481">
            <v>1008</v>
          </cell>
          <cell r="AL481">
            <v>96</v>
          </cell>
          <cell r="AM481">
            <v>609</v>
          </cell>
          <cell r="AN481">
            <v>662</v>
          </cell>
          <cell r="AP481">
            <v>34362</v>
          </cell>
          <cell r="AQ481">
            <v>2.29</v>
          </cell>
          <cell r="BA481">
            <v>34362</v>
          </cell>
          <cell r="BB481">
            <v>15.276</v>
          </cell>
          <cell r="BC481">
            <v>2.7879999999999998</v>
          </cell>
          <cell r="BP481">
            <v>36560</v>
          </cell>
          <cell r="CQ481">
            <v>34362</v>
          </cell>
          <cell r="CR481">
            <v>2.7879999999999998</v>
          </cell>
        </row>
        <row r="482">
          <cell r="A482">
            <v>6</v>
          </cell>
          <cell r="B482">
            <v>34376</v>
          </cell>
          <cell r="C482">
            <v>34369</v>
          </cell>
          <cell r="F482">
            <v>335</v>
          </cell>
          <cell r="G482">
            <v>636</v>
          </cell>
          <cell r="H482">
            <v>276</v>
          </cell>
          <cell r="I482">
            <v>1247</v>
          </cell>
          <cell r="J482">
            <v>752</v>
          </cell>
          <cell r="K482">
            <v>94</v>
          </cell>
          <cell r="L482">
            <v>658</v>
          </cell>
          <cell r="M482">
            <v>0.125</v>
          </cell>
          <cell r="N482">
            <v>85</v>
          </cell>
          <cell r="O482">
            <v>20</v>
          </cell>
          <cell r="P482">
            <v>312</v>
          </cell>
          <cell r="Q482">
            <v>0</v>
          </cell>
          <cell r="R482">
            <v>312</v>
          </cell>
          <cell r="S482">
            <v>335</v>
          </cell>
          <cell r="T482">
            <v>1237.0012738853502</v>
          </cell>
          <cell r="U482">
            <v>405</v>
          </cell>
          <cell r="V482">
            <v>31</v>
          </cell>
          <cell r="W482">
            <v>31</v>
          </cell>
          <cell r="X482">
            <v>0.54729729729729726</v>
          </cell>
          <cell r="Y482">
            <v>133</v>
          </cell>
          <cell r="Z482">
            <v>44</v>
          </cell>
          <cell r="AA482">
            <v>0.23537234042553193</v>
          </cell>
          <cell r="AB482">
            <v>0.17686170212765959</v>
          </cell>
          <cell r="AC482">
            <v>15.734</v>
          </cell>
          <cell r="AD482">
            <v>2.7440000000000002</v>
          </cell>
          <cell r="AE482" t="e">
            <v>#REF!</v>
          </cell>
          <cell r="AF482">
            <v>6.94</v>
          </cell>
          <cell r="AG482">
            <v>7.81</v>
          </cell>
          <cell r="AH482">
            <v>8.93</v>
          </cell>
          <cell r="AI482" t="e">
            <v>#REF!</v>
          </cell>
          <cell r="AJ482">
            <v>1064</v>
          </cell>
          <cell r="AK482">
            <v>970</v>
          </cell>
          <cell r="AL482">
            <v>94</v>
          </cell>
          <cell r="AM482">
            <v>575</v>
          </cell>
          <cell r="AN482">
            <v>638</v>
          </cell>
          <cell r="AP482">
            <v>34369</v>
          </cell>
          <cell r="AQ482">
            <v>2.72</v>
          </cell>
          <cell r="BA482">
            <v>34369</v>
          </cell>
          <cell r="BB482">
            <v>15.734</v>
          </cell>
          <cell r="BC482">
            <v>2.7440000000000002</v>
          </cell>
          <cell r="BP482">
            <v>36567</v>
          </cell>
          <cell r="CQ482">
            <v>34369</v>
          </cell>
          <cell r="CR482">
            <v>2.7440000000000002</v>
          </cell>
        </row>
        <row r="483">
          <cell r="A483">
            <v>7</v>
          </cell>
          <cell r="B483">
            <v>34383</v>
          </cell>
          <cell r="C483">
            <v>34376</v>
          </cell>
          <cell r="F483">
            <v>312</v>
          </cell>
          <cell r="G483">
            <v>568</v>
          </cell>
          <cell r="H483">
            <v>258</v>
          </cell>
          <cell r="I483">
            <v>1138</v>
          </cell>
          <cell r="J483">
            <v>764</v>
          </cell>
          <cell r="K483">
            <v>94</v>
          </cell>
          <cell r="L483">
            <v>670</v>
          </cell>
          <cell r="M483">
            <v>0.12303664921465969</v>
          </cell>
          <cell r="N483">
            <v>87</v>
          </cell>
          <cell r="O483">
            <v>19</v>
          </cell>
          <cell r="P483">
            <v>327</v>
          </cell>
          <cell r="Q483">
            <v>0</v>
          </cell>
          <cell r="R483">
            <v>327</v>
          </cell>
          <cell r="S483">
            <v>346</v>
          </cell>
          <cell r="T483">
            <v>1263.4471337579616</v>
          </cell>
          <cell r="U483">
            <v>406</v>
          </cell>
          <cell r="V483">
            <v>39</v>
          </cell>
          <cell r="W483">
            <v>56</v>
          </cell>
          <cell r="X483">
            <v>0.53989361702127658</v>
          </cell>
          <cell r="Y483">
            <v>136</v>
          </cell>
          <cell r="Z483">
            <v>45</v>
          </cell>
          <cell r="AA483">
            <v>0.23691099476439789</v>
          </cell>
          <cell r="AB483">
            <v>0.17801047120418848</v>
          </cell>
          <cell r="AC483">
            <v>14.868</v>
          </cell>
          <cell r="AD483">
            <v>3.05</v>
          </cell>
          <cell r="AE483" t="e">
            <v>#REF!</v>
          </cell>
          <cell r="AF483">
            <v>6.94</v>
          </cell>
          <cell r="AG483">
            <v>7.81</v>
          </cell>
          <cell r="AH483">
            <v>8.93</v>
          </cell>
          <cell r="AI483" t="e">
            <v>#REF!</v>
          </cell>
          <cell r="AJ483">
            <v>1091</v>
          </cell>
          <cell r="AK483">
            <v>997</v>
          </cell>
          <cell r="AL483">
            <v>94</v>
          </cell>
          <cell r="AM483">
            <v>583</v>
          </cell>
          <cell r="AN483">
            <v>651</v>
          </cell>
          <cell r="AP483">
            <v>34376</v>
          </cell>
          <cell r="AQ483">
            <v>2.72</v>
          </cell>
          <cell r="BA483">
            <v>34376</v>
          </cell>
          <cell r="BB483">
            <v>14.868</v>
          </cell>
          <cell r="BC483">
            <v>3.05</v>
          </cell>
          <cell r="BP483">
            <v>36574</v>
          </cell>
          <cell r="CQ483">
            <v>34376</v>
          </cell>
          <cell r="CR483">
            <v>3.05</v>
          </cell>
        </row>
        <row r="484">
          <cell r="A484">
            <v>8</v>
          </cell>
          <cell r="B484">
            <v>34390</v>
          </cell>
          <cell r="C484">
            <v>34383</v>
          </cell>
          <cell r="F484">
            <v>308</v>
          </cell>
          <cell r="G484">
            <v>524</v>
          </cell>
          <cell r="H484">
            <v>242</v>
          </cell>
          <cell r="I484">
            <v>1074</v>
          </cell>
          <cell r="J484">
            <v>752</v>
          </cell>
          <cell r="K484">
            <v>94</v>
          </cell>
          <cell r="L484">
            <v>658</v>
          </cell>
          <cell r="M484">
            <v>0.125</v>
          </cell>
          <cell r="N484">
            <v>87</v>
          </cell>
          <cell r="O484">
            <v>20</v>
          </cell>
          <cell r="P484">
            <v>329</v>
          </cell>
          <cell r="Q484">
            <v>0</v>
          </cell>
          <cell r="R484">
            <v>329</v>
          </cell>
          <cell r="S484">
            <v>337</v>
          </cell>
          <cell r="T484">
            <v>1253.3732484076434</v>
          </cell>
          <cell r="U484">
            <v>403</v>
          </cell>
          <cell r="V484">
            <v>31</v>
          </cell>
          <cell r="W484">
            <v>90</v>
          </cell>
          <cell r="X484">
            <v>0.54459459459459458</v>
          </cell>
          <cell r="Y484">
            <v>135</v>
          </cell>
          <cell r="Z484">
            <v>47</v>
          </cell>
          <cell r="AA484">
            <v>0.24202127659574468</v>
          </cell>
          <cell r="AB484">
            <v>0.17952127659574468</v>
          </cell>
          <cell r="AC484">
            <v>14.112</v>
          </cell>
          <cell r="AD484">
            <v>2.782</v>
          </cell>
          <cell r="AE484" t="e">
            <v>#REF!</v>
          </cell>
          <cell r="AF484">
            <v>6.94</v>
          </cell>
          <cell r="AG484">
            <v>7.81</v>
          </cell>
          <cell r="AH484">
            <v>8.93</v>
          </cell>
          <cell r="AI484" t="e">
            <v>#REF!</v>
          </cell>
          <cell r="AJ484">
            <v>1081</v>
          </cell>
          <cell r="AK484">
            <v>987</v>
          </cell>
          <cell r="AL484">
            <v>94</v>
          </cell>
          <cell r="AM484">
            <v>570</v>
          </cell>
          <cell r="AN484">
            <v>638</v>
          </cell>
          <cell r="AP484">
            <v>34383</v>
          </cell>
          <cell r="AQ484">
            <v>2.25</v>
          </cell>
          <cell r="BA484">
            <v>34383</v>
          </cell>
          <cell r="BB484">
            <v>14.112</v>
          </cell>
          <cell r="BC484">
            <v>2.782</v>
          </cell>
          <cell r="BP484">
            <v>36581</v>
          </cell>
          <cell r="CQ484">
            <v>34383</v>
          </cell>
          <cell r="CR484">
            <v>2.782</v>
          </cell>
        </row>
        <row r="485">
          <cell r="A485">
            <v>9</v>
          </cell>
          <cell r="B485">
            <v>34397</v>
          </cell>
          <cell r="C485">
            <v>34390</v>
          </cell>
          <cell r="F485">
            <v>277</v>
          </cell>
          <cell r="G485">
            <v>430</v>
          </cell>
          <cell r="H485">
            <v>235</v>
          </cell>
          <cell r="I485">
            <v>942</v>
          </cell>
          <cell r="J485">
            <v>747</v>
          </cell>
          <cell r="K485">
            <v>97</v>
          </cell>
          <cell r="L485">
            <v>650</v>
          </cell>
          <cell r="M485">
            <v>0.12985274431057564</v>
          </cell>
          <cell r="N485">
            <v>91</v>
          </cell>
          <cell r="O485">
            <v>19</v>
          </cell>
          <cell r="P485">
            <v>326</v>
          </cell>
          <cell r="Q485">
            <v>0</v>
          </cell>
          <cell r="R485">
            <v>326</v>
          </cell>
          <cell r="S485">
            <v>330</v>
          </cell>
          <cell r="T485">
            <v>1251.3732484076431</v>
          </cell>
          <cell r="U485">
            <v>406</v>
          </cell>
          <cell r="V485">
            <v>3</v>
          </cell>
          <cell r="W485">
            <v>106</v>
          </cell>
          <cell r="X485">
            <v>0.55163043478260865</v>
          </cell>
          <cell r="Y485">
            <v>137</v>
          </cell>
          <cell r="Z485">
            <v>48</v>
          </cell>
          <cell r="AA485">
            <v>0.24765729585006693</v>
          </cell>
          <cell r="AB485">
            <v>0.18340026773761714</v>
          </cell>
          <cell r="AC485">
            <v>14.44</v>
          </cell>
          <cell r="AD485">
            <v>2.38</v>
          </cell>
          <cell r="AE485" t="e">
            <v>#REF!</v>
          </cell>
          <cell r="AF485">
            <v>6.94</v>
          </cell>
          <cell r="AG485">
            <v>7.81</v>
          </cell>
          <cell r="AH485">
            <v>8.93</v>
          </cell>
          <cell r="AI485" t="e">
            <v>#REF!</v>
          </cell>
          <cell r="AJ485">
            <v>1073</v>
          </cell>
          <cell r="AK485">
            <v>976</v>
          </cell>
          <cell r="AL485">
            <v>97</v>
          </cell>
          <cell r="AM485">
            <v>562</v>
          </cell>
          <cell r="AN485">
            <v>631</v>
          </cell>
          <cell r="AP485">
            <v>34390</v>
          </cell>
          <cell r="AQ485">
            <v>2.23</v>
          </cell>
          <cell r="BA485">
            <v>34390</v>
          </cell>
          <cell r="BB485">
            <v>14.44</v>
          </cell>
          <cell r="BC485">
            <v>2.38</v>
          </cell>
          <cell r="BP485">
            <v>36588</v>
          </cell>
          <cell r="CQ485">
            <v>34390</v>
          </cell>
          <cell r="CR485">
            <v>2.38</v>
          </cell>
        </row>
        <row r="486">
          <cell r="A486">
            <v>10</v>
          </cell>
          <cell r="B486">
            <v>34404</v>
          </cell>
          <cell r="C486">
            <v>34397</v>
          </cell>
          <cell r="F486">
            <v>266</v>
          </cell>
          <cell r="G486">
            <v>419</v>
          </cell>
          <cell r="H486">
            <v>230</v>
          </cell>
          <cell r="I486">
            <v>915</v>
          </cell>
          <cell r="J486">
            <v>743</v>
          </cell>
          <cell r="K486">
            <v>100</v>
          </cell>
          <cell r="L486">
            <v>643</v>
          </cell>
          <cell r="M486">
            <v>0.13458950201884254</v>
          </cell>
          <cell r="N486">
            <v>93</v>
          </cell>
          <cell r="O486">
            <v>18</v>
          </cell>
          <cell r="P486">
            <v>335</v>
          </cell>
          <cell r="Q486">
            <v>0</v>
          </cell>
          <cell r="R486">
            <v>335</v>
          </cell>
          <cell r="S486">
            <v>322</v>
          </cell>
          <cell r="T486">
            <v>1261.9299363057326</v>
          </cell>
          <cell r="U486">
            <v>412</v>
          </cell>
          <cell r="V486">
            <v>11</v>
          </cell>
          <cell r="W486">
            <v>135</v>
          </cell>
          <cell r="X486">
            <v>0.56130790190735691</v>
          </cell>
          <cell r="Y486">
            <v>133</v>
          </cell>
          <cell r="Z486">
            <v>47</v>
          </cell>
          <cell r="AA486">
            <v>0.24226110363391656</v>
          </cell>
          <cell r="AB486">
            <v>0.17900403768506057</v>
          </cell>
          <cell r="AC486">
            <v>14.638</v>
          </cell>
          <cell r="AD486">
            <v>2.3559999999999999</v>
          </cell>
          <cell r="AE486" t="e">
            <v>#REF!</v>
          </cell>
          <cell r="AF486">
            <v>6.94</v>
          </cell>
          <cell r="AG486">
            <v>7.81</v>
          </cell>
          <cell r="AH486">
            <v>8.93</v>
          </cell>
          <cell r="AI486" t="e">
            <v>#REF!</v>
          </cell>
          <cell r="AJ486">
            <v>1078</v>
          </cell>
          <cell r="AK486">
            <v>978</v>
          </cell>
          <cell r="AL486">
            <v>100</v>
          </cell>
          <cell r="AM486">
            <v>563</v>
          </cell>
          <cell r="AN486">
            <v>625</v>
          </cell>
          <cell r="AP486">
            <v>34397</v>
          </cell>
          <cell r="AQ486">
            <v>2.13</v>
          </cell>
          <cell r="BA486">
            <v>34397</v>
          </cell>
          <cell r="BB486">
            <v>14.638</v>
          </cell>
          <cell r="BC486">
            <v>2.3559999999999999</v>
          </cell>
          <cell r="BP486">
            <v>36595</v>
          </cell>
          <cell r="CQ486">
            <v>34397</v>
          </cell>
          <cell r="CR486">
            <v>2.3559999999999999</v>
          </cell>
        </row>
        <row r="487">
          <cell r="A487">
            <v>11</v>
          </cell>
          <cell r="B487">
            <v>34411</v>
          </cell>
          <cell r="C487">
            <v>34404</v>
          </cell>
          <cell r="F487">
            <v>277</v>
          </cell>
          <cell r="G487">
            <v>354</v>
          </cell>
          <cell r="H487">
            <v>234</v>
          </cell>
          <cell r="I487">
            <v>865</v>
          </cell>
          <cell r="J487">
            <v>733</v>
          </cell>
          <cell r="K487">
            <v>94</v>
          </cell>
          <cell r="L487">
            <v>639</v>
          </cell>
          <cell r="M487">
            <v>0.12824010914051842</v>
          </cell>
          <cell r="N487">
            <v>87</v>
          </cell>
          <cell r="O487">
            <v>18</v>
          </cell>
          <cell r="P487">
            <v>294</v>
          </cell>
          <cell r="Q487">
            <v>0</v>
          </cell>
          <cell r="R487">
            <v>294</v>
          </cell>
          <cell r="S487">
            <v>320</v>
          </cell>
          <cell r="T487">
            <v>1200.6662420382165</v>
          </cell>
          <cell r="U487">
            <v>405</v>
          </cell>
          <cell r="V487">
            <v>8</v>
          </cell>
          <cell r="W487">
            <v>148</v>
          </cell>
          <cell r="X487">
            <v>0.55862068965517242</v>
          </cell>
          <cell r="Y487">
            <v>131</v>
          </cell>
          <cell r="Z487">
            <v>49</v>
          </cell>
          <cell r="AA487">
            <v>0.24556616643929058</v>
          </cell>
          <cell r="AB487">
            <v>0.17871759890859482</v>
          </cell>
          <cell r="AC487">
            <v>14.188000000000001</v>
          </cell>
          <cell r="AD487">
            <v>2.2240000000000002</v>
          </cell>
          <cell r="AE487" t="e">
            <v>#REF!</v>
          </cell>
          <cell r="AF487">
            <v>6.94</v>
          </cell>
          <cell r="AG487">
            <v>7.81</v>
          </cell>
          <cell r="AH487">
            <v>8.93</v>
          </cell>
          <cell r="AI487" t="e">
            <v>#REF!</v>
          </cell>
          <cell r="AJ487">
            <v>1027</v>
          </cell>
          <cell r="AK487">
            <v>933</v>
          </cell>
          <cell r="AL487">
            <v>94</v>
          </cell>
          <cell r="AM487">
            <v>553</v>
          </cell>
          <cell r="AN487">
            <v>621</v>
          </cell>
          <cell r="AP487">
            <v>34404</v>
          </cell>
          <cell r="AQ487">
            <v>1.94</v>
          </cell>
          <cell r="BA487">
            <v>34404</v>
          </cell>
          <cell r="BB487">
            <v>14.188000000000001</v>
          </cell>
          <cell r="BC487">
            <v>2.2240000000000002</v>
          </cell>
          <cell r="BP487">
            <v>36602</v>
          </cell>
          <cell r="CQ487">
            <v>34404</v>
          </cell>
          <cell r="CR487">
            <v>2.2240000000000002</v>
          </cell>
        </row>
        <row r="488">
          <cell r="A488">
            <v>12</v>
          </cell>
          <cell r="B488">
            <v>34418</v>
          </cell>
          <cell r="C488">
            <v>34411</v>
          </cell>
          <cell r="F488">
            <v>293</v>
          </cell>
          <cell r="G488">
            <v>343</v>
          </cell>
          <cell r="H488">
            <v>230</v>
          </cell>
          <cell r="I488">
            <v>866</v>
          </cell>
          <cell r="J488">
            <v>743</v>
          </cell>
          <cell r="K488">
            <v>100</v>
          </cell>
          <cell r="L488">
            <v>643</v>
          </cell>
          <cell r="M488">
            <v>0.13458950201884254</v>
          </cell>
          <cell r="N488">
            <v>93</v>
          </cell>
          <cell r="O488">
            <v>19</v>
          </cell>
          <cell r="P488">
            <v>299</v>
          </cell>
          <cell r="Q488">
            <v>0</v>
          </cell>
          <cell r="R488">
            <v>299</v>
          </cell>
          <cell r="S488">
            <v>330</v>
          </cell>
          <cell r="T488">
            <v>1227.259872611465</v>
          </cell>
          <cell r="U488">
            <v>404</v>
          </cell>
          <cell r="V488">
            <v>12</v>
          </cell>
          <cell r="W488">
            <v>134</v>
          </cell>
          <cell r="X488">
            <v>0.55040871934604907</v>
          </cell>
          <cell r="Y488">
            <v>138</v>
          </cell>
          <cell r="Z488">
            <v>53</v>
          </cell>
          <cell r="AA488">
            <v>0.25706594885598921</v>
          </cell>
          <cell r="AB488">
            <v>0.1857335127860027</v>
          </cell>
          <cell r="AC488">
            <v>14.816000000000001</v>
          </cell>
          <cell r="AD488">
            <v>1.974</v>
          </cell>
          <cell r="AE488" t="e">
            <v>#REF!</v>
          </cell>
          <cell r="AF488">
            <v>6.94</v>
          </cell>
          <cell r="AG488">
            <v>7.81</v>
          </cell>
          <cell r="AH488">
            <v>8.93</v>
          </cell>
          <cell r="AI488" t="e">
            <v>#REF!</v>
          </cell>
          <cell r="AJ488">
            <v>1042</v>
          </cell>
          <cell r="AK488">
            <v>942</v>
          </cell>
          <cell r="AL488">
            <v>100</v>
          </cell>
          <cell r="AM488">
            <v>552</v>
          </cell>
          <cell r="AN488">
            <v>624</v>
          </cell>
          <cell r="AP488">
            <v>34411</v>
          </cell>
          <cell r="AQ488">
            <v>1.84</v>
          </cell>
          <cell r="BA488">
            <v>34411</v>
          </cell>
          <cell r="BB488">
            <v>14.816000000000001</v>
          </cell>
          <cell r="BC488">
            <v>1.974</v>
          </cell>
          <cell r="BP488">
            <v>36609</v>
          </cell>
          <cell r="CQ488">
            <v>34411</v>
          </cell>
          <cell r="CR488">
            <v>1.974</v>
          </cell>
        </row>
        <row r="489">
          <cell r="A489">
            <v>13</v>
          </cell>
          <cell r="B489">
            <v>34425</v>
          </cell>
          <cell r="C489">
            <v>34418</v>
          </cell>
          <cell r="F489">
            <v>276</v>
          </cell>
          <cell r="G489">
            <v>339</v>
          </cell>
          <cell r="H489">
            <v>229</v>
          </cell>
          <cell r="I489">
            <v>844</v>
          </cell>
          <cell r="J489">
            <v>725</v>
          </cell>
          <cell r="K489">
            <v>101</v>
          </cell>
          <cell r="L489">
            <v>624</v>
          </cell>
          <cell r="M489">
            <v>0.1393103448275862</v>
          </cell>
          <cell r="N489">
            <v>97</v>
          </cell>
          <cell r="O489">
            <v>18</v>
          </cell>
          <cell r="P489">
            <v>240</v>
          </cell>
          <cell r="Q489">
            <v>0</v>
          </cell>
          <cell r="R489">
            <v>240</v>
          </cell>
          <cell r="S489">
            <v>323</v>
          </cell>
          <cell r="T489">
            <v>1154.4025477707005</v>
          </cell>
          <cell r="U489">
            <v>391</v>
          </cell>
          <cell r="V489">
            <v>3</v>
          </cell>
          <cell r="W489">
            <v>124</v>
          </cell>
          <cell r="X489">
            <v>0.54761904761904767</v>
          </cell>
          <cell r="Y489">
            <v>136</v>
          </cell>
          <cell r="Z489">
            <v>50</v>
          </cell>
          <cell r="AA489">
            <v>0.25655172413793104</v>
          </cell>
          <cell r="AB489">
            <v>0.18758620689655173</v>
          </cell>
          <cell r="AC489">
            <v>15.15</v>
          </cell>
          <cell r="AD489">
            <v>1.956</v>
          </cell>
          <cell r="AE489" t="e">
            <v>#REF!</v>
          </cell>
          <cell r="AF489">
            <v>6.94</v>
          </cell>
          <cell r="AG489">
            <v>7.81</v>
          </cell>
          <cell r="AH489">
            <v>8.93</v>
          </cell>
          <cell r="AI489" t="e">
            <v>#REF!</v>
          </cell>
          <cell r="AJ489">
            <v>965</v>
          </cell>
          <cell r="AK489">
            <v>864</v>
          </cell>
          <cell r="AL489">
            <v>101</v>
          </cell>
          <cell r="AM489">
            <v>539</v>
          </cell>
          <cell r="AN489">
            <v>606</v>
          </cell>
          <cell r="AP489">
            <v>34418</v>
          </cell>
          <cell r="AQ489">
            <v>1.84</v>
          </cell>
          <cell r="BA489">
            <v>34418</v>
          </cell>
          <cell r="BB489">
            <v>15.15</v>
          </cell>
          <cell r="BC489">
            <v>1.956</v>
          </cell>
          <cell r="BP489">
            <v>36616</v>
          </cell>
          <cell r="CQ489">
            <v>34418</v>
          </cell>
          <cell r="CR489">
            <v>1.956</v>
          </cell>
        </row>
        <row r="490">
          <cell r="A490">
            <v>14</v>
          </cell>
          <cell r="B490">
            <v>34432</v>
          </cell>
          <cell r="C490">
            <v>34425</v>
          </cell>
          <cell r="F490">
            <v>286</v>
          </cell>
          <cell r="G490">
            <v>352</v>
          </cell>
          <cell r="H490">
            <v>227</v>
          </cell>
          <cell r="I490">
            <v>865</v>
          </cell>
          <cell r="J490">
            <v>732</v>
          </cell>
          <cell r="K490">
            <v>98</v>
          </cell>
          <cell r="L490">
            <v>634</v>
          </cell>
          <cell r="M490">
            <v>0.13387978142076504</v>
          </cell>
          <cell r="N490">
            <v>95</v>
          </cell>
          <cell r="O490">
            <v>21</v>
          </cell>
          <cell r="P490">
            <v>180</v>
          </cell>
          <cell r="Q490">
            <v>0</v>
          </cell>
          <cell r="R490">
            <v>180</v>
          </cell>
          <cell r="S490">
            <v>320</v>
          </cell>
          <cell r="T490">
            <v>1097.7299363057323</v>
          </cell>
          <cell r="U490">
            <v>402</v>
          </cell>
          <cell r="V490">
            <v>-6</v>
          </cell>
          <cell r="W490">
            <v>124</v>
          </cell>
          <cell r="X490">
            <v>0.55678670360110805</v>
          </cell>
          <cell r="Y490">
            <v>132</v>
          </cell>
          <cell r="Z490">
            <v>50</v>
          </cell>
          <cell r="AA490">
            <v>0.24863387978142076</v>
          </cell>
          <cell r="AB490">
            <v>0.18032786885245902</v>
          </cell>
          <cell r="AC490">
            <v>14.391999999999999</v>
          </cell>
          <cell r="AD490">
            <v>1.9930000000000001</v>
          </cell>
          <cell r="AE490" t="e">
            <v>#REF!</v>
          </cell>
          <cell r="AF490">
            <v>6.94</v>
          </cell>
          <cell r="AG490">
            <v>7.81</v>
          </cell>
          <cell r="AH490">
            <v>8.93</v>
          </cell>
          <cell r="AI490" t="e">
            <v>#REF!</v>
          </cell>
          <cell r="AJ490">
            <v>912</v>
          </cell>
          <cell r="AK490">
            <v>814</v>
          </cell>
          <cell r="AL490">
            <v>98</v>
          </cell>
          <cell r="AM490">
            <v>550</v>
          </cell>
          <cell r="AN490">
            <v>613</v>
          </cell>
          <cell r="AP490">
            <v>34425</v>
          </cell>
          <cell r="AQ490">
            <v>1.83</v>
          </cell>
          <cell r="BA490">
            <v>34425</v>
          </cell>
          <cell r="BB490">
            <v>14.391999999999999</v>
          </cell>
          <cell r="BC490">
            <v>1.9930000000000001</v>
          </cell>
          <cell r="BP490">
            <v>36623</v>
          </cell>
          <cell r="CQ490">
            <v>34425</v>
          </cell>
          <cell r="CR490">
            <v>1.9930000000000001</v>
          </cell>
        </row>
        <row r="491">
          <cell r="A491">
            <v>15</v>
          </cell>
          <cell r="B491">
            <v>34439</v>
          </cell>
          <cell r="C491">
            <v>34432</v>
          </cell>
          <cell r="F491">
            <v>305</v>
          </cell>
          <cell r="G491">
            <v>373</v>
          </cell>
          <cell r="H491">
            <v>226</v>
          </cell>
          <cell r="I491">
            <v>904</v>
          </cell>
          <cell r="J491">
            <v>709</v>
          </cell>
          <cell r="K491">
            <v>100</v>
          </cell>
          <cell r="L491">
            <v>609</v>
          </cell>
          <cell r="M491">
            <v>0.14104372355430184</v>
          </cell>
          <cell r="N491">
            <v>97</v>
          </cell>
          <cell r="O491">
            <v>21</v>
          </cell>
          <cell r="P491">
            <v>137</v>
          </cell>
          <cell r="Q491">
            <v>0</v>
          </cell>
          <cell r="R491">
            <v>137</v>
          </cell>
          <cell r="S491">
            <v>309</v>
          </cell>
          <cell r="T491">
            <v>1037.2445859872612</v>
          </cell>
          <cell r="U491">
            <v>390</v>
          </cell>
          <cell r="V491">
            <v>-5</v>
          </cell>
          <cell r="W491">
            <v>112</v>
          </cell>
          <cell r="X491">
            <v>0.55793991416309008</v>
          </cell>
          <cell r="Y491">
            <v>128</v>
          </cell>
          <cell r="Z491">
            <v>53</v>
          </cell>
          <cell r="AA491">
            <v>0.25528913963328631</v>
          </cell>
          <cell r="AB491">
            <v>0.18053596614950634</v>
          </cell>
          <cell r="AC491">
            <v>15.682</v>
          </cell>
          <cell r="AD491">
            <v>1.984</v>
          </cell>
          <cell r="AE491" t="e">
            <v>#REF!</v>
          </cell>
          <cell r="AF491">
            <v>6.94</v>
          </cell>
          <cell r="AG491">
            <v>7.81</v>
          </cell>
          <cell r="AH491">
            <v>8.93</v>
          </cell>
          <cell r="AI491" t="e">
            <v>#REF!</v>
          </cell>
          <cell r="AJ491">
            <v>846</v>
          </cell>
          <cell r="AK491">
            <v>746</v>
          </cell>
          <cell r="AL491">
            <v>100</v>
          </cell>
          <cell r="AM491">
            <v>528</v>
          </cell>
          <cell r="AN491">
            <v>588</v>
          </cell>
          <cell r="AP491">
            <v>34432</v>
          </cell>
          <cell r="AQ491">
            <v>1.84</v>
          </cell>
          <cell r="BA491">
            <v>34432</v>
          </cell>
          <cell r="BB491">
            <v>15.682</v>
          </cell>
          <cell r="BC491">
            <v>1.984</v>
          </cell>
          <cell r="BP491">
            <v>36630</v>
          </cell>
          <cell r="CQ491">
            <v>34432</v>
          </cell>
          <cell r="CR491">
            <v>1.984</v>
          </cell>
        </row>
        <row r="492">
          <cell r="A492">
            <v>16</v>
          </cell>
          <cell r="B492">
            <v>34446</v>
          </cell>
          <cell r="C492">
            <v>34439</v>
          </cell>
          <cell r="F492">
            <v>335</v>
          </cell>
          <cell r="G492">
            <v>416</v>
          </cell>
          <cell r="H492">
            <v>232</v>
          </cell>
          <cell r="I492">
            <v>983</v>
          </cell>
          <cell r="J492">
            <v>720</v>
          </cell>
          <cell r="K492">
            <v>107</v>
          </cell>
          <cell r="L492">
            <v>613</v>
          </cell>
          <cell r="M492">
            <v>0.14861111111111111</v>
          </cell>
          <cell r="N492">
            <v>104</v>
          </cell>
          <cell r="O492">
            <v>21</v>
          </cell>
          <cell r="P492">
            <v>121</v>
          </cell>
          <cell r="Q492">
            <v>0</v>
          </cell>
          <cell r="R492">
            <v>121</v>
          </cell>
          <cell r="S492">
            <v>303</v>
          </cell>
          <cell r="T492">
            <v>1046.5770700636942</v>
          </cell>
          <cell r="U492">
            <v>407</v>
          </cell>
          <cell r="V492">
            <v>-16</v>
          </cell>
          <cell r="W492">
            <v>145</v>
          </cell>
          <cell r="X492">
            <v>0.57323943661971832</v>
          </cell>
          <cell r="Y492">
            <v>133</v>
          </cell>
          <cell r="Z492">
            <v>52</v>
          </cell>
          <cell r="AA492">
            <v>0.25694444444444442</v>
          </cell>
          <cell r="AB492">
            <v>0.18472222222222223</v>
          </cell>
          <cell r="AC492">
            <v>16.076000000000001</v>
          </cell>
          <cell r="AD492">
            <v>2.0739999999999998</v>
          </cell>
          <cell r="AE492" t="e">
            <v>#REF!</v>
          </cell>
          <cell r="AF492">
            <v>6.94</v>
          </cell>
          <cell r="AG492">
            <v>7.81</v>
          </cell>
          <cell r="AH492">
            <v>8.93</v>
          </cell>
          <cell r="AI492" t="e">
            <v>#REF!</v>
          </cell>
          <cell r="AJ492">
            <v>841</v>
          </cell>
          <cell r="AK492">
            <v>734</v>
          </cell>
          <cell r="AL492">
            <v>107</v>
          </cell>
          <cell r="AM492">
            <v>535</v>
          </cell>
          <cell r="AN492">
            <v>592</v>
          </cell>
          <cell r="AP492">
            <v>34439</v>
          </cell>
          <cell r="AQ492">
            <v>1.9</v>
          </cell>
          <cell r="BA492">
            <v>34439</v>
          </cell>
          <cell r="BB492">
            <v>16.076000000000001</v>
          </cell>
          <cell r="BC492">
            <v>2.0739999999999998</v>
          </cell>
          <cell r="BP492">
            <v>36637</v>
          </cell>
          <cell r="CQ492">
            <v>34439</v>
          </cell>
          <cell r="CR492">
            <v>2.0739999999999998</v>
          </cell>
        </row>
        <row r="493">
          <cell r="A493">
            <v>17</v>
          </cell>
          <cell r="B493">
            <v>34453</v>
          </cell>
          <cell r="C493">
            <v>34446</v>
          </cell>
          <cell r="F493">
            <v>359</v>
          </cell>
          <cell r="G493">
            <v>464</v>
          </cell>
          <cell r="H493">
            <v>235</v>
          </cell>
          <cell r="I493">
            <v>1058</v>
          </cell>
          <cell r="J493">
            <v>732</v>
          </cell>
          <cell r="K493">
            <v>108</v>
          </cell>
          <cell r="L493">
            <v>624</v>
          </cell>
          <cell r="M493">
            <v>0.14754098360655737</v>
          </cell>
          <cell r="N493">
            <v>103</v>
          </cell>
          <cell r="O493">
            <v>21</v>
          </cell>
          <cell r="P493">
            <v>98</v>
          </cell>
          <cell r="Q493">
            <v>0</v>
          </cell>
          <cell r="R493">
            <v>98</v>
          </cell>
          <cell r="S493">
            <v>318</v>
          </cell>
          <cell r="T493">
            <v>1038.3898089171973</v>
          </cell>
          <cell r="U493">
            <v>403</v>
          </cell>
          <cell r="V493">
            <v>-2</v>
          </cell>
          <cell r="W493">
            <v>138</v>
          </cell>
          <cell r="X493">
            <v>0.55894590846047154</v>
          </cell>
          <cell r="Y493">
            <v>138</v>
          </cell>
          <cell r="Z493">
            <v>50</v>
          </cell>
          <cell r="AA493">
            <v>0.25683060109289618</v>
          </cell>
          <cell r="AB493">
            <v>0.18852459016393441</v>
          </cell>
          <cell r="AC493">
            <v>16.989999999999998</v>
          </cell>
          <cell r="AD493">
            <v>2.1139999999999999</v>
          </cell>
          <cell r="AE493" t="e">
            <v>#REF!</v>
          </cell>
          <cell r="AF493">
            <v>6.94</v>
          </cell>
          <cell r="AG493">
            <v>7.81</v>
          </cell>
          <cell r="AH493">
            <v>8.93</v>
          </cell>
          <cell r="AI493" t="e">
            <v>#REF!</v>
          </cell>
          <cell r="AJ493">
            <v>830</v>
          </cell>
          <cell r="AK493">
            <v>722</v>
          </cell>
          <cell r="AL493">
            <v>108</v>
          </cell>
          <cell r="AM493">
            <v>544</v>
          </cell>
          <cell r="AN493">
            <v>603</v>
          </cell>
          <cell r="AP493">
            <v>34446</v>
          </cell>
          <cell r="AQ493">
            <v>1.9</v>
          </cell>
          <cell r="BA493">
            <v>34446</v>
          </cell>
          <cell r="BB493">
            <v>16.989999999999998</v>
          </cell>
          <cell r="BC493">
            <v>2.1139999999999999</v>
          </cell>
          <cell r="BP493">
            <v>36644</v>
          </cell>
          <cell r="CQ493">
            <v>34446</v>
          </cell>
          <cell r="CR493">
            <v>2.1139999999999999</v>
          </cell>
        </row>
        <row r="494">
          <cell r="A494">
            <v>18</v>
          </cell>
          <cell r="B494">
            <v>34460</v>
          </cell>
          <cell r="C494">
            <v>34453</v>
          </cell>
          <cell r="F494">
            <v>387</v>
          </cell>
          <cell r="G494">
            <v>507</v>
          </cell>
          <cell r="H494">
            <v>246</v>
          </cell>
          <cell r="I494">
            <v>1140</v>
          </cell>
          <cell r="J494">
            <v>730</v>
          </cell>
          <cell r="K494">
            <v>110</v>
          </cell>
          <cell r="L494">
            <v>620</v>
          </cell>
          <cell r="M494">
            <v>0.15068493150684931</v>
          </cell>
          <cell r="N494">
            <v>105</v>
          </cell>
          <cell r="O494">
            <v>20</v>
          </cell>
          <cell r="P494">
            <v>122</v>
          </cell>
          <cell r="Q494">
            <v>0</v>
          </cell>
          <cell r="R494">
            <v>122</v>
          </cell>
          <cell r="S494">
            <v>326</v>
          </cell>
          <cell r="T494">
            <v>1063.4292993630572</v>
          </cell>
          <cell r="U494">
            <v>393</v>
          </cell>
          <cell r="V494">
            <v>7</v>
          </cell>
          <cell r="W494">
            <v>125</v>
          </cell>
          <cell r="X494">
            <v>0.54659248956884565</v>
          </cell>
          <cell r="Y494">
            <v>144</v>
          </cell>
          <cell r="Z494">
            <v>47</v>
          </cell>
          <cell r="AA494">
            <v>0.26164383561643834</v>
          </cell>
          <cell r="AB494">
            <v>0.19726027397260273</v>
          </cell>
          <cell r="AC494">
            <v>16.975000000000001</v>
          </cell>
          <cell r="AD494">
            <v>2.0379999999999998</v>
          </cell>
          <cell r="AE494" t="e">
            <v>#REF!</v>
          </cell>
          <cell r="AF494">
            <v>6.94</v>
          </cell>
          <cell r="AG494">
            <v>7.81</v>
          </cell>
          <cell r="AH494">
            <v>8.93</v>
          </cell>
          <cell r="AI494" t="e">
            <v>#REF!</v>
          </cell>
          <cell r="AJ494">
            <v>852</v>
          </cell>
          <cell r="AK494">
            <v>742</v>
          </cell>
          <cell r="AL494">
            <v>110</v>
          </cell>
          <cell r="AM494">
            <v>539</v>
          </cell>
          <cell r="AN494">
            <v>600</v>
          </cell>
          <cell r="AP494">
            <v>34453</v>
          </cell>
          <cell r="AQ494">
            <v>1.87</v>
          </cell>
          <cell r="BA494">
            <v>34453</v>
          </cell>
          <cell r="BB494">
            <v>16.975000000000001</v>
          </cell>
          <cell r="BC494">
            <v>2.0379999999999998</v>
          </cell>
          <cell r="BP494">
            <v>36651</v>
          </cell>
          <cell r="CQ494">
            <v>34453</v>
          </cell>
          <cell r="CR494">
            <v>2.0379999999999998</v>
          </cell>
        </row>
        <row r="495">
          <cell r="A495">
            <v>19</v>
          </cell>
          <cell r="B495">
            <v>34467</v>
          </cell>
          <cell r="C495">
            <v>34460</v>
          </cell>
          <cell r="F495">
            <v>415</v>
          </cell>
          <cell r="G495">
            <v>561</v>
          </cell>
          <cell r="H495">
            <v>259</v>
          </cell>
          <cell r="I495">
            <v>1235</v>
          </cell>
          <cell r="J495">
            <v>719</v>
          </cell>
          <cell r="K495">
            <v>107</v>
          </cell>
          <cell r="L495">
            <v>612</v>
          </cell>
          <cell r="M495">
            <v>0.14881780250347706</v>
          </cell>
          <cell r="N495">
            <v>101</v>
          </cell>
          <cell r="O495">
            <v>17</v>
          </cell>
          <cell r="P495">
            <v>153</v>
          </cell>
          <cell r="Q495">
            <v>0</v>
          </cell>
          <cell r="R495">
            <v>153</v>
          </cell>
          <cell r="S495">
            <v>323</v>
          </cell>
          <cell r="T495">
            <v>1076.3949044585988</v>
          </cell>
          <cell r="U495">
            <v>383</v>
          </cell>
          <cell r="V495">
            <v>4</v>
          </cell>
          <cell r="W495">
            <v>105</v>
          </cell>
          <cell r="X495">
            <v>0.54249291784702547</v>
          </cell>
          <cell r="Y495">
            <v>136</v>
          </cell>
          <cell r="Z495">
            <v>48</v>
          </cell>
          <cell r="AA495">
            <v>0.25591098748261476</v>
          </cell>
          <cell r="AB495">
            <v>0.18915159944367177</v>
          </cell>
          <cell r="AC495">
            <v>17.178000000000001</v>
          </cell>
          <cell r="AD495">
            <v>2.012</v>
          </cell>
          <cell r="AE495" t="e">
            <v>#REF!</v>
          </cell>
          <cell r="AF495">
            <v>6.94</v>
          </cell>
          <cell r="AG495">
            <v>7.81</v>
          </cell>
          <cell r="AH495">
            <v>8.93</v>
          </cell>
          <cell r="AI495" t="e">
            <v>#REF!</v>
          </cell>
          <cell r="AJ495">
            <v>872</v>
          </cell>
          <cell r="AK495">
            <v>765</v>
          </cell>
          <cell r="AL495">
            <v>107</v>
          </cell>
          <cell r="AM495">
            <v>535</v>
          </cell>
          <cell r="AN495">
            <v>595</v>
          </cell>
          <cell r="AP495">
            <v>34460</v>
          </cell>
          <cell r="AQ495">
            <v>1.89</v>
          </cell>
          <cell r="BA495">
            <v>34460</v>
          </cell>
          <cell r="BB495">
            <v>17.178000000000001</v>
          </cell>
          <cell r="BC495">
            <v>2.012</v>
          </cell>
          <cell r="BP495">
            <v>36658</v>
          </cell>
          <cell r="CQ495">
            <v>34460</v>
          </cell>
          <cell r="CR495">
            <v>2.012</v>
          </cell>
        </row>
        <row r="496">
          <cell r="A496">
            <v>20</v>
          </cell>
          <cell r="B496">
            <v>34474</v>
          </cell>
          <cell r="C496">
            <v>34467</v>
          </cell>
          <cell r="F496">
            <v>451</v>
          </cell>
          <cell r="G496">
            <v>607</v>
          </cell>
          <cell r="H496">
            <v>266</v>
          </cell>
          <cell r="I496">
            <v>1324</v>
          </cell>
          <cell r="J496">
            <v>722</v>
          </cell>
          <cell r="K496">
            <v>107</v>
          </cell>
          <cell r="L496">
            <v>615</v>
          </cell>
          <cell r="M496">
            <v>0.1481994459833795</v>
          </cell>
          <cell r="N496">
            <v>101</v>
          </cell>
          <cell r="O496">
            <v>14</v>
          </cell>
          <cell r="P496">
            <v>163</v>
          </cell>
          <cell r="Q496">
            <v>0</v>
          </cell>
          <cell r="R496">
            <v>163</v>
          </cell>
          <cell r="S496">
            <v>319</v>
          </cell>
          <cell r="T496">
            <v>1089.0254777070063</v>
          </cell>
          <cell r="U496">
            <v>388</v>
          </cell>
          <cell r="V496">
            <v>3</v>
          </cell>
          <cell r="W496">
            <v>105</v>
          </cell>
          <cell r="X496">
            <v>0.54879773691654876</v>
          </cell>
          <cell r="Y496">
            <v>135</v>
          </cell>
          <cell r="Z496">
            <v>44</v>
          </cell>
          <cell r="AA496">
            <v>0.24792243767313019</v>
          </cell>
          <cell r="AB496">
            <v>0.18698060941828254</v>
          </cell>
          <cell r="AC496">
            <v>17.936</v>
          </cell>
          <cell r="AD496">
            <v>1.952</v>
          </cell>
          <cell r="AE496" t="e">
            <v>#REF!</v>
          </cell>
          <cell r="AF496">
            <v>6.94</v>
          </cell>
          <cell r="AG496">
            <v>7.81</v>
          </cell>
          <cell r="AH496">
            <v>8.93</v>
          </cell>
          <cell r="AI496" t="e">
            <v>#REF!</v>
          </cell>
          <cell r="AJ496">
            <v>885</v>
          </cell>
          <cell r="AK496">
            <v>778</v>
          </cell>
          <cell r="AL496">
            <v>107</v>
          </cell>
          <cell r="AM496">
            <v>543</v>
          </cell>
          <cell r="AN496">
            <v>601</v>
          </cell>
          <cell r="AP496">
            <v>34467</v>
          </cell>
          <cell r="AQ496">
            <v>1.77</v>
          </cell>
          <cell r="BA496">
            <v>34467</v>
          </cell>
          <cell r="BB496">
            <v>17.936</v>
          </cell>
          <cell r="BC496">
            <v>1.952</v>
          </cell>
          <cell r="BP496">
            <v>36665</v>
          </cell>
          <cell r="CQ496">
            <v>34467</v>
          </cell>
          <cell r="CR496">
            <v>1.952</v>
          </cell>
        </row>
        <row r="497">
          <cell r="A497">
            <v>21</v>
          </cell>
          <cell r="B497">
            <v>34481</v>
          </cell>
          <cell r="C497">
            <v>34474</v>
          </cell>
          <cell r="F497">
            <v>470</v>
          </cell>
          <cell r="G497">
            <v>674</v>
          </cell>
          <cell r="H497">
            <v>281</v>
          </cell>
          <cell r="I497">
            <v>1425</v>
          </cell>
          <cell r="J497">
            <v>697</v>
          </cell>
          <cell r="K497">
            <v>99</v>
          </cell>
          <cell r="L497">
            <v>598</v>
          </cell>
          <cell r="M497">
            <v>0.14203730272596843</v>
          </cell>
          <cell r="N497">
            <v>93</v>
          </cell>
          <cell r="O497">
            <v>14</v>
          </cell>
          <cell r="P497">
            <v>172</v>
          </cell>
          <cell r="Q497">
            <v>0</v>
          </cell>
          <cell r="R497">
            <v>172</v>
          </cell>
          <cell r="S497">
            <v>314</v>
          </cell>
          <cell r="T497">
            <v>1056.9885350318471</v>
          </cell>
          <cell r="U497">
            <v>369</v>
          </cell>
          <cell r="V497">
            <v>-7</v>
          </cell>
          <cell r="W497">
            <v>71</v>
          </cell>
          <cell r="X497">
            <v>0.54026354319180092</v>
          </cell>
          <cell r="Y497">
            <v>129</v>
          </cell>
          <cell r="Z497">
            <v>44</v>
          </cell>
          <cell r="AA497">
            <v>0.24820659971305595</v>
          </cell>
          <cell r="AB497">
            <v>0.18507890961262555</v>
          </cell>
          <cell r="AC497">
            <v>18.202000000000002</v>
          </cell>
          <cell r="AD497">
            <v>1.9059999999999999</v>
          </cell>
          <cell r="AE497" t="e">
            <v>#REF!</v>
          </cell>
          <cell r="AF497">
            <v>6.94</v>
          </cell>
          <cell r="AG497">
            <v>7.81</v>
          </cell>
          <cell r="AH497">
            <v>8.93</v>
          </cell>
          <cell r="AI497" t="e">
            <v>#REF!</v>
          </cell>
          <cell r="AJ497">
            <v>869</v>
          </cell>
          <cell r="AK497">
            <v>770</v>
          </cell>
          <cell r="AL497">
            <v>99</v>
          </cell>
          <cell r="AM497">
            <v>524</v>
          </cell>
          <cell r="AN497">
            <v>584</v>
          </cell>
          <cell r="AP497">
            <v>34474</v>
          </cell>
          <cell r="AQ497">
            <v>1.77</v>
          </cell>
          <cell r="BA497">
            <v>34474</v>
          </cell>
          <cell r="BB497">
            <v>18.202000000000002</v>
          </cell>
          <cell r="BC497">
            <v>1.9059999999999999</v>
          </cell>
          <cell r="BP497">
            <v>36672</v>
          </cell>
          <cell r="CQ497">
            <v>34474</v>
          </cell>
          <cell r="CR497">
            <v>1.9059999999999999</v>
          </cell>
        </row>
        <row r="498">
          <cell r="A498">
            <v>22</v>
          </cell>
          <cell r="B498">
            <v>34488</v>
          </cell>
          <cell r="C498">
            <v>34481</v>
          </cell>
          <cell r="F498">
            <v>510</v>
          </cell>
          <cell r="G498">
            <v>742</v>
          </cell>
          <cell r="H498">
            <v>293</v>
          </cell>
          <cell r="I498">
            <v>1545</v>
          </cell>
          <cell r="J498">
            <v>727</v>
          </cell>
          <cell r="K498">
            <v>104</v>
          </cell>
          <cell r="L498">
            <v>623</v>
          </cell>
          <cell r="M498">
            <v>0.14305364511691884</v>
          </cell>
          <cell r="N498">
            <v>98</v>
          </cell>
          <cell r="O498">
            <v>12</v>
          </cell>
          <cell r="P498">
            <v>141</v>
          </cell>
          <cell r="Q498">
            <v>0</v>
          </cell>
          <cell r="R498">
            <v>141</v>
          </cell>
          <cell r="S498">
            <v>314</v>
          </cell>
          <cell r="T498">
            <v>1066.9490445859874</v>
          </cell>
          <cell r="U498">
            <v>398</v>
          </cell>
          <cell r="V498">
            <v>-20</v>
          </cell>
          <cell r="W498">
            <v>83</v>
          </cell>
          <cell r="X498">
            <v>0.5589887640449438</v>
          </cell>
          <cell r="Y498">
            <v>131</v>
          </cell>
          <cell r="Z498">
            <v>41</v>
          </cell>
          <cell r="AA498">
            <v>0.23658872077028886</v>
          </cell>
          <cell r="AB498">
            <v>0.18019257221458046</v>
          </cell>
          <cell r="AC498">
            <v>18.122</v>
          </cell>
          <cell r="AD498">
            <v>1.8660000000000001</v>
          </cell>
          <cell r="AE498" t="e">
            <v>#REF!</v>
          </cell>
          <cell r="AF498">
            <v>6.94</v>
          </cell>
          <cell r="AG498">
            <v>7.81</v>
          </cell>
          <cell r="AH498">
            <v>8.93</v>
          </cell>
          <cell r="AI498" t="e">
            <v>#REF!</v>
          </cell>
          <cell r="AJ498">
            <v>868</v>
          </cell>
          <cell r="AK498">
            <v>764</v>
          </cell>
          <cell r="AL498">
            <v>104</v>
          </cell>
          <cell r="AM498">
            <v>555</v>
          </cell>
          <cell r="AN498">
            <v>611</v>
          </cell>
          <cell r="AP498">
            <v>34481</v>
          </cell>
          <cell r="AQ498">
            <v>1.72</v>
          </cell>
          <cell r="BA498">
            <v>34481</v>
          </cell>
          <cell r="BB498">
            <v>18.122</v>
          </cell>
          <cell r="BC498">
            <v>1.8660000000000001</v>
          </cell>
          <cell r="BP498">
            <v>36679</v>
          </cell>
          <cell r="CQ498">
            <v>34481</v>
          </cell>
          <cell r="CR498">
            <v>1.8660000000000001</v>
          </cell>
        </row>
        <row r="499">
          <cell r="A499">
            <v>23</v>
          </cell>
          <cell r="B499">
            <v>34495</v>
          </cell>
          <cell r="C499">
            <v>34488</v>
          </cell>
          <cell r="F499">
            <v>522</v>
          </cell>
          <cell r="G499">
            <v>804</v>
          </cell>
          <cell r="H499">
            <v>312</v>
          </cell>
          <cell r="I499">
            <v>1638</v>
          </cell>
          <cell r="J499">
            <v>742</v>
          </cell>
          <cell r="K499">
            <v>111</v>
          </cell>
          <cell r="L499">
            <v>631</v>
          </cell>
          <cell r="M499">
            <v>0.14959568733153639</v>
          </cell>
          <cell r="N499">
            <v>105</v>
          </cell>
          <cell r="O499">
            <v>16</v>
          </cell>
          <cell r="P499">
            <v>239</v>
          </cell>
          <cell r="Q499">
            <v>0</v>
          </cell>
          <cell r="R499">
            <v>239</v>
          </cell>
          <cell r="S499">
            <v>316</v>
          </cell>
          <cell r="T499">
            <v>1190.0700636942674</v>
          </cell>
          <cell r="U499">
            <v>410</v>
          </cell>
          <cell r="V499">
            <v>-24</v>
          </cell>
          <cell r="W499">
            <v>85</v>
          </cell>
          <cell r="X499">
            <v>0.56473829201101933</v>
          </cell>
          <cell r="Y499">
            <v>144</v>
          </cell>
          <cell r="Z499">
            <v>40</v>
          </cell>
          <cell r="AA499">
            <v>0.24797843665768193</v>
          </cell>
          <cell r="AB499">
            <v>0.19407008086253369</v>
          </cell>
          <cell r="AC499">
            <v>18.216999999999999</v>
          </cell>
          <cell r="AD499">
            <v>1.8080000000000001</v>
          </cell>
          <cell r="AE499" t="e">
            <v>#REF!</v>
          </cell>
          <cell r="AF499">
            <v>6.94</v>
          </cell>
          <cell r="AG499">
            <v>7.81</v>
          </cell>
          <cell r="AH499">
            <v>8.93</v>
          </cell>
          <cell r="AI499" t="e">
            <v>#REF!</v>
          </cell>
          <cell r="AJ499">
            <v>981</v>
          </cell>
          <cell r="AK499">
            <v>870</v>
          </cell>
          <cell r="AL499">
            <v>111</v>
          </cell>
          <cell r="AM499">
            <v>558</v>
          </cell>
          <cell r="AN499">
            <v>615</v>
          </cell>
          <cell r="AP499">
            <v>34488</v>
          </cell>
          <cell r="AQ499">
            <v>1.7</v>
          </cell>
          <cell r="BA499">
            <v>34488</v>
          </cell>
          <cell r="BB499">
            <v>18.216999999999999</v>
          </cell>
          <cell r="BC499">
            <v>1.8080000000000001</v>
          </cell>
          <cell r="BP499">
            <v>36686</v>
          </cell>
          <cell r="CQ499">
            <v>34488</v>
          </cell>
          <cell r="CR499">
            <v>1.8080000000000001</v>
          </cell>
        </row>
        <row r="500">
          <cell r="A500">
            <v>24</v>
          </cell>
          <cell r="B500">
            <v>34502</v>
          </cell>
          <cell r="C500">
            <v>34495</v>
          </cell>
          <cell r="F500">
            <v>551</v>
          </cell>
          <cell r="G500">
            <v>862</v>
          </cell>
          <cell r="H500">
            <v>312</v>
          </cell>
          <cell r="I500">
            <v>1725</v>
          </cell>
          <cell r="J500">
            <v>752</v>
          </cell>
          <cell r="K500">
            <v>111</v>
          </cell>
          <cell r="L500">
            <v>641</v>
          </cell>
          <cell r="M500">
            <v>0.14760638297872342</v>
          </cell>
          <cell r="N500">
            <v>105</v>
          </cell>
          <cell r="O500">
            <v>13</v>
          </cell>
          <cell r="P500">
            <v>248</v>
          </cell>
          <cell r="Q500">
            <v>0</v>
          </cell>
          <cell r="R500">
            <v>248</v>
          </cell>
          <cell r="S500">
            <v>328</v>
          </cell>
          <cell r="T500">
            <v>1208.7375796178344</v>
          </cell>
          <cell r="U500">
            <v>410</v>
          </cell>
          <cell r="V500">
            <v>-37</v>
          </cell>
          <cell r="W500">
            <v>83</v>
          </cell>
          <cell r="X500">
            <v>0.55555555555555558</v>
          </cell>
          <cell r="Y500">
            <v>140</v>
          </cell>
          <cell r="Z500">
            <v>38</v>
          </cell>
          <cell r="AA500">
            <v>0.23670212765957446</v>
          </cell>
          <cell r="AB500">
            <v>0.18617021276595744</v>
          </cell>
          <cell r="AC500">
            <v>18.27</v>
          </cell>
          <cell r="AD500">
            <v>1.91</v>
          </cell>
          <cell r="AE500" t="e">
            <v>#REF!</v>
          </cell>
          <cell r="AF500">
            <v>6.94</v>
          </cell>
          <cell r="AG500">
            <v>7.81</v>
          </cell>
          <cell r="AH500">
            <v>8.93</v>
          </cell>
          <cell r="AI500" t="e">
            <v>#REF!</v>
          </cell>
          <cell r="AJ500">
            <v>1000</v>
          </cell>
          <cell r="AK500">
            <v>889</v>
          </cell>
          <cell r="AL500">
            <v>111</v>
          </cell>
          <cell r="AM500">
            <v>574</v>
          </cell>
          <cell r="AN500">
            <v>628</v>
          </cell>
          <cell r="AP500">
            <v>34495</v>
          </cell>
          <cell r="AQ500">
            <v>1.79</v>
          </cell>
          <cell r="BA500">
            <v>34495</v>
          </cell>
          <cell r="BB500">
            <v>18.27</v>
          </cell>
          <cell r="BC500">
            <v>1.91</v>
          </cell>
          <cell r="BP500">
            <v>36693</v>
          </cell>
          <cell r="CQ500">
            <v>34495</v>
          </cell>
          <cell r="CR500">
            <v>1.91</v>
          </cell>
        </row>
        <row r="501">
          <cell r="A501">
            <v>25</v>
          </cell>
          <cell r="B501">
            <v>34509</v>
          </cell>
          <cell r="C501">
            <v>34502</v>
          </cell>
          <cell r="F501">
            <v>562</v>
          </cell>
          <cell r="G501">
            <v>925</v>
          </cell>
          <cell r="H501">
            <v>321</v>
          </cell>
          <cell r="I501">
            <v>1808</v>
          </cell>
          <cell r="J501">
            <v>769</v>
          </cell>
          <cell r="K501">
            <v>116</v>
          </cell>
          <cell r="L501">
            <v>653</v>
          </cell>
          <cell r="M501">
            <v>0.15084525357607281</v>
          </cell>
          <cell r="N501">
            <v>110</v>
          </cell>
          <cell r="O501">
            <v>14</v>
          </cell>
          <cell r="P501">
            <v>222</v>
          </cell>
          <cell r="Q501">
            <v>0</v>
          </cell>
          <cell r="R501">
            <v>222</v>
          </cell>
          <cell r="S501">
            <v>342</v>
          </cell>
          <cell r="T501">
            <v>1210.5133757961783</v>
          </cell>
          <cell r="U501">
            <v>409</v>
          </cell>
          <cell r="V501">
            <v>-2</v>
          </cell>
          <cell r="W501">
            <v>88</v>
          </cell>
          <cell r="X501">
            <v>0.54460719041278294</v>
          </cell>
          <cell r="Y501">
            <v>147</v>
          </cell>
          <cell r="Z501">
            <v>36</v>
          </cell>
          <cell r="AA501">
            <v>0.23797139141742524</v>
          </cell>
          <cell r="AB501">
            <v>0.19115734720416125</v>
          </cell>
          <cell r="AC501">
            <v>19.643999999999998</v>
          </cell>
          <cell r="AD501">
            <v>2.052</v>
          </cell>
          <cell r="AE501" t="e">
            <v>#REF!</v>
          </cell>
          <cell r="AF501">
            <v>6.94</v>
          </cell>
          <cell r="AG501">
            <v>7.81</v>
          </cell>
          <cell r="AH501">
            <v>8.93</v>
          </cell>
          <cell r="AI501" t="e">
            <v>#REF!</v>
          </cell>
          <cell r="AJ501">
            <v>991</v>
          </cell>
          <cell r="AK501">
            <v>875</v>
          </cell>
          <cell r="AL501">
            <v>116</v>
          </cell>
          <cell r="AM501">
            <v>586</v>
          </cell>
          <cell r="AN501">
            <v>639</v>
          </cell>
          <cell r="AP501">
            <v>34502</v>
          </cell>
          <cell r="AQ501">
            <v>1.85</v>
          </cell>
          <cell r="BA501">
            <v>34502</v>
          </cell>
          <cell r="BB501">
            <v>19.643999999999998</v>
          </cell>
          <cell r="BC501">
            <v>2.052</v>
          </cell>
          <cell r="BP501">
            <v>36700</v>
          </cell>
          <cell r="CQ501">
            <v>34502</v>
          </cell>
          <cell r="CR501">
            <v>2.052</v>
          </cell>
        </row>
        <row r="502">
          <cell r="A502">
            <v>26</v>
          </cell>
          <cell r="B502">
            <v>34516</v>
          </cell>
          <cell r="C502">
            <v>34509</v>
          </cell>
          <cell r="F502">
            <v>577</v>
          </cell>
          <cell r="G502">
            <v>1009</v>
          </cell>
          <cell r="H502">
            <v>326</v>
          </cell>
          <cell r="I502">
            <v>1912</v>
          </cell>
          <cell r="J502">
            <v>761</v>
          </cell>
          <cell r="K502">
            <v>115</v>
          </cell>
          <cell r="L502">
            <v>646</v>
          </cell>
          <cell r="M502">
            <v>0.15111695137976347</v>
          </cell>
          <cell r="N502">
            <v>111</v>
          </cell>
          <cell r="O502">
            <v>14</v>
          </cell>
          <cell r="P502">
            <v>218</v>
          </cell>
          <cell r="Q502">
            <v>0</v>
          </cell>
          <cell r="R502">
            <v>218</v>
          </cell>
          <cell r="S502">
            <v>341</v>
          </cell>
          <cell r="T502">
            <v>1196.6980891719745</v>
          </cell>
          <cell r="U502">
            <v>402</v>
          </cell>
          <cell r="V502">
            <v>-10</v>
          </cell>
          <cell r="W502">
            <v>67</v>
          </cell>
          <cell r="X502">
            <v>0.54104979811574694</v>
          </cell>
          <cell r="Y502">
            <v>146</v>
          </cell>
          <cell r="Z502">
            <v>38</v>
          </cell>
          <cell r="AA502">
            <v>0.24178712220762155</v>
          </cell>
          <cell r="AB502">
            <v>0.19185282522996058</v>
          </cell>
          <cell r="AC502">
            <v>19.794</v>
          </cell>
          <cell r="AD502">
            <v>2.08</v>
          </cell>
          <cell r="AE502" t="e">
            <v>#REF!</v>
          </cell>
          <cell r="AF502">
            <v>6.94</v>
          </cell>
          <cell r="AG502">
            <v>7.81</v>
          </cell>
          <cell r="AH502">
            <v>8.93</v>
          </cell>
          <cell r="AI502" t="e">
            <v>#REF!</v>
          </cell>
          <cell r="AJ502">
            <v>979</v>
          </cell>
          <cell r="AK502">
            <v>864</v>
          </cell>
          <cell r="AL502">
            <v>115</v>
          </cell>
          <cell r="AM502">
            <v>577</v>
          </cell>
          <cell r="AN502">
            <v>632</v>
          </cell>
          <cell r="AP502">
            <v>34509</v>
          </cell>
          <cell r="AQ502">
            <v>1.83</v>
          </cell>
          <cell r="BA502">
            <v>34509</v>
          </cell>
          <cell r="BB502">
            <v>19.794</v>
          </cell>
          <cell r="BC502">
            <v>2.08</v>
          </cell>
          <cell r="BP502">
            <v>36707</v>
          </cell>
          <cell r="CQ502">
            <v>34509</v>
          </cell>
          <cell r="CR502">
            <v>2.08</v>
          </cell>
        </row>
        <row r="503">
          <cell r="A503">
            <v>27</v>
          </cell>
          <cell r="B503">
            <v>34523</v>
          </cell>
          <cell r="C503">
            <v>34516</v>
          </cell>
          <cell r="F503">
            <v>615</v>
          </cell>
          <cell r="G503">
            <v>1055</v>
          </cell>
          <cell r="H503">
            <v>337</v>
          </cell>
          <cell r="I503">
            <v>2007</v>
          </cell>
          <cell r="J503">
            <v>766</v>
          </cell>
          <cell r="K503">
            <v>115</v>
          </cell>
          <cell r="L503">
            <v>651</v>
          </cell>
          <cell r="M503">
            <v>0.15013054830287206</v>
          </cell>
          <cell r="N503">
            <v>111</v>
          </cell>
          <cell r="O503">
            <v>15</v>
          </cell>
          <cell r="P503">
            <v>284</v>
          </cell>
          <cell r="Q503">
            <v>0</v>
          </cell>
          <cell r="R503">
            <v>284</v>
          </cell>
          <cell r="S503">
            <v>333</v>
          </cell>
          <cell r="T503">
            <v>1265.259872611465</v>
          </cell>
          <cell r="U503">
            <v>415</v>
          </cell>
          <cell r="V503">
            <v>-31</v>
          </cell>
          <cell r="W503">
            <v>62</v>
          </cell>
          <cell r="X503">
            <v>0.55481283422459893</v>
          </cell>
          <cell r="Y503">
            <v>145</v>
          </cell>
          <cell r="Z503">
            <v>36</v>
          </cell>
          <cell r="AA503">
            <v>0.23629242819843341</v>
          </cell>
          <cell r="AB503">
            <v>0.18929503916449086</v>
          </cell>
          <cell r="AC503">
            <v>19.196000000000002</v>
          </cell>
          <cell r="AD503">
            <v>2.044</v>
          </cell>
          <cell r="AE503" t="e">
            <v>#REF!</v>
          </cell>
          <cell r="AF503">
            <v>6.94</v>
          </cell>
          <cell r="AG503">
            <v>7.81</v>
          </cell>
          <cell r="AH503">
            <v>8.93</v>
          </cell>
          <cell r="AI503" t="e">
            <v>#REF!</v>
          </cell>
          <cell r="AJ503">
            <v>1050</v>
          </cell>
          <cell r="AK503">
            <v>935</v>
          </cell>
          <cell r="AL503">
            <v>115</v>
          </cell>
          <cell r="AM503">
            <v>585</v>
          </cell>
          <cell r="AN503">
            <v>636</v>
          </cell>
          <cell r="AP503">
            <v>34516</v>
          </cell>
          <cell r="AQ503">
            <v>1.84</v>
          </cell>
          <cell r="BA503">
            <v>34516</v>
          </cell>
          <cell r="BB503">
            <v>19.196000000000002</v>
          </cell>
          <cell r="BC503">
            <v>2.044</v>
          </cell>
          <cell r="BP503">
            <v>36714</v>
          </cell>
          <cell r="CQ503">
            <v>34516</v>
          </cell>
          <cell r="CR503">
            <v>2.044</v>
          </cell>
        </row>
        <row r="504">
          <cell r="A504">
            <v>28</v>
          </cell>
          <cell r="B504">
            <v>34530</v>
          </cell>
          <cell r="C504">
            <v>34523</v>
          </cell>
          <cell r="F504">
            <v>642</v>
          </cell>
          <cell r="G504">
            <v>1121</v>
          </cell>
          <cell r="H504">
            <v>345</v>
          </cell>
          <cell r="I504">
            <v>2108</v>
          </cell>
          <cell r="J504">
            <v>768</v>
          </cell>
          <cell r="K504">
            <v>112</v>
          </cell>
          <cell r="L504">
            <v>656</v>
          </cell>
          <cell r="M504">
            <v>0.14583333333333334</v>
          </cell>
          <cell r="N504">
            <v>108</v>
          </cell>
          <cell r="O504">
            <v>15</v>
          </cell>
          <cell r="P504">
            <v>270</v>
          </cell>
          <cell r="Q504">
            <v>0</v>
          </cell>
          <cell r="R504">
            <v>270</v>
          </cell>
          <cell r="S504">
            <v>340</v>
          </cell>
          <cell r="T504">
            <v>1247.8878980891718</v>
          </cell>
          <cell r="U504">
            <v>412</v>
          </cell>
          <cell r="V504">
            <v>-13</v>
          </cell>
          <cell r="W504">
            <v>66</v>
          </cell>
          <cell r="X504">
            <v>0.5478723404255319</v>
          </cell>
          <cell r="Y504">
            <v>141</v>
          </cell>
          <cell r="Z504">
            <v>43</v>
          </cell>
          <cell r="AA504">
            <v>0.23958333333333334</v>
          </cell>
          <cell r="AB504">
            <v>0.18359375</v>
          </cell>
          <cell r="AC504">
            <v>19.364999999999998</v>
          </cell>
          <cell r="AD504">
            <v>1.95</v>
          </cell>
          <cell r="AE504" t="e">
            <v>#REF!</v>
          </cell>
          <cell r="AF504">
            <v>6.94</v>
          </cell>
          <cell r="AG504">
            <v>7.81</v>
          </cell>
          <cell r="AH504">
            <v>8.93</v>
          </cell>
          <cell r="AI504" t="e">
            <v>#REF!</v>
          </cell>
          <cell r="AJ504">
            <v>1038</v>
          </cell>
          <cell r="AK504">
            <v>926</v>
          </cell>
          <cell r="AL504">
            <v>112</v>
          </cell>
          <cell r="AM504">
            <v>584</v>
          </cell>
          <cell r="AN504">
            <v>641</v>
          </cell>
          <cell r="AP504">
            <v>34523</v>
          </cell>
          <cell r="AQ504">
            <v>1.8</v>
          </cell>
          <cell r="BA504">
            <v>34523</v>
          </cell>
          <cell r="BB504">
            <v>19.364999999999998</v>
          </cell>
          <cell r="BC504">
            <v>1.95</v>
          </cell>
          <cell r="BP504">
            <v>36721</v>
          </cell>
          <cell r="CQ504">
            <v>34523</v>
          </cell>
          <cell r="CR504">
            <v>1.95</v>
          </cell>
        </row>
        <row r="505">
          <cell r="A505">
            <v>29</v>
          </cell>
          <cell r="B505">
            <v>34537</v>
          </cell>
          <cell r="C505">
            <v>34530</v>
          </cell>
          <cell r="F505">
            <v>655</v>
          </cell>
          <cell r="G505">
            <v>1177</v>
          </cell>
          <cell r="H505">
            <v>364</v>
          </cell>
          <cell r="I505">
            <v>2196</v>
          </cell>
          <cell r="J505">
            <v>773</v>
          </cell>
          <cell r="K505">
            <v>109</v>
          </cell>
          <cell r="L505">
            <v>664</v>
          </cell>
          <cell r="M505">
            <v>0.14100905562742561</v>
          </cell>
          <cell r="N505">
            <v>105</v>
          </cell>
          <cell r="O505">
            <v>17</v>
          </cell>
          <cell r="P505">
            <v>238</v>
          </cell>
          <cell r="Q505">
            <v>0</v>
          </cell>
          <cell r="R505">
            <v>238</v>
          </cell>
          <cell r="S505">
            <v>337</v>
          </cell>
          <cell r="T505">
            <v>1216.1808917197452</v>
          </cell>
          <cell r="U505">
            <v>421</v>
          </cell>
          <cell r="V505">
            <v>-25</v>
          </cell>
          <cell r="W505">
            <v>75</v>
          </cell>
          <cell r="X505">
            <v>0.5554089709762533</v>
          </cell>
          <cell r="Y505">
            <v>136</v>
          </cell>
          <cell r="Z505">
            <v>42</v>
          </cell>
          <cell r="AA505">
            <v>0.23027166882276842</v>
          </cell>
          <cell r="AB505">
            <v>0.17593790426908151</v>
          </cell>
          <cell r="AC505">
            <v>20.166</v>
          </cell>
          <cell r="AD505">
            <v>1.8879999999999999</v>
          </cell>
          <cell r="AE505" t="e">
            <v>#REF!</v>
          </cell>
          <cell r="AF505">
            <v>6.94</v>
          </cell>
          <cell r="AG505">
            <v>7.81</v>
          </cell>
          <cell r="AH505">
            <v>8.93</v>
          </cell>
          <cell r="AI505" t="e">
            <v>#REF!</v>
          </cell>
          <cell r="AJ505">
            <v>1011</v>
          </cell>
          <cell r="AK505">
            <v>902</v>
          </cell>
          <cell r="AL505">
            <v>109</v>
          </cell>
          <cell r="AM505">
            <v>595</v>
          </cell>
          <cell r="AN505">
            <v>647</v>
          </cell>
          <cell r="AP505">
            <v>34530</v>
          </cell>
          <cell r="AQ505">
            <v>1.75</v>
          </cell>
          <cell r="BA505">
            <v>34530</v>
          </cell>
          <cell r="BB505">
            <v>20.166</v>
          </cell>
          <cell r="BC505">
            <v>1.8879999999999999</v>
          </cell>
          <cell r="BP505">
            <v>36728</v>
          </cell>
          <cell r="CQ505">
            <v>34530</v>
          </cell>
          <cell r="CR505">
            <v>1.8879999999999999</v>
          </cell>
        </row>
        <row r="506">
          <cell r="A506">
            <v>30</v>
          </cell>
          <cell r="B506">
            <v>34544</v>
          </cell>
          <cell r="C506">
            <v>34537</v>
          </cell>
          <cell r="F506">
            <v>682</v>
          </cell>
          <cell r="G506">
            <v>1229</v>
          </cell>
          <cell r="H506">
            <v>359</v>
          </cell>
          <cell r="I506">
            <v>2270</v>
          </cell>
          <cell r="J506">
            <v>779</v>
          </cell>
          <cell r="K506">
            <v>102</v>
          </cell>
          <cell r="L506">
            <v>677</v>
          </cell>
          <cell r="M506">
            <v>0.13093709884467267</v>
          </cell>
          <cell r="N506">
            <v>99</v>
          </cell>
          <cell r="O506">
            <v>20</v>
          </cell>
          <cell r="P506">
            <v>231</v>
          </cell>
          <cell r="Q506">
            <v>0</v>
          </cell>
          <cell r="R506">
            <v>231</v>
          </cell>
          <cell r="S506">
            <v>344</v>
          </cell>
          <cell r="T506">
            <v>1201.6980891719745</v>
          </cell>
          <cell r="U506">
            <v>420</v>
          </cell>
          <cell r="V506">
            <v>-32</v>
          </cell>
          <cell r="W506">
            <v>44</v>
          </cell>
          <cell r="X506">
            <v>0.54973821989528793</v>
          </cell>
          <cell r="Y506">
            <v>130</v>
          </cell>
          <cell r="Z506">
            <v>50</v>
          </cell>
          <cell r="AA506">
            <v>0.23106546854942234</v>
          </cell>
          <cell r="AB506">
            <v>0.1668806161745828</v>
          </cell>
          <cell r="AC506">
            <v>19.405999999999999</v>
          </cell>
          <cell r="AD506">
            <v>1.8360000000000001</v>
          </cell>
          <cell r="AE506" t="e">
            <v>#REF!</v>
          </cell>
          <cell r="AF506">
            <v>6.94</v>
          </cell>
          <cell r="AG506">
            <v>7.81</v>
          </cell>
          <cell r="AH506">
            <v>8.93</v>
          </cell>
          <cell r="AI506" t="e">
            <v>#REF!</v>
          </cell>
          <cell r="AJ506">
            <v>1010</v>
          </cell>
          <cell r="AK506">
            <v>908</v>
          </cell>
          <cell r="AL506">
            <v>102</v>
          </cell>
          <cell r="AM506">
            <v>599</v>
          </cell>
          <cell r="AN506">
            <v>657</v>
          </cell>
          <cell r="AP506">
            <v>34537</v>
          </cell>
          <cell r="AQ506">
            <v>1.73</v>
          </cell>
          <cell r="BA506">
            <v>34537</v>
          </cell>
          <cell r="BB506">
            <v>19.405999999999999</v>
          </cell>
          <cell r="BC506">
            <v>1.8360000000000001</v>
          </cell>
          <cell r="BP506">
            <v>36735</v>
          </cell>
          <cell r="CQ506">
            <v>34537</v>
          </cell>
          <cell r="CR506">
            <v>1.8360000000000001</v>
          </cell>
        </row>
        <row r="507">
          <cell r="A507">
            <v>31</v>
          </cell>
          <cell r="B507">
            <v>34551</v>
          </cell>
          <cell r="C507">
            <v>34544</v>
          </cell>
          <cell r="F507">
            <v>714</v>
          </cell>
          <cell r="G507">
            <v>1289</v>
          </cell>
          <cell r="H507">
            <v>364</v>
          </cell>
          <cell r="I507">
            <v>2367</v>
          </cell>
          <cell r="J507">
            <v>771</v>
          </cell>
          <cell r="K507">
            <v>97</v>
          </cell>
          <cell r="L507">
            <v>674</v>
          </cell>
          <cell r="M507">
            <v>0.12581063553826199</v>
          </cell>
          <cell r="N507">
            <v>93</v>
          </cell>
          <cell r="O507">
            <v>16</v>
          </cell>
          <cell r="P507">
            <v>297</v>
          </cell>
          <cell r="Q507">
            <v>0</v>
          </cell>
          <cell r="R507">
            <v>297</v>
          </cell>
          <cell r="S507">
            <v>349</v>
          </cell>
          <cell r="T507">
            <v>1247.444585987261</v>
          </cell>
          <cell r="U507">
            <v>407</v>
          </cell>
          <cell r="V507">
            <v>-36</v>
          </cell>
          <cell r="W507">
            <v>27</v>
          </cell>
          <cell r="X507">
            <v>0.53835978835978837</v>
          </cell>
          <cell r="Y507">
            <v>126</v>
          </cell>
          <cell r="Z507">
            <v>51</v>
          </cell>
          <cell r="AA507">
            <v>0.22957198443579765</v>
          </cell>
          <cell r="AB507">
            <v>0.16342412451361868</v>
          </cell>
          <cell r="AC507">
            <v>19.617999999999999</v>
          </cell>
          <cell r="AD507">
            <v>1.77</v>
          </cell>
          <cell r="AE507" t="e">
            <v>#REF!</v>
          </cell>
          <cell r="AF507">
            <v>7.94</v>
          </cell>
          <cell r="AG507">
            <v>7.81</v>
          </cell>
          <cell r="AH507">
            <v>8.93</v>
          </cell>
          <cell r="AI507" t="e">
            <v>#REF!</v>
          </cell>
          <cell r="AJ507">
            <v>1068</v>
          </cell>
          <cell r="AK507">
            <v>971</v>
          </cell>
          <cell r="AL507">
            <v>97</v>
          </cell>
          <cell r="AM507">
            <v>594</v>
          </cell>
          <cell r="AN507">
            <v>658</v>
          </cell>
          <cell r="AP507">
            <v>34544</v>
          </cell>
          <cell r="AQ507">
            <v>1.7</v>
          </cell>
          <cell r="BA507">
            <v>34544</v>
          </cell>
          <cell r="BB507">
            <v>19.617999999999999</v>
          </cell>
          <cell r="BC507">
            <v>1.77</v>
          </cell>
          <cell r="BP507">
            <v>36742</v>
          </cell>
          <cell r="CQ507">
            <v>34544</v>
          </cell>
          <cell r="CR507">
            <v>1.77</v>
          </cell>
        </row>
        <row r="508">
          <cell r="A508">
            <v>32</v>
          </cell>
          <cell r="B508">
            <v>34558</v>
          </cell>
          <cell r="C508">
            <v>34551</v>
          </cell>
          <cell r="F508">
            <v>737</v>
          </cell>
          <cell r="G508">
            <v>1333</v>
          </cell>
          <cell r="H508">
            <v>370</v>
          </cell>
          <cell r="I508">
            <v>2440</v>
          </cell>
          <cell r="J508">
            <v>771</v>
          </cell>
          <cell r="K508">
            <v>98</v>
          </cell>
          <cell r="L508">
            <v>673</v>
          </cell>
          <cell r="M508">
            <v>0.12710765239948119</v>
          </cell>
          <cell r="N508">
            <v>94</v>
          </cell>
          <cell r="O508">
            <v>14</v>
          </cell>
          <cell r="P508">
            <v>291</v>
          </cell>
          <cell r="Q508">
            <v>0</v>
          </cell>
          <cell r="R508">
            <v>291</v>
          </cell>
          <cell r="S508">
            <v>336</v>
          </cell>
          <cell r="T508">
            <v>1243.6292993630573</v>
          </cell>
          <cell r="U508">
            <v>421</v>
          </cell>
          <cell r="V508">
            <v>-53</v>
          </cell>
          <cell r="W508">
            <v>44</v>
          </cell>
          <cell r="X508">
            <v>0.5561426684280053</v>
          </cell>
          <cell r="Y508">
            <v>128</v>
          </cell>
          <cell r="Z508">
            <v>50</v>
          </cell>
          <cell r="AA508">
            <v>0.23086900129701687</v>
          </cell>
          <cell r="AB508">
            <v>0.16601815823605706</v>
          </cell>
          <cell r="AC508">
            <v>20.047999999999998</v>
          </cell>
          <cell r="AD508">
            <v>1.712</v>
          </cell>
          <cell r="AE508" t="e">
            <v>#REF!</v>
          </cell>
          <cell r="AF508">
            <v>7.94</v>
          </cell>
          <cell r="AG508">
            <v>7.81</v>
          </cell>
          <cell r="AH508">
            <v>8.93</v>
          </cell>
          <cell r="AI508" t="e">
            <v>#REF!</v>
          </cell>
          <cell r="AJ508">
            <v>1062</v>
          </cell>
          <cell r="AK508">
            <v>964</v>
          </cell>
          <cell r="AL508">
            <v>98</v>
          </cell>
          <cell r="AM508">
            <v>593</v>
          </cell>
          <cell r="AN508">
            <v>659</v>
          </cell>
          <cell r="AP508">
            <v>34551</v>
          </cell>
          <cell r="AQ508">
            <v>1.6</v>
          </cell>
          <cell r="BA508">
            <v>34551</v>
          </cell>
          <cell r="BB508">
            <v>20.047999999999998</v>
          </cell>
          <cell r="BC508">
            <v>1.712</v>
          </cell>
          <cell r="BP508">
            <v>36749</v>
          </cell>
          <cell r="CQ508">
            <v>34551</v>
          </cell>
          <cell r="CR508">
            <v>1.712</v>
          </cell>
        </row>
        <row r="509">
          <cell r="A509">
            <v>33</v>
          </cell>
          <cell r="B509">
            <v>34565</v>
          </cell>
          <cell r="C509">
            <v>34558</v>
          </cell>
          <cell r="F509">
            <v>760</v>
          </cell>
          <cell r="G509">
            <v>1403</v>
          </cell>
          <cell r="H509">
            <v>376</v>
          </cell>
          <cell r="I509">
            <v>2539</v>
          </cell>
          <cell r="J509">
            <v>753</v>
          </cell>
          <cell r="K509">
            <v>91</v>
          </cell>
          <cell r="L509">
            <v>662</v>
          </cell>
          <cell r="M509">
            <v>0.12084993359893759</v>
          </cell>
          <cell r="N509">
            <v>87</v>
          </cell>
          <cell r="O509">
            <v>16</v>
          </cell>
          <cell r="P509">
            <v>277</v>
          </cell>
          <cell r="Q509">
            <v>0</v>
          </cell>
          <cell r="R509">
            <v>277</v>
          </cell>
          <cell r="S509">
            <v>311</v>
          </cell>
          <cell r="T509">
            <v>1198.4050955414014</v>
          </cell>
          <cell r="U509">
            <v>428</v>
          </cell>
          <cell r="V509">
            <v>-93</v>
          </cell>
          <cell r="W509">
            <v>57</v>
          </cell>
          <cell r="X509">
            <v>0.57916102841677941</v>
          </cell>
          <cell r="Y509">
            <v>131</v>
          </cell>
          <cell r="Z509">
            <v>46</v>
          </cell>
          <cell r="AA509">
            <v>0.23505976095617531</v>
          </cell>
          <cell r="AB509">
            <v>0.17397078353253653</v>
          </cell>
          <cell r="AC509">
            <v>18.882000000000001</v>
          </cell>
          <cell r="AD509">
            <v>1.6279999999999999</v>
          </cell>
          <cell r="AE509" t="e">
            <v>#REF!</v>
          </cell>
          <cell r="AF509">
            <v>7.94</v>
          </cell>
          <cell r="AG509">
            <v>7.81</v>
          </cell>
          <cell r="AH509">
            <v>8.93</v>
          </cell>
          <cell r="AI509" t="e">
            <v>#REF!</v>
          </cell>
          <cell r="AJ509">
            <v>1030</v>
          </cell>
          <cell r="AK509">
            <v>939</v>
          </cell>
          <cell r="AL509">
            <v>91</v>
          </cell>
          <cell r="AM509">
            <v>576</v>
          </cell>
          <cell r="AN509">
            <v>646</v>
          </cell>
          <cell r="AP509">
            <v>34558</v>
          </cell>
          <cell r="AQ509">
            <v>1.58</v>
          </cell>
          <cell r="BA509">
            <v>34558</v>
          </cell>
          <cell r="BB509">
            <v>18.882000000000001</v>
          </cell>
          <cell r="BC509">
            <v>1.6279999999999999</v>
          </cell>
          <cell r="BP509">
            <v>36756</v>
          </cell>
          <cell r="CQ509">
            <v>34558</v>
          </cell>
          <cell r="CR509">
            <v>1.6279999999999999</v>
          </cell>
        </row>
        <row r="510">
          <cell r="A510">
            <v>34</v>
          </cell>
          <cell r="B510">
            <v>34572</v>
          </cell>
          <cell r="C510">
            <v>34565</v>
          </cell>
          <cell r="F510">
            <v>782</v>
          </cell>
          <cell r="G510">
            <v>1458</v>
          </cell>
          <cell r="H510">
            <v>384</v>
          </cell>
          <cell r="I510">
            <v>2624</v>
          </cell>
          <cell r="J510">
            <v>772</v>
          </cell>
          <cell r="K510">
            <v>94</v>
          </cell>
          <cell r="L510">
            <v>678</v>
          </cell>
          <cell r="M510">
            <v>0.12176165803108809</v>
          </cell>
          <cell r="N510">
            <v>90</v>
          </cell>
          <cell r="O510">
            <v>18</v>
          </cell>
          <cell r="P510">
            <v>280</v>
          </cell>
          <cell r="Q510">
            <v>0</v>
          </cell>
          <cell r="R510">
            <v>280</v>
          </cell>
          <cell r="S510">
            <v>320</v>
          </cell>
          <cell r="T510">
            <v>1226.1834394904458</v>
          </cell>
          <cell r="U510">
            <v>438</v>
          </cell>
          <cell r="V510">
            <v>-80</v>
          </cell>
          <cell r="W510">
            <v>43</v>
          </cell>
          <cell r="X510">
            <v>0.57783641160949872</v>
          </cell>
          <cell r="Y510">
            <v>138</v>
          </cell>
          <cell r="Z510">
            <v>48</v>
          </cell>
          <cell r="AA510">
            <v>0.24093264248704663</v>
          </cell>
          <cell r="AB510">
            <v>0.17875647668393782</v>
          </cell>
          <cell r="AC510">
            <v>17.852</v>
          </cell>
          <cell r="AD510">
            <v>1.6639999999999999</v>
          </cell>
          <cell r="AE510" t="e">
            <v>#REF!</v>
          </cell>
          <cell r="AF510">
            <v>7.94</v>
          </cell>
          <cell r="AG510">
            <v>7.81</v>
          </cell>
          <cell r="AH510">
            <v>8.93</v>
          </cell>
          <cell r="AI510" t="e">
            <v>#REF!</v>
          </cell>
          <cell r="AJ510">
            <v>1052</v>
          </cell>
          <cell r="AK510">
            <v>958</v>
          </cell>
          <cell r="AL510">
            <v>94</v>
          </cell>
          <cell r="AM510">
            <v>586</v>
          </cell>
          <cell r="AN510">
            <v>660</v>
          </cell>
          <cell r="AP510">
            <v>34565</v>
          </cell>
          <cell r="AQ510">
            <v>1.64</v>
          </cell>
          <cell r="BA510">
            <v>34565</v>
          </cell>
          <cell r="BB510">
            <v>17.852</v>
          </cell>
          <cell r="BC510">
            <v>1.6639999999999999</v>
          </cell>
          <cell r="BP510">
            <v>36763</v>
          </cell>
          <cell r="CQ510">
            <v>34565</v>
          </cell>
          <cell r="CR510">
            <v>1.6639999999999999</v>
          </cell>
        </row>
        <row r="511">
          <cell r="A511">
            <v>35</v>
          </cell>
          <cell r="B511">
            <v>34579</v>
          </cell>
          <cell r="C511">
            <v>34572</v>
          </cell>
          <cell r="F511">
            <v>819</v>
          </cell>
          <cell r="G511">
            <v>1508</v>
          </cell>
          <cell r="H511">
            <v>392</v>
          </cell>
          <cell r="I511">
            <v>2719</v>
          </cell>
          <cell r="J511">
            <v>768</v>
          </cell>
          <cell r="K511">
            <v>96</v>
          </cell>
          <cell r="L511">
            <v>672</v>
          </cell>
          <cell r="M511">
            <v>0.125</v>
          </cell>
          <cell r="N511">
            <v>91</v>
          </cell>
          <cell r="O511">
            <v>15</v>
          </cell>
          <cell r="P511">
            <v>273</v>
          </cell>
          <cell r="Q511">
            <v>0</v>
          </cell>
          <cell r="R511">
            <v>273</v>
          </cell>
          <cell r="S511">
            <v>312</v>
          </cell>
          <cell r="T511">
            <v>1219.3681528662419</v>
          </cell>
          <cell r="U511">
            <v>443</v>
          </cell>
          <cell r="V511">
            <v>-84</v>
          </cell>
          <cell r="W511">
            <v>26</v>
          </cell>
          <cell r="X511">
            <v>0.58675496688741724</v>
          </cell>
          <cell r="Y511">
            <v>141</v>
          </cell>
          <cell r="Z511">
            <v>50</v>
          </cell>
          <cell r="AA511">
            <v>0.24869791666666666</v>
          </cell>
          <cell r="AB511">
            <v>0.18359375</v>
          </cell>
          <cell r="AC511">
            <v>17.238</v>
          </cell>
          <cell r="AD511">
            <v>1.52</v>
          </cell>
          <cell r="AE511" t="e">
            <v>#REF!</v>
          </cell>
          <cell r="AF511">
            <v>7.94</v>
          </cell>
          <cell r="AG511">
            <v>7.81</v>
          </cell>
          <cell r="AH511">
            <v>8.93</v>
          </cell>
          <cell r="AI511" t="e">
            <v>#REF!</v>
          </cell>
          <cell r="AJ511">
            <v>1041</v>
          </cell>
          <cell r="AK511">
            <v>945</v>
          </cell>
          <cell r="AL511">
            <v>96</v>
          </cell>
          <cell r="AM511">
            <v>577</v>
          </cell>
          <cell r="AN511">
            <v>657</v>
          </cell>
          <cell r="AP511">
            <v>34572</v>
          </cell>
          <cell r="AQ511">
            <v>1.44</v>
          </cell>
          <cell r="BA511">
            <v>34572</v>
          </cell>
          <cell r="BB511">
            <v>17.238</v>
          </cell>
          <cell r="BC511">
            <v>1.52</v>
          </cell>
          <cell r="BP511">
            <v>36770</v>
          </cell>
          <cell r="CQ511">
            <v>34572</v>
          </cell>
          <cell r="CR511">
            <v>1.52</v>
          </cell>
        </row>
        <row r="512">
          <cell r="A512">
            <v>36</v>
          </cell>
          <cell r="B512">
            <v>34586</v>
          </cell>
          <cell r="C512">
            <v>34579</v>
          </cell>
          <cell r="F512">
            <v>819</v>
          </cell>
          <cell r="G512">
            <v>1557</v>
          </cell>
          <cell r="H512">
            <v>407</v>
          </cell>
          <cell r="I512">
            <v>2783</v>
          </cell>
          <cell r="J512">
            <v>784</v>
          </cell>
          <cell r="K512">
            <v>99</v>
          </cell>
          <cell r="L512">
            <v>685</v>
          </cell>
          <cell r="M512">
            <v>0.12627551020408162</v>
          </cell>
          <cell r="N512">
            <v>95</v>
          </cell>
          <cell r="O512">
            <v>15</v>
          </cell>
          <cell r="P512">
            <v>277</v>
          </cell>
          <cell r="Q512">
            <v>0</v>
          </cell>
          <cell r="R512">
            <v>277</v>
          </cell>
          <cell r="S512">
            <v>308</v>
          </cell>
          <cell r="T512">
            <v>1245.1095541401273</v>
          </cell>
          <cell r="U512">
            <v>463</v>
          </cell>
          <cell r="V512">
            <v>-97</v>
          </cell>
          <cell r="W512">
            <v>44</v>
          </cell>
          <cell r="X512">
            <v>0.60051880674448765</v>
          </cell>
          <cell r="Y512">
            <v>146</v>
          </cell>
          <cell r="Z512">
            <v>53</v>
          </cell>
          <cell r="AA512">
            <v>0.25382653061224492</v>
          </cell>
          <cell r="AB512">
            <v>0.18622448979591838</v>
          </cell>
          <cell r="AC512">
            <v>17.542000000000002</v>
          </cell>
          <cell r="AD512">
            <v>1.448</v>
          </cell>
          <cell r="AE512" t="e">
            <v>#REF!</v>
          </cell>
          <cell r="AF512">
            <v>7.94</v>
          </cell>
          <cell r="AG512">
            <v>7.81</v>
          </cell>
          <cell r="AH512">
            <v>8.93</v>
          </cell>
          <cell r="AI512" t="e">
            <v>#REF!</v>
          </cell>
          <cell r="AJ512">
            <v>1061</v>
          </cell>
          <cell r="AK512">
            <v>962</v>
          </cell>
          <cell r="AL512">
            <v>99</v>
          </cell>
          <cell r="AM512">
            <v>585</v>
          </cell>
          <cell r="AN512">
            <v>670</v>
          </cell>
          <cell r="AP512">
            <v>34579</v>
          </cell>
          <cell r="AQ512">
            <v>1.4</v>
          </cell>
          <cell r="BA512">
            <v>34579</v>
          </cell>
          <cell r="BB512">
            <v>17.542000000000002</v>
          </cell>
          <cell r="BC512">
            <v>1.448</v>
          </cell>
          <cell r="BP512">
            <v>36777</v>
          </cell>
          <cell r="CQ512">
            <v>34579</v>
          </cell>
          <cell r="CR512">
            <v>1.448</v>
          </cell>
        </row>
        <row r="513">
          <cell r="A513">
            <v>37</v>
          </cell>
          <cell r="B513">
            <v>34593</v>
          </cell>
          <cell r="C513">
            <v>34586</v>
          </cell>
          <cell r="F513">
            <v>834</v>
          </cell>
          <cell r="G513">
            <v>1598</v>
          </cell>
          <cell r="H513">
            <v>418</v>
          </cell>
          <cell r="I513">
            <v>2850</v>
          </cell>
          <cell r="J513">
            <v>782</v>
          </cell>
          <cell r="K513">
            <v>98</v>
          </cell>
          <cell r="L513">
            <v>684</v>
          </cell>
          <cell r="M513">
            <v>0.12531969309462915</v>
          </cell>
          <cell r="N513">
            <v>94</v>
          </cell>
          <cell r="O513">
            <v>15</v>
          </cell>
          <cell r="P513">
            <v>281</v>
          </cell>
          <cell r="Q513">
            <v>0</v>
          </cell>
          <cell r="R513">
            <v>281</v>
          </cell>
          <cell r="S513">
            <v>306</v>
          </cell>
          <cell r="T513">
            <v>1244.9987261146496</v>
          </cell>
          <cell r="U513">
            <v>463</v>
          </cell>
          <cell r="V513">
            <v>-99</v>
          </cell>
          <cell r="W513">
            <v>42</v>
          </cell>
          <cell r="X513">
            <v>0.60208062418725616</v>
          </cell>
          <cell r="Y513">
            <v>142</v>
          </cell>
          <cell r="Z513">
            <v>55</v>
          </cell>
          <cell r="AA513">
            <v>0.25191815856777494</v>
          </cell>
          <cell r="AB513">
            <v>0.1815856777493606</v>
          </cell>
          <cell r="AC513">
            <v>17.645</v>
          </cell>
          <cell r="AD513">
            <v>1.46</v>
          </cell>
          <cell r="AE513" t="e">
            <v>#REF!</v>
          </cell>
          <cell r="AF513">
            <v>7.94</v>
          </cell>
          <cell r="AG513">
            <v>7.81</v>
          </cell>
          <cell r="AH513">
            <v>8.93</v>
          </cell>
          <cell r="AI513" t="e">
            <v>#REF!</v>
          </cell>
          <cell r="AJ513">
            <v>1063</v>
          </cell>
          <cell r="AK513">
            <v>965</v>
          </cell>
          <cell r="AL513">
            <v>98</v>
          </cell>
          <cell r="AM513">
            <v>585</v>
          </cell>
          <cell r="AN513">
            <v>669</v>
          </cell>
          <cell r="AP513">
            <v>34586</v>
          </cell>
          <cell r="AQ513">
            <v>1.39</v>
          </cell>
          <cell r="BA513">
            <v>34586</v>
          </cell>
          <cell r="BB513">
            <v>17.645</v>
          </cell>
          <cell r="BC513">
            <v>1.46</v>
          </cell>
          <cell r="BP513">
            <v>36784</v>
          </cell>
          <cell r="CQ513">
            <v>34586</v>
          </cell>
          <cell r="CR513">
            <v>1.46</v>
          </cell>
        </row>
        <row r="514">
          <cell r="A514">
            <v>38</v>
          </cell>
          <cell r="B514">
            <v>34600</v>
          </cell>
          <cell r="C514">
            <v>34593</v>
          </cell>
          <cell r="F514">
            <v>847</v>
          </cell>
          <cell r="G514">
            <v>1641</v>
          </cell>
          <cell r="H514">
            <v>416</v>
          </cell>
          <cell r="I514">
            <v>2904</v>
          </cell>
          <cell r="J514">
            <v>804</v>
          </cell>
          <cell r="K514">
            <v>96</v>
          </cell>
          <cell r="L514">
            <v>708</v>
          </cell>
          <cell r="M514">
            <v>0.11940298507462686</v>
          </cell>
          <cell r="N514">
            <v>92</v>
          </cell>
          <cell r="O514">
            <v>15</v>
          </cell>
          <cell r="P514">
            <v>278</v>
          </cell>
          <cell r="Q514">
            <v>0</v>
          </cell>
          <cell r="R514">
            <v>278</v>
          </cell>
          <cell r="S514">
            <v>326</v>
          </cell>
          <cell r="T514">
            <v>1260.1834394904458</v>
          </cell>
          <cell r="U514">
            <v>467</v>
          </cell>
          <cell r="V514">
            <v>-97</v>
          </cell>
          <cell r="W514">
            <v>45</v>
          </cell>
          <cell r="X514">
            <v>0.58890290037831017</v>
          </cell>
          <cell r="Y514">
            <v>141</v>
          </cell>
          <cell r="Z514">
            <v>57</v>
          </cell>
          <cell r="AA514">
            <v>0.2462686567164179</v>
          </cell>
          <cell r="AB514">
            <v>0.17537313432835822</v>
          </cell>
          <cell r="AC514">
            <v>16.943999999999999</v>
          </cell>
          <cell r="AD514">
            <v>1.5740000000000001</v>
          </cell>
          <cell r="AE514" t="e">
            <v>#REF!</v>
          </cell>
          <cell r="AF514">
            <v>7.94</v>
          </cell>
          <cell r="AG514">
            <v>7.81</v>
          </cell>
          <cell r="AH514">
            <v>8.93</v>
          </cell>
          <cell r="AI514" t="e">
            <v>#REF!</v>
          </cell>
          <cell r="AJ514">
            <v>1082</v>
          </cell>
          <cell r="AK514">
            <v>986</v>
          </cell>
          <cell r="AL514">
            <v>96</v>
          </cell>
          <cell r="AM514">
            <v>606</v>
          </cell>
          <cell r="AN514">
            <v>693</v>
          </cell>
          <cell r="AP514">
            <v>34593</v>
          </cell>
          <cell r="AQ514">
            <v>1.45</v>
          </cell>
          <cell r="BA514">
            <v>34593</v>
          </cell>
          <cell r="BB514">
            <v>16.943999999999999</v>
          </cell>
          <cell r="BC514">
            <v>1.5740000000000001</v>
          </cell>
          <cell r="BP514">
            <v>36791</v>
          </cell>
          <cell r="CQ514">
            <v>34593</v>
          </cell>
          <cell r="CR514">
            <v>1.5740000000000001</v>
          </cell>
        </row>
        <row r="515">
          <cell r="A515">
            <v>39</v>
          </cell>
          <cell r="B515">
            <v>34607</v>
          </cell>
          <cell r="C515">
            <v>34600</v>
          </cell>
          <cell r="F515">
            <v>856</v>
          </cell>
          <cell r="G515">
            <v>1683</v>
          </cell>
          <cell r="H515">
            <v>413</v>
          </cell>
          <cell r="I515">
            <v>2952</v>
          </cell>
          <cell r="J515">
            <v>836</v>
          </cell>
          <cell r="K515">
            <v>97</v>
          </cell>
          <cell r="L515">
            <v>739</v>
          </cell>
          <cell r="M515">
            <v>0.11602870813397129</v>
          </cell>
          <cell r="N515">
            <v>94</v>
          </cell>
          <cell r="O515">
            <v>12</v>
          </cell>
          <cell r="P515">
            <v>300</v>
          </cell>
          <cell r="Q515">
            <v>0</v>
          </cell>
          <cell r="R515">
            <v>300</v>
          </cell>
          <cell r="S515">
            <v>339</v>
          </cell>
          <cell r="T515">
            <v>1315.3337579617832</v>
          </cell>
          <cell r="U515">
            <v>484</v>
          </cell>
          <cell r="V515">
            <v>-101</v>
          </cell>
          <cell r="W515">
            <v>64</v>
          </cell>
          <cell r="X515">
            <v>0.58809234507897934</v>
          </cell>
          <cell r="Y515">
            <v>144</v>
          </cell>
          <cell r="Z515">
            <v>56</v>
          </cell>
          <cell r="AA515">
            <v>0.23923444976076555</v>
          </cell>
          <cell r="AB515">
            <v>0.17224880382775121</v>
          </cell>
          <cell r="AC515">
            <v>17.376000000000001</v>
          </cell>
          <cell r="AD515">
            <v>1.512</v>
          </cell>
          <cell r="AE515" t="e">
            <v>#REF!</v>
          </cell>
          <cell r="AF515">
            <v>7.94</v>
          </cell>
          <cell r="AG515">
            <v>7.81</v>
          </cell>
          <cell r="AH515">
            <v>8.93</v>
          </cell>
          <cell r="AI515" t="e">
            <v>#REF!</v>
          </cell>
          <cell r="AJ515">
            <v>1136</v>
          </cell>
          <cell r="AK515">
            <v>1039</v>
          </cell>
          <cell r="AL515">
            <v>97</v>
          </cell>
          <cell r="AM515">
            <v>636</v>
          </cell>
          <cell r="AN515">
            <v>727</v>
          </cell>
          <cell r="AP515">
            <v>34600</v>
          </cell>
          <cell r="AQ515">
            <v>1.34</v>
          </cell>
          <cell r="BA515">
            <v>34600</v>
          </cell>
          <cell r="BB515">
            <v>17.376000000000001</v>
          </cell>
          <cell r="BC515">
            <v>1.512</v>
          </cell>
          <cell r="BP515">
            <v>36798</v>
          </cell>
          <cell r="CQ515">
            <v>34600</v>
          </cell>
          <cell r="CR515">
            <v>1.512</v>
          </cell>
        </row>
        <row r="516">
          <cell r="A516">
            <v>40</v>
          </cell>
          <cell r="B516">
            <v>34614</v>
          </cell>
          <cell r="C516">
            <v>34607</v>
          </cell>
          <cell r="F516">
            <v>870</v>
          </cell>
          <cell r="G516">
            <v>1707</v>
          </cell>
          <cell r="H516">
            <v>420</v>
          </cell>
          <cell r="I516">
            <v>2997</v>
          </cell>
          <cell r="J516">
            <v>838</v>
          </cell>
          <cell r="K516">
            <v>95</v>
          </cell>
          <cell r="L516">
            <v>743</v>
          </cell>
          <cell r="M516">
            <v>0.11336515513126491</v>
          </cell>
          <cell r="N516">
            <v>92</v>
          </cell>
          <cell r="O516">
            <v>12</v>
          </cell>
          <cell r="P516">
            <v>325</v>
          </cell>
          <cell r="Q516">
            <v>0</v>
          </cell>
          <cell r="R516">
            <v>325</v>
          </cell>
          <cell r="S516">
            <v>348</v>
          </cell>
          <cell r="T516">
            <v>1337.4840764331211</v>
          </cell>
          <cell r="U516">
            <v>476</v>
          </cell>
          <cell r="V516">
            <v>-79</v>
          </cell>
          <cell r="W516">
            <v>54</v>
          </cell>
          <cell r="X516">
            <v>0.57766990291262132</v>
          </cell>
          <cell r="Y516">
            <v>135</v>
          </cell>
          <cell r="Z516">
            <v>57</v>
          </cell>
          <cell r="AA516">
            <v>0.22911694510739858</v>
          </cell>
          <cell r="AB516">
            <v>0.1610978520286396</v>
          </cell>
          <cell r="AC516">
            <v>17.829999999999998</v>
          </cell>
          <cell r="AD516">
            <v>1.4059999999999999</v>
          </cell>
          <cell r="AE516" t="e">
            <v>#REF!</v>
          </cell>
          <cell r="AF516">
            <v>7.94</v>
          </cell>
          <cell r="AG516">
            <v>7.81</v>
          </cell>
          <cell r="AH516">
            <v>8.93</v>
          </cell>
          <cell r="AI516" t="e">
            <v>#REF!</v>
          </cell>
          <cell r="AJ516">
            <v>1163</v>
          </cell>
          <cell r="AK516">
            <v>1068</v>
          </cell>
          <cell r="AL516">
            <v>95</v>
          </cell>
          <cell r="AM516">
            <v>646</v>
          </cell>
          <cell r="AN516">
            <v>731</v>
          </cell>
          <cell r="AP516">
            <v>34607</v>
          </cell>
          <cell r="AQ516">
            <v>1.33</v>
          </cell>
          <cell r="BA516">
            <v>34607</v>
          </cell>
          <cell r="BB516">
            <v>17.829999999999998</v>
          </cell>
          <cell r="BC516">
            <v>1.4059999999999999</v>
          </cell>
          <cell r="BP516">
            <v>36805</v>
          </cell>
          <cell r="CQ516">
            <v>34607</v>
          </cell>
          <cell r="CR516">
            <v>1.4059999999999999</v>
          </cell>
        </row>
        <row r="517">
          <cell r="A517">
            <v>41</v>
          </cell>
          <cell r="B517">
            <v>34621</v>
          </cell>
          <cell r="C517">
            <v>34614</v>
          </cell>
          <cell r="F517">
            <v>873</v>
          </cell>
          <cell r="G517">
            <v>1726</v>
          </cell>
          <cell r="H517">
            <v>422</v>
          </cell>
          <cell r="I517">
            <v>3021</v>
          </cell>
          <cell r="J517">
            <v>828</v>
          </cell>
          <cell r="K517">
            <v>99</v>
          </cell>
          <cell r="L517">
            <v>729</v>
          </cell>
          <cell r="M517">
            <v>0.11956521739130435</v>
          </cell>
          <cell r="N517">
            <v>96</v>
          </cell>
          <cell r="O517">
            <v>14</v>
          </cell>
          <cell r="P517">
            <v>282</v>
          </cell>
          <cell r="Q517">
            <v>1</v>
          </cell>
          <cell r="R517">
            <v>281</v>
          </cell>
          <cell r="S517">
            <v>343</v>
          </cell>
          <cell r="T517">
            <v>1293.9248407643311</v>
          </cell>
          <cell r="U517">
            <v>472</v>
          </cell>
          <cell r="V517">
            <v>-92</v>
          </cell>
          <cell r="W517">
            <v>58</v>
          </cell>
          <cell r="X517">
            <v>0.57914110429447851</v>
          </cell>
          <cell r="Y517">
            <v>134</v>
          </cell>
          <cell r="Z517">
            <v>57</v>
          </cell>
          <cell r="AA517">
            <v>0.23067632850241546</v>
          </cell>
          <cell r="AB517">
            <v>0.16183574879227053</v>
          </cell>
          <cell r="AC517">
            <v>18.12</v>
          </cell>
          <cell r="AD517">
            <v>1.4039999999999999</v>
          </cell>
          <cell r="AE517" t="e">
            <v>#REF!</v>
          </cell>
          <cell r="AF517">
            <v>7.94</v>
          </cell>
          <cell r="AG517">
            <v>7.81</v>
          </cell>
          <cell r="AH517">
            <v>8.93</v>
          </cell>
          <cell r="AI517" t="e">
            <v>#REF!</v>
          </cell>
          <cell r="AJ517">
            <v>1110</v>
          </cell>
          <cell r="AK517">
            <v>1010</v>
          </cell>
          <cell r="AL517">
            <v>100</v>
          </cell>
          <cell r="AM517">
            <v>637</v>
          </cell>
          <cell r="AN517">
            <v>715</v>
          </cell>
          <cell r="AP517">
            <v>34614</v>
          </cell>
          <cell r="AQ517">
            <v>1.32</v>
          </cell>
          <cell r="BA517">
            <v>34614</v>
          </cell>
          <cell r="BB517">
            <v>18.12</v>
          </cell>
          <cell r="BC517">
            <v>1.4039999999999999</v>
          </cell>
          <cell r="BP517">
            <v>36812</v>
          </cell>
          <cell r="CQ517">
            <v>34614</v>
          </cell>
          <cell r="CR517">
            <v>1.4039999999999999</v>
          </cell>
        </row>
        <row r="518">
          <cell r="A518">
            <v>42</v>
          </cell>
          <cell r="B518">
            <v>34628</v>
          </cell>
          <cell r="C518">
            <v>34621</v>
          </cell>
          <cell r="F518">
            <v>874</v>
          </cell>
          <cell r="G518">
            <v>1779</v>
          </cell>
          <cell r="H518">
            <v>428</v>
          </cell>
          <cell r="I518">
            <v>3081</v>
          </cell>
          <cell r="J518">
            <v>828</v>
          </cell>
          <cell r="K518">
            <v>97</v>
          </cell>
          <cell r="L518">
            <v>731</v>
          </cell>
          <cell r="M518">
            <v>0.11714975845410629</v>
          </cell>
          <cell r="N518">
            <v>94</v>
          </cell>
          <cell r="O518">
            <v>13</v>
          </cell>
          <cell r="P518">
            <v>289</v>
          </cell>
          <cell r="Q518">
            <v>1</v>
          </cell>
          <cell r="R518">
            <v>288</v>
          </cell>
          <cell r="S518">
            <v>348</v>
          </cell>
          <cell r="T518">
            <v>1296.740127388535</v>
          </cell>
          <cell r="U518">
            <v>467</v>
          </cell>
          <cell r="V518">
            <v>-95</v>
          </cell>
          <cell r="W518">
            <v>58</v>
          </cell>
          <cell r="X518">
            <v>0.57300613496932518</v>
          </cell>
          <cell r="Y518">
            <v>136</v>
          </cell>
          <cell r="Z518">
            <v>57</v>
          </cell>
          <cell r="AA518">
            <v>0.23309178743961353</v>
          </cell>
          <cell r="AB518">
            <v>0.16425120772946861</v>
          </cell>
          <cell r="AC518">
            <v>17.378</v>
          </cell>
          <cell r="AD518">
            <v>1.462</v>
          </cell>
          <cell r="AE518" t="e">
            <v>#REF!</v>
          </cell>
          <cell r="AF518">
            <v>7.94</v>
          </cell>
          <cell r="AG518">
            <v>7.81</v>
          </cell>
          <cell r="AH518">
            <v>9.93</v>
          </cell>
          <cell r="AI518" t="e">
            <v>#REF!</v>
          </cell>
          <cell r="AJ518">
            <v>1117</v>
          </cell>
          <cell r="AK518">
            <v>1019</v>
          </cell>
          <cell r="AL518">
            <v>98</v>
          </cell>
          <cell r="AM518">
            <v>635</v>
          </cell>
          <cell r="AN518">
            <v>718</v>
          </cell>
          <cell r="AP518">
            <v>34621</v>
          </cell>
          <cell r="AQ518">
            <v>1.36</v>
          </cell>
          <cell r="BA518">
            <v>34621</v>
          </cell>
          <cell r="BB518">
            <v>17.378</v>
          </cell>
          <cell r="BC518">
            <v>1.462</v>
          </cell>
          <cell r="BP518">
            <v>36819</v>
          </cell>
          <cell r="CQ518">
            <v>34621</v>
          </cell>
          <cell r="CR518">
            <v>1.462</v>
          </cell>
        </row>
        <row r="519">
          <cell r="A519">
            <v>43</v>
          </cell>
          <cell r="B519">
            <v>34635</v>
          </cell>
          <cell r="C519">
            <v>34628</v>
          </cell>
          <cell r="F519">
            <v>873</v>
          </cell>
          <cell r="G519">
            <v>1782</v>
          </cell>
          <cell r="H519">
            <v>430</v>
          </cell>
          <cell r="I519">
            <v>3085</v>
          </cell>
          <cell r="J519">
            <v>819</v>
          </cell>
          <cell r="K519">
            <v>100</v>
          </cell>
          <cell r="L519">
            <v>719</v>
          </cell>
          <cell r="M519">
            <v>0.1221001221001221</v>
          </cell>
          <cell r="N519">
            <v>97</v>
          </cell>
          <cell r="O519">
            <v>16</v>
          </cell>
          <cell r="P519">
            <v>253</v>
          </cell>
          <cell r="Q519">
            <v>1</v>
          </cell>
          <cell r="R519">
            <v>252</v>
          </cell>
          <cell r="S519">
            <v>336</v>
          </cell>
          <cell r="T519">
            <v>1258.9592356687899</v>
          </cell>
          <cell r="U519">
            <v>471</v>
          </cell>
          <cell r="V519">
            <v>-114</v>
          </cell>
          <cell r="W519">
            <v>69</v>
          </cell>
          <cell r="X519">
            <v>0.58364312267657992</v>
          </cell>
          <cell r="Y519">
            <v>136</v>
          </cell>
          <cell r="Z519">
            <v>56</v>
          </cell>
          <cell r="AA519">
            <v>0.23443223443223443</v>
          </cell>
          <cell r="AB519">
            <v>0.16605616605616605</v>
          </cell>
          <cell r="AC519">
            <v>17.366</v>
          </cell>
          <cell r="AD519">
            <v>1.52</v>
          </cell>
          <cell r="AE519" t="e">
            <v>#REF!</v>
          </cell>
          <cell r="AF519">
            <v>7.94</v>
          </cell>
          <cell r="AG519">
            <v>7.81</v>
          </cell>
          <cell r="AH519">
            <v>9.93</v>
          </cell>
          <cell r="AI519" t="e">
            <v>#REF!</v>
          </cell>
          <cell r="AJ519">
            <v>1072</v>
          </cell>
          <cell r="AK519">
            <v>971</v>
          </cell>
          <cell r="AL519">
            <v>101</v>
          </cell>
          <cell r="AM519">
            <v>627</v>
          </cell>
          <cell r="AN519">
            <v>703</v>
          </cell>
          <cell r="AP519">
            <v>34628</v>
          </cell>
          <cell r="AQ519">
            <v>1.54</v>
          </cell>
          <cell r="BA519">
            <v>34628</v>
          </cell>
          <cell r="BB519">
            <v>17.366</v>
          </cell>
          <cell r="BC519">
            <v>1.52</v>
          </cell>
          <cell r="BP519">
            <v>36826</v>
          </cell>
          <cell r="CQ519">
            <v>34628</v>
          </cell>
          <cell r="CR519">
            <v>1.52</v>
          </cell>
        </row>
        <row r="520">
          <cell r="A520">
            <v>44</v>
          </cell>
          <cell r="B520">
            <v>34642</v>
          </cell>
          <cell r="C520">
            <v>34635</v>
          </cell>
          <cell r="F520">
            <v>870</v>
          </cell>
          <cell r="G520">
            <v>1791</v>
          </cell>
          <cell r="H520">
            <v>427</v>
          </cell>
          <cell r="I520">
            <v>3088</v>
          </cell>
          <cell r="J520">
            <v>813</v>
          </cell>
          <cell r="K520">
            <v>101</v>
          </cell>
          <cell r="L520">
            <v>712</v>
          </cell>
          <cell r="M520">
            <v>0.12423124231242312</v>
          </cell>
          <cell r="N520">
            <v>98</v>
          </cell>
          <cell r="O520">
            <v>16</v>
          </cell>
          <cell r="P520">
            <v>296</v>
          </cell>
          <cell r="Q520">
            <v>1</v>
          </cell>
          <cell r="R520">
            <v>295</v>
          </cell>
          <cell r="S520">
            <v>341</v>
          </cell>
          <cell r="T520">
            <v>1296.3337579617835</v>
          </cell>
          <cell r="U520">
            <v>459</v>
          </cell>
          <cell r="V520">
            <v>-111</v>
          </cell>
          <cell r="W520">
            <v>49</v>
          </cell>
          <cell r="X520">
            <v>0.57374999999999998</v>
          </cell>
          <cell r="Y520">
            <v>142</v>
          </cell>
          <cell r="Z520">
            <v>55</v>
          </cell>
          <cell r="AA520">
            <v>0.24231242312423124</v>
          </cell>
          <cell r="AB520">
            <v>0.17466174661746617</v>
          </cell>
          <cell r="AC520">
            <v>17.858000000000001</v>
          </cell>
          <cell r="AD520">
            <v>1.6919999999999999</v>
          </cell>
          <cell r="AE520" t="e">
            <v>#REF!</v>
          </cell>
          <cell r="AF520">
            <v>7.94</v>
          </cell>
          <cell r="AG520">
            <v>7.81</v>
          </cell>
          <cell r="AH520">
            <v>9.93</v>
          </cell>
          <cell r="AI520" t="e">
            <v>#REF!</v>
          </cell>
          <cell r="AJ520">
            <v>1109</v>
          </cell>
          <cell r="AK520">
            <v>1007</v>
          </cell>
          <cell r="AL520">
            <v>102</v>
          </cell>
          <cell r="AM520">
            <v>616</v>
          </cell>
          <cell r="AN520">
            <v>696</v>
          </cell>
          <cell r="AP520">
            <v>34635</v>
          </cell>
          <cell r="AQ520">
            <v>1.64</v>
          </cell>
          <cell r="BA520">
            <v>34635</v>
          </cell>
          <cell r="BB520">
            <v>17.858000000000001</v>
          </cell>
          <cell r="BC520">
            <v>1.6919999999999999</v>
          </cell>
          <cell r="BP520">
            <v>36833</v>
          </cell>
          <cell r="CQ520">
            <v>34635</v>
          </cell>
          <cell r="CR520">
            <v>1.6919999999999999</v>
          </cell>
        </row>
        <row r="521">
          <cell r="A521">
            <v>45</v>
          </cell>
          <cell r="B521">
            <v>34649</v>
          </cell>
          <cell r="C521">
            <v>34642</v>
          </cell>
          <cell r="F521">
            <v>877</v>
          </cell>
          <cell r="G521">
            <v>1795</v>
          </cell>
          <cell r="H521">
            <v>427</v>
          </cell>
          <cell r="I521">
            <v>3099</v>
          </cell>
          <cell r="J521">
            <v>824</v>
          </cell>
          <cell r="K521">
            <v>103</v>
          </cell>
          <cell r="L521">
            <v>721</v>
          </cell>
          <cell r="M521">
            <v>0.125</v>
          </cell>
          <cell r="N521">
            <v>98</v>
          </cell>
          <cell r="O521">
            <v>16</v>
          </cell>
          <cell r="P521">
            <v>302</v>
          </cell>
          <cell r="Q521">
            <v>1</v>
          </cell>
          <cell r="R521">
            <v>301</v>
          </cell>
          <cell r="S521">
            <v>355</v>
          </cell>
          <cell r="T521">
            <v>1317.0382165605097</v>
          </cell>
          <cell r="U521">
            <v>456</v>
          </cell>
          <cell r="V521">
            <v>-89</v>
          </cell>
          <cell r="W521">
            <v>38</v>
          </cell>
          <cell r="X521">
            <v>0.56226880394574597</v>
          </cell>
          <cell r="Y521">
            <v>143</v>
          </cell>
          <cell r="Z521">
            <v>53</v>
          </cell>
          <cell r="AA521">
            <v>0.23786407766990292</v>
          </cell>
          <cell r="AB521">
            <v>0.17354368932038836</v>
          </cell>
          <cell r="AC521">
            <v>18.68</v>
          </cell>
          <cell r="AD521">
            <v>1.6180000000000001</v>
          </cell>
          <cell r="AE521" t="e">
            <v>#REF!</v>
          </cell>
          <cell r="AF521">
            <v>7.94</v>
          </cell>
          <cell r="AG521">
            <v>7.81</v>
          </cell>
          <cell r="AH521">
            <v>9.93</v>
          </cell>
          <cell r="AI521" t="e">
            <v>#REF!</v>
          </cell>
          <cell r="AJ521">
            <v>1126</v>
          </cell>
          <cell r="AK521">
            <v>1022</v>
          </cell>
          <cell r="AL521">
            <v>104</v>
          </cell>
          <cell r="AM521">
            <v>628</v>
          </cell>
          <cell r="AN521">
            <v>705</v>
          </cell>
          <cell r="AP521">
            <v>34642</v>
          </cell>
          <cell r="AQ521">
            <v>1.53</v>
          </cell>
          <cell r="BA521">
            <v>34642</v>
          </cell>
          <cell r="BB521">
            <v>18.68</v>
          </cell>
          <cell r="BC521">
            <v>1.6180000000000001</v>
          </cell>
          <cell r="BP521">
            <v>36840</v>
          </cell>
          <cell r="CQ521">
            <v>34642</v>
          </cell>
          <cell r="CR521">
            <v>1.6180000000000001</v>
          </cell>
        </row>
        <row r="522">
          <cell r="A522">
            <v>46</v>
          </cell>
          <cell r="B522">
            <v>34656</v>
          </cell>
          <cell r="C522">
            <v>34649</v>
          </cell>
          <cell r="F522">
            <v>878</v>
          </cell>
          <cell r="G522">
            <v>1786</v>
          </cell>
          <cell r="H522">
            <v>420</v>
          </cell>
          <cell r="I522">
            <v>3084</v>
          </cell>
          <cell r="J522">
            <v>833</v>
          </cell>
          <cell r="K522">
            <v>105</v>
          </cell>
          <cell r="L522">
            <v>728</v>
          </cell>
          <cell r="M522">
            <v>0.12605042016806722</v>
          </cell>
          <cell r="N522">
            <v>105</v>
          </cell>
          <cell r="O522">
            <v>17</v>
          </cell>
          <cell r="P522">
            <v>314</v>
          </cell>
          <cell r="Q522">
            <v>1</v>
          </cell>
          <cell r="R522">
            <v>313</v>
          </cell>
          <cell r="S522">
            <v>365</v>
          </cell>
          <cell r="T522">
            <v>1341.5210191082801</v>
          </cell>
          <cell r="U522">
            <v>454</v>
          </cell>
          <cell r="V522">
            <v>-88</v>
          </cell>
          <cell r="W522">
            <v>42</v>
          </cell>
          <cell r="X522">
            <v>0.55433455433455436</v>
          </cell>
          <cell r="Y522">
            <v>143</v>
          </cell>
          <cell r="Z522">
            <v>55</v>
          </cell>
          <cell r="AA522">
            <v>0.23769507803121248</v>
          </cell>
          <cell r="AB522">
            <v>0.17166866746698681</v>
          </cell>
          <cell r="AC522">
            <v>18.244</v>
          </cell>
          <cell r="AD522">
            <v>1.492</v>
          </cell>
          <cell r="AE522" t="e">
            <v>#REF!</v>
          </cell>
          <cell r="AF522">
            <v>7.94</v>
          </cell>
          <cell r="AG522">
            <v>7.81</v>
          </cell>
          <cell r="AH522">
            <v>9.93</v>
          </cell>
          <cell r="AI522" t="e">
            <v>#REF!</v>
          </cell>
          <cell r="AJ522">
            <v>1147</v>
          </cell>
          <cell r="AK522">
            <v>1041</v>
          </cell>
          <cell r="AL522">
            <v>106</v>
          </cell>
          <cell r="AM522">
            <v>635</v>
          </cell>
          <cell r="AN522">
            <v>711</v>
          </cell>
          <cell r="AP522">
            <v>34649</v>
          </cell>
          <cell r="AQ522">
            <v>1.49</v>
          </cell>
          <cell r="BA522">
            <v>34649</v>
          </cell>
          <cell r="BB522">
            <v>18.244</v>
          </cell>
          <cell r="BC522">
            <v>1.492</v>
          </cell>
          <cell r="BP522">
            <v>36847</v>
          </cell>
          <cell r="CQ522">
            <v>34649</v>
          </cell>
          <cell r="CR522">
            <v>1.492</v>
          </cell>
        </row>
        <row r="523">
          <cell r="A523">
            <v>47</v>
          </cell>
          <cell r="B523">
            <v>34663</v>
          </cell>
          <cell r="C523">
            <v>34656</v>
          </cell>
          <cell r="F523">
            <v>864</v>
          </cell>
          <cell r="G523">
            <v>1751</v>
          </cell>
          <cell r="H523">
            <v>412</v>
          </cell>
          <cell r="I523">
            <v>3027</v>
          </cell>
          <cell r="J523">
            <v>839</v>
          </cell>
          <cell r="K523">
            <v>110</v>
          </cell>
          <cell r="L523">
            <v>729</v>
          </cell>
          <cell r="M523">
            <v>0.13110846245530394</v>
          </cell>
          <cell r="N523">
            <v>100</v>
          </cell>
          <cell r="O523">
            <v>17</v>
          </cell>
          <cell r="P523">
            <v>293</v>
          </cell>
          <cell r="Q523">
            <v>1</v>
          </cell>
          <cell r="R523">
            <v>292</v>
          </cell>
          <cell r="S523">
            <v>357</v>
          </cell>
          <cell r="T523">
            <v>1337.112101910828</v>
          </cell>
          <cell r="U523">
            <v>468</v>
          </cell>
          <cell r="V523">
            <v>-92</v>
          </cell>
          <cell r="W523">
            <v>67</v>
          </cell>
          <cell r="X523">
            <v>0.56727272727272726</v>
          </cell>
          <cell r="Y523">
            <v>145</v>
          </cell>
          <cell r="Z523">
            <v>61</v>
          </cell>
          <cell r="AA523">
            <v>0.24553039332538737</v>
          </cell>
          <cell r="AB523">
            <v>0.17282479141835519</v>
          </cell>
          <cell r="AC523">
            <v>17.506</v>
          </cell>
          <cell r="AD523">
            <v>1.514</v>
          </cell>
          <cell r="AE523" t="e">
            <v>#REF!</v>
          </cell>
          <cell r="AF523">
            <v>7.94</v>
          </cell>
          <cell r="AG523">
            <v>7.81</v>
          </cell>
          <cell r="AH523">
            <v>9.93</v>
          </cell>
          <cell r="AI523" t="e">
            <v>#REF!</v>
          </cell>
          <cell r="AJ523">
            <v>1132</v>
          </cell>
          <cell r="AK523">
            <v>1021</v>
          </cell>
          <cell r="AL523">
            <v>111</v>
          </cell>
          <cell r="AM523">
            <v>633</v>
          </cell>
          <cell r="AN523">
            <v>712</v>
          </cell>
          <cell r="AP523">
            <v>34656</v>
          </cell>
          <cell r="AQ523">
            <v>1.66</v>
          </cell>
          <cell r="BA523">
            <v>34656</v>
          </cell>
          <cell r="BB523">
            <v>17.506</v>
          </cell>
          <cell r="BC523">
            <v>1.514</v>
          </cell>
          <cell r="BP523">
            <v>36854</v>
          </cell>
          <cell r="CQ523">
            <v>34656</v>
          </cell>
          <cell r="CR523">
            <v>1.514</v>
          </cell>
        </row>
        <row r="524">
          <cell r="A524">
            <v>48</v>
          </cell>
          <cell r="B524">
            <v>34670</v>
          </cell>
          <cell r="C524">
            <v>34661</v>
          </cell>
          <cell r="F524">
            <v>833</v>
          </cell>
          <cell r="G524">
            <v>1709</v>
          </cell>
          <cell r="H524">
            <v>400</v>
          </cell>
          <cell r="I524">
            <v>2942</v>
          </cell>
          <cell r="J524">
            <v>842</v>
          </cell>
          <cell r="K524">
            <v>107</v>
          </cell>
          <cell r="L524">
            <v>735</v>
          </cell>
          <cell r="M524">
            <v>0.12707838479809977</v>
          </cell>
          <cell r="N524">
            <v>102</v>
          </cell>
          <cell r="O524">
            <v>17</v>
          </cell>
          <cell r="P524">
            <v>313</v>
          </cell>
          <cell r="Q524">
            <v>1</v>
          </cell>
          <cell r="R524">
            <v>312</v>
          </cell>
          <cell r="S524">
            <v>367</v>
          </cell>
          <cell r="T524">
            <v>1353.4840764331211</v>
          </cell>
          <cell r="U524">
            <v>461</v>
          </cell>
          <cell r="V524">
            <v>-98</v>
          </cell>
          <cell r="W524">
            <v>61</v>
          </cell>
          <cell r="X524">
            <v>0.55676328502415462</v>
          </cell>
          <cell r="Y524">
            <v>144</v>
          </cell>
          <cell r="Z524">
            <v>63</v>
          </cell>
          <cell r="AA524">
            <v>0.24584323040380046</v>
          </cell>
          <cell r="AB524">
            <v>0.17102137767220901</v>
          </cell>
          <cell r="AC524">
            <v>17.77</v>
          </cell>
          <cell r="AD524">
            <v>1.6819999999999999</v>
          </cell>
          <cell r="AE524" t="e">
            <v>#REF!</v>
          </cell>
          <cell r="AF524">
            <v>7.94</v>
          </cell>
          <cell r="AG524">
            <v>7.81</v>
          </cell>
          <cell r="AH524">
            <v>9.93</v>
          </cell>
          <cell r="AI524" t="e">
            <v>#REF!</v>
          </cell>
          <cell r="AJ524">
            <v>1155</v>
          </cell>
          <cell r="AK524">
            <v>1047</v>
          </cell>
          <cell r="AL524">
            <v>108</v>
          </cell>
          <cell r="AM524">
            <v>635</v>
          </cell>
          <cell r="AN524">
            <v>718</v>
          </cell>
          <cell r="AP524">
            <v>34663</v>
          </cell>
          <cell r="AQ524">
            <v>1.68</v>
          </cell>
          <cell r="BA524">
            <v>34663</v>
          </cell>
          <cell r="BB524">
            <v>17.77</v>
          </cell>
          <cell r="BC524">
            <v>1.6819999999999999</v>
          </cell>
          <cell r="BP524">
            <v>36861</v>
          </cell>
          <cell r="CQ524">
            <v>34663</v>
          </cell>
          <cell r="CR524">
            <v>1.6819999999999999</v>
          </cell>
        </row>
      </sheetData>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casts_VDF"/>
      <sheetName val="M_modMain"/>
      <sheetName val="Disclaimer"/>
      <sheetName val="EGR"/>
    </sheetNames>
    <sheetDataSet>
      <sheetData sheetId="0"/>
      <sheetData sheetId="1" refreshError="1"/>
      <sheetData sheetId="2" refreshError="1"/>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casts_VDF"/>
      <sheetName val="M_modMain"/>
      <sheetName val="Disclaimer"/>
      <sheetName val="EGR"/>
    </sheetNames>
    <sheetDataSet>
      <sheetData sheetId="0"/>
      <sheetData sheetId="1" refreshError="1"/>
      <sheetData sheetId="2" refreshError="1"/>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casts_VDF"/>
      <sheetName val="M_modMain"/>
      <sheetName val="Disclaimer"/>
      <sheetName val="EGR"/>
    </sheetNames>
    <sheetDataSet>
      <sheetData sheetId="0"/>
      <sheetData sheetId="1" refreshError="1"/>
      <sheetData sheetId="2" refreshError="1"/>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 DEM"/>
    </sheetNames>
    <sheetDataSet>
      <sheetData sheetId="0" refreshError="1">
        <row r="1">
          <cell r="B1">
            <v>0.29840800000000001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 DEM"/>
    </sheetNames>
    <sheetDataSet>
      <sheetData sheetId="0" refreshError="1">
        <row r="1">
          <cell r="B1">
            <v>0.29840800000000001</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 DEM"/>
    </sheetNames>
    <sheetDataSet>
      <sheetData sheetId="0" refreshError="1">
        <row r="1">
          <cell r="B1">
            <v>0.29840800000000001</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Weekly Summary"/>
      <sheetName val="Current Summary By State"/>
      <sheetName val="1964 - 1999 Canada Rig Count"/>
      <sheetName val="1991 - 1999 Drilling Type"/>
      <sheetName val="JAN94RIG"/>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Weekly Summary"/>
      <sheetName val="Current Summary By State"/>
      <sheetName val="1964 - 1999 Canada Rig Count"/>
      <sheetName val="1991 - 1999 Drilling Type"/>
      <sheetName val="JAN94RIG"/>
    </sheetNames>
    <sheetDataSet>
      <sheetData sheetId="0" refreshError="1"/>
      <sheetData sheetId="1" refreshError="1"/>
      <sheetData sheetId="2" refreshError="1"/>
      <sheetData sheetId="3" refreshError="1"/>
      <sheetData sheetId="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Weekly Summary"/>
      <sheetName val="Current Summary By State"/>
      <sheetName val="1964 - 1999 Canada Rig Count"/>
      <sheetName val="1991 - 1999 Drilling Type"/>
      <sheetName val="JAN94RIG"/>
    </sheetNames>
    <sheetDataSet>
      <sheetData sheetId="0" refreshError="1"/>
      <sheetData sheetId="1" refreshError="1"/>
      <sheetData sheetId="2" refreshError="1"/>
      <sheetData sheetId="3" refreshError="1"/>
      <sheetData sheetId="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Z汇总"/>
      <sheetName val="G&amp;A"/>
      <sheetName val="GZ人事行政"/>
      <sheetName val="GZ财务部"/>
      <sheetName val="GZ财务结算"/>
      <sheetName val="SM"/>
      <sheetName val="GZ销售"/>
      <sheetName val="GZ市场合作"/>
      <sheetName val="GZ市场传播"/>
      <sheetName val="GZ特商"/>
      <sheetName val="GZ商旅业务"/>
      <sheetName val="COST"/>
      <sheetName val="GZ机票配送"/>
      <sheetName val="GZ度假OP"/>
      <sheetName val="GZ商旅预订"/>
      <sheetName val="PD"/>
      <sheetName val="GZ酒店业务部"/>
      <sheetName val="GZ机票业务部"/>
      <sheetName val="GZ度假业务部"/>
      <sheetName val="GZIT运营"/>
      <sheetName val="MMY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KNG"/>
      <sheetName val="EXPE"/>
      <sheetName val="Quarterly Charts"/>
      <sheetName val="MMYT"/>
      <sheetName val="MMYT charts"/>
      <sheetName val="Egencia"/>
      <sheetName val="TRIP"/>
      <sheetName val="OWW"/>
      <sheetName val="Despegar Quarterly"/>
      <sheetName val="Despegar Annual"/>
      <sheetName val="Despegar Charts"/>
      <sheetName val="Tuniu"/>
      <sheetName val="Tuniu Charts"/>
      <sheetName val="Sheet8"/>
      <sheetName val="Tuniu &amp; Ctrip packaged tour"/>
      <sheetName val="Comparison"/>
      <sheetName val="Annual Charts"/>
      <sheetName val="Sheet1 (2)"/>
      <sheetName val="Greater China"/>
      <sheetName val="Europe"/>
      <sheetName val="模拟利润表_Aug 2013"/>
      <sheetName val="Summary"/>
      <sheetName val="Sheet1"/>
      <sheetName val="Sheet2"/>
      <sheetName val="Sheet3"/>
      <sheetName val="Sheet4"/>
      <sheetName val="Sheet5"/>
    </sheetNames>
    <sheetDataSet>
      <sheetData sheetId="0"/>
      <sheetData sheetId="1"/>
      <sheetData sheetId="2"/>
      <sheetData sheetId="3"/>
      <sheetData sheetId="4"/>
      <sheetData sheetId="5"/>
      <sheetData sheetId="6"/>
      <sheetData sheetId="7"/>
      <sheetData sheetId="8">
        <row r="1">
          <cell r="B1" t="str">
            <v>Q1-15</v>
          </cell>
          <cell r="C1" t="str">
            <v>Q2-15</v>
          </cell>
          <cell r="D1" t="str">
            <v>Q3-15</v>
          </cell>
          <cell r="E1" t="str">
            <v>Q4-15</v>
          </cell>
          <cell r="F1" t="str">
            <v>Q1-16</v>
          </cell>
          <cell r="G1" t="str">
            <v>Q2-16</v>
          </cell>
          <cell r="H1" t="str">
            <v>Q3-16</v>
          </cell>
          <cell r="I1" t="str">
            <v>Q4-16</v>
          </cell>
          <cell r="J1" t="str">
            <v>Q1-17</v>
          </cell>
          <cell r="K1" t="str">
            <v>Q2-17</v>
          </cell>
        </row>
        <row r="3">
          <cell r="A3" t="str">
            <v>Gross booking value</v>
          </cell>
          <cell r="B3">
            <v>810.96100000000001</v>
          </cell>
          <cell r="C3">
            <v>868.56200000000001</v>
          </cell>
          <cell r="D3">
            <v>941.07600000000002</v>
          </cell>
          <cell r="E3">
            <v>970.19500000000005</v>
          </cell>
          <cell r="F3">
            <v>661.40899999999999</v>
          </cell>
          <cell r="G3">
            <v>755.43299999999999</v>
          </cell>
          <cell r="H3">
            <v>844.86599999999999</v>
          </cell>
          <cell r="I3">
            <v>998.52599999999995</v>
          </cell>
          <cell r="J3">
            <v>1019.102</v>
          </cell>
          <cell r="K3">
            <v>1061.0260000000001</v>
          </cell>
        </row>
        <row r="4">
          <cell r="A4" t="str">
            <v>YoY change</v>
          </cell>
          <cell r="B4">
            <v>0</v>
          </cell>
          <cell r="C4">
            <v>0</v>
          </cell>
          <cell r="D4">
            <v>0</v>
          </cell>
          <cell r="E4">
            <v>0</v>
          </cell>
          <cell r="F4">
            <v>-0.18441330717506799</v>
          </cell>
          <cell r="G4">
            <v>-0.13024861783039099</v>
          </cell>
          <cell r="H4">
            <v>-0.102234038483608</v>
          </cell>
          <cell r="I4">
            <v>2.92013461211405E-2</v>
          </cell>
          <cell r="J4">
            <v>0.54080455512398495</v>
          </cell>
          <cell r="K4">
            <v>0.40452694017867902</v>
          </cell>
        </row>
        <row r="8">
          <cell r="A8" t="str">
            <v>Gross profit</v>
          </cell>
          <cell r="B8">
            <v>67.528999999999996</v>
          </cell>
          <cell r="C8">
            <v>74.899000000000001</v>
          </cell>
          <cell r="D8">
            <v>73.686000000000007</v>
          </cell>
          <cell r="E8">
            <v>51.384</v>
          </cell>
          <cell r="F8">
            <v>61.621000000000002</v>
          </cell>
          <cell r="G8">
            <v>65.045000000000002</v>
          </cell>
          <cell r="H8">
            <v>79.938000000000002</v>
          </cell>
          <cell r="I8">
            <v>77.882999999999996</v>
          </cell>
          <cell r="J8">
            <v>90.537999999999997</v>
          </cell>
          <cell r="K8">
            <v>88.316000000000003</v>
          </cell>
        </row>
        <row r="9">
          <cell r="A9" t="str">
            <v>Gross margin</v>
          </cell>
          <cell r="B9">
            <v>0.69777943106316598</v>
          </cell>
          <cell r="C9">
            <v>0.73065779590084801</v>
          </cell>
          <cell r="D9">
            <v>0.67996714867072106</v>
          </cell>
          <cell r="E9">
            <v>0.450507636465658</v>
          </cell>
          <cell r="F9">
            <v>0.64785785627924097</v>
          </cell>
          <cell r="G9">
            <v>0.65837019342692604</v>
          </cell>
          <cell r="H9">
            <v>0.75350652288665998</v>
          </cell>
          <cell r="I9">
            <v>0.70062611324013602</v>
          </cell>
          <cell r="J9">
            <v>0.72430979447835597</v>
          </cell>
          <cell r="K9">
            <v>0.71532941309876696</v>
          </cell>
        </row>
        <row r="24">
          <cell r="A24" t="str">
            <v>Income (loss) from Operations (GAAP)</v>
          </cell>
          <cell r="B24">
            <v>-16.324999999999999</v>
          </cell>
          <cell r="C24">
            <v>-15.04</v>
          </cell>
          <cell r="D24">
            <v>8.8789999999999996</v>
          </cell>
          <cell r="E24">
            <v>-31.881</v>
          </cell>
          <cell r="F24">
            <v>2.2970000000000002</v>
          </cell>
          <cell r="G24">
            <v>6.0090000000000003</v>
          </cell>
          <cell r="H24">
            <v>19.27</v>
          </cell>
          <cell r="I24">
            <v>7.51</v>
          </cell>
          <cell r="J24">
            <v>20.715</v>
          </cell>
          <cell r="K24">
            <v>8.7650000000000006</v>
          </cell>
        </row>
        <row r="25">
          <cell r="A25" t="str">
            <v>OP Margin GAAP (OP/Revenue)</v>
          </cell>
          <cell r="B25">
            <v>-0.168686774750199</v>
          </cell>
          <cell r="C25">
            <v>-0.14671882468856401</v>
          </cell>
          <cell r="D25">
            <v>8.1934537266880103E-2</v>
          </cell>
          <cell r="E25">
            <v>-0.27951568500236701</v>
          </cell>
          <cell r="F25">
            <v>2.4149713504704799E-2</v>
          </cell>
          <cell r="G25">
            <v>6.0821684868973797E-2</v>
          </cell>
          <cell r="H25">
            <v>0.18164165598371201</v>
          </cell>
          <cell r="I25">
            <v>6.7559057951458196E-2</v>
          </cell>
          <cell r="J25">
            <v>0.165721325770606</v>
          </cell>
          <cell r="K25">
            <v>7.0993504074128105E-2</v>
          </cell>
        </row>
      </sheetData>
      <sheetData sheetId="9">
        <row r="1">
          <cell r="B1" t="str">
            <v>Full year</v>
          </cell>
          <cell r="C1">
            <v>0</v>
          </cell>
          <cell r="D1">
            <v>0</v>
          </cell>
          <cell r="E1" t="str">
            <v>Half year</v>
          </cell>
          <cell r="F1">
            <v>0</v>
          </cell>
        </row>
        <row r="2">
          <cell r="B2">
            <v>2015</v>
          </cell>
          <cell r="C2">
            <v>2016</v>
          </cell>
          <cell r="D2">
            <v>2017</v>
          </cell>
          <cell r="E2">
            <v>42522</v>
          </cell>
          <cell r="F2">
            <v>42887</v>
          </cell>
        </row>
        <row r="46">
          <cell r="A46" t="str">
            <v>Selling and marketing expenses</v>
          </cell>
          <cell r="B46">
            <v>-170.149</v>
          </cell>
          <cell r="C46">
            <v>-121.46599999999999</v>
          </cell>
          <cell r="D46">
            <v>0</v>
          </cell>
          <cell r="E46">
            <v>-57.71</v>
          </cell>
          <cell r="F46">
            <v>-78.834999999999994</v>
          </cell>
        </row>
        <row r="47">
          <cell r="A47" t="str">
            <v>Marketing and sales promotion expenses as % of GMV</v>
          </cell>
          <cell r="B47">
            <v>4.7312763815741898E-2</v>
          </cell>
          <cell r="C47">
            <v>3.7256834938841799E-2</v>
          </cell>
          <cell r="D47">
            <v>0</v>
          </cell>
          <cell r="E47">
            <v>4.0578662556533099E-2</v>
          </cell>
          <cell r="F47">
            <v>3.78991100547659E-2</v>
          </cell>
        </row>
        <row r="100">
          <cell r="A100" t="str">
            <v>Total transaction volume</v>
          </cell>
          <cell r="B100">
            <v>7.7050000000000001</v>
          </cell>
          <cell r="C100">
            <v>7.2119999999999997</v>
          </cell>
          <cell r="D100">
            <v>0</v>
          </cell>
          <cell r="E100">
            <v>3.3380000000000001</v>
          </cell>
          <cell r="F100">
            <v>4.3390000000000004</v>
          </cell>
        </row>
        <row r="101">
          <cell r="A101" t="str">
            <v>Brazil</v>
          </cell>
          <cell r="B101">
            <v>3.62</v>
          </cell>
          <cell r="C101">
            <v>2.9239999999999999</v>
          </cell>
          <cell r="D101">
            <v>0</v>
          </cell>
          <cell r="E101">
            <v>1.375</v>
          </cell>
          <cell r="F101">
            <v>1.784</v>
          </cell>
        </row>
        <row r="102">
          <cell r="A102" t="str">
            <v>Argentina</v>
          </cell>
          <cell r="B102">
            <v>1.7869999999999999</v>
          </cell>
          <cell r="C102">
            <v>1.798</v>
          </cell>
          <cell r="D102">
            <v>0</v>
          </cell>
          <cell r="E102">
            <v>0.83299999999999996</v>
          </cell>
          <cell r="F102">
            <v>1.069</v>
          </cell>
        </row>
        <row r="103">
          <cell r="A103" t="str">
            <v>Other</v>
          </cell>
          <cell r="B103">
            <v>2.298</v>
          </cell>
          <cell r="C103">
            <v>2.4900000000000002</v>
          </cell>
          <cell r="D103">
            <v>0</v>
          </cell>
          <cell r="E103">
            <v>1.1299999999999999</v>
          </cell>
          <cell r="F103">
            <v>1.486</v>
          </cell>
        </row>
        <row r="106">
          <cell r="A106" t="str">
            <v>Air</v>
          </cell>
          <cell r="B106">
            <v>4.3849999999999998</v>
          </cell>
          <cell r="C106">
            <v>4.25</v>
          </cell>
          <cell r="D106">
            <v>0</v>
          </cell>
          <cell r="E106">
            <v>1.9359999999999999</v>
          </cell>
          <cell r="F106">
            <v>2.57</v>
          </cell>
        </row>
        <row r="107">
          <cell r="A107" t="str">
            <v>Hotels and packages</v>
          </cell>
          <cell r="B107">
            <v>3.32</v>
          </cell>
          <cell r="C107">
            <v>2.35</v>
          </cell>
          <cell r="D107">
            <v>0</v>
          </cell>
          <cell r="E107">
            <v>1.4019999999999999</v>
          </cell>
          <cell r="F107">
            <v>1.3698999999999999</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同程艺龙"/>
      <sheetName val="同程艺龙 Peers"/>
      <sheetName val="同程艺龙Charts"/>
      <sheetName val="DESP Quarterly"/>
      <sheetName val="DESP Annual"/>
      <sheetName val="DESP Charts"/>
      <sheetName val="MMYT (2)"/>
      <sheetName val="MMYT charts (2)"/>
      <sheetName val="BKNG"/>
      <sheetName val="Sheet6"/>
      <sheetName val="BKNG Quarterly Charts"/>
      <sheetName val="EXPE"/>
      <sheetName val="EXPE Quarterly Charts"/>
      <sheetName val="Egencia "/>
      <sheetName val="Egencia"/>
      <sheetName val="Quarterly Charts "/>
      <sheetName val="BS"/>
      <sheetName val="MMYT"/>
      <sheetName val="MMYT charts"/>
      <sheetName val="OYO Estimation"/>
      <sheetName val="OWW"/>
      <sheetName val="Despegar Quarterly"/>
      <sheetName val="Despegar Annual"/>
      <sheetName val="Despegar Charts"/>
      <sheetName val="TOUR (RMB)"/>
      <sheetName val="TOUR charts"/>
      <sheetName val="TOUR Finanicals"/>
      <sheetName val="TOUR Assumptions"/>
      <sheetName val="TOUR DCF"/>
      <sheetName val="Forms"/>
      <sheetName val="TOUR VS. CTRIP"/>
      <sheetName val="TRIP"/>
      <sheetName val="Comparison"/>
      <sheetName val="Annual Charts"/>
      <sheetName val="Sheet1 (2)"/>
      <sheetName val="Greater China"/>
      <sheetName val="Europe"/>
      <sheetName val="模拟利润表_Aug 2013"/>
      <sheetName val="Summary"/>
      <sheetName val="Sheet1"/>
      <sheetName val="Sheet2"/>
      <sheetName val="Sheet3"/>
      <sheetName val="Sheet4"/>
      <sheetName val="Sheet5"/>
    </sheetNames>
    <sheetDataSet>
      <sheetData sheetId="0" refreshError="1"/>
      <sheetData sheetId="1" refreshError="1"/>
      <sheetData sheetId="2" refreshError="1"/>
      <sheetData sheetId="3" refreshError="1"/>
      <sheetData sheetId="4" refreshError="1"/>
      <sheetData sheetId="5" refreshError="1"/>
      <sheetData sheetId="6" refreshError="1">
        <row r="4">
          <cell r="B4" t="str">
            <v>14Q1</v>
          </cell>
          <cell r="R4" t="str">
            <v>1Q18</v>
          </cell>
          <cell r="S4" t="str">
            <v>2Q18</v>
          </cell>
          <cell r="T4" t="str">
            <v>3Q18</v>
          </cell>
          <cell r="U4" t="str">
            <v>4Q18</v>
          </cell>
          <cell r="V4" t="str">
            <v>1Q19</v>
          </cell>
          <cell r="W4" t="str">
            <v>2Q19</v>
          </cell>
          <cell r="X4" t="str">
            <v>3Q19</v>
          </cell>
          <cell r="Y4" t="str">
            <v>4Q19</v>
          </cell>
          <cell r="Z4" t="str">
            <v>1Q20</v>
          </cell>
          <cell r="AA4" t="str">
            <v>2Q20</v>
          </cell>
          <cell r="AB4" t="str">
            <v>3Q20</v>
          </cell>
        </row>
        <row r="55">
          <cell r="R55">
            <v>9.3179999999999996</v>
          </cell>
          <cell r="S55">
            <v>9.1709999999999994</v>
          </cell>
          <cell r="T55">
            <v>10.005000000000001</v>
          </cell>
          <cell r="U55">
            <v>10.103999999999999</v>
          </cell>
          <cell r="V55">
            <v>10.205</v>
          </cell>
          <cell r="W55">
            <v>10.609</v>
          </cell>
          <cell r="X55">
            <v>11.161</v>
          </cell>
          <cell r="Y55">
            <v>11.648</v>
          </cell>
          <cell r="Z55">
            <v>8.6370000000000005</v>
          </cell>
          <cell r="AA55">
            <v>0.877</v>
          </cell>
          <cell r="AB55">
            <v>2.3460000000000001</v>
          </cell>
        </row>
        <row r="56">
          <cell r="R56">
            <v>0.55100000000000005</v>
          </cell>
          <cell r="S56">
            <v>0.17053185107659319</v>
          </cell>
          <cell r="T56">
            <v>0.29548103068755682</v>
          </cell>
          <cell r="U56">
            <v>0.19390287132222617</v>
          </cell>
          <cell r="V56">
            <v>9.5192101309293786E-2</v>
          </cell>
          <cell r="W56">
            <v>0.15679860429615089</v>
          </cell>
          <cell r="X56">
            <v>0.11554222888555699</v>
          </cell>
          <cell r="Y56">
            <v>0.15281076801266824</v>
          </cell>
          <cell r="Z56">
            <v>-0.15365017148456639</v>
          </cell>
          <cell r="AA56">
            <v>-0.91733433876896975</v>
          </cell>
          <cell r="AB56">
            <v>-0.78980378102320581</v>
          </cell>
        </row>
        <row r="57">
          <cell r="R57">
            <v>0.4</v>
          </cell>
          <cell r="S57">
            <v>0.17053185107659319</v>
          </cell>
          <cell r="T57">
            <v>0.29548103068755682</v>
          </cell>
          <cell r="U57">
            <v>0.19390287132222617</v>
          </cell>
          <cell r="V57">
            <v>9.5192101309293786E-2</v>
          </cell>
          <cell r="W57">
            <v>0.15679860429615089</v>
          </cell>
          <cell r="X57">
            <v>0.11554222888555699</v>
          </cell>
          <cell r="Y57">
            <v>0.15281076801266824</v>
          </cell>
          <cell r="Z57">
            <v>-0.15365017148456639</v>
          </cell>
          <cell r="AA57">
            <v>-0.91733433876896975</v>
          </cell>
          <cell r="AB57">
            <v>-0.78980378102320581</v>
          </cell>
        </row>
        <row r="59">
          <cell r="R59">
            <v>4.8869999999999996</v>
          </cell>
          <cell r="S59">
            <v>6.7460000000000004</v>
          </cell>
          <cell r="T59">
            <v>6.7060000000000004</v>
          </cell>
          <cell r="U59">
            <v>7.0179999999999998</v>
          </cell>
          <cell r="V59">
            <v>6.141</v>
          </cell>
          <cell r="W59">
            <v>7.5579999999999998</v>
          </cell>
          <cell r="X59">
            <v>7.51</v>
          </cell>
          <cell r="Y59">
            <v>8.4719999999999995</v>
          </cell>
          <cell r="Z59">
            <v>6.1070000000000002</v>
          </cell>
          <cell r="AA59">
            <v>0.13300000000000001</v>
          </cell>
          <cell r="AB59">
            <v>0.85499999999999998</v>
          </cell>
        </row>
        <row r="60">
          <cell r="R60">
            <v>0.37</v>
          </cell>
          <cell r="S60">
            <v>0.1631435566743682</v>
          </cell>
          <cell r="T60">
            <v>0.19069602272727293</v>
          </cell>
          <cell r="U60">
            <v>0.25500715307582267</v>
          </cell>
          <cell r="V60">
            <v>0.25659914057704114</v>
          </cell>
          <cell r="W60">
            <v>0.1203676252594128</v>
          </cell>
          <cell r="X60">
            <v>0.11989263346257073</v>
          </cell>
          <cell r="Y60">
            <v>0.20718153320034194</v>
          </cell>
          <cell r="Z60">
            <v>-5.5365575639146902E-3</v>
          </cell>
          <cell r="AA60">
            <v>-0.98240275205080707</v>
          </cell>
          <cell r="AB60">
            <v>-0.88615179760319573</v>
          </cell>
        </row>
        <row r="61">
          <cell r="R61">
            <v>4.7119999999999997</v>
          </cell>
          <cell r="S61">
            <v>6.4939999999999998</v>
          </cell>
          <cell r="T61">
            <v>6.5739999999999998</v>
          </cell>
          <cell r="U61">
            <v>6.851</v>
          </cell>
          <cell r="V61">
            <v>5.9930000000000003</v>
          </cell>
          <cell r="W61">
            <v>7.38</v>
          </cell>
          <cell r="X61">
            <v>7.3849999999999998</v>
          </cell>
          <cell r="Y61">
            <v>8.2949999999999999</v>
          </cell>
          <cell r="Z61">
            <v>5.9829999999999997</v>
          </cell>
          <cell r="AA61">
            <v>0.13300000000000001</v>
          </cell>
          <cell r="AB61">
            <v>0.85399999999999998</v>
          </cell>
        </row>
        <row r="62">
          <cell r="R62">
            <v>1.327</v>
          </cell>
          <cell r="S62">
            <v>0.18130718716460792</v>
          </cell>
          <cell r="T62">
            <v>0.21785846609855497</v>
          </cell>
          <cell r="U62">
            <v>0.27058605341246289</v>
          </cell>
          <cell r="V62">
            <v>0.27185908319185081</v>
          </cell>
          <cell r="W62">
            <v>0.1364336310440406</v>
          </cell>
          <cell r="X62">
            <v>0.12336477030727111</v>
          </cell>
          <cell r="Y62">
            <v>0.21077215005108751</v>
          </cell>
          <cell r="Z62">
            <v>-1.6686133822794158E-3</v>
          </cell>
          <cell r="AA62">
            <v>-0.98197831978319783</v>
          </cell>
          <cell r="AB62">
            <v>-0.88436018957345974</v>
          </cell>
        </row>
        <row r="63">
          <cell r="R63">
            <v>0.19</v>
          </cell>
          <cell r="S63">
            <v>0.18130718716460792</v>
          </cell>
          <cell r="T63">
            <v>0.21785846609855497</v>
          </cell>
          <cell r="U63">
            <v>0.27058605341246289</v>
          </cell>
          <cell r="V63">
            <v>0.27185908319185081</v>
          </cell>
          <cell r="W63">
            <v>0.1364336310440406</v>
          </cell>
          <cell r="X63">
            <v>0.12336477030727111</v>
          </cell>
          <cell r="Y63">
            <v>0.21077215005108751</v>
          </cell>
          <cell r="Z63">
            <v>-1.6686133822794158E-3</v>
          </cell>
          <cell r="AA63">
            <v>-0.98197831978319783</v>
          </cell>
          <cell r="AB63">
            <v>-0.88436018957345974</v>
          </cell>
        </row>
        <row r="64">
          <cell r="R64">
            <v>11.013</v>
          </cell>
          <cell r="S64">
            <v>14.894</v>
          </cell>
          <cell r="T64">
            <v>13.24</v>
          </cell>
          <cell r="U64">
            <v>16.219000000000001</v>
          </cell>
          <cell r="V64">
            <v>17.111000000000001</v>
          </cell>
          <cell r="W64">
            <v>20.98</v>
          </cell>
          <cell r="X64">
            <v>17.681999999999999</v>
          </cell>
          <cell r="Y64">
            <v>21.338000000000001</v>
          </cell>
          <cell r="Z64">
            <v>18.582000000000001</v>
          </cell>
          <cell r="AA64">
            <v>0.42899999999999999</v>
          </cell>
          <cell r="AB64">
            <v>2.972</v>
          </cell>
        </row>
        <row r="66">
          <cell r="R66">
            <v>0.55000000000000004</v>
          </cell>
          <cell r="S66">
            <v>0.54006824526936215</v>
          </cell>
          <cell r="T66">
            <v>0.53276221347534158</v>
          </cell>
          <cell r="U66">
            <v>0.58265027322404395</v>
          </cell>
          <cell r="V66">
            <v>0.55370925270135296</v>
          </cell>
          <cell r="W66">
            <v>0.40862092117631255</v>
          </cell>
          <cell r="X66">
            <v>0.33549848942598182</v>
          </cell>
          <cell r="Y66">
            <v>0.31561748566496073</v>
          </cell>
          <cell r="Z66">
            <v>8.5968090701887601E-2</v>
          </cell>
          <cell r="AA66">
            <v>-0.97955195424213537</v>
          </cell>
          <cell r="AB66">
            <v>-0.83191946612374168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KNG"/>
      <sheetName val="EXPE"/>
      <sheetName val="Quarterly Charts"/>
      <sheetName val="同程艺龙"/>
      <sheetName val="MMYT"/>
      <sheetName val="MMYT charts"/>
      <sheetName val="OYO Estimation"/>
      <sheetName val="Egencia"/>
      <sheetName val="TRIP"/>
      <sheetName val="OWW"/>
      <sheetName val="Despegar Quarterly"/>
      <sheetName val="Despegar Annual"/>
      <sheetName val="Despegar Charts"/>
      <sheetName val="Tuniu"/>
      <sheetName val="Tuniu Charts"/>
      <sheetName val="Sheet8"/>
      <sheetName val="Tuniu &amp; Ctrip packaged tour"/>
      <sheetName val="Comparison"/>
      <sheetName val="Annual Charts"/>
      <sheetName val="Sheet1 (2)"/>
      <sheetName val="Greater China"/>
      <sheetName val="Europe"/>
      <sheetName val="模拟利润表_Aug 2013"/>
      <sheetName val="Summary"/>
      <sheetName val="Sheet1"/>
      <sheetName val="Sheet2"/>
      <sheetName val="Sheet3"/>
      <sheetName val="Sheet4"/>
      <sheetName val="Sheet5"/>
    </sheetNames>
    <sheetDataSet>
      <sheetData sheetId="0"/>
      <sheetData sheetId="1"/>
      <sheetData sheetId="2"/>
      <sheetData sheetId="3"/>
      <sheetData sheetId="4">
        <row r="3">
          <cell r="B3" t="str">
            <v>14Q1</v>
          </cell>
          <cell r="C3" t="str">
            <v>14Q2</v>
          </cell>
          <cell r="D3" t="str">
            <v>14Q3</v>
          </cell>
          <cell r="E3" t="str">
            <v>14Q4</v>
          </cell>
          <cell r="F3" t="str">
            <v>15Q1</v>
          </cell>
          <cell r="G3" t="str">
            <v>15Q2</v>
          </cell>
          <cell r="H3" t="str">
            <v>15Q3</v>
          </cell>
          <cell r="I3" t="str">
            <v>15Q4</v>
          </cell>
          <cell r="J3" t="str">
            <v>16Q1</v>
          </cell>
          <cell r="K3" t="str">
            <v>16Q2</v>
          </cell>
          <cell r="L3" t="str">
            <v>16Q3</v>
          </cell>
          <cell r="M3" t="str">
            <v>16Q4</v>
          </cell>
          <cell r="N3" t="str">
            <v>1Q17</v>
          </cell>
          <cell r="O3" t="str">
            <v>2Q17</v>
          </cell>
          <cell r="P3" t="str">
            <v>3Q17</v>
          </cell>
          <cell r="Q3" t="str">
            <v>4Q17</v>
          </cell>
          <cell r="R3" t="str">
            <v>1Q18</v>
          </cell>
          <cell r="S3" t="str">
            <v>2Q18</v>
          </cell>
          <cell r="T3" t="str">
            <v>3Q18</v>
          </cell>
          <cell r="U3" t="str">
            <v>4Q18</v>
          </cell>
        </row>
        <row r="13">
          <cell r="O13">
            <v>0.17523759940869299</v>
          </cell>
          <cell r="P13">
            <v>0.148111909899313</v>
          </cell>
          <cell r="Q13">
            <v>0.18360980151509401</v>
          </cell>
          <cell r="R13">
            <v>0.23867713455719899</v>
          </cell>
          <cell r="S13">
            <v>0.20146069621569801</v>
          </cell>
          <cell r="T13">
            <v>0.18966842548082599</v>
          </cell>
        </row>
        <row r="175">
          <cell r="O175">
            <v>1.873</v>
          </cell>
          <cell r="P175">
            <v>2.1869999999999998</v>
          </cell>
          <cell r="Q175">
            <v>2.3079999999999998</v>
          </cell>
          <cell r="R175">
            <v>2.5070000000000001</v>
          </cell>
          <cell r="S175">
            <v>2.3660000000000001</v>
          </cell>
          <cell r="T175">
            <v>2.6709999999999998</v>
          </cell>
        </row>
        <row r="176">
          <cell r="O176">
            <v>0.14696876913655799</v>
          </cell>
          <cell r="P176">
            <v>0.31746987951807198</v>
          </cell>
          <cell r="Q176">
            <v>0.31061896649630899</v>
          </cell>
          <cell r="R176">
            <v>0.38202866593164297</v>
          </cell>
          <cell r="S176">
            <v>0.263214095034704</v>
          </cell>
          <cell r="T176">
            <v>0.22130772748056701</v>
          </cell>
        </row>
        <row r="191">
          <cell r="A191" t="str">
            <v>Air ticketing</v>
          </cell>
          <cell r="B191">
            <v>1.0354000000000001</v>
          </cell>
          <cell r="C191">
            <v>1.1020000000000001</v>
          </cell>
          <cell r="D191">
            <v>1.5649999999999999</v>
          </cell>
          <cell r="E191">
            <v>1.3180000000000001</v>
          </cell>
          <cell r="F191">
            <v>1.4478</v>
          </cell>
          <cell r="G191">
            <v>1.605</v>
          </cell>
          <cell r="H191">
            <v>1.6785000000000001</v>
          </cell>
          <cell r="I191">
            <v>1.7738</v>
          </cell>
          <cell r="J191">
            <v>1.9032</v>
          </cell>
          <cell r="K191">
            <v>2.1503000000000001</v>
          </cell>
          <cell r="L191">
            <v>2.1995</v>
          </cell>
          <cell r="M191">
            <v>2.3191000000000002</v>
          </cell>
          <cell r="N191">
            <v>2.7107999999999999</v>
          </cell>
          <cell r="O191">
            <v>3.4201999999999999</v>
          </cell>
          <cell r="P191">
            <v>3.5369999999999999</v>
          </cell>
          <cell r="Q191">
            <v>3.98</v>
          </cell>
          <cell r="R191">
            <v>4.2480000000000002</v>
          </cell>
          <cell r="S191">
            <v>0</v>
          </cell>
        </row>
        <row r="192">
          <cell r="A192" t="str">
            <v>Air ticketing YoY growth rate</v>
          </cell>
          <cell r="B192">
            <v>-1.7999999999999999E-2</v>
          </cell>
          <cell r="C192">
            <v>0.161</v>
          </cell>
          <cell r="D192">
            <v>0.39700000000000002</v>
          </cell>
          <cell r="E192">
            <v>0.47299999999999998</v>
          </cell>
          <cell r="F192">
            <v>0.39800000000000002</v>
          </cell>
          <cell r="G192">
            <v>0.45600000000000002</v>
          </cell>
          <cell r="H192">
            <v>7.1999999999999995E-2</v>
          </cell>
          <cell r="I192">
            <v>0.34599999999999997</v>
          </cell>
          <cell r="J192">
            <v>0.315</v>
          </cell>
          <cell r="K192">
            <v>0.34</v>
          </cell>
          <cell r="L192">
            <v>0.31</v>
          </cell>
          <cell r="M192">
            <v>0.307</v>
          </cell>
          <cell r="N192">
            <v>0.42399999999999999</v>
          </cell>
          <cell r="O192">
            <v>0.59099999999999997</v>
          </cell>
          <cell r="P192">
            <v>0.60799999999999998</v>
          </cell>
          <cell r="Q192">
            <v>0.71599999999999997</v>
          </cell>
          <cell r="R192">
            <v>0.56699999999999995</v>
          </cell>
          <cell r="S192">
            <v>0</v>
          </cell>
        </row>
        <row r="194">
          <cell r="A194" t="str">
            <v>Hotels and packages</v>
          </cell>
          <cell r="B194">
            <v>0.28199999999999997</v>
          </cell>
          <cell r="C194">
            <v>0.376</v>
          </cell>
          <cell r="D194">
            <v>0.2949</v>
          </cell>
          <cell r="E194">
            <v>0.34160000000000001</v>
          </cell>
          <cell r="F194">
            <v>0.373</v>
          </cell>
          <cell r="G194">
            <v>0.43009999999999998</v>
          </cell>
          <cell r="H194">
            <v>0.53680000000000005</v>
          </cell>
          <cell r="I194">
            <v>0.84789999999999999</v>
          </cell>
          <cell r="J194">
            <v>1.3225</v>
          </cell>
          <cell r="K194">
            <v>1.5494000000000001</v>
          </cell>
          <cell r="L194">
            <v>1.4641999999999999</v>
          </cell>
          <cell r="M194">
            <v>1.5074000000000001</v>
          </cell>
          <cell r="N194">
            <v>2.3531</v>
          </cell>
          <cell r="O194">
            <v>3.5748000000000002</v>
          </cell>
          <cell r="P194">
            <v>3.524</v>
          </cell>
          <cell r="Q194">
            <v>3.2389999999999999</v>
          </cell>
          <cell r="R194">
            <v>3.0512100000000002</v>
          </cell>
          <cell r="S194">
            <v>0</v>
          </cell>
        </row>
        <row r="195">
          <cell r="A195" t="str">
            <v>H&amp;P YoY growth rate</v>
          </cell>
          <cell r="B195">
            <v>0.68899999999999995</v>
          </cell>
          <cell r="C195">
            <v>1.0649999999999999</v>
          </cell>
          <cell r="D195">
            <v>0.70899999999999996</v>
          </cell>
          <cell r="E195">
            <v>0.46500000000000002</v>
          </cell>
          <cell r="F195">
            <v>0.32200000000000001</v>
          </cell>
          <cell r="G195">
            <v>0.14399999999999999</v>
          </cell>
          <cell r="H195">
            <v>0.82</v>
          </cell>
          <cell r="I195">
            <v>1.482</v>
          </cell>
          <cell r="J195">
            <v>2.5449999999999999</v>
          </cell>
          <cell r="K195">
            <v>2.6030000000000002</v>
          </cell>
          <cell r="L195">
            <v>1.7270000000000001</v>
          </cell>
          <cell r="M195">
            <v>0.77800000000000002</v>
          </cell>
          <cell r="N195">
            <v>0.77900000000000003</v>
          </cell>
          <cell r="O195">
            <v>1.3069999999999999</v>
          </cell>
          <cell r="P195">
            <v>1.407</v>
          </cell>
          <cell r="Q195">
            <v>1.149</v>
          </cell>
          <cell r="R195">
            <v>0.42399999999999999</v>
          </cell>
        </row>
        <row r="198">
          <cell r="A198" t="str">
            <v>MMYT India Standalone hotels booked online (PC+mobile)</v>
          </cell>
          <cell r="B198">
            <v>0</v>
          </cell>
          <cell r="C198">
            <v>0.13789999999999999</v>
          </cell>
          <cell r="D198">
            <v>0.12959999999999999</v>
          </cell>
          <cell r="E198">
            <v>0.159</v>
          </cell>
          <cell r="F198">
            <v>0</v>
          </cell>
          <cell r="G198">
            <v>0.2457</v>
          </cell>
          <cell r="H198">
            <v>0.34710000000000002</v>
          </cell>
          <cell r="I198">
            <v>0.67789999999999995</v>
          </cell>
          <cell r="J198">
            <v>1.1729000000000001</v>
          </cell>
          <cell r="K198">
            <v>1.4206000000000001</v>
          </cell>
          <cell r="L198">
            <v>1.3631</v>
          </cell>
          <cell r="M198">
            <v>1.3919999999999999</v>
          </cell>
          <cell r="N198">
            <v>2.2915999999999999</v>
          </cell>
          <cell r="O198">
            <v>0</v>
          </cell>
          <cell r="R198">
            <v>0</v>
          </cell>
          <cell r="S198">
            <v>0</v>
          </cell>
        </row>
        <row r="199">
          <cell r="A199" t="str">
            <v>Online Standardalone hotel YoY % growth rate</v>
          </cell>
          <cell r="B199">
            <v>0</v>
          </cell>
          <cell r="C199">
            <v>0</v>
          </cell>
          <cell r="D199">
            <v>0</v>
          </cell>
          <cell r="E199">
            <v>0</v>
          </cell>
          <cell r="F199">
            <v>0</v>
          </cell>
          <cell r="G199">
            <v>0.78100000000000003</v>
          </cell>
          <cell r="H199">
            <v>1.679</v>
          </cell>
          <cell r="I199">
            <v>3.2629999999999999</v>
          </cell>
          <cell r="J199">
            <v>5.069</v>
          </cell>
          <cell r="K199">
            <v>4.782</v>
          </cell>
          <cell r="L199">
            <v>2.927</v>
          </cell>
          <cell r="M199">
            <v>1.05340020652014</v>
          </cell>
          <cell r="N199">
            <v>0.95399999999999996</v>
          </cell>
          <cell r="O199">
            <v>0</v>
          </cell>
          <cell r="P199">
            <v>0</v>
          </cell>
          <cell r="Q199">
            <v>0</v>
          </cell>
          <cell r="R199">
            <v>0</v>
          </cell>
          <cell r="S199">
            <v>0</v>
          </cell>
        </row>
        <row r="203">
          <cell r="A203" t="str">
            <v>Air ticketing - flight segments</v>
          </cell>
          <cell r="K203">
            <v>4.7275</v>
          </cell>
          <cell r="L203">
            <v>4.6920000000000002</v>
          </cell>
          <cell r="M203">
            <v>0</v>
          </cell>
          <cell r="O203">
            <v>7.8349000000000002</v>
          </cell>
          <cell r="P203">
            <v>7.7229999999999999</v>
          </cell>
          <cell r="Q203">
            <v>8.4629999999999992</v>
          </cell>
          <cell r="R203">
            <v>9.3179999999999996</v>
          </cell>
          <cell r="S203">
            <v>9.1709999999999994</v>
          </cell>
          <cell r="T203">
            <v>10.005000000000001</v>
          </cell>
          <cell r="U203">
            <v>10.103999999999999</v>
          </cell>
        </row>
        <row r="204">
          <cell r="A204" t="str">
            <v>Flight segments YoY % growth rate</v>
          </cell>
          <cell r="K204">
            <v>0</v>
          </cell>
          <cell r="L204">
            <v>0</v>
          </cell>
          <cell r="M204">
            <v>0</v>
          </cell>
          <cell r="N204">
            <v>0</v>
          </cell>
          <cell r="O204">
            <v>0.65730301427815996</v>
          </cell>
          <cell r="P204">
            <v>0.64600000000000002</v>
          </cell>
          <cell r="Q204">
            <v>0.64900000000000002</v>
          </cell>
          <cell r="R204">
            <v>0.55100000000000005</v>
          </cell>
          <cell r="S204">
            <v>0.17053185107659299</v>
          </cell>
          <cell r="T204">
            <v>0.29548103068755699</v>
          </cell>
        </row>
        <row r="205">
          <cell r="A205" t="str">
            <v>Flight segments Pro Forma growth rate</v>
          </cell>
          <cell r="M205">
            <v>0</v>
          </cell>
          <cell r="O205">
            <v>0.222</v>
          </cell>
          <cell r="P205">
            <v>0.15</v>
          </cell>
          <cell r="Q205">
            <v>0.16</v>
          </cell>
          <cell r="R205">
            <v>0.4</v>
          </cell>
          <cell r="S205">
            <v>0.17053185107659299</v>
          </cell>
          <cell r="T205">
            <v>0.29548103068755699</v>
          </cell>
          <cell r="U205">
            <v>0.193902871322226</v>
          </cell>
        </row>
        <row r="207">
          <cell r="A207" t="str">
            <v>Total Roomnights - Hotels &amp; Packages</v>
          </cell>
          <cell r="K207">
            <v>2.3451</v>
          </cell>
          <cell r="L207">
            <v>2.2109999999999999</v>
          </cell>
          <cell r="M207">
            <v>0</v>
          </cell>
          <cell r="N207">
            <v>0</v>
          </cell>
          <cell r="O207">
            <v>5.7998000000000003</v>
          </cell>
          <cell r="P207">
            <v>5.6319999999999997</v>
          </cell>
          <cell r="Q207">
            <v>5.5919999999999996</v>
          </cell>
          <cell r="R207">
            <v>4.8869999999999996</v>
          </cell>
          <cell r="S207">
            <v>6.7460000000000004</v>
          </cell>
          <cell r="T207">
            <v>6.7060000000000004</v>
          </cell>
        </row>
        <row r="208">
          <cell r="A208" t="str">
            <v>Total Roomnights - Hotels &amp; Packages YoY % growth rate</v>
          </cell>
          <cell r="M208">
            <v>0</v>
          </cell>
          <cell r="O208">
            <v>1.4731567950194</v>
          </cell>
          <cell r="P208">
            <v>1.548</v>
          </cell>
          <cell r="Q208">
            <v>1.319</v>
          </cell>
          <cell r="R208">
            <v>0.37</v>
          </cell>
          <cell r="S208">
            <v>0.163143556674368</v>
          </cell>
          <cell r="T208">
            <v>0.19069602272727301</v>
          </cell>
        </row>
        <row r="209">
          <cell r="A209" t="str">
            <v>Standalone hotels booked online -room nights</v>
          </cell>
          <cell r="K209">
            <v>1.8814</v>
          </cell>
          <cell r="L209">
            <v>1.8879999999999999</v>
          </cell>
          <cell r="M209">
            <v>0</v>
          </cell>
          <cell r="N209">
            <v>0</v>
          </cell>
          <cell r="O209">
            <v>5.4973000000000001</v>
          </cell>
          <cell r="P209">
            <v>5.3979999999999997</v>
          </cell>
          <cell r="Q209">
            <v>5.3920000000000003</v>
          </cell>
          <cell r="R209">
            <v>4.7119999999999997</v>
          </cell>
          <cell r="S209">
            <v>6.4939999999999998</v>
          </cell>
          <cell r="T209">
            <v>6.5739999999999998</v>
          </cell>
        </row>
        <row r="210">
          <cell r="A210" t="str">
            <v>Standalone hotels booked online -room nights YoY % growth rate</v>
          </cell>
          <cell r="M210">
            <v>0</v>
          </cell>
          <cell r="O210">
            <v>1.9219999999999999</v>
          </cell>
          <cell r="P210">
            <v>1.859</v>
          </cell>
          <cell r="Q210">
            <v>1.663</v>
          </cell>
          <cell r="R210">
            <v>1.327</v>
          </cell>
          <cell r="S210">
            <v>0.181307187164608</v>
          </cell>
          <cell r="T210">
            <v>0.217858466098555</v>
          </cell>
        </row>
        <row r="211">
          <cell r="A211" t="str">
            <v>Standalone hotels booked online -room nights Pro Forma growth rate</v>
          </cell>
          <cell r="K211">
            <v>0</v>
          </cell>
          <cell r="L211">
            <v>0</v>
          </cell>
          <cell r="M211">
            <v>0</v>
          </cell>
          <cell r="N211">
            <v>0</v>
          </cell>
          <cell r="O211">
            <v>0.36</v>
          </cell>
          <cell r="P211">
            <v>0.28999999999999998</v>
          </cell>
          <cell r="Q211">
            <v>0.28000000000000003</v>
          </cell>
          <cell r="R211">
            <v>0.19</v>
          </cell>
        </row>
        <row r="213">
          <cell r="O213">
            <v>1.86</v>
          </cell>
          <cell r="P213">
            <v>2.0190000000000001</v>
          </cell>
          <cell r="Q213">
            <v>2.7890000000000001</v>
          </cell>
          <cell r="R213">
            <v>3.488</v>
          </cell>
          <cell r="S213">
            <v>4.6660250000000003</v>
          </cell>
          <cell r="T213">
            <v>5.9867100000000004</v>
          </cell>
        </row>
        <row r="214">
          <cell r="O214">
            <v>0.33834791624979499</v>
          </cell>
          <cell r="P214">
            <v>0.37402741756205998</v>
          </cell>
          <cell r="Q214">
            <v>0.51724777448071202</v>
          </cell>
          <cell r="R214">
            <v>0.74023769100169801</v>
          </cell>
          <cell r="S214">
            <v>0.71851324299353303</v>
          </cell>
          <cell r="T214">
            <v>0.910664739884393</v>
          </cell>
        </row>
        <row r="264">
          <cell r="L264">
            <v>5.4</v>
          </cell>
          <cell r="M264">
            <v>7</v>
          </cell>
          <cell r="N264">
            <v>11</v>
          </cell>
          <cell r="O264">
            <v>15</v>
          </cell>
          <cell r="P264">
            <v>15</v>
          </cell>
          <cell r="Q264">
            <v>17</v>
          </cell>
          <cell r="R264">
            <v>18</v>
          </cell>
          <cell r="S264">
            <v>21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M)"/>
      <sheetName val="PL(M)"/>
      <sheetName val="Adjusted EBITDA (M)"/>
      <sheetName val="BS"/>
      <sheetName val="PL"/>
      <sheetName val="Adjusted EBITDA"/>
      <sheetName val="BS 2021 Q2 - 0816 Ver."/>
      <sheetName val="Supporting -&gt;"/>
      <sheetName val="BS 2021 Q4"/>
      <sheetName val="Summary-新对新"/>
      <sheetName val="2021 Q4"/>
      <sheetName val="2021YTD"/>
    </sheetNames>
    <sheetDataSet>
      <sheetData sheetId="0"/>
      <sheetData sheetId="1" refreshError="1">
        <row r="23">
          <cell r="J23">
            <v>734.73</v>
          </cell>
        </row>
      </sheetData>
      <sheetData sheetId="2">
        <row r="18">
          <cell r="J18">
            <v>-111.26999999999998</v>
          </cell>
        </row>
      </sheetData>
      <sheetData sheetId="3"/>
      <sheetData sheetId="4"/>
      <sheetData sheetId="5"/>
      <sheetData sheetId="6"/>
      <sheetData sheetId="7"/>
      <sheetData sheetId="8"/>
      <sheetData sheetId="9"/>
      <sheetData sheetId="10"/>
      <sheetData sheetId="1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M)"/>
      <sheetName val="PL(M)"/>
      <sheetName val="Adjusted EBITDA (M)"/>
    </sheetNames>
    <sheetDataSet>
      <sheetData sheetId="0" refreshError="1"/>
      <sheetData sheetId="1" refreshError="1">
        <row r="19">
          <cell r="J19">
            <v>599</v>
          </cell>
        </row>
      </sheetData>
      <sheetData sheetId="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M)"/>
      <sheetName val="PL(M)"/>
      <sheetName val="Adjusted EBITDA (M)"/>
    </sheetNames>
    <sheetDataSet>
      <sheetData sheetId="0" refreshError="1"/>
      <sheetData sheetId="1" refreshError="1">
        <row r="19">
          <cell r="J19">
            <v>969</v>
          </cell>
        </row>
      </sheetData>
      <sheetData sheetId="2" refreshError="1">
        <row r="18">
          <cell r="H18">
            <v>854</v>
          </cell>
        </row>
        <row r="22">
          <cell r="J22">
            <v>0.20601724736172464</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M)"/>
      <sheetName val="PL(M)"/>
      <sheetName val="PL(M) F-pages"/>
      <sheetName val="Adjusted EBITDA (M)"/>
      <sheetName val="BS"/>
      <sheetName val="PL"/>
      <sheetName val="Adjusted EBITDA"/>
      <sheetName val="BS 2021 Q2 - 0816 Ver."/>
    </sheetNames>
    <sheetDataSet>
      <sheetData sheetId="0">
        <row r="15">
          <cell r="F15">
            <v>5537</v>
          </cell>
        </row>
      </sheetData>
      <sheetData sheetId="1" refreshError="1">
        <row r="13">
          <cell r="H13">
            <v>1689</v>
          </cell>
        </row>
        <row r="23">
          <cell r="J23">
            <v>742.29</v>
          </cell>
        </row>
      </sheetData>
      <sheetData sheetId="2"/>
      <sheetData sheetId="3" refreshError="1">
        <row r="18">
          <cell r="J18">
            <v>-39.710000000000036</v>
          </cell>
        </row>
        <row r="22">
          <cell r="H22">
            <v>5.5678137137995264E-2</v>
          </cell>
        </row>
      </sheetData>
      <sheetData sheetId="4"/>
      <sheetData sheetId="5"/>
      <sheetData sheetId="6"/>
      <sheetData sheetId="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M)"/>
      <sheetName val="PL(M)"/>
      <sheetName val="PL(M) F-pages"/>
      <sheetName val="Adjusted EBITDA (M)"/>
      <sheetName val="BS"/>
      <sheetName val="PL"/>
      <sheetName val="Adjusted EBITDA"/>
      <sheetName val="BS 2021 Q2 - 0816 Ver."/>
    </sheetNames>
    <sheetDataSet>
      <sheetData sheetId="0" refreshError="1"/>
      <sheetData sheetId="1" refreshError="1">
        <row r="19">
          <cell r="J19">
            <v>1341</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 Q1"/>
      <sheetName val="2022 Q1"/>
      <sheetName val="2023 Q4 (2)"/>
      <sheetName val="Summary (2)"/>
      <sheetName val="2024 Q3"/>
      <sheetName val="2024 H1"/>
      <sheetName val="Summary"/>
      <sheetName val="2021 Q4"/>
      <sheetName val="CHECK"/>
      <sheetName val="Sheet5"/>
      <sheetName val="2020 Q4"/>
      <sheetName val="2020 Q3"/>
      <sheetName val="2020 Q2"/>
      <sheetName val="2020 Q1"/>
      <sheetName val="2019 Q4"/>
      <sheetName val="2019 Q3"/>
      <sheetName val="2019 Q2"/>
      <sheetName val="2019 Q1"/>
    </sheetNames>
    <sheetDataSet>
      <sheetData sheetId="0" refreshError="1"/>
      <sheetData sheetId="1" refreshError="1"/>
      <sheetData sheetId="2" refreshError="1"/>
      <sheetData sheetId="3" refreshError="1"/>
      <sheetData sheetId="4" refreshError="1">
        <row r="19">
          <cell r="C19">
            <v>2262051395.3337135</v>
          </cell>
          <cell r="AG19">
            <v>0.15536102507056904</v>
          </cell>
        </row>
        <row r="32">
          <cell r="C32">
            <v>0.3154480293851315</v>
          </cell>
        </row>
        <row r="77">
          <cell r="F77">
            <v>0.21061767038645199</v>
          </cell>
        </row>
        <row r="87">
          <cell r="F87">
            <v>0.35792428339686888</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 Q1"/>
      <sheetName val="2022 Q1"/>
      <sheetName val="2023 Q4 (2)"/>
      <sheetName val="Summary (2)"/>
      <sheetName val="2024 Q4"/>
      <sheetName val="2024 H1"/>
      <sheetName val="2024 YTD"/>
      <sheetName val="Summary"/>
      <sheetName val="2021 Q4"/>
      <sheetName val="CHECK"/>
      <sheetName val="Sheet5"/>
      <sheetName val="2020 Q4"/>
      <sheetName val="2020 Q3"/>
      <sheetName val="2020 Q2"/>
      <sheetName val="2020 Q1"/>
      <sheetName val="2019 Q4"/>
      <sheetName val="2019 Q3"/>
      <sheetName val="2019 Q2"/>
      <sheetName val="2019 Q1"/>
    </sheetNames>
    <sheetDataSet>
      <sheetData sheetId="0" refreshError="1"/>
      <sheetData sheetId="1" refreshError="1"/>
      <sheetData sheetId="2" refreshError="1"/>
      <sheetData sheetId="3" refreshError="1"/>
      <sheetData sheetId="4" refreshError="1">
        <row r="9">
          <cell r="C9">
            <v>7.2992999999999997</v>
          </cell>
        </row>
        <row r="19">
          <cell r="C19">
            <v>1745765591.3580756</v>
          </cell>
          <cell r="AC19">
            <v>0.23421184300756925</v>
          </cell>
        </row>
        <row r="32">
          <cell r="E32">
            <v>0.18045306692122123</v>
          </cell>
        </row>
        <row r="77">
          <cell r="F77">
            <v>0.26154363545331333</v>
          </cell>
        </row>
        <row r="91">
          <cell r="E91">
            <v>0.23371597437090086</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 Q1"/>
      <sheetName val="2022 Q1"/>
      <sheetName val="2023 Q4 (2)"/>
      <sheetName val="Summary (2)"/>
      <sheetName val="2025 Q1"/>
      <sheetName val="2024 H1"/>
      <sheetName val="2024 YTD"/>
      <sheetName val="Summary"/>
      <sheetName val="2021 Q4"/>
      <sheetName val="CHECK"/>
      <sheetName val="Sheet5"/>
      <sheetName val="2020 Q4"/>
      <sheetName val="2020 Q3"/>
      <sheetName val="2020 Q2"/>
      <sheetName val="2020 Q1"/>
      <sheetName val="2019 Q4"/>
      <sheetName val="2019 Q3"/>
      <sheetName val="2019 Q2"/>
      <sheetName val="2019 Q1"/>
    </sheetNames>
    <sheetDataSet>
      <sheetData sheetId="0"/>
      <sheetData sheetId="1"/>
      <sheetData sheetId="2"/>
      <sheetData sheetId="3"/>
      <sheetData sheetId="4" refreshError="1">
        <row r="19">
          <cell r="C19">
            <v>1905842011.7959955</v>
          </cell>
          <cell r="AC19">
            <v>0.16163813234766633</v>
          </cell>
        </row>
        <row r="26">
          <cell r="G26">
            <v>0.21384083196785128</v>
          </cell>
        </row>
        <row r="32">
          <cell r="E32">
            <v>0.25763696741510722</v>
          </cell>
        </row>
        <row r="91">
          <cell r="E91">
            <v>0.30714014153808444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M)"/>
      <sheetName val="PL(M)"/>
      <sheetName val="PL(M) F-pages"/>
      <sheetName val="Adjusted EBITDA (M)"/>
      <sheetName val="BS 2021 Q2 - 0816 Ver."/>
    </sheetNames>
    <sheetDataSet>
      <sheetData sheetId="0"/>
      <sheetData sheetId="1">
        <row r="23">
          <cell r="J23">
            <v>2072</v>
          </cell>
          <cell r="S23">
            <v>0.16215158158471654</v>
          </cell>
        </row>
        <row r="37">
          <cell r="H37">
            <v>0.27635922657144785</v>
          </cell>
        </row>
      </sheetData>
      <sheetData sheetId="2"/>
      <sheetData sheetId="3">
        <row r="22">
          <cell r="H22">
            <v>0.3287021715004404</v>
          </cell>
        </row>
      </sheetData>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新对新"/>
      <sheetName val="2021 Q1"/>
      <sheetName val="2021 Q3"/>
      <sheetName val="CHECK"/>
      <sheetName val="2021 H1"/>
      <sheetName val="Sheet5"/>
      <sheetName val="2020 Q4"/>
      <sheetName val="2020 Q3"/>
      <sheetName val="2020 Q2"/>
      <sheetName val="2020 Q1"/>
      <sheetName val="2019 Q4"/>
      <sheetName val="2019 Q3"/>
      <sheetName val="2019 Q2"/>
      <sheetName val="2019 Q1"/>
    </sheetNames>
    <sheetDataSet>
      <sheetData sheetId="0" refreshError="1"/>
      <sheetData sheetId="1" refreshError="1"/>
      <sheetData sheetId="2" refreshError="1">
        <row r="19">
          <cell r="AJ19">
            <v>-0.48988283730205845</v>
          </cell>
        </row>
        <row r="75">
          <cell r="F75">
            <v>0.2311232766324223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新对新"/>
      <sheetName val="2021 Q1"/>
      <sheetName val="2021 Q4"/>
      <sheetName val="2021YTD"/>
      <sheetName val="CHECK"/>
      <sheetName val="2021 H1"/>
      <sheetName val="Sheet5"/>
      <sheetName val="2020 Q4"/>
      <sheetName val="2020 Q3"/>
      <sheetName val="2020 Q2"/>
      <sheetName val="2020 Q1"/>
      <sheetName val="2019 Q4"/>
      <sheetName val="2019 Q3"/>
      <sheetName val="2019 Q2"/>
      <sheetName val="2019 Q1"/>
    </sheetNames>
    <sheetDataSet>
      <sheetData sheetId="0"/>
      <sheetData sheetId="1"/>
      <sheetData sheetId="2" refreshError="1">
        <row r="19">
          <cell r="AL19">
            <v>-0.43838241409592493</v>
          </cell>
        </row>
        <row r="75">
          <cell r="F75">
            <v>0.26482472072361402</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 Q1"/>
      <sheetName val="2022 Q1"/>
      <sheetName val="Summary"/>
      <sheetName val="2021 Q4"/>
      <sheetName val="2021YTD"/>
      <sheetName val="CHECK"/>
      <sheetName val="2021 H1"/>
      <sheetName val="Sheet5"/>
      <sheetName val="2020 Q4"/>
      <sheetName val="2020 Q3"/>
      <sheetName val="2020 Q2"/>
      <sheetName val="2020 Q1"/>
      <sheetName val="2019 Q4"/>
      <sheetName val="2019 Q3"/>
      <sheetName val="2019 Q2"/>
      <sheetName val="2019 Q1"/>
    </sheetNames>
    <sheetDataSet>
      <sheetData sheetId="0"/>
      <sheetData sheetId="1" refreshError="1">
        <row r="19">
          <cell r="AG19">
            <v>-0.49664657708301263</v>
          </cell>
        </row>
        <row r="75">
          <cell r="F75">
            <v>0.20073455199077569</v>
          </cell>
        </row>
        <row r="85">
          <cell r="F85">
            <v>2.1957146106345683E-2</v>
          </cell>
          <cell r="Y85">
            <v>1.1615900776384738E-2</v>
          </cell>
        </row>
      </sheetData>
      <sheetData sheetId="2">
        <row r="85">
          <cell r="H85">
            <v>914467338.83999634</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 Q1"/>
      <sheetName val="2022 Q1"/>
      <sheetName val="2022 Q2"/>
      <sheetName val="2022 H1"/>
      <sheetName val="Summary"/>
      <sheetName val="2021 Q4"/>
      <sheetName val="2021YTD"/>
      <sheetName val="CHECK"/>
      <sheetName val="Sheet5"/>
      <sheetName val="2020 Q4"/>
      <sheetName val="2020 Q3"/>
      <sheetName val="2020 Q2"/>
      <sheetName val="2020 Q1"/>
      <sheetName val="2019 Q4"/>
      <sheetName val="2019 Q3"/>
      <sheetName val="2019 Q2"/>
      <sheetName val="2019 Q1"/>
    </sheetNames>
    <sheetDataSet>
      <sheetData sheetId="0"/>
      <sheetData sheetId="1"/>
      <sheetData sheetId="2" refreshError="1">
        <row r="13">
          <cell r="E13">
            <v>1763167250</v>
          </cell>
        </row>
        <row r="19">
          <cell r="AI19">
            <v>-0.53848721947785561</v>
          </cell>
        </row>
        <row r="26">
          <cell r="G26">
            <v>0.19892998170123757</v>
          </cell>
        </row>
      </sheetData>
      <sheetData sheetId="3"/>
      <sheetData sheetId="4">
        <row r="96">
          <cell r="B96">
            <v>137411029.25562429</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 Q1"/>
      <sheetName val="2022 Q1"/>
      <sheetName val="2022 Q3"/>
      <sheetName val="2022 H1"/>
      <sheetName val="Summary"/>
      <sheetName val="2021 Q4"/>
      <sheetName val="2021YTD"/>
      <sheetName val="CHECK"/>
      <sheetName val="Sheet5"/>
      <sheetName val="2020 Q4"/>
      <sheetName val="2020 Q3"/>
      <sheetName val="2020 Q2"/>
      <sheetName val="2020 Q1"/>
      <sheetName val="2019 Q4"/>
      <sheetName val="2019 Q3"/>
      <sheetName val="2019 Q2"/>
      <sheetName val="2019 Q1"/>
    </sheetNames>
    <sheetDataSet>
      <sheetData sheetId="0"/>
      <sheetData sheetId="1"/>
      <sheetData sheetId="2" refreshError="1">
        <row r="13">
          <cell r="E13">
            <v>2622789653</v>
          </cell>
        </row>
        <row r="17">
          <cell r="AI17">
            <v>-0.34320573339397231</v>
          </cell>
        </row>
        <row r="26">
          <cell r="G26">
            <v>0.20331378840431635</v>
          </cell>
        </row>
      </sheetData>
      <sheetData sheetId="3"/>
      <sheetData sheetId="4">
        <row r="86">
          <cell r="B86">
            <v>1205467043.71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 Q1"/>
      <sheetName val="2022 Q1"/>
      <sheetName val="2022 YTD"/>
      <sheetName val="2023 Q1"/>
      <sheetName val="2022 H1"/>
      <sheetName val="Summary"/>
      <sheetName val="2021 Q4"/>
      <sheetName val="CHECK"/>
      <sheetName val="Sheet5"/>
      <sheetName val="2020 Q4"/>
      <sheetName val="2020 Q3"/>
      <sheetName val="2020 Q2"/>
      <sheetName val="2020 Q1"/>
      <sheetName val="2019 Q4"/>
      <sheetName val="2019 Q3"/>
      <sheetName val="2019 Q2"/>
      <sheetName val="2019 Q1"/>
    </sheetNames>
    <sheetDataSet>
      <sheetData sheetId="0" refreshError="1"/>
      <sheetData sheetId="1" refreshError="1"/>
      <sheetData sheetId="2" refreshError="1"/>
      <sheetData sheetId="3" refreshError="1">
        <row r="19">
          <cell r="AI19">
            <v>0.12660845012473376</v>
          </cell>
        </row>
        <row r="75">
          <cell r="F75">
            <v>0.18736178960419606</v>
          </cell>
        </row>
        <row r="85">
          <cell r="F85">
            <v>0.30664873032644424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 Q1"/>
      <sheetName val="2022 Q1"/>
      <sheetName val="2023 Q4 (2)"/>
      <sheetName val="2023 YTD (2)"/>
      <sheetName val="Summary (2)"/>
      <sheetName val="2024 Q1"/>
      <sheetName val="Summary"/>
      <sheetName val="2021 Q4"/>
      <sheetName val="CHECK"/>
      <sheetName val="Sheet5"/>
      <sheetName val="2020 Q4"/>
      <sheetName val="2020 Q3"/>
      <sheetName val="2020 Q2"/>
      <sheetName val="2020 Q1"/>
      <sheetName val="2019 Q4"/>
      <sheetName val="2019 Q3"/>
      <sheetName val="2019 Q2"/>
      <sheetName val="2019 Q1"/>
    </sheetNames>
    <sheetDataSet>
      <sheetData sheetId="0" refreshError="1"/>
      <sheetData sheetId="1" refreshError="1"/>
      <sheetData sheetId="2" refreshError="1"/>
      <sheetData sheetId="3" refreshError="1"/>
      <sheetData sheetId="4" refreshError="1"/>
      <sheetData sheetId="5" refreshError="1">
        <row r="18">
          <cell r="F18">
            <v>1.3040916023452074E-3</v>
          </cell>
        </row>
        <row r="19">
          <cell r="AG19">
            <v>0.29439799167761582</v>
          </cell>
        </row>
        <row r="75">
          <cell r="F75">
            <v>0.1909911453849556</v>
          </cell>
        </row>
        <row r="85">
          <cell r="F85">
            <v>0.33378802721620654</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 Q1"/>
      <sheetName val="2022 Q1"/>
      <sheetName val="2023 Q4 (2)"/>
      <sheetName val="Summary (2)"/>
      <sheetName val="2024 Q2"/>
      <sheetName val="2024 H1"/>
      <sheetName val="Summary"/>
      <sheetName val="2021 Q4"/>
      <sheetName val="CHECK"/>
      <sheetName val="Sheet5"/>
      <sheetName val="2020 Q4"/>
      <sheetName val="2020 Q3"/>
      <sheetName val="2020 Q2"/>
      <sheetName val="2020 Q1"/>
      <sheetName val="2019 Q4"/>
      <sheetName val="2019 Q3"/>
      <sheetName val="2019 Q2"/>
      <sheetName val="2019 Q1"/>
    </sheetNames>
    <sheetDataSet>
      <sheetData sheetId="0"/>
      <sheetData sheetId="1"/>
      <sheetData sheetId="2"/>
      <sheetData sheetId="3"/>
      <sheetData sheetId="4" refreshError="1">
        <row r="19">
          <cell r="AG19">
            <v>0.13547834865756303</v>
          </cell>
        </row>
        <row r="75">
          <cell r="F75">
            <v>0.21766113826422612</v>
          </cell>
        </row>
        <row r="85">
          <cell r="F85">
            <v>0.34743674696817722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M)"/>
      <sheetName val="PL(M)"/>
      <sheetName val="Adjusted EBITDA (M)"/>
    </sheetNames>
    <sheetDataSet>
      <sheetData sheetId="0" refreshError="1"/>
      <sheetData sheetId="1">
        <row r="25">
          <cell r="J25">
            <v>-146</v>
          </cell>
        </row>
      </sheetData>
      <sheetData sheetId="2" refreshError="1">
        <row r="12">
          <cell r="J12">
            <v>6</v>
          </cell>
        </row>
        <row r="22">
          <cell r="H22">
            <v>8.8679111761938295E-2</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 DATA Combined"/>
      <sheetName val="Headcount"/>
      <sheetName val="Transaction"/>
      <sheetName val="Ez"/>
      <sheetName val="Ss"/>
      <sheetName val="Wo"/>
      <sheetName val="境外占比取数口径"/>
    </sheetNames>
    <sheetDataSet>
      <sheetData sheetId="0" refreshError="1">
        <row r="28">
          <cell r="AL28">
            <v>83.373559157290288</v>
          </cell>
          <cell r="AN28">
            <v>-0.11669698528646244</v>
          </cell>
        </row>
        <row r="37">
          <cell r="AL37">
            <v>83.573123457290293</v>
          </cell>
        </row>
        <row r="42">
          <cell r="AL42">
            <v>26.296506000000001</v>
          </cell>
        </row>
      </sheetData>
      <sheetData sheetId="1"/>
      <sheetData sheetId="2"/>
      <sheetData sheetId="3"/>
      <sheetData sheetId="4"/>
      <sheetData sheetId="5"/>
      <sheetData sheetId="6"/>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 DATA"/>
      <sheetName val="SC"/>
      <sheetName val="HC"/>
      <sheetName val="TRANSACTION"/>
      <sheetName val="OUTBOUND"/>
    </sheetNames>
    <sheetDataSet>
      <sheetData sheetId="0" refreshError="1">
        <row r="35">
          <cell r="O35">
            <v>75.030791000008094</v>
          </cell>
          <cell r="Q35">
            <v>-7.9986004849916248E-2</v>
          </cell>
        </row>
        <row r="44">
          <cell r="O44">
            <v>75.634076000008093</v>
          </cell>
        </row>
        <row r="49">
          <cell r="O49">
            <v>25.88137</v>
          </cell>
        </row>
      </sheetData>
      <sheetData sheetId="1" refreshError="1"/>
      <sheetData sheetId="2" refreshError="1"/>
      <sheetData sheetId="3" refreshError="1"/>
      <sheetData sheetId="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大住宿"/>
      <sheetName val="机票"/>
      <sheetName val="火车票"/>
      <sheetName val="汽车票"/>
      <sheetName val="租车、用车"/>
      <sheetName val="度假"/>
      <sheetName val="玩乐"/>
      <sheetName val="商旅"/>
      <sheetName val="金融"/>
      <sheetName val="市场营销"/>
      <sheetName val="人员（集团）"/>
      <sheetName val="SC"/>
      <sheetName val="APPENDIX.1"/>
      <sheetName val="Others"/>
      <sheetName val="人员（分公司）"/>
      <sheetName val="TRANSACTION"/>
      <sheetName val="OUTBOUND"/>
    </sheetNames>
    <sheetDataSet>
      <sheetData sheetId="0"/>
      <sheetData sheetId="1">
        <row r="34">
          <cell r="P34">
            <v>50.546472003364926</v>
          </cell>
        </row>
        <row r="42">
          <cell r="P42">
            <v>54.067067903364929</v>
          </cell>
          <cell r="R42">
            <v>-0.22950516666584553</v>
          </cell>
        </row>
      </sheetData>
      <sheetData sheetId="2">
        <row r="17">
          <cell r="Q17">
            <v>-0.30880762858007554</v>
          </cell>
        </row>
      </sheetData>
      <sheetData sheetId="3"/>
      <sheetData sheetId="4"/>
      <sheetData sheetId="5"/>
      <sheetData sheetId="6"/>
      <sheetData sheetId="7"/>
      <sheetData sheetId="8"/>
      <sheetData sheetId="9"/>
      <sheetData sheetId="10">
        <row r="9">
          <cell r="P9">
            <v>47767991</v>
          </cell>
        </row>
      </sheetData>
      <sheetData sheetId="11"/>
      <sheetData sheetId="12">
        <row r="14">
          <cell r="BA14">
            <v>-0.5277935241037448</v>
          </cell>
        </row>
      </sheetData>
      <sheetData sheetId="13"/>
      <sheetData sheetId="14"/>
      <sheetData sheetId="15"/>
      <sheetData sheetId="16">
        <row r="429">
          <cell r="C429">
            <v>192914447074.60947</v>
          </cell>
        </row>
      </sheetData>
      <sheetData sheetId="17"/>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大住宿"/>
      <sheetName val="机票"/>
      <sheetName val="火车票"/>
      <sheetName val="汽车票"/>
      <sheetName val="租车、用车"/>
      <sheetName val="度假"/>
      <sheetName val="玩乐"/>
      <sheetName val="商旅"/>
      <sheetName val="金融"/>
      <sheetName val="市场营销"/>
      <sheetName val="人员（集团）"/>
      <sheetName val="SC"/>
      <sheetName val="APPENDIX.1"/>
      <sheetName val="Others"/>
      <sheetName val="人员（分公司）"/>
      <sheetName val="TRANSACTION"/>
      <sheetName val="OUTBOUND"/>
    </sheetNames>
    <sheetDataSet>
      <sheetData sheetId="0" refreshError="1"/>
      <sheetData sheetId="1" refreshError="1">
        <row r="34">
          <cell r="Q34">
            <v>46.584501003971631</v>
          </cell>
        </row>
        <row r="42">
          <cell r="Q42">
            <v>51.270270003971632</v>
          </cell>
          <cell r="S42">
            <v>-0.35511778731870625</v>
          </cell>
        </row>
        <row r="44">
          <cell r="Q44">
            <v>44.574965003971634</v>
          </cell>
        </row>
        <row r="47">
          <cell r="Q47">
            <v>21.107802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大住宿"/>
      <sheetName val="机票"/>
      <sheetName val="火车票、汽车票"/>
      <sheetName val="租车、用车"/>
      <sheetName val="度假"/>
      <sheetName val="玩乐"/>
      <sheetName val="商旅"/>
      <sheetName val="金融"/>
      <sheetName val="市场营销"/>
      <sheetName val="APPENDIX.1"/>
      <sheetName val="SC"/>
      <sheetName val="IBU"/>
      <sheetName val="人员（集团）"/>
      <sheetName val="Others"/>
      <sheetName val="人员（分公司）"/>
      <sheetName val="TRANSACTION"/>
      <sheetName val="OUTBOUND"/>
    </sheetNames>
    <sheetDataSet>
      <sheetData sheetId="0"/>
      <sheetData sheetId="1" refreshError="1">
        <row r="50">
          <cell r="R50">
            <v>88.729538997494856</v>
          </cell>
          <cell r="T50">
            <v>-7.0766387518696572E-2</v>
          </cell>
        </row>
      </sheetData>
      <sheetData sheetId="2">
        <row r="26">
          <cell r="R26">
            <v>67.049666999999999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475">
          <cell r="E475">
            <v>211899736784.754</v>
          </cell>
        </row>
      </sheetData>
      <sheetData sheetId="17"/>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大住宿"/>
      <sheetName val="机票"/>
      <sheetName val="火车票、汽车票"/>
      <sheetName val="租车、用车"/>
      <sheetName val="度假"/>
      <sheetName val="玩乐"/>
      <sheetName val="商旅"/>
      <sheetName val="金融"/>
      <sheetName val="市场营销"/>
      <sheetName val="APPENDIX.1"/>
      <sheetName val="SC"/>
      <sheetName val="IBU"/>
      <sheetName val="人员（集团）&amp;Others"/>
      <sheetName val="Others"/>
      <sheetName val="人员（分公司）"/>
      <sheetName val="TRANSACTION"/>
      <sheetName val="International Revenue"/>
      <sheetName val="草稿"/>
    </sheetNames>
    <sheetDataSet>
      <sheetData sheetId="0"/>
      <sheetData sheetId="1">
        <row r="39">
          <cell r="S39">
            <v>52.138971997818025</v>
          </cell>
        </row>
        <row r="51">
          <cell r="S51">
            <v>59.199976442957166</v>
          </cell>
          <cell r="U51">
            <v>-0.28381655419549023</v>
          </cell>
        </row>
      </sheetData>
      <sheetData sheetId="2">
        <row r="17">
          <cell r="S17">
            <v>25.621592</v>
          </cell>
        </row>
      </sheetData>
      <sheetData sheetId="3">
        <row r="3">
          <cell r="S3">
            <v>47.159875999999997</v>
          </cell>
        </row>
      </sheetData>
      <sheetData sheetId="4"/>
      <sheetData sheetId="5"/>
      <sheetData sheetId="6"/>
      <sheetData sheetId="7"/>
      <sheetData sheetId="8"/>
      <sheetData sheetId="9"/>
      <sheetData sheetId="10"/>
      <sheetData sheetId="11">
        <row r="19">
          <cell r="N19">
            <v>39748431.960567497</v>
          </cell>
        </row>
      </sheetData>
      <sheetData sheetId="12"/>
      <sheetData sheetId="13"/>
      <sheetData sheetId="14"/>
      <sheetData sheetId="15"/>
      <sheetData sheetId="16"/>
      <sheetData sheetId="17"/>
      <sheetData sheetId="18"/>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大住宿-Q4"/>
      <sheetName val="大住宿"/>
      <sheetName val="机票"/>
      <sheetName val="火车票、汽车票"/>
      <sheetName val="租车、用车"/>
      <sheetName val="度假"/>
      <sheetName val="玩乐"/>
      <sheetName val="商旅"/>
      <sheetName val="金融"/>
      <sheetName val="市场营销"/>
      <sheetName val="APPENDIX.1"/>
      <sheetName val="SC-Q4"/>
      <sheetName val="SC"/>
      <sheetName val="IBU"/>
      <sheetName val="人员（集团）&amp;Others"/>
      <sheetName val="Others"/>
      <sheetName val="人员（分公司）"/>
      <sheetName val="TRANSACTION"/>
      <sheetName val="International Revenue"/>
      <sheetName val="23Q1GMV草稿"/>
      <sheetName val="22Q4GMV草稿"/>
      <sheetName val="23Q1HC草稿"/>
    </sheetNames>
    <sheetDataSet>
      <sheetData sheetId="0"/>
      <sheetData sheetId="1"/>
      <sheetData sheetId="2" refreshError="1">
        <row r="51">
          <cell r="T51">
            <v>114.54232504000943</v>
          </cell>
          <cell r="V51">
            <v>0.63231099935263924</v>
          </cell>
        </row>
        <row r="56">
          <cell r="T56">
            <v>104.26021704000944</v>
          </cell>
        </row>
        <row r="59">
          <cell r="T59">
            <v>39.147599999999997</v>
          </cell>
        </row>
      </sheetData>
      <sheetData sheetId="3">
        <row r="28">
          <cell r="V28">
            <v>5.807448273240623E-2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搭售事件"/>
      <sheetName val="Lower-tier cities"/>
      <sheetName val="OPM breakdown"/>
      <sheetName val="Ctrip Market Share"/>
      <sheetName val="TTM Comparison"/>
      <sheetName val="间夜对比"/>
      <sheetName val="Sheet3"/>
      <sheetName val="TBE Comparison 0720 (2)"/>
      <sheetName val="TBE Comparison 0720"/>
      <sheetName val="TTM国内酒店对比"/>
      <sheetName val="机火对比"/>
      <sheetName val="SC"/>
      <sheetName val="间夜"/>
      <sheetName val="用户"/>
      <sheetName val="三月业务恢复"/>
      <sheetName val="MT"/>
      <sheetName val="Tongcheng eLong Comparison"/>
      <sheetName val="Meituan Comaprison(Q3)"/>
      <sheetName val="Sheet2"/>
      <sheetName val="Sheet4"/>
      <sheetName val="TCEL对比"/>
      <sheetName val="Sheet5"/>
      <sheetName val="中国民航运力"/>
      <sheetName val="5. International capacity"/>
      <sheetName val="对比"/>
      <sheetName val="机票市场"/>
      <sheetName val="TBE Comparison"/>
      <sheetName val="Sheet7"/>
      <sheetName val="全球行业数据"/>
      <sheetName val="2022"/>
      <sheetName val="Global Market (2)"/>
      <sheetName val="2021 (2)"/>
      <sheetName val="Output"/>
      <sheetName val="海外OTA横向对比 (√)"/>
      <sheetName val="酒店"/>
      <sheetName val="data"/>
      <sheetName val="ABE Consensus"/>
      <sheetName val="Sheet6"/>
      <sheetName val="TAM (2)"/>
      <sheetName val="TAM"/>
      <sheetName val="Investment Thesis"/>
      <sheetName val="Peer Comp"/>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43">
          <cell r="L43">
            <v>194.81730386199914</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门票Q"/>
      <sheetName val="大住宿"/>
      <sheetName val="机票"/>
      <sheetName val="IBU"/>
      <sheetName val="火车票、汽车票"/>
      <sheetName val="团队游C"/>
      <sheetName val="定制C"/>
      <sheetName val="门票活动C"/>
      <sheetName val="租车C+Q"/>
      <sheetName val="车导C+Q"/>
      <sheetName val="度假Q&amp;门票Q"/>
      <sheetName val="商旅"/>
      <sheetName val="金融"/>
      <sheetName val="市场营销"/>
      <sheetName val="SC"/>
      <sheetName val="人员（集团）&amp;Others"/>
      <sheetName val="人员（分公司）"/>
      <sheetName val="TRANSACTION"/>
      <sheetName val="International Revenue"/>
      <sheetName val="23Q4-控股GMV"/>
      <sheetName val="24Q1-控股GMV"/>
      <sheetName val="控股HC"/>
      <sheetName val="23Q3-控股GMV"/>
      <sheetName val="23Q2-控股GMV"/>
      <sheetName val="23Q1GMV草稿"/>
      <sheetName val="Sheet1"/>
      <sheetName val="23Q1HC草稿"/>
      <sheetName val="大住宿-Q4"/>
      <sheetName val="Others"/>
      <sheetName val="SC-Q4"/>
      <sheetName val="APPENDIX.1"/>
      <sheetName val="22Q4GMV草稿"/>
    </sheetNames>
    <sheetDataSet>
      <sheetData sheetId="0" refreshError="1"/>
      <sheetData sheetId="1" refreshError="1"/>
      <sheetData sheetId="2">
        <row r="66">
          <cell r="X66">
            <v>150.30043600008543</v>
          </cell>
          <cell r="AB66">
            <v>0.31216714013116076</v>
          </cell>
        </row>
      </sheetData>
      <sheetData sheetId="3">
        <row r="28">
          <cell r="X28">
            <v>118.47180346399999</v>
          </cell>
        </row>
      </sheetData>
      <sheetData sheetId="4">
        <row r="3">
          <cell r="X3">
            <v>12.575288</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661">
          <cell r="S661">
            <v>201172382604.08524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门票Q"/>
      <sheetName val="Summary"/>
      <sheetName val="大住宿"/>
      <sheetName val="大住宿打印"/>
      <sheetName val="机票"/>
      <sheetName val="IBU"/>
      <sheetName val="度假C"/>
      <sheetName val="定制C"/>
      <sheetName val="门票活动C"/>
      <sheetName val="租车C+Q"/>
      <sheetName val="用车&amp;包车游C+Q"/>
      <sheetName val="度假Q&amp;门票Q"/>
      <sheetName val="火车票、汽车票"/>
      <sheetName val="商旅"/>
      <sheetName val="金融"/>
      <sheetName val="市场营销"/>
      <sheetName val="SC"/>
      <sheetName val="大住宿-Q1"/>
      <sheetName val="IBU-Q1"/>
      <sheetName val="机票-Q1"/>
      <sheetName val="团队游C-Q1"/>
      <sheetName val="度假Q&amp;门票Q-Q1"/>
      <sheetName val="定制C-Q1"/>
      <sheetName val="门票活动C-Q1"/>
      <sheetName val="租车C+Q-Q1"/>
      <sheetName val="车导C+Q-Q1"/>
      <sheetName val="火车票、汽车票-Q1"/>
      <sheetName val="商旅24Q1"/>
      <sheetName val="金融-Q1"/>
      <sheetName val="市场营销24Q1"/>
      <sheetName val="SC-Q1"/>
      <sheetName val="人员（集团）&amp;Others"/>
      <sheetName val="人员（分公司）"/>
      <sheetName val="TRANSACTION"/>
      <sheetName val="International Revenue"/>
      <sheetName val="23Q4-控股GMV"/>
      <sheetName val="24Q1-控股GMV"/>
      <sheetName val="24Q2-控股GMV"/>
      <sheetName val="控股HC"/>
      <sheetName val="23Q3-控股GMV"/>
      <sheetName val="23Q2-控股GMV"/>
      <sheetName val="23Q1GMV草稿"/>
      <sheetName val="Sheet1"/>
      <sheetName val="23Q1HC草稿"/>
      <sheetName val="大住宿-Q4"/>
      <sheetName val="Others"/>
      <sheetName val="SC-Q4"/>
      <sheetName val="APPENDIX.1"/>
      <sheetName val="22Q4GMV草稿"/>
      <sheetName val="Balance Sheet"/>
      <sheetName val="Income Statement"/>
    </sheetNames>
    <sheetDataSet>
      <sheetData sheetId="0"/>
      <sheetData sheetId="1"/>
      <sheetData sheetId="2"/>
      <sheetData sheetId="3">
        <row r="47">
          <cell r="Y47">
            <v>144.31539399998616</v>
          </cell>
        </row>
        <row r="70">
          <cell r="AB70">
            <v>0.19407700117882887</v>
          </cell>
        </row>
      </sheetData>
      <sheetData sheetId="4"/>
      <sheetData sheetId="5">
        <row r="17">
          <cell r="V17">
            <v>85.172815999999997</v>
          </cell>
        </row>
      </sheetData>
      <sheetData sheetId="6">
        <row r="3">
          <cell r="Y3">
            <v>14.561995</v>
          </cell>
        </row>
      </sheetData>
      <sheetData sheetId="7"/>
      <sheetData sheetId="8"/>
      <sheetData sheetId="9"/>
      <sheetData sheetId="10"/>
      <sheetData sheetId="11"/>
      <sheetData sheetId="12"/>
      <sheetData sheetId="13">
        <row r="3">
          <cell r="Y3">
            <v>169.24682098954662</v>
          </cell>
        </row>
      </sheetData>
      <sheetData sheetId="14"/>
      <sheetData sheetId="15"/>
      <sheetData sheetId="16">
        <row r="50">
          <cell r="Y50">
            <v>506.80990644000002</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1">
          <cell r="U21">
            <v>34606.35</v>
          </cell>
        </row>
      </sheetData>
      <sheetData sheetId="33">
        <row r="185">
          <cell r="W185">
            <v>30265</v>
          </cell>
        </row>
      </sheetData>
      <sheetData sheetId="34">
        <row r="689">
          <cell r="X689">
            <v>256306994326.85617</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门票Q"/>
      <sheetName val="Summary"/>
      <sheetName val="大住宿"/>
      <sheetName val="机票"/>
      <sheetName val="IBU"/>
      <sheetName val="跟团游&amp;邮轮C"/>
      <sheetName val="独立出游C"/>
      <sheetName val="景点玩乐C"/>
      <sheetName val="租车C+Q"/>
      <sheetName val="用车&amp;包车游C+Q"/>
      <sheetName val="度假Q&amp;门票Q"/>
      <sheetName val="火车票、汽车票"/>
      <sheetName val="金融"/>
      <sheetName val="商旅"/>
      <sheetName val="市场营销"/>
      <sheetName val="SC"/>
      <sheetName val="人员（集团）&amp;Others"/>
      <sheetName val="人员（分公司）"/>
      <sheetName val="TRANSACTION"/>
      <sheetName val="International Revenue"/>
      <sheetName val="大住宿Q2"/>
      <sheetName val="大住宿打印Q2"/>
      <sheetName val="机票Q2"/>
      <sheetName val="IBUQ2"/>
      <sheetName val="度假Q&amp;门票QQ3"/>
      <sheetName val="度假C"/>
      <sheetName val="定制C"/>
      <sheetName val="门票活动C"/>
      <sheetName val="租车C+QQ2"/>
      <sheetName val="用车&amp;包车游C+QQ2"/>
      <sheetName val="火车票、汽车票-Q2"/>
      <sheetName val="商旅Q2"/>
      <sheetName val="金融-Q2"/>
      <sheetName val="市场营销Q2"/>
      <sheetName val="SCQ2"/>
      <sheetName val="大住宿-Q1"/>
      <sheetName val="IBU-Q1"/>
      <sheetName val="机票-Q1"/>
      <sheetName val="团队游C-Q1"/>
      <sheetName val="度假Q&amp;门票Q-Q1"/>
      <sheetName val="定制C-Q1"/>
      <sheetName val="门票活动C-Q1"/>
      <sheetName val="租车C+Q-Q1"/>
      <sheetName val="车导C+Q-Q1"/>
      <sheetName val="火车票、汽车票-Q1"/>
      <sheetName val="商旅24Q1"/>
      <sheetName val="金融-Q1"/>
      <sheetName val="市场营销24Q1"/>
      <sheetName val="SC-Q1"/>
      <sheetName val="23Q4-控股GMV"/>
      <sheetName val="24Q1-控股GMV"/>
      <sheetName val="控股HC"/>
      <sheetName val="24Q3-控股GMV"/>
      <sheetName val="24Q2-控股GMV"/>
      <sheetName val="23Q3-控股GMV"/>
      <sheetName val="23Q2-控股GMV"/>
      <sheetName val="23Q1GMV草稿"/>
      <sheetName val="Sheet1"/>
      <sheetName val="23Q1HC草稿"/>
      <sheetName val="大住宿-Q4"/>
      <sheetName val="Others"/>
      <sheetName val="SC-Q4"/>
      <sheetName val="APPENDIX.1"/>
      <sheetName val="22Q4GMV草稿"/>
    </sheetNames>
    <sheetDataSet>
      <sheetData sheetId="0"/>
      <sheetData sheetId="1"/>
      <sheetData sheetId="2"/>
      <sheetData sheetId="3" refreshError="1">
        <row r="71">
          <cell r="Z71">
            <v>201.47033786617735</v>
          </cell>
          <cell r="AB71">
            <v>0.15319261997094058</v>
          </cell>
        </row>
      </sheetData>
      <sheetData sheetId="4">
        <row r="28">
          <cell r="Z28">
            <v>135.5326379</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门票Q"/>
      <sheetName val="Summary"/>
      <sheetName val="大住宿"/>
      <sheetName val="大住宿打印Q2"/>
      <sheetName val="机票"/>
      <sheetName val="IBU"/>
      <sheetName val="跟团游&amp;邮轮C"/>
      <sheetName val="独立出游C"/>
      <sheetName val="景点玩乐C"/>
      <sheetName val="租车C+Q"/>
      <sheetName val="用车&amp;包车游C+Q"/>
      <sheetName val="度假Q&amp;门票Q"/>
      <sheetName val="火车票、汽车票"/>
      <sheetName val="金融"/>
      <sheetName val="商旅"/>
      <sheetName val="市场营销"/>
      <sheetName val="SC"/>
      <sheetName val="人员（集团）&amp;Others"/>
      <sheetName val="人员（分公司）"/>
      <sheetName val="控股HC"/>
      <sheetName val="TRANSACTION"/>
      <sheetName val="International Revenue"/>
      <sheetName val="火车票、汽车票-旧"/>
      <sheetName val="大住宿Q2"/>
      <sheetName val="机票Q2"/>
      <sheetName val="IBUQ2"/>
      <sheetName val="度假Q&amp;门票QQ3"/>
      <sheetName val="度假C"/>
      <sheetName val="定制C"/>
      <sheetName val="门票活动C"/>
      <sheetName val="租车C+QQ2"/>
      <sheetName val="用车&amp;包车游C+QQ2"/>
      <sheetName val="火车票、汽车票-Q2"/>
      <sheetName val="商旅Q2"/>
      <sheetName val="金融-Q2"/>
      <sheetName val="市场营销Q2"/>
      <sheetName val="SCQ2"/>
      <sheetName val="大住宿-Q1"/>
      <sheetName val="IBU-Q1"/>
      <sheetName val="机票-Q1"/>
      <sheetName val="团队游C-Q1"/>
      <sheetName val="度假Q&amp;门票Q-Q1"/>
      <sheetName val="定制C-Q1"/>
      <sheetName val="门票活动C-Q1"/>
      <sheetName val="租车C+Q-Q1"/>
      <sheetName val="车导C+Q-Q1"/>
      <sheetName val="火车票、汽车票-Q1"/>
      <sheetName val="商旅24Q1"/>
      <sheetName val="金融-Q1"/>
      <sheetName val="市场营销24Q1"/>
      <sheetName val="SC-Q1"/>
      <sheetName val="23Q4-控股GMV"/>
      <sheetName val="24Q1-控股GMV"/>
      <sheetName val="24Q4-控股GMV"/>
      <sheetName val="24Q3-控股GMV"/>
      <sheetName val="24Q2-控股GMV"/>
      <sheetName val="23Q3-控股GMV"/>
      <sheetName val="23Q2-控股GMV"/>
      <sheetName val="23Q1GMV草稿"/>
      <sheetName val="Sheet1"/>
      <sheetName val="23Q1HC草稿"/>
      <sheetName val="大住宿-Q4"/>
      <sheetName val="Others"/>
      <sheetName val="SC-Q4"/>
      <sheetName val="APPENDIX.1"/>
      <sheetName val="22Q4GMV草稿"/>
    </sheetNames>
    <sheetDataSet>
      <sheetData sheetId="0"/>
      <sheetData sheetId="1"/>
      <sheetData sheetId="2"/>
      <sheetData sheetId="3" refreshError="1">
        <row r="71">
          <cell r="X71">
            <v>150.30043600006496</v>
          </cell>
          <cell r="AB71">
            <v>0.17356135746548618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779">
          <cell r="Z779">
            <v>277318053399.89661</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门票Q"/>
      <sheetName val="Summary"/>
      <sheetName val="大住宿"/>
      <sheetName val="大住宿打印Q2"/>
      <sheetName val="机票"/>
      <sheetName val="IBU"/>
      <sheetName val="跟团游&amp;邮轮C"/>
      <sheetName val="独立出游C"/>
      <sheetName val="景点玩乐C"/>
      <sheetName val="租车C+Q"/>
      <sheetName val="用车&amp;包车游C+Q"/>
      <sheetName val="度假Q&amp;门票Q"/>
      <sheetName val="火车票、汽车票"/>
      <sheetName val="金融"/>
      <sheetName val="商旅"/>
      <sheetName val="市场营销"/>
      <sheetName val="SC"/>
      <sheetName val="人员（集团）&amp;Others"/>
      <sheetName val="人员（分公司）"/>
      <sheetName val="控股HC"/>
      <sheetName val="25Q1-控股GMV"/>
      <sheetName val="TRANSACTION"/>
      <sheetName val="24Q4-控股GMV"/>
      <sheetName val="International Revenue"/>
      <sheetName val="火车票、汽车票-旧"/>
      <sheetName val="大住宿Q2"/>
      <sheetName val="机票Q2"/>
      <sheetName val="IBUQ2"/>
      <sheetName val="度假Q&amp;门票QQ3"/>
      <sheetName val="度假C"/>
      <sheetName val="定制C"/>
      <sheetName val="门票活动C"/>
      <sheetName val="租车C+QQ2"/>
      <sheetName val="用车&amp;包车游C+QQ2"/>
      <sheetName val="火车票、汽车票-Q2"/>
      <sheetName val="商旅Q2"/>
      <sheetName val="金融-Q2"/>
      <sheetName val="市场营销Q2"/>
      <sheetName val="SCQ2"/>
      <sheetName val="大住宿-Q1"/>
      <sheetName val="IBU-Q1"/>
      <sheetName val="机票-Q1"/>
      <sheetName val="团队游C-Q1"/>
      <sheetName val="度假Q&amp;门票Q-Q1"/>
      <sheetName val="定制C-Q1"/>
      <sheetName val="门票活动C-Q1"/>
      <sheetName val="租车C+Q-Q1"/>
      <sheetName val="车导C+Q-Q1"/>
      <sheetName val="火车票、汽车票-Q1"/>
      <sheetName val="商旅24Q1"/>
      <sheetName val="金融-Q1"/>
      <sheetName val="市场营销24Q1"/>
      <sheetName val="SC-Q1"/>
      <sheetName val="23Q4-控股GMV"/>
      <sheetName val="24Q1-控股GMV"/>
      <sheetName val="24Q3-控股GMV"/>
      <sheetName val="24Q2-控股GMV"/>
      <sheetName val="23Q3-控股GMV"/>
      <sheetName val="23Q2-控股GMV"/>
      <sheetName val="23Q1GMV草稿"/>
      <sheetName val="Sheet1"/>
      <sheetName val="23Q1HC草稿"/>
      <sheetName val="大住宿-Q4"/>
      <sheetName val="Others"/>
      <sheetName val="SC-Q4"/>
      <sheetName val="APPENDIX.1"/>
      <sheetName val="22Q4GMV草稿"/>
    </sheetNames>
    <sheetDataSet>
      <sheetData sheetId="0"/>
      <sheetData sheetId="1"/>
      <sheetData sheetId="2"/>
      <sheetData sheetId="3" refreshError="1">
        <row r="47">
          <cell r="X47">
            <v>132.85590600006498</v>
          </cell>
        </row>
        <row r="76">
          <cell r="AC76">
            <v>0.17760300422770592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800">
          <cell r="AA800">
            <v>263835133346.44971</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录"/>
      <sheetName val="Summary"/>
      <sheetName val="大住宿"/>
      <sheetName val="机票"/>
      <sheetName val="IBU"/>
      <sheetName val="跟大团C"/>
      <sheetName val="独立出游C"/>
      <sheetName val="景点玩乐C"/>
      <sheetName val="租车C+Q"/>
      <sheetName val="用车&amp;包车游C+Q"/>
      <sheetName val="度假Q&amp;门票Q"/>
      <sheetName val="火车票、汽车票"/>
      <sheetName val="金融"/>
      <sheetName val="商旅"/>
      <sheetName val="市场营销"/>
      <sheetName val="SC"/>
      <sheetName val="人员（集团）&amp;Others"/>
      <sheetName val="人员（分公司）"/>
      <sheetName val="控股HC"/>
      <sheetName val="25Q2-控股GMV"/>
      <sheetName val="TRANSACTION"/>
      <sheetName val="途家"/>
      <sheetName val="International Revenue"/>
      <sheetName val="Rate"/>
    </sheetNames>
    <sheetDataSet>
      <sheetData sheetId="0"/>
      <sheetData sheetId="1"/>
      <sheetData sheetId="2">
        <row r="71">
          <cell r="AF71">
            <v>0.20904867693872387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 Q1"/>
      <sheetName val="2022 Q1"/>
      <sheetName val="2022 YTD"/>
      <sheetName val="2022 Q4"/>
      <sheetName val="2022 H1"/>
      <sheetName val="Summary"/>
      <sheetName val="2021 Q4"/>
      <sheetName val="CHECK"/>
      <sheetName val="Sheet5"/>
      <sheetName val="2020 Q4"/>
      <sheetName val="2020 Q3"/>
      <sheetName val="2020 Q2"/>
      <sheetName val="2020 Q1"/>
      <sheetName val="2019 Q4"/>
      <sheetName val="2019 Q3"/>
      <sheetName val="2019 Q2"/>
      <sheetName val="2019 Q1"/>
    </sheetNames>
    <sheetDataSet>
      <sheetData sheetId="0"/>
      <sheetData sheetId="1"/>
      <sheetData sheetId="2"/>
      <sheetData sheetId="3" refreshError="1">
        <row r="13">
          <cell r="E13">
            <v>2272592541</v>
          </cell>
        </row>
        <row r="75">
          <cell r="F75">
            <v>0.23204064993929568</v>
          </cell>
        </row>
      </sheetData>
      <sheetData sheetId="4"/>
      <sheetData sheetId="5">
        <row r="85">
          <cell r="Z85">
            <v>1312637014</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 Q1"/>
      <sheetName val="2022 Q1"/>
      <sheetName val="2023 Q2"/>
      <sheetName val="2023 H1"/>
      <sheetName val="Summary"/>
      <sheetName val="2021 Q4"/>
      <sheetName val="CHECK"/>
      <sheetName val="Sheet5"/>
      <sheetName val="2020 Q4"/>
      <sheetName val="2020 Q3"/>
      <sheetName val="2020 Q2"/>
      <sheetName val="2020 Q1"/>
      <sheetName val="2019 Q4"/>
      <sheetName val="2019 Q3"/>
      <sheetName val="2019 Q2"/>
      <sheetName val="2019 Q1"/>
    </sheetNames>
    <sheetDataSet>
      <sheetData sheetId="0"/>
      <sheetData sheetId="1"/>
      <sheetData sheetId="2" refreshError="1">
        <row r="75">
          <cell r="F75">
            <v>0.20538391375516479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 Q1"/>
      <sheetName val="2022 Q1"/>
      <sheetName val="2023 Q4 (2)"/>
      <sheetName val="Summary (2)"/>
      <sheetName val="2025 Q2"/>
      <sheetName val="2025 H1"/>
      <sheetName val="2024 YTD"/>
      <sheetName val="Summary"/>
      <sheetName val="2021 Q4"/>
      <sheetName val="CHECK"/>
      <sheetName val="Sheet5"/>
      <sheetName val="2020 Q4"/>
      <sheetName val="2020 Q3"/>
      <sheetName val="2020 Q2"/>
      <sheetName val="2020 Q1"/>
      <sheetName val="2019 Q4"/>
      <sheetName val="2019 Q3"/>
      <sheetName val="2019 Q2"/>
      <sheetName val="2019 Q1"/>
    </sheetNames>
    <sheetDataSet>
      <sheetData sheetId="0"/>
      <sheetData sheetId="1"/>
      <sheetData sheetId="2"/>
      <sheetData sheetId="3"/>
      <sheetData sheetId="4">
        <row r="77">
          <cell r="F77">
            <v>0.22054715417193468</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 Q1"/>
      <sheetName val="2022 Q1"/>
      <sheetName val="2023 Q4 (2)"/>
      <sheetName val="Summary (2)"/>
      <sheetName val="2024 Q2"/>
      <sheetName val="2024 H1"/>
      <sheetName val="Summary"/>
      <sheetName val="2021 Q4"/>
      <sheetName val="CHECK"/>
      <sheetName val="Sheet5"/>
      <sheetName val="2020 Q4"/>
      <sheetName val="2020 Q3"/>
      <sheetName val="2020 Q2"/>
      <sheetName val="2020 Q1"/>
      <sheetName val="2019 Q4"/>
      <sheetName val="2019 Q3"/>
      <sheetName val="2019 Q2"/>
      <sheetName val="2019 Q1"/>
    </sheetNames>
    <sheetDataSet>
      <sheetData sheetId="0"/>
      <sheetData sheetId="1"/>
      <sheetData sheetId="2"/>
      <sheetData sheetId="3"/>
      <sheetData sheetId="4"/>
      <sheetData sheetId="5"/>
      <sheetData sheetId="6" refreshError="1">
        <row r="19">
          <cell r="B19">
            <v>12771197905</v>
          </cell>
          <cell r="D19">
            <v>11905707416</v>
          </cell>
          <cell r="F19">
            <v>10324699810</v>
          </cell>
          <cell r="H19">
            <v>13739577091</v>
          </cell>
          <cell r="J19">
            <v>11247416492</v>
          </cell>
          <cell r="L19">
            <v>9197872287</v>
          </cell>
          <cell r="N19">
            <v>5027270260.8676805</v>
          </cell>
          <cell r="P19">
            <v>6892100388.2600002</v>
          </cell>
          <cell r="R19">
            <v>4010525626.4899998</v>
          </cell>
          <cell r="T19">
            <v>4109484975.75</v>
          </cell>
          <cell r="V19">
            <v>4680796496.6899996</v>
          </cell>
          <cell r="X19">
            <v>5344587565.0791817</v>
          </cell>
          <cell r="Z19">
            <v>5889390852.1836004</v>
          </cell>
          <cell r="AB19">
            <v>4108762906</v>
          </cell>
          <cell r="AD19">
            <v>4965300574</v>
          </cell>
          <cell r="AF19">
            <v>5462815144</v>
          </cell>
          <cell r="AH19">
            <v>3158682493</v>
          </cell>
          <cell r="AJ19">
            <v>4731549886</v>
          </cell>
          <cell r="AL19">
            <v>8334490611</v>
          </cell>
          <cell r="AN19">
            <v>10477176531</v>
          </cell>
          <cell r="AP19">
            <v>8689955719</v>
          </cell>
          <cell r="AR19">
            <v>8164213828</v>
          </cell>
        </row>
        <row r="31">
          <cell r="B31">
            <v>3555086077.6764984</v>
          </cell>
          <cell r="D31">
            <v>3315603995</v>
          </cell>
          <cell r="F31">
            <v>2194278574</v>
          </cell>
          <cell r="H31">
            <v>3909333649</v>
          </cell>
          <cell r="J31">
            <v>2978656785</v>
          </cell>
          <cell r="L31">
            <v>2241149240</v>
          </cell>
          <cell r="N31">
            <v>-239923112.00231886</v>
          </cell>
          <cell r="P31">
            <v>854244982.71000004</v>
          </cell>
          <cell r="R31">
            <v>-167307441.74437571</v>
          </cell>
          <cell r="T31">
            <v>-358794728.96562481</v>
          </cell>
          <cell r="V31">
            <v>-704951193.33999968</v>
          </cell>
          <cell r="X31">
            <v>-244987360.49999428</v>
          </cell>
          <cell r="Z31">
            <v>324896198.83999634</v>
          </cell>
          <cell r="AB31">
            <v>-785673349</v>
          </cell>
          <cell r="AD31">
            <v>-15170472</v>
          </cell>
          <cell r="AF31">
            <v>791106392</v>
          </cell>
          <cell r="AH31">
            <v>-689711745</v>
          </cell>
          <cell r="AJ31">
            <v>-1508122112</v>
          </cell>
          <cell r="AL31">
            <v>580217290</v>
          </cell>
          <cell r="AN31">
            <v>2243859240</v>
          </cell>
          <cell r="AP31">
            <v>1331473740</v>
          </cell>
          <cell r="AR31">
            <v>884728471</v>
          </cell>
        </row>
      </sheetData>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S-Val"/>
      <sheetName val="Tuniu-IS"/>
      <sheetName val="BS"/>
      <sheetName val="CFS"/>
    </sheetNames>
    <sheetDataSet>
      <sheetData sheetId="0"/>
      <sheetData sheetId="1"/>
      <sheetData sheetId="2"/>
      <sheetData sheetId="3">
        <row r="58">
          <cell r="E58">
            <v>-91.949864000000005</v>
          </cell>
          <cell r="F58">
            <v>-107.18992299999999</v>
          </cell>
          <cell r="G58">
            <v>-79.632079000000004</v>
          </cell>
        </row>
        <row r="100">
          <cell r="E100">
            <v>332.10080799999997</v>
          </cell>
        </row>
      </sheetData>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AVE"/>
    </sheetNames>
    <definedNames>
      <definedName name="getavgprice"/>
    </definedNames>
    <sheetDataSet>
      <sheetData sheetId="0"/>
      <sheetData sheetId="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8.xml"/><Relationship Id="rId1" Type="http://schemas.openxmlformats.org/officeDocument/2006/relationships/printerSettings" Target="../printerSettings/printerSettings7.bin"/><Relationship Id="rId4"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11.bin"/><Relationship Id="rId4" Type="http://schemas.openxmlformats.org/officeDocument/2006/relationships/comments" Target="../comments1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2.xml"/><Relationship Id="rId1" Type="http://schemas.openxmlformats.org/officeDocument/2006/relationships/printerSettings" Target="../printerSettings/printerSettings13.bin"/><Relationship Id="rId4" Type="http://schemas.openxmlformats.org/officeDocument/2006/relationships/comments" Target="../comments13.x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3.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4.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5.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C2:V294"/>
  <sheetViews>
    <sheetView workbookViewId="0"/>
  </sheetViews>
  <sheetFormatPr defaultColWidth="8.58203125" defaultRowHeight="12.5" outlineLevelRow="1"/>
  <cols>
    <col min="1" max="2" width="2.08203125" style="2359" customWidth="1"/>
    <col min="3" max="3" width="49" style="2359" customWidth="1"/>
    <col min="4" max="5" width="13.83203125" style="2359" hidden="1" customWidth="1"/>
    <col min="6" max="6" width="15" style="2359" customWidth="1"/>
    <col min="7" max="8" width="13.83203125" style="2359" customWidth="1"/>
    <col min="9" max="9" width="0.58203125" style="2347" customWidth="1"/>
    <col min="10" max="11" width="13.83203125" style="2359" customWidth="1"/>
    <col min="12" max="12" width="13.83203125" style="2359" hidden="1" customWidth="1"/>
    <col min="13" max="18" width="13.83203125" style="2359" customWidth="1"/>
    <col min="19" max="19" width="16" style="2359" customWidth="1"/>
    <col min="20" max="20" width="21.08203125" style="2359" customWidth="1"/>
    <col min="21" max="21" width="15.25" style="2359" bestFit="1" customWidth="1"/>
    <col min="22" max="22" width="15.33203125" style="2359" bestFit="1" customWidth="1"/>
    <col min="23" max="16384" width="8.58203125" style="2359"/>
  </cols>
  <sheetData>
    <row r="2" spans="3:19" s="2339" customFormat="1" ht="13">
      <c r="C2" s="2336" t="s">
        <v>2109</v>
      </c>
      <c r="D2" s="2336">
        <v>2015</v>
      </c>
      <c r="E2" s="2336">
        <v>2016</v>
      </c>
      <c r="F2" s="2336">
        <v>2017</v>
      </c>
      <c r="G2" s="2337">
        <v>2018</v>
      </c>
      <c r="H2" s="2337">
        <v>2019</v>
      </c>
      <c r="I2" s="2338"/>
      <c r="J2" s="2337" t="s">
        <v>1181</v>
      </c>
      <c r="K2" s="2337" t="s">
        <v>2110</v>
      </c>
      <c r="L2" s="2337" t="s">
        <v>2111</v>
      </c>
      <c r="M2" s="2337" t="s">
        <v>1178</v>
      </c>
      <c r="N2" s="2337" t="s">
        <v>1099</v>
      </c>
      <c r="O2" s="2337" t="s">
        <v>2112</v>
      </c>
      <c r="P2" s="2337" t="s">
        <v>2042</v>
      </c>
      <c r="Q2" s="2337" t="s">
        <v>2113</v>
      </c>
      <c r="R2" s="2337" t="s">
        <v>2114</v>
      </c>
    </row>
    <row r="3" spans="3:19" s="2339" customFormat="1" ht="13">
      <c r="C3" s="2340" t="s">
        <v>2115</v>
      </c>
      <c r="D3" s="2341">
        <f>+D6+D18</f>
        <v>36831.5</v>
      </c>
      <c r="E3" s="2341">
        <f>+E6+E18</f>
        <v>67795.600000000006</v>
      </c>
      <c r="F3" s="2341">
        <f>+F6+F18</f>
        <v>102313.59999999999</v>
      </c>
      <c r="G3" s="2342">
        <v>131500</v>
      </c>
      <c r="H3" s="2342">
        <f>SUM(O3:R3)</f>
        <v>166100</v>
      </c>
      <c r="I3" s="2343"/>
      <c r="J3" s="2341">
        <v>29000</v>
      </c>
      <c r="K3" s="2341">
        <v>28900</v>
      </c>
      <c r="L3" s="2341">
        <f>+L6+L18</f>
        <v>57962.9</v>
      </c>
      <c r="M3" s="2341">
        <v>39100</v>
      </c>
      <c r="N3" s="2340">
        <v>34500</v>
      </c>
      <c r="O3" s="2341">
        <v>35900</v>
      </c>
      <c r="P3" s="2341">
        <v>41300</v>
      </c>
      <c r="Q3" s="2341">
        <v>47600</v>
      </c>
      <c r="R3" s="2341">
        <v>41300</v>
      </c>
      <c r="S3" s="2339" t="s">
        <v>2116</v>
      </c>
    </row>
    <row r="4" spans="3:19" s="2347" customFormat="1" ht="13">
      <c r="C4" s="2344" t="s">
        <v>2117</v>
      </c>
      <c r="D4" s="2345"/>
      <c r="E4" s="2346">
        <f>E3/D3-1</f>
        <v>0.84069614324694908</v>
      </c>
      <c r="F4" s="2346">
        <f>F3/E3-1</f>
        <v>0.50914808630648567</v>
      </c>
      <c r="G4" s="2346">
        <f>G3/F3-1</f>
        <v>0.28526412910893573</v>
      </c>
      <c r="H4" s="2346">
        <f>H3/G3-1</f>
        <v>0.26311787072243353</v>
      </c>
      <c r="I4" s="2346"/>
      <c r="J4" s="2345"/>
      <c r="K4" s="2345"/>
      <c r="L4" s="2345"/>
      <c r="O4" s="961">
        <f>O3/J3-1</f>
        <v>0.23793103448275854</v>
      </c>
      <c r="P4" s="961">
        <f>P3/K3-1</f>
        <v>0.42906574394463659</v>
      </c>
      <c r="Q4" s="960">
        <f>Q3/M3-1</f>
        <v>0.21739130434782616</v>
      </c>
      <c r="R4" s="960">
        <f>R3/N3-1</f>
        <v>0.19710144927536222</v>
      </c>
    </row>
    <row r="5" spans="3:19" s="2347" customFormat="1" ht="13">
      <c r="D5" s="2345"/>
      <c r="E5" s="2345"/>
      <c r="F5" s="2345"/>
      <c r="G5" s="2348"/>
      <c r="H5" s="2348"/>
      <c r="I5" s="2348"/>
      <c r="J5" s="2345"/>
      <c r="K5" s="2345"/>
      <c r="L5" s="2345"/>
    </row>
    <row r="6" spans="3:19" s="2339" customFormat="1" ht="13.5">
      <c r="C6" s="2349" t="s">
        <v>2118</v>
      </c>
      <c r="D6" s="2350">
        <v>22553.7</v>
      </c>
      <c r="E6" s="2350">
        <v>50525.1</v>
      </c>
      <c r="F6" s="2350">
        <v>80013.399999999994</v>
      </c>
      <c r="G6" s="2350"/>
      <c r="H6" s="2350">
        <f>SUM(O6:R6)</f>
        <v>138642.95705173636</v>
      </c>
      <c r="I6" s="2343"/>
      <c r="J6" s="2350"/>
      <c r="K6" s="2350"/>
      <c r="L6" s="2350">
        <v>47231</v>
      </c>
      <c r="M6" s="2351"/>
      <c r="N6" s="2351"/>
      <c r="O6" s="2350">
        <f>O246</f>
        <v>30607</v>
      </c>
      <c r="P6" s="2350">
        <f>P3-P18</f>
        <v>34789.882352941175</v>
      </c>
      <c r="Q6" s="2350">
        <f>Q3-Q18</f>
        <v>39438.400000000001</v>
      </c>
      <c r="R6" s="2350">
        <f>R3-R18</f>
        <v>33807.674698795177</v>
      </c>
      <c r="S6" s="2352"/>
    </row>
    <row r="7" spans="3:19" s="2347" customFormat="1" ht="13">
      <c r="C7" s="2353" t="s">
        <v>2119</v>
      </c>
      <c r="D7" s="2345"/>
      <c r="E7" s="2346">
        <f>E6/D6-1</f>
        <v>1.2402133574535439</v>
      </c>
      <c r="F7" s="2346">
        <f>F6/E6-1</f>
        <v>0.58363664792350733</v>
      </c>
      <c r="G7" s="2346"/>
      <c r="H7" s="2346"/>
      <c r="I7" s="2346"/>
      <c r="J7" s="2345"/>
      <c r="K7" s="2345"/>
      <c r="L7" s="2345"/>
      <c r="Q7" s="960"/>
      <c r="R7" s="960"/>
    </row>
    <row r="8" spans="3:19" s="2339" customFormat="1" ht="13">
      <c r="C8" s="2349"/>
      <c r="D8" s="2351"/>
      <c r="E8" s="2351"/>
      <c r="F8" s="2351"/>
      <c r="G8" s="2351"/>
      <c r="H8" s="2351"/>
      <c r="I8" s="2348"/>
      <c r="J8" s="2351"/>
      <c r="K8" s="2351"/>
      <c r="L8" s="2351"/>
      <c r="M8" s="2351"/>
      <c r="N8" s="2351"/>
      <c r="O8" s="2351"/>
      <c r="P8" s="2351"/>
      <c r="Q8" s="2351"/>
      <c r="R8" s="2351"/>
    </row>
    <row r="9" spans="3:19" s="2339" customFormat="1" ht="13.5">
      <c r="C9" s="2354" t="s">
        <v>2120</v>
      </c>
      <c r="D9" s="2350">
        <v>14778.9</v>
      </c>
      <c r="E9" s="2350">
        <v>28067.599999999999</v>
      </c>
      <c r="F9" s="2350">
        <v>39502.5</v>
      </c>
      <c r="G9" s="2350"/>
      <c r="H9" s="2350"/>
      <c r="I9" s="2343"/>
      <c r="J9" s="2350"/>
      <c r="K9" s="2350"/>
      <c r="L9" s="2350">
        <v>22697.599999999999</v>
      </c>
      <c r="M9" s="2351"/>
      <c r="N9" s="2351"/>
      <c r="O9" s="2351"/>
      <c r="P9" s="2351"/>
      <c r="Q9" s="2351"/>
      <c r="R9" s="2351"/>
    </row>
    <row r="10" spans="3:19" ht="13">
      <c r="C10" s="2355" t="s">
        <v>2121</v>
      </c>
      <c r="D10" s="2356">
        <v>17.899999999999999</v>
      </c>
      <c r="E10" s="2356">
        <v>35.4</v>
      </c>
      <c r="F10" s="2356">
        <v>48.5</v>
      </c>
      <c r="G10" s="2356"/>
      <c r="H10" s="2356"/>
      <c r="I10" s="2357"/>
      <c r="J10" s="2356"/>
      <c r="K10" s="2356"/>
      <c r="L10" s="2356">
        <v>31.1</v>
      </c>
      <c r="M10" s="2358"/>
      <c r="N10" s="2358"/>
      <c r="O10" s="2358"/>
      <c r="P10" s="2358"/>
      <c r="Q10" s="2358"/>
      <c r="R10" s="2358"/>
    </row>
    <row r="11" spans="3:19" ht="13.5">
      <c r="C11" s="2360" t="s">
        <v>2122</v>
      </c>
      <c r="D11" s="2361">
        <f>D9/D6</f>
        <v>0.65527607443568014</v>
      </c>
      <c r="E11" s="2361">
        <f>E9/E6</f>
        <v>0.55551795048401686</v>
      </c>
      <c r="F11" s="2361">
        <f>F9/F6</f>
        <v>0.49369855549195513</v>
      </c>
      <c r="G11" s="2361"/>
      <c r="H11" s="2361"/>
      <c r="I11" s="2362"/>
      <c r="J11" s="2361"/>
      <c r="K11" s="2361"/>
      <c r="L11" s="2361">
        <f>L9/L6</f>
        <v>0.48056573013486903</v>
      </c>
      <c r="M11" s="2361"/>
      <c r="N11" s="2361"/>
      <c r="O11" s="2361"/>
      <c r="P11" s="2361"/>
      <c r="Q11" s="2361"/>
      <c r="R11" s="2361"/>
    </row>
    <row r="12" spans="3:19" ht="13">
      <c r="C12" s="2363"/>
      <c r="D12" s="2364"/>
      <c r="E12" s="2364"/>
      <c r="F12" s="2364"/>
      <c r="G12" s="2364"/>
      <c r="H12" s="2364"/>
      <c r="I12" s="2365"/>
      <c r="J12" s="2364"/>
      <c r="K12" s="2364"/>
      <c r="L12" s="2364"/>
      <c r="M12" s="2364"/>
      <c r="N12" s="2364"/>
      <c r="O12" s="2364"/>
      <c r="P12" s="2364"/>
      <c r="Q12" s="2364"/>
      <c r="R12" s="2364"/>
    </row>
    <row r="13" spans="3:19" ht="13">
      <c r="C13" s="2366" t="s">
        <v>2123</v>
      </c>
      <c r="D13" s="2356">
        <v>18824.599999999999</v>
      </c>
      <c r="E13" s="2356">
        <v>48068.6</v>
      </c>
      <c r="F13" s="2356">
        <v>77977.7</v>
      </c>
      <c r="G13" s="2367"/>
      <c r="H13" s="2367"/>
      <c r="I13" s="2368"/>
      <c r="J13" s="2367"/>
      <c r="K13" s="2367"/>
      <c r="L13" s="2367"/>
      <c r="M13" s="2369"/>
      <c r="N13" s="2369"/>
      <c r="O13" s="2369"/>
      <c r="P13" s="2369"/>
      <c r="Q13" s="2369"/>
      <c r="R13" s="2369"/>
    </row>
    <row r="14" spans="3:19" s="2347" customFormat="1" ht="13">
      <c r="C14" s="2353" t="s">
        <v>2117</v>
      </c>
      <c r="D14" s="2345"/>
      <c r="E14" s="2346">
        <f>E13/D13-1</f>
        <v>1.553499144736143</v>
      </c>
      <c r="F14" s="2346">
        <f>F13/E13-1</f>
        <v>0.6222169982067296</v>
      </c>
      <c r="G14" s="2346"/>
      <c r="H14" s="2346"/>
      <c r="I14" s="2346"/>
      <c r="J14" s="2345"/>
      <c r="K14" s="2345"/>
      <c r="L14" s="2345"/>
    </row>
    <row r="15" spans="3:19" ht="13">
      <c r="C15" s="2366" t="s">
        <v>2124</v>
      </c>
      <c r="D15" s="2356">
        <v>3729.1</v>
      </c>
      <c r="E15" s="2356">
        <v>2456.5</v>
      </c>
      <c r="F15" s="2356">
        <v>2035.7</v>
      </c>
      <c r="G15" s="2367"/>
      <c r="H15" s="2367"/>
      <c r="I15" s="2368"/>
      <c r="J15" s="2367"/>
      <c r="K15" s="2367"/>
      <c r="L15" s="2367"/>
      <c r="M15" s="2369"/>
      <c r="N15" s="2369"/>
      <c r="O15" s="2369"/>
      <c r="P15" s="2369"/>
      <c r="Q15" s="2369"/>
      <c r="R15" s="2369"/>
    </row>
    <row r="16" spans="3:19" s="2347" customFormat="1" ht="13">
      <c r="C16" s="2353" t="s">
        <v>2119</v>
      </c>
      <c r="D16" s="2345"/>
      <c r="E16" s="2346">
        <f>E15/D15-1</f>
        <v>-0.34126196669437669</v>
      </c>
      <c r="F16" s="2346">
        <f>F15/E15-1</f>
        <v>-0.17130063097903514</v>
      </c>
      <c r="G16" s="2346"/>
      <c r="H16" s="2346"/>
      <c r="I16" s="2346"/>
      <c r="J16" s="2345"/>
      <c r="K16" s="2345"/>
      <c r="L16" s="2345"/>
    </row>
    <row r="17" spans="3:20">
      <c r="C17" s="2366"/>
      <c r="D17" s="2356"/>
      <c r="E17" s="2356"/>
      <c r="F17" s="2356"/>
      <c r="G17" s="2367"/>
      <c r="H17" s="2367"/>
      <c r="I17" s="2368"/>
      <c r="J17" s="2367"/>
      <c r="K17" s="2367"/>
      <c r="L17" s="2367"/>
      <c r="M17" s="2369"/>
      <c r="N17" s="2369"/>
      <c r="O17" s="2369"/>
      <c r="P17" s="2369"/>
      <c r="Q17" s="2369"/>
      <c r="R17" s="2369"/>
      <c r="S17" s="2361"/>
      <c r="T17" s="2361"/>
    </row>
    <row r="18" spans="3:20" s="2339" customFormat="1" ht="13.5">
      <c r="C18" s="2349" t="s">
        <v>2125</v>
      </c>
      <c r="D18" s="2350">
        <v>14277.8</v>
      </c>
      <c r="E18" s="2350">
        <v>17270.5</v>
      </c>
      <c r="F18" s="2350">
        <v>22300.2</v>
      </c>
      <c r="G18" s="2350"/>
      <c r="H18" s="2350">
        <f>SUM(O18:R18)</f>
        <v>27457.042948263643</v>
      </c>
      <c r="I18" s="2343"/>
      <c r="J18" s="2350"/>
      <c r="K18" s="2350"/>
      <c r="L18" s="2350">
        <v>10731.9</v>
      </c>
      <c r="M18" s="2351"/>
      <c r="N18" s="2351"/>
      <c r="O18" s="2350">
        <f>O3-O6</f>
        <v>5293</v>
      </c>
      <c r="P18" s="2350">
        <f>P70/P86</f>
        <v>6510.1176470588234</v>
      </c>
      <c r="Q18" s="2350">
        <f>Q70/Q86</f>
        <v>8161.5999999999995</v>
      </c>
      <c r="R18" s="2350">
        <f>R70/R86</f>
        <v>7492.3253012048199</v>
      </c>
      <c r="S18" s="2352"/>
    </row>
    <row r="19" spans="3:20" s="2347" customFormat="1" ht="13">
      <c r="C19" s="2353" t="s">
        <v>2126</v>
      </c>
      <c r="D19" s="2345"/>
      <c r="E19" s="2346">
        <f>E18/D18-1</f>
        <v>0.20960512123716546</v>
      </c>
      <c r="F19" s="2346">
        <f>F18/E18-1</f>
        <v>0.29123071132856615</v>
      </c>
      <c r="G19" s="2346"/>
      <c r="H19" s="2346"/>
      <c r="I19" s="2346"/>
      <c r="J19" s="2345"/>
      <c r="K19" s="2345"/>
      <c r="L19" s="2345"/>
      <c r="Q19" s="960"/>
      <c r="R19" s="960"/>
    </row>
    <row r="20" spans="3:20" s="2347" customFormat="1" ht="13">
      <c r="C20" s="2353"/>
      <c r="D20" s="2345"/>
      <c r="E20" s="2346"/>
      <c r="F20" s="2346"/>
      <c r="G20" s="2346"/>
      <c r="H20" s="2346"/>
      <c r="I20" s="2346"/>
      <c r="J20" s="2345"/>
      <c r="K20" s="2345"/>
      <c r="L20" s="2345"/>
      <c r="R20" s="2370">
        <f>R18/265</f>
        <v>28.27292566492385</v>
      </c>
    </row>
    <row r="21" spans="3:20" ht="13">
      <c r="C21" s="2366" t="s">
        <v>2127</v>
      </c>
      <c r="D21" s="2356">
        <v>901.4</v>
      </c>
      <c r="E21" s="2356">
        <v>1379.7</v>
      </c>
      <c r="F21" s="2356">
        <v>1784.5</v>
      </c>
      <c r="G21" s="2367"/>
      <c r="H21" s="2367"/>
      <c r="I21" s="2368"/>
      <c r="J21" s="2367"/>
      <c r="K21" s="2367"/>
      <c r="L21" s="2367"/>
      <c r="M21" s="2369"/>
      <c r="N21" s="2369"/>
      <c r="O21" s="2369"/>
      <c r="P21" s="2369"/>
      <c r="Q21" s="2369"/>
      <c r="R21" s="2369"/>
    </row>
    <row r="22" spans="3:20" s="2347" customFormat="1" ht="13">
      <c r="C22" s="2353" t="s">
        <v>2119</v>
      </c>
      <c r="D22" s="2345"/>
      <c r="E22" s="2346">
        <f>E21/D21-1</f>
        <v>0.53061903705347246</v>
      </c>
      <c r="F22" s="2346">
        <f>F21/E21-1</f>
        <v>0.29339711531492352</v>
      </c>
      <c r="G22" s="2346"/>
      <c r="H22" s="2346"/>
      <c r="I22" s="2346"/>
      <c r="J22" s="2345"/>
      <c r="K22" s="2345"/>
      <c r="L22" s="2345"/>
    </row>
    <row r="23" spans="3:20" ht="13">
      <c r="C23" s="2366" t="s">
        <v>2124</v>
      </c>
      <c r="D23" s="2356">
        <v>13376.4</v>
      </c>
      <c r="E23" s="2356">
        <v>15890.7</v>
      </c>
      <c r="F23" s="2356">
        <v>20515.7</v>
      </c>
      <c r="G23" s="2367"/>
      <c r="H23" s="2367"/>
      <c r="I23" s="2368"/>
      <c r="J23" s="2367"/>
      <c r="K23" s="2367"/>
      <c r="L23" s="2367"/>
      <c r="M23" s="2369"/>
      <c r="N23" s="2369"/>
      <c r="O23" s="2369"/>
      <c r="P23" s="2369"/>
      <c r="Q23" s="2369"/>
      <c r="R23" s="2369"/>
      <c r="S23" s="2361"/>
      <c r="T23" s="2361"/>
    </row>
    <row r="24" spans="3:20" s="2347" customFormat="1" ht="13">
      <c r="C24" s="2353" t="s">
        <v>2119</v>
      </c>
      <c r="D24" s="2345"/>
      <c r="E24" s="2346">
        <f>E23/D23-1</f>
        <v>0.18796537184892803</v>
      </c>
      <c r="F24" s="2346">
        <f>F23/E23-1</f>
        <v>0.29105074037015366</v>
      </c>
      <c r="G24" s="2346"/>
      <c r="H24" s="2346"/>
      <c r="I24" s="2346"/>
      <c r="J24" s="2345"/>
      <c r="K24" s="2345"/>
      <c r="L24" s="2345"/>
    </row>
    <row r="26" spans="3:20" s="2339" customFormat="1" ht="13">
      <c r="C26" s="2340" t="s">
        <v>2128</v>
      </c>
      <c r="D26" s="2340"/>
      <c r="E26" s="2340"/>
      <c r="F26" s="2340"/>
      <c r="G26" s="2340"/>
      <c r="H26" s="2340"/>
      <c r="I26" s="2371"/>
      <c r="J26" s="2340"/>
      <c r="K26" s="2340"/>
      <c r="L26" s="2340"/>
      <c r="M26" s="2340"/>
      <c r="N26" s="2340"/>
      <c r="O26" s="2340"/>
      <c r="P26" s="2340"/>
      <c r="Q26" s="2340"/>
      <c r="R26" s="2340"/>
    </row>
    <row r="27" spans="3:20" ht="13">
      <c r="C27" s="2339" t="s">
        <v>2129</v>
      </c>
      <c r="D27" s="2372">
        <f>+D126+D201</f>
        <v>1606.6469999999999</v>
      </c>
      <c r="E27" s="2372">
        <f>+E126+E201</f>
        <v>3639.5219999999999</v>
      </c>
      <c r="F27" s="2372">
        <f>+F126+F201</f>
        <v>5226.09</v>
      </c>
      <c r="G27" s="2373">
        <v>6090.8</v>
      </c>
      <c r="H27" s="2373">
        <f>SUM(O27:R27)</f>
        <v>7392.9320000000007</v>
      </c>
      <c r="I27" s="2374"/>
      <c r="J27" s="2375">
        <v>1517.5119999999999</v>
      </c>
      <c r="K27" s="2375">
        <v>1314.48</v>
      </c>
      <c r="L27" s="2375">
        <v>2831.9920000000002</v>
      </c>
      <c r="M27" s="2375">
        <v>1686.3969999999999</v>
      </c>
      <c r="N27" s="2376">
        <f>G27-J27-K27-M27</f>
        <v>1572.4110000000005</v>
      </c>
      <c r="O27" s="2375">
        <v>1783.4110000000001</v>
      </c>
      <c r="P27" s="2375">
        <v>1590.8979999999999</v>
      </c>
      <c r="Q27" s="2375">
        <v>2062.13</v>
      </c>
      <c r="R27" s="2375">
        <v>1956.4929999999999</v>
      </c>
      <c r="S27" s="859">
        <f>N27*(1+0.275)</f>
        <v>2004.8240250000006</v>
      </c>
      <c r="T27" s="2377">
        <f>S27+Q27+P27+O27</f>
        <v>7441.2630250000011</v>
      </c>
    </row>
    <row r="28" spans="3:20" s="2347" customFormat="1" ht="13">
      <c r="C28" s="2344" t="s">
        <v>2130</v>
      </c>
      <c r="D28" s="2345"/>
      <c r="E28" s="2346">
        <f>E27/D27-1</f>
        <v>1.2652903842598904</v>
      </c>
      <c r="F28" s="2346">
        <f>F27/E27-1</f>
        <v>0.43592757510464297</v>
      </c>
      <c r="G28" s="2346">
        <f>G27/F27-1</f>
        <v>0.16546021978190195</v>
      </c>
      <c r="H28" s="2346">
        <f>H27/G27-1</f>
        <v>0.21378669468706901</v>
      </c>
      <c r="I28" s="2346"/>
      <c r="J28" s="2345"/>
      <c r="K28" s="2345"/>
      <c r="L28" s="2345"/>
      <c r="O28" s="961">
        <f>O27/J27-1</f>
        <v>0.17522036069566505</v>
      </c>
      <c r="P28" s="961">
        <f>P27/K27-1</f>
        <v>0.21028695758018379</v>
      </c>
      <c r="Q28" s="961">
        <f>Q27/M27-1</f>
        <v>0.22280222272691441</v>
      </c>
      <c r="R28" s="961"/>
      <c r="T28" s="960">
        <f>T27/G27-1</f>
        <v>0.22172178121100683</v>
      </c>
    </row>
    <row r="29" spans="3:20" s="2347" customFormat="1" ht="13">
      <c r="C29" s="2344"/>
      <c r="D29" s="2345"/>
      <c r="E29" s="2346"/>
      <c r="F29" s="2346"/>
      <c r="G29" s="2346"/>
      <c r="H29" s="2346"/>
      <c r="I29" s="2346"/>
      <c r="J29" s="2345"/>
      <c r="K29" s="2345"/>
      <c r="L29" s="2345"/>
    </row>
    <row r="30" spans="3:20" s="2347" customFormat="1" ht="13">
      <c r="C30" s="2359" t="s">
        <v>2131</v>
      </c>
      <c r="D30" s="2376">
        <f>+D135+D208</f>
        <v>-868.18799999999999</v>
      </c>
      <c r="E30" s="2376">
        <f>+E135+E208</f>
        <v>-1563.124</v>
      </c>
      <c r="F30" s="2376">
        <f>+F135+F208</f>
        <v>-1670.587</v>
      </c>
      <c r="G30" s="2346"/>
      <c r="H30" s="859">
        <f>SUM(O30:R30)</f>
        <v>2317.7460000000001</v>
      </c>
      <c r="I30" s="2346"/>
      <c r="J30" s="2345"/>
      <c r="K30" s="2378">
        <v>370.53100000000001</v>
      </c>
      <c r="L30" s="2378"/>
      <c r="M30" s="2378">
        <v>479.54300000000001</v>
      </c>
      <c r="N30" s="2379">
        <v>556.35400000000004</v>
      </c>
      <c r="O30" s="2378">
        <v>498.27</v>
      </c>
      <c r="P30" s="2378">
        <v>561.16</v>
      </c>
      <c r="Q30" s="2378">
        <v>683.255</v>
      </c>
      <c r="R30" s="2378">
        <v>575.06100000000004</v>
      </c>
    </row>
    <row r="31" spans="3:20" s="2347" customFormat="1" ht="13">
      <c r="C31" s="2339"/>
      <c r="D31" s="2345"/>
      <c r="E31" s="2346"/>
      <c r="F31" s="2346"/>
      <c r="G31" s="2346"/>
      <c r="H31" s="2346"/>
      <c r="I31" s="2346"/>
      <c r="J31" s="2345"/>
      <c r="K31" s="2345"/>
      <c r="L31" s="2345"/>
    </row>
    <row r="32" spans="3:20" s="2347" customFormat="1" ht="13">
      <c r="C32" s="2339" t="s">
        <v>2132</v>
      </c>
      <c r="D32" s="2380">
        <f>D27+D30</f>
        <v>738.45899999999995</v>
      </c>
      <c r="E32" s="2380">
        <f>E27+E30</f>
        <v>2076.3980000000001</v>
      </c>
      <c r="F32" s="2380">
        <f>F27+F30</f>
        <v>3555.5030000000002</v>
      </c>
      <c r="G32" s="2346"/>
      <c r="H32" s="2368">
        <f>SUM(O32:R32)</f>
        <v>5075.1859999999997</v>
      </c>
      <c r="I32" s="2346"/>
      <c r="J32" s="2345"/>
      <c r="K32" s="2381">
        <v>943.94899999999996</v>
      </c>
      <c r="L32" s="2381"/>
      <c r="M32" s="2381">
        <v>1206.854</v>
      </c>
      <c r="N32" s="2381">
        <v>1016.044</v>
      </c>
      <c r="O32" s="2381">
        <v>1285.1410000000001</v>
      </c>
      <c r="P32" s="2381">
        <v>1029.7380000000001</v>
      </c>
      <c r="Q32" s="2382">
        <v>1378.875</v>
      </c>
      <c r="R32" s="2382">
        <v>1381.432</v>
      </c>
    </row>
    <row r="33" spans="3:18" s="2347" customFormat="1" ht="13">
      <c r="C33" s="2344" t="s">
        <v>2130</v>
      </c>
      <c r="D33" s="2345"/>
      <c r="E33" s="2346">
        <f>E32/D32-1</f>
        <v>1.8117986238911032</v>
      </c>
      <c r="F33" s="2346">
        <f>F32/E32-1</f>
        <v>0.71234175721610216</v>
      </c>
      <c r="G33" s="2346"/>
      <c r="H33" s="2346"/>
      <c r="I33" s="2346"/>
      <c r="J33" s="2345"/>
      <c r="K33" s="2345"/>
      <c r="L33" s="2345"/>
    </row>
    <row r="34" spans="3:18" s="2347" customFormat="1" ht="13">
      <c r="C34" s="2383" t="s">
        <v>2133</v>
      </c>
      <c r="D34" s="2346">
        <f>D32/D$27</f>
        <v>0.45962741037701499</v>
      </c>
      <c r="E34" s="2346">
        <f>E32/E$27</f>
        <v>0.57051393012598917</v>
      </c>
      <c r="F34" s="2346">
        <f>F32/F$27</f>
        <v>0.68033711627622184</v>
      </c>
      <c r="G34" s="2346"/>
      <c r="H34" s="2346"/>
      <c r="I34" s="2346"/>
      <c r="J34" s="2345"/>
      <c r="K34" s="2345"/>
      <c r="L34" s="2345"/>
    </row>
    <row r="35" spans="3:18" s="2347" customFormat="1" ht="13">
      <c r="C35" s="2359"/>
      <c r="D35" s="2345"/>
      <c r="E35" s="2346"/>
      <c r="F35" s="2346"/>
      <c r="G35" s="2346"/>
      <c r="H35" s="2346"/>
      <c r="I35" s="2346"/>
      <c r="J35" s="2345"/>
      <c r="K35" s="2345"/>
      <c r="L35" s="2345"/>
    </row>
    <row r="36" spans="3:18" s="2347" customFormat="1" ht="13">
      <c r="C36" s="2359" t="s">
        <v>2134</v>
      </c>
      <c r="D36" s="2384">
        <f>+D39+D42+D45</f>
        <v>-2248.9920000000002</v>
      </c>
      <c r="E36" s="2384">
        <f>+E39+E42+E45</f>
        <v>-4276.777</v>
      </c>
      <c r="F36" s="2384">
        <f>+F39+F42+F45</f>
        <v>-3032.6779999999999</v>
      </c>
      <c r="G36" s="2346"/>
      <c r="H36" s="2346"/>
      <c r="I36" s="2346"/>
      <c r="J36" s="2345"/>
      <c r="K36" s="2345"/>
      <c r="L36" s="2345"/>
    </row>
    <row r="37" spans="3:18" s="2387" customFormat="1" ht="13">
      <c r="C37" s="2353" t="s">
        <v>2130</v>
      </c>
      <c r="D37" s="2346"/>
      <c r="E37" s="2346">
        <f>E36/D36-1</f>
        <v>0.9016417132653205</v>
      </c>
      <c r="F37" s="2346">
        <f>F36/E36-1</f>
        <v>-0.29089639230663655</v>
      </c>
      <c r="G37" s="2385"/>
      <c r="H37" s="2385"/>
      <c r="I37" s="2385"/>
      <c r="J37" s="2386"/>
      <c r="K37" s="2386"/>
      <c r="L37" s="2386"/>
    </row>
    <row r="38" spans="3:18" s="2387" customFormat="1" ht="13">
      <c r="C38" s="2388" t="s">
        <v>2135</v>
      </c>
      <c r="D38" s="2346">
        <f>D36/D$27*-1</f>
        <v>1.3998046864059126</v>
      </c>
      <c r="E38" s="2346">
        <f>E36/E$27*-1</f>
        <v>1.1750930479332176</v>
      </c>
      <c r="F38" s="2346">
        <f>F36/F$27*-1</f>
        <v>0.58029578518548275</v>
      </c>
      <c r="G38" s="2385"/>
      <c r="H38" s="2385"/>
      <c r="I38" s="2385"/>
      <c r="J38" s="2386"/>
      <c r="K38" s="2386"/>
      <c r="L38" s="2386"/>
    </row>
    <row r="39" spans="3:18" s="2347" customFormat="1" ht="13">
      <c r="C39" s="2389" t="s">
        <v>2136</v>
      </c>
      <c r="D39" s="2376">
        <f>+D154+D214</f>
        <v>-563.34999999999991</v>
      </c>
      <c r="E39" s="2376">
        <f>+E154+E214</f>
        <v>-889.36800000000005</v>
      </c>
      <c r="F39" s="2376">
        <f>+F154+F214</f>
        <v>-1036.818</v>
      </c>
      <c r="G39" s="2346"/>
      <c r="H39" s="2346"/>
      <c r="I39" s="2346"/>
      <c r="J39" s="2345"/>
      <c r="K39" s="2378">
        <v>-317.5</v>
      </c>
      <c r="L39" s="2378"/>
      <c r="M39" s="2378">
        <v>-403.346</v>
      </c>
      <c r="N39" s="2378">
        <v>-439.85500000000002</v>
      </c>
      <c r="O39" s="2378">
        <v>-430.05200000000002</v>
      </c>
      <c r="P39" s="2378">
        <v>-352.154</v>
      </c>
      <c r="Q39" s="2378">
        <v>-359.58699999999999</v>
      </c>
      <c r="R39" s="2378">
        <v>-377.31599999999997</v>
      </c>
    </row>
    <row r="40" spans="3:18" s="2387" customFormat="1" ht="13">
      <c r="C40" s="2353" t="s">
        <v>2137</v>
      </c>
      <c r="D40" s="2346"/>
      <c r="E40" s="2346">
        <f>E39/D39-1</f>
        <v>0.57871305582675103</v>
      </c>
      <c r="F40" s="2346">
        <f>F39/E39-1</f>
        <v>0.16579188817227508</v>
      </c>
      <c r="G40" s="2385"/>
      <c r="H40" s="2385"/>
      <c r="I40" s="2385"/>
      <c r="J40" s="2386"/>
      <c r="K40" s="2386"/>
      <c r="L40" s="2386"/>
    </row>
    <row r="41" spans="3:18" s="2387" customFormat="1" ht="13">
      <c r="C41" s="2388" t="s">
        <v>2135</v>
      </c>
      <c r="D41" s="2346">
        <f>D39/D$27*-1</f>
        <v>0.35063707211353828</v>
      </c>
      <c r="E41" s="2346">
        <f>E39/E$27*-1</f>
        <v>0.2443639576845531</v>
      </c>
      <c r="F41" s="2346">
        <f>F39/F$27*-1</f>
        <v>0.19839267980459577</v>
      </c>
      <c r="G41" s="2385"/>
      <c r="H41" s="2385"/>
      <c r="I41" s="2385"/>
      <c r="J41" s="2386"/>
      <c r="K41" s="2386"/>
      <c r="L41" s="2386"/>
    </row>
    <row r="42" spans="3:18" s="2347" customFormat="1" ht="13">
      <c r="C42" s="2389" t="s">
        <v>2138</v>
      </c>
      <c r="D42" s="2376">
        <f>+D156+D215</f>
        <v>-1356.2280000000001</v>
      </c>
      <c r="E42" s="2376">
        <f>+E156+E215</f>
        <v>-2397.953</v>
      </c>
      <c r="F42" s="2376">
        <f>+F156+F215</f>
        <v>-1765.7090000000001</v>
      </c>
      <c r="G42" s="2346"/>
      <c r="H42" s="2346"/>
      <c r="I42" s="2346"/>
      <c r="J42" s="2345"/>
      <c r="K42" s="2378">
        <v>-464.096</v>
      </c>
      <c r="L42" s="2378"/>
      <c r="M42" s="2378">
        <v>-576.20699999999999</v>
      </c>
      <c r="N42" s="2378">
        <v>-559.02</v>
      </c>
      <c r="O42" s="2378">
        <v>-469.72300000000001</v>
      </c>
      <c r="P42" s="2378">
        <v>-407.18700000000001</v>
      </c>
      <c r="Q42" s="2378">
        <v>-627.56500000000005</v>
      </c>
      <c r="R42" s="2378">
        <v>-741.97500000000002</v>
      </c>
    </row>
    <row r="43" spans="3:18" s="2387" customFormat="1" ht="13">
      <c r="C43" s="2353" t="s">
        <v>2137</v>
      </c>
      <c r="D43" s="2346"/>
      <c r="E43" s="2346">
        <f>E42/D42-1</f>
        <v>0.76810462547595226</v>
      </c>
      <c r="F43" s="2346">
        <f>F42/E42-1</f>
        <v>-0.26365987990590301</v>
      </c>
      <c r="G43" s="2385"/>
      <c r="H43" s="2385"/>
      <c r="I43" s="2385"/>
      <c r="J43" s="2386"/>
      <c r="K43" s="2386"/>
      <c r="L43" s="2386"/>
    </row>
    <row r="44" spans="3:18" s="2387" customFormat="1" ht="13">
      <c r="C44" s="2388" t="s">
        <v>2139</v>
      </c>
      <c r="D44" s="2346">
        <f>D42/D$27*-1</f>
        <v>0.84413564398402396</v>
      </c>
      <c r="E44" s="2346">
        <f>E42/E$27*-1</f>
        <v>0.65886481796235885</v>
      </c>
      <c r="F44" s="2346">
        <f>F42/F$27*-1</f>
        <v>0.3378642541555924</v>
      </c>
      <c r="G44" s="2385"/>
      <c r="H44" s="2385"/>
      <c r="I44" s="2385"/>
      <c r="J44" s="2386"/>
      <c r="K44" s="2386"/>
      <c r="L44" s="2386"/>
    </row>
    <row r="45" spans="3:18" s="2347" customFormat="1" ht="13">
      <c r="C45" s="2389" t="s">
        <v>2140</v>
      </c>
      <c r="D45" s="2376">
        <f>+D158+D216</f>
        <v>-329.41399999999999</v>
      </c>
      <c r="E45" s="2376">
        <f>+E158+E216</f>
        <v>-989.45600000000002</v>
      </c>
      <c r="F45" s="2376">
        <f>+F158+F216</f>
        <v>-230.15100000000001</v>
      </c>
      <c r="G45" s="2346"/>
      <c r="H45" s="2346"/>
      <c r="I45" s="2346"/>
      <c r="J45" s="2345"/>
      <c r="K45" s="2378">
        <v>-133.749</v>
      </c>
      <c r="L45" s="2378"/>
      <c r="M45" s="2378">
        <v>-163.476</v>
      </c>
      <c r="N45" s="2378">
        <v>-255.571</v>
      </c>
      <c r="O45" s="2378">
        <v>-228.322</v>
      </c>
      <c r="P45" s="2378">
        <v>-99.805000000000007</v>
      </c>
      <c r="Q45" s="2378">
        <v>-97.516000000000005</v>
      </c>
      <c r="R45" s="2378">
        <v>-199.51</v>
      </c>
    </row>
    <row r="46" spans="3:18" s="2387" customFormat="1" ht="13">
      <c r="C46" s="2353" t="s">
        <v>2137</v>
      </c>
      <c r="D46" s="2346"/>
      <c r="E46" s="2346">
        <f>E45/D45-1</f>
        <v>2.0036853321352464</v>
      </c>
      <c r="F46" s="2346">
        <f>F45/E45-1</f>
        <v>-0.76739642793615892</v>
      </c>
      <c r="G46" s="2385"/>
      <c r="H46" s="2385"/>
      <c r="I46" s="2385"/>
      <c r="J46" s="2386"/>
      <c r="K46" s="2386"/>
      <c r="L46" s="2386"/>
    </row>
    <row r="47" spans="3:18" s="2387" customFormat="1" ht="13">
      <c r="C47" s="2388" t="s">
        <v>2139</v>
      </c>
      <c r="D47" s="2346">
        <f>D45/D$27*-1</f>
        <v>0.20503197030835024</v>
      </c>
      <c r="E47" s="2346">
        <f>E45/E$27*-1</f>
        <v>0.27186427228630572</v>
      </c>
      <c r="F47" s="2346">
        <f>F45/F$27*-1</f>
        <v>4.4038851225294627E-2</v>
      </c>
      <c r="G47" s="2385"/>
      <c r="H47" s="2385"/>
      <c r="I47" s="2385"/>
      <c r="J47" s="2386"/>
      <c r="K47" s="2386"/>
      <c r="L47" s="2386"/>
    </row>
    <row r="48" spans="3:18" s="2347" customFormat="1" ht="13">
      <c r="C48" s="2359"/>
      <c r="D48" s="2345"/>
      <c r="E48" s="2346"/>
      <c r="F48" s="2346"/>
      <c r="G48" s="2346"/>
      <c r="H48" s="2346"/>
      <c r="I48" s="2346"/>
      <c r="J48" s="2345"/>
      <c r="K48" s="2345"/>
      <c r="L48" s="2345"/>
    </row>
    <row r="49" spans="3:19" s="2347" customFormat="1" ht="13">
      <c r="C49" s="2359" t="s">
        <v>2141</v>
      </c>
      <c r="D49" s="2372">
        <f>+D163+D221</f>
        <v>-1390.0942788746777</v>
      </c>
      <c r="E49" s="2372">
        <f>+E163+E221</f>
        <v>-2190.437333290241</v>
      </c>
      <c r="F49" s="2372">
        <f>+F163+F221</f>
        <v>597.55031226626306</v>
      </c>
      <c r="G49" s="2346"/>
      <c r="H49" s="2346"/>
      <c r="I49" s="2346"/>
      <c r="J49" s="2345"/>
      <c r="K49" s="2381">
        <v>63.616999999999997</v>
      </c>
      <c r="L49" s="2381"/>
      <c r="M49" s="2382">
        <v>104.515</v>
      </c>
      <c r="N49" s="2382">
        <v>-167.29599999999999</v>
      </c>
      <c r="O49" s="2381">
        <v>187.452</v>
      </c>
      <c r="P49" s="2381">
        <v>218.17400000000001</v>
      </c>
      <c r="Q49" s="2382">
        <v>347.21899999999999</v>
      </c>
      <c r="R49" s="2382">
        <v>106.682</v>
      </c>
    </row>
    <row r="50" spans="3:19" s="2347" customFormat="1" ht="13">
      <c r="C50" s="2344" t="s">
        <v>2137</v>
      </c>
      <c r="D50" s="2345"/>
      <c r="E50" s="2346">
        <f>E49/D49-1</f>
        <v>0.57574731914116262</v>
      </c>
      <c r="F50" s="2346">
        <f>F49/E49-1</f>
        <v>-1.2727995470058424</v>
      </c>
      <c r="G50" s="2346"/>
      <c r="H50" s="2346"/>
      <c r="I50" s="2346"/>
      <c r="J50" s="2345"/>
      <c r="K50" s="2345"/>
      <c r="L50" s="2345"/>
    </row>
    <row r="51" spans="3:19" s="2347" customFormat="1" ht="13">
      <c r="C51" s="2383" t="s">
        <v>2142</v>
      </c>
      <c r="D51" s="2346">
        <f>D49/D$27</f>
        <v>-0.86521449881316659</v>
      </c>
      <c r="E51" s="2346">
        <f>E49/E$27</f>
        <v>-0.60184753198091423</v>
      </c>
      <c r="F51" s="2346">
        <f>F49/F$27</f>
        <v>0.11433984341376881</v>
      </c>
      <c r="G51" s="2346"/>
      <c r="H51" s="2346"/>
      <c r="I51" s="2346"/>
      <c r="J51" s="2345"/>
      <c r="K51" s="2345"/>
      <c r="L51" s="2345"/>
    </row>
    <row r="52" spans="3:19" s="2347" customFormat="1" ht="13">
      <c r="C52" s="2359"/>
      <c r="D52" s="2345"/>
      <c r="E52" s="2346"/>
      <c r="F52" s="2346"/>
      <c r="G52" s="2346"/>
      <c r="H52" s="2346"/>
      <c r="I52" s="2346"/>
      <c r="J52" s="2345"/>
      <c r="K52" s="2345"/>
      <c r="L52" s="2345"/>
    </row>
    <row r="53" spans="3:19" s="2347" customFormat="1" ht="13">
      <c r="C53" s="2359"/>
      <c r="D53" s="2345"/>
      <c r="E53" s="2346"/>
      <c r="F53" s="2346"/>
      <c r="G53" s="2346"/>
      <c r="H53" s="2346"/>
      <c r="I53" s="2346"/>
      <c r="J53" s="2345"/>
      <c r="K53" s="2345"/>
      <c r="L53" s="2345"/>
    </row>
    <row r="54" spans="3:19" s="2347" customFormat="1" ht="13">
      <c r="C54" s="2390" t="s">
        <v>2143</v>
      </c>
      <c r="D54" s="2391">
        <f>+D165+D240</f>
        <v>-998.50448400000005</v>
      </c>
      <c r="E54" s="2391">
        <f>+E165+E240</f>
        <v>-46.551765000000017</v>
      </c>
      <c r="F54" s="2391">
        <f>+F165+F240</f>
        <v>952.05400000000009</v>
      </c>
      <c r="G54" s="2392">
        <v>1481.6489999999999</v>
      </c>
      <c r="H54" s="2392">
        <f>SUM(O54:R54)</f>
        <v>2018.5319999999999</v>
      </c>
      <c r="I54" s="2346"/>
      <c r="J54" s="2372">
        <v>459.44900000000001</v>
      </c>
      <c r="K54" s="2393">
        <v>312.70499999999998</v>
      </c>
      <c r="L54" s="2345"/>
      <c r="M54" s="2372">
        <v>428.471</v>
      </c>
      <c r="N54" s="2372">
        <f>G54-J54-K54-M54</f>
        <v>281.02399999999989</v>
      </c>
      <c r="O54" s="2372">
        <v>615.57000000000005</v>
      </c>
      <c r="P54" s="2372">
        <v>440.536</v>
      </c>
      <c r="Q54" s="2372">
        <v>547.31700000000001</v>
      </c>
      <c r="R54" s="2372">
        <v>415.10899999999998</v>
      </c>
      <c r="S54" s="2394"/>
    </row>
    <row r="55" spans="3:19" s="2347" customFormat="1" ht="13">
      <c r="C55" s="2395" t="s">
        <v>2144</v>
      </c>
      <c r="D55" s="2396"/>
      <c r="E55" s="2397">
        <f>E54/D54-1</f>
        <v>-0.95337851181848077</v>
      </c>
      <c r="F55" s="2397">
        <f>F54/E54-1</f>
        <v>-21.451512418487241</v>
      </c>
      <c r="G55" s="2397">
        <f>G54/F54-1</f>
        <v>0.5562657160203095</v>
      </c>
      <c r="H55" s="2397">
        <f>H54/G54-1</f>
        <v>0.36235505170252869</v>
      </c>
      <c r="I55" s="2346"/>
      <c r="J55" s="2345"/>
      <c r="K55" s="2345"/>
      <c r="L55" s="2345"/>
      <c r="O55" s="961">
        <f>O54/J54-1</f>
        <v>0.33980050016432739</v>
      </c>
      <c r="P55" s="961">
        <f>P54/K54-1</f>
        <v>0.40879103308229814</v>
      </c>
      <c r="Q55" s="961">
        <f>Q54/M54-1</f>
        <v>0.27737233091621127</v>
      </c>
      <c r="R55" s="961">
        <f>R54/N54-1</f>
        <v>0.47713006718287465</v>
      </c>
    </row>
    <row r="56" spans="3:19" s="2347" customFormat="1" ht="13">
      <c r="C56" s="2395" t="s">
        <v>2145</v>
      </c>
      <c r="D56" s="2397">
        <f>D54/D$27</f>
        <v>-0.62148342728676564</v>
      </c>
      <c r="E56" s="2397">
        <f>E54/E$27</f>
        <v>-1.2790626076721068E-2</v>
      </c>
      <c r="F56" s="2397">
        <f>F54/F$27</f>
        <v>0.18217328825182882</v>
      </c>
      <c r="G56" s="2397">
        <f>G54/G$27</f>
        <v>0.24326016286858868</v>
      </c>
      <c r="H56" s="2397">
        <f>H54/H$27</f>
        <v>0.27303538027943441</v>
      </c>
      <c r="I56" s="2346"/>
      <c r="J56" s="2346">
        <f>J54/J27</f>
        <v>0.30276465688574455</v>
      </c>
      <c r="K56" s="961">
        <f>K54/K27</f>
        <v>0.2378925506664232</v>
      </c>
      <c r="L56" s="2345"/>
      <c r="M56" s="961">
        <f t="shared" ref="M56:R56" si="0">M54/M27</f>
        <v>0.25407481156572265</v>
      </c>
      <c r="N56" s="961">
        <f t="shared" si="0"/>
        <v>0.1787217209749867</v>
      </c>
      <c r="O56" s="961">
        <f t="shared" si="0"/>
        <v>0.34516440685854244</v>
      </c>
      <c r="P56" s="961">
        <f t="shared" si="0"/>
        <v>0.27691027331733398</v>
      </c>
      <c r="Q56" s="961">
        <f t="shared" si="0"/>
        <v>0.2654134317429066</v>
      </c>
      <c r="R56" s="961">
        <f t="shared" si="0"/>
        <v>0.21216993876287826</v>
      </c>
    </row>
    <row r="57" spans="3:19" s="2347" customFormat="1" ht="13">
      <c r="C57" s="2344"/>
      <c r="D57" s="2345"/>
      <c r="E57" s="2346"/>
      <c r="F57" s="2372"/>
      <c r="G57" s="2346"/>
      <c r="H57" s="2346"/>
      <c r="I57" s="2346"/>
      <c r="J57" s="2345"/>
      <c r="K57" s="2345"/>
      <c r="L57" s="2345"/>
    </row>
    <row r="58" spans="3:19" s="2347" customFormat="1" ht="13">
      <c r="C58" s="2339" t="s">
        <v>2146</v>
      </c>
      <c r="D58" s="2398">
        <f>+D171+D230</f>
        <v>-1298.1279999999999</v>
      </c>
      <c r="E58" s="2398">
        <f>+E171+E230</f>
        <v>-2251.694</v>
      </c>
      <c r="F58" s="2373">
        <v>683.995</v>
      </c>
      <c r="G58" s="2373">
        <v>1140.6890000000001</v>
      </c>
      <c r="H58" s="2373">
        <f>SUM(O58:R58)</f>
        <v>1396.92</v>
      </c>
      <c r="I58" s="2346"/>
      <c r="J58" s="2372">
        <v>412.49799999999999</v>
      </c>
      <c r="K58" s="2393">
        <v>-32.71</v>
      </c>
      <c r="L58" s="2345"/>
      <c r="M58" s="2372">
        <v>314.72899999999998</v>
      </c>
      <c r="N58" s="2372">
        <v>197.44200000000001</v>
      </c>
      <c r="O58" s="2372">
        <v>448.45</v>
      </c>
      <c r="P58" s="2372">
        <v>198.161</v>
      </c>
      <c r="Q58" s="2372">
        <v>419.23399999999998</v>
      </c>
      <c r="R58" s="2372">
        <v>331.07499999999999</v>
      </c>
    </row>
    <row r="59" spans="3:19" s="2347" customFormat="1" ht="13">
      <c r="C59" s="2344" t="s">
        <v>2119</v>
      </c>
      <c r="D59" s="2345"/>
      <c r="E59" s="2346">
        <f>E58/D58-1</f>
        <v>0.73457008861992046</v>
      </c>
      <c r="F59" s="2346">
        <f>F58/E58-1</f>
        <v>-1.3037690734176137</v>
      </c>
      <c r="G59" s="2346">
        <f>G58/F58-1</f>
        <v>0.66768616729654462</v>
      </c>
      <c r="H59" s="2346">
        <f>H58/G58-1</f>
        <v>0.22462827291224863</v>
      </c>
      <c r="I59" s="2346"/>
      <c r="J59" s="2345"/>
      <c r="K59" s="2345"/>
      <c r="L59" s="2345"/>
      <c r="O59" s="961">
        <f>O58/J58-1</f>
        <v>8.7156786214721116E-2</v>
      </c>
      <c r="P59" s="961">
        <f>P58/K58-1</f>
        <v>-7.0581167838581473</v>
      </c>
      <c r="Q59" s="961">
        <f>Q58/M58-1</f>
        <v>0.33204757108496508</v>
      </c>
      <c r="R59" s="961">
        <f>R58/N58-1</f>
        <v>0.67682154759372359</v>
      </c>
    </row>
    <row r="60" spans="3:19" s="2347" customFormat="1" ht="13">
      <c r="C60" s="2344" t="s">
        <v>2145</v>
      </c>
      <c r="D60" s="2346">
        <f>D58/D$27</f>
        <v>-0.80797337560770977</v>
      </c>
      <c r="E60" s="2346">
        <f>E58/E$27</f>
        <v>-0.61867849679161169</v>
      </c>
      <c r="F60" s="2346">
        <f>F58/F$27</f>
        <v>0.13088083060184574</v>
      </c>
      <c r="G60" s="2346">
        <f>G58/G$27</f>
        <v>0.18728065278781114</v>
      </c>
      <c r="H60" s="2346">
        <f>H58/H$27</f>
        <v>0.18895344905106662</v>
      </c>
      <c r="I60" s="2346"/>
      <c r="J60" s="2346">
        <f>J58/J27</f>
        <v>0.27182519808739569</v>
      </c>
      <c r="K60" s="2346">
        <f>K58/K27</f>
        <v>-2.4884364919968354E-2</v>
      </c>
      <c r="L60" s="2345"/>
      <c r="M60" s="2346">
        <f t="shared" ref="M60:R60" si="1">M58/M27</f>
        <v>0.18662805970361665</v>
      </c>
      <c r="N60" s="2346">
        <f t="shared" si="1"/>
        <v>0.12556640725611812</v>
      </c>
      <c r="O60" s="2346">
        <f>O58/O27</f>
        <v>0.25145633844357806</v>
      </c>
      <c r="P60" s="2346">
        <f t="shared" si="1"/>
        <v>0.12455921121278675</v>
      </c>
      <c r="Q60" s="2346">
        <f t="shared" si="1"/>
        <v>0.20330144074330908</v>
      </c>
      <c r="R60" s="2346">
        <f t="shared" si="1"/>
        <v>0.16921859674427661</v>
      </c>
    </row>
    <row r="61" spans="3:19" s="2347" customFormat="1" ht="13">
      <c r="C61" s="2344"/>
      <c r="D61" s="2345"/>
      <c r="E61" s="2346"/>
      <c r="F61" s="2346"/>
      <c r="G61" s="2346"/>
      <c r="H61" s="2346"/>
      <c r="I61" s="2346"/>
      <c r="J61" s="2345"/>
      <c r="K61" s="2345"/>
      <c r="L61" s="2345"/>
    </row>
    <row r="62" spans="3:19" s="2371" customFormat="1" ht="13">
      <c r="C62" s="2340" t="s">
        <v>2147</v>
      </c>
      <c r="D62" s="2340"/>
      <c r="E62" s="2340"/>
      <c r="F62" s="2340"/>
      <c r="G62" s="2340"/>
      <c r="H62" s="2340"/>
      <c r="J62" s="2340"/>
      <c r="K62" s="2340"/>
      <c r="L62" s="2340"/>
      <c r="M62" s="2340"/>
      <c r="N62" s="2340"/>
      <c r="O62" s="2340"/>
      <c r="P62" s="2340"/>
      <c r="Q62" s="2340"/>
      <c r="R62" s="2340"/>
    </row>
    <row r="63" spans="3:19" s="2339" customFormat="1" ht="13">
      <c r="C63" s="2399" t="s">
        <v>2148</v>
      </c>
      <c r="D63" s="2400">
        <f>+D66+D70+D77</f>
        <v>1026.1489999999999</v>
      </c>
      <c r="E63" s="2400">
        <f>+E66+E70+E77</f>
        <v>2204.65</v>
      </c>
      <c r="F63" s="2400">
        <f>+F66+F70+F77</f>
        <v>2518.625</v>
      </c>
      <c r="G63" s="2400">
        <f>+G66+G70+G77</f>
        <v>5255.6389999999992</v>
      </c>
      <c r="H63" s="2400">
        <f>SUM(O63:R63)</f>
        <v>7392.9319999999998</v>
      </c>
      <c r="I63" s="2393"/>
      <c r="J63" s="2400">
        <v>682.36400000000003</v>
      </c>
      <c r="K63" s="2400">
        <f>K27</f>
        <v>1314.48</v>
      </c>
      <c r="L63" s="2400">
        <f>+L66+L70+L77</f>
        <v>1996.9</v>
      </c>
      <c r="M63" s="2400">
        <f>M27</f>
        <v>1686.3969999999999</v>
      </c>
      <c r="N63" s="2401">
        <f>5255.639-M63-K63-J63</f>
        <v>1572.3980000000001</v>
      </c>
      <c r="O63" s="2400">
        <v>1783.4110000000001</v>
      </c>
      <c r="P63" s="2400">
        <f>P27</f>
        <v>1590.8979999999999</v>
      </c>
      <c r="Q63" s="2400">
        <f>Q27</f>
        <v>2062.13</v>
      </c>
      <c r="R63" s="2400">
        <f>7392.932-Q63-P63-O63</f>
        <v>1956.4929999999995</v>
      </c>
    </row>
    <row r="64" spans="3:19" s="2347" customFormat="1" ht="13">
      <c r="C64" s="2344" t="s">
        <v>2119</v>
      </c>
      <c r="D64" s="2345"/>
      <c r="E64" s="2346">
        <f>E63/D63-1</f>
        <v>1.1484696666858323</v>
      </c>
      <c r="F64" s="2346">
        <f>F63/E63-1</f>
        <v>0.14241489578844702</v>
      </c>
      <c r="G64" s="2346">
        <f>G63/F63-1</f>
        <v>1.0867096133803162</v>
      </c>
      <c r="H64" s="2346">
        <f>H63/G63-1</f>
        <v>0.4066666298807815</v>
      </c>
      <c r="I64" s="2346"/>
      <c r="J64" s="2345"/>
      <c r="K64" s="2345"/>
      <c r="L64" s="2345"/>
      <c r="O64" s="961">
        <f>O63/J63-1</f>
        <v>1.6135772109900288</v>
      </c>
      <c r="P64" s="961">
        <f>P63/K63-1</f>
        <v>0.21028695758018379</v>
      </c>
      <c r="Q64" s="961">
        <f>Q63/M63-1</f>
        <v>0.22280222272691441</v>
      </c>
      <c r="R64" s="961"/>
      <c r="S64" s="2359"/>
    </row>
    <row r="65" spans="3:19" s="2347" customFormat="1" ht="13">
      <c r="C65" s="2344"/>
      <c r="D65" s="2345"/>
      <c r="E65" s="2346"/>
      <c r="F65" s="2346"/>
      <c r="G65" s="2346"/>
      <c r="H65" s="2346"/>
      <c r="I65" s="2346"/>
      <c r="J65" s="2345"/>
      <c r="K65" s="2345"/>
      <c r="L65" s="2345"/>
      <c r="S65" s="2359"/>
    </row>
    <row r="66" spans="3:19" s="2339" customFormat="1" ht="13.5">
      <c r="C66" s="2349" t="s">
        <v>2149</v>
      </c>
      <c r="D66" s="2350">
        <v>89.4</v>
      </c>
      <c r="E66" s="2350">
        <v>86.7</v>
      </c>
      <c r="F66" s="2350">
        <v>61.3</v>
      </c>
      <c r="G66" s="2350">
        <v>3232.5210000000002</v>
      </c>
      <c r="H66" s="2350">
        <f>SUM(O66:R66)</f>
        <v>4517.6580000000004</v>
      </c>
      <c r="I66" s="2343"/>
      <c r="J66" s="2350">
        <v>208.16900000000001</v>
      </c>
      <c r="K66" s="2350">
        <v>829.48699999999997</v>
      </c>
      <c r="L66" s="2350">
        <v>1037.7</v>
      </c>
      <c r="M66" s="2351">
        <v>1122.1500000000001</v>
      </c>
      <c r="N66" s="2350">
        <f>3232.521-M66-K66-J66</f>
        <v>1072.7149999999999</v>
      </c>
      <c r="O66" s="2350">
        <v>1258.9480000000001</v>
      </c>
      <c r="P66" s="2350">
        <v>937.09199999999998</v>
      </c>
      <c r="Q66" s="2350">
        <v>1139.6210000000001</v>
      </c>
      <c r="R66" s="2350">
        <f>4517.658-Q66-P66-O66</f>
        <v>1181.9970000000001</v>
      </c>
    </row>
    <row r="67" spans="3:19" s="2347" customFormat="1" ht="13">
      <c r="C67" s="2353" t="s">
        <v>2150</v>
      </c>
      <c r="D67" s="2345"/>
      <c r="E67" s="2346">
        <f>E66/D66-1</f>
        <v>-3.0201342281879207E-2</v>
      </c>
      <c r="F67" s="2346">
        <f>F66/E66-1</f>
        <v>-0.29296424452133796</v>
      </c>
      <c r="G67" s="2346">
        <f>G66/F66-1</f>
        <v>51.732805872756941</v>
      </c>
      <c r="H67" s="2346">
        <f>H66/G66-1</f>
        <v>0.39756493461295372</v>
      </c>
      <c r="I67" s="2346"/>
      <c r="J67" s="2345"/>
      <c r="K67" s="2345"/>
      <c r="L67" s="2345"/>
      <c r="O67" s="961">
        <f>O66/J66-1</f>
        <v>5.0477208422003281</v>
      </c>
      <c r="P67" s="961">
        <f>P66/K66-1</f>
        <v>0.12972475759113777</v>
      </c>
      <c r="Q67" s="961">
        <f>Q66/M66-1</f>
        <v>1.5569219801274237E-2</v>
      </c>
      <c r="R67" s="961">
        <f>R66/N66-1</f>
        <v>0.10187421635756011</v>
      </c>
    </row>
    <row r="68" spans="3:19" ht="13">
      <c r="C68" s="2366" t="s">
        <v>2151</v>
      </c>
      <c r="D68" s="2361">
        <f>D66/D$63</f>
        <v>8.7121850725382005E-2</v>
      </c>
      <c r="E68" s="2361">
        <f>E66/E$63</f>
        <v>3.932597010863402E-2</v>
      </c>
      <c r="F68" s="2361">
        <f>F66/F$63</f>
        <v>2.4338676857412277E-2</v>
      </c>
      <c r="G68" s="2361">
        <f>G66/G$63</f>
        <v>0.61505765521566469</v>
      </c>
      <c r="H68" s="2361">
        <f>H66/H$63</f>
        <v>0.61107798637942301</v>
      </c>
      <c r="I68" s="2362"/>
      <c r="J68" s="2361">
        <f>J66/J63</f>
        <v>0.30507031437766352</v>
      </c>
      <c r="K68" s="2361">
        <f>K66/K63</f>
        <v>0.63103812914612623</v>
      </c>
      <c r="L68" s="2361">
        <f>L66/L$63</f>
        <v>0.51965546597225698</v>
      </c>
      <c r="M68" s="2361">
        <f t="shared" ref="M68:R68" si="2">M66/M63</f>
        <v>0.6654127112417777</v>
      </c>
      <c r="N68" s="2361">
        <f t="shared" si="2"/>
        <v>0.68221595295847481</v>
      </c>
      <c r="O68" s="2361">
        <f t="shared" si="2"/>
        <v>0.70592140566588413</v>
      </c>
      <c r="P68" s="2361">
        <f t="shared" si="2"/>
        <v>0.5890333635468773</v>
      </c>
      <c r="Q68" s="2361">
        <f t="shared" si="2"/>
        <v>0.55264265589463324</v>
      </c>
      <c r="R68" s="2361">
        <f t="shared" si="2"/>
        <v>0.60414067415523609</v>
      </c>
    </row>
    <row r="69" spans="3:19">
      <c r="C69" s="2366"/>
      <c r="D69" s="2361"/>
      <c r="E69" s="2361"/>
      <c r="F69" s="2361"/>
      <c r="G69" s="2361"/>
      <c r="H69" s="2361"/>
      <c r="I69" s="2362"/>
      <c r="J69" s="2361"/>
      <c r="K69" s="2361"/>
      <c r="L69" s="2361"/>
      <c r="N69" s="2361"/>
      <c r="O69" s="2361"/>
      <c r="P69" s="2361"/>
      <c r="Q69" s="2361"/>
      <c r="R69" s="2361"/>
    </row>
    <row r="70" spans="3:19" s="2339" customFormat="1" ht="13.5">
      <c r="C70" s="2349" t="s">
        <v>2152</v>
      </c>
      <c r="D70" s="2350">
        <v>907.649</v>
      </c>
      <c r="E70" s="2350">
        <v>2094.0500000000002</v>
      </c>
      <c r="F70" s="2350">
        <v>2361.625</v>
      </c>
      <c r="G70" s="2350">
        <v>1830.37</v>
      </c>
      <c r="H70" s="2350">
        <f>SUM(O70:R70)</f>
        <v>2358.1229999999996</v>
      </c>
      <c r="I70" s="2343"/>
      <c r="J70" s="2350">
        <v>449.58600000000001</v>
      </c>
      <c r="K70" s="2350">
        <v>440.98200000000003</v>
      </c>
      <c r="L70" s="2350">
        <v>890.6</v>
      </c>
      <c r="M70" s="2351">
        <v>515.72199999999998</v>
      </c>
      <c r="N70" s="2351">
        <f>1830.37-M70-K70-J70</f>
        <v>424.07999999999993</v>
      </c>
      <c r="O70" s="2350">
        <v>489.16399999999999</v>
      </c>
      <c r="P70" s="2350">
        <v>553.36</v>
      </c>
      <c r="Q70" s="2350">
        <v>693.73599999999999</v>
      </c>
      <c r="R70" s="2350">
        <f>2358.123-Q70-P70-O70</f>
        <v>621.86300000000006</v>
      </c>
    </row>
    <row r="71" spans="3:19" s="2347" customFormat="1" ht="13">
      <c r="C71" s="2353" t="s">
        <v>2153</v>
      </c>
      <c r="D71" s="2345"/>
      <c r="E71" s="2346">
        <f>E70/D70-1</f>
        <v>1.3071143140134569</v>
      </c>
      <c r="F71" s="2346">
        <f>F70/E70-1</f>
        <v>0.12777870633461474</v>
      </c>
      <c r="G71" s="2346">
        <f>G70/F70-1</f>
        <v>-0.22495315725400944</v>
      </c>
      <c r="H71" s="2346">
        <f>H70/G70-1</f>
        <v>0.28833132098974512</v>
      </c>
      <c r="I71" s="2346"/>
      <c r="J71" s="2345"/>
      <c r="K71" s="2345"/>
      <c r="L71" s="2345"/>
      <c r="O71" s="961">
        <f>O70/J70-1</f>
        <v>8.8032100643703259E-2</v>
      </c>
      <c r="P71" s="961">
        <f>P70/K70-1</f>
        <v>0.25483579828655123</v>
      </c>
      <c r="Q71" s="961">
        <f>Q70/M70-1</f>
        <v>0.34517433811239395</v>
      </c>
      <c r="R71" s="961">
        <f>R70/N70-1</f>
        <v>0.46638134314280366</v>
      </c>
    </row>
    <row r="72" spans="3:19" ht="13.5">
      <c r="C72" s="2363" t="s">
        <v>2154</v>
      </c>
      <c r="D72" s="2361">
        <f>D70/D$63</f>
        <v>0.88451969450830248</v>
      </c>
      <c r="E72" s="2361">
        <f>E70/E$63</f>
        <v>0.94983330687410705</v>
      </c>
      <c r="F72" s="2361">
        <f>F70/F$63</f>
        <v>0.93766440021837316</v>
      </c>
      <c r="G72" s="2361">
        <f>G70/G$63</f>
        <v>0.34826783194203409</v>
      </c>
      <c r="H72" s="2361">
        <f>H70/H$63</f>
        <v>0.31896992965713733</v>
      </c>
      <c r="I72" s="2362"/>
      <c r="J72" s="2361">
        <f>J70/J63</f>
        <v>0.65886535632008725</v>
      </c>
      <c r="K72" s="2361">
        <f>K70/K63</f>
        <v>0.33548018988497352</v>
      </c>
      <c r="L72" s="2361">
        <f>L70/L$63</f>
        <v>0.44599128649406578</v>
      </c>
      <c r="M72" s="2361">
        <f t="shared" ref="M72:R72" si="3">M70/M63</f>
        <v>0.30581292542621935</v>
      </c>
      <c r="N72" s="2361">
        <f t="shared" si="3"/>
        <v>0.26970270885615466</v>
      </c>
      <c r="O72" s="2361">
        <f t="shared" si="3"/>
        <v>0.27428562456999533</v>
      </c>
      <c r="P72" s="2361">
        <f t="shared" si="3"/>
        <v>0.34782871057729664</v>
      </c>
      <c r="Q72" s="2361">
        <f t="shared" si="3"/>
        <v>0.33641719969158101</v>
      </c>
      <c r="R72" s="2361">
        <f t="shared" si="3"/>
        <v>0.31784575768990753</v>
      </c>
    </row>
    <row r="73" spans="3:19" ht="13">
      <c r="C73" s="2363" t="s">
        <v>2155</v>
      </c>
      <c r="D73" s="2361"/>
      <c r="E73" s="2361"/>
      <c r="F73" s="2361">
        <v>0.4</v>
      </c>
      <c r="G73" s="2361">
        <v>0.2</v>
      </c>
      <c r="H73" s="2361">
        <v>0.2</v>
      </c>
      <c r="I73" s="2362"/>
      <c r="J73" s="2361"/>
      <c r="K73" s="2361"/>
      <c r="L73" s="2361"/>
      <c r="M73" s="2361"/>
      <c r="N73" s="2361"/>
      <c r="O73" s="2361"/>
      <c r="P73" s="2361"/>
      <c r="Q73" s="2361">
        <v>0.08</v>
      </c>
      <c r="R73" s="2361"/>
    </row>
    <row r="74" spans="3:19" ht="13">
      <c r="C74" s="2363"/>
      <c r="D74" s="2361"/>
      <c r="E74" s="2361"/>
      <c r="F74" s="2361"/>
      <c r="G74" s="2361"/>
      <c r="H74" s="2361"/>
      <c r="I74" s="2362"/>
      <c r="J74" s="2361"/>
      <c r="K74" s="2361"/>
      <c r="L74" s="2361"/>
      <c r="M74" s="2361"/>
      <c r="N74" s="2361"/>
      <c r="O74" s="2361"/>
      <c r="P74" s="2361"/>
      <c r="Q74" s="2361"/>
      <c r="R74" s="2361"/>
    </row>
    <row r="75" spans="3:19" ht="13">
      <c r="C75" s="2363"/>
      <c r="D75" s="2361"/>
      <c r="E75" s="2361"/>
      <c r="F75" s="2361"/>
      <c r="G75" s="2361"/>
      <c r="H75" s="2361"/>
      <c r="I75" s="2362"/>
      <c r="J75" s="2361"/>
      <c r="K75" s="2361"/>
      <c r="L75" s="2361"/>
      <c r="M75" s="2361"/>
      <c r="N75" s="2361"/>
      <c r="O75" s="2361"/>
      <c r="P75" s="2361"/>
      <c r="Q75" s="2361"/>
      <c r="R75" s="2361"/>
    </row>
    <row r="76" spans="3:19" ht="13">
      <c r="C76" s="2363"/>
      <c r="D76" s="2361"/>
      <c r="E76" s="2361"/>
      <c r="F76" s="2361"/>
      <c r="G76" s="2361"/>
      <c r="H76" s="2361"/>
      <c r="I76" s="2362"/>
      <c r="J76" s="2361"/>
      <c r="K76" s="2361"/>
      <c r="L76" s="2361"/>
      <c r="M76" s="2361"/>
      <c r="N76" s="2361"/>
      <c r="O76" s="2361"/>
      <c r="P76" s="2361"/>
      <c r="Q76" s="2361"/>
      <c r="R76" s="2361"/>
    </row>
    <row r="77" spans="3:19" s="2339" customFormat="1" ht="13.5">
      <c r="C77" s="2402" t="s">
        <v>2156</v>
      </c>
      <c r="D77" s="2350">
        <v>29.1</v>
      </c>
      <c r="E77" s="2350">
        <v>23.9</v>
      </c>
      <c r="F77" s="2350">
        <v>95.7</v>
      </c>
      <c r="G77" s="2350">
        <v>192.74799999999999</v>
      </c>
      <c r="H77" s="2350">
        <f>SUM(O77:R77)</f>
        <v>517.15099999999995</v>
      </c>
      <c r="I77" s="2343"/>
      <c r="J77" s="2350">
        <v>24.609000000000002</v>
      </c>
      <c r="K77" s="2350">
        <v>44.011000000000003</v>
      </c>
      <c r="L77" s="2350">
        <v>68.599999999999994</v>
      </c>
      <c r="M77" s="2351">
        <v>48.524999999999999</v>
      </c>
      <c r="N77" s="2351">
        <f>192.748-M77-K77-J77</f>
        <v>75.60299999999998</v>
      </c>
      <c r="O77" s="2350">
        <v>35.298999999999999</v>
      </c>
      <c r="P77" s="2350">
        <v>100.446</v>
      </c>
      <c r="Q77" s="2350">
        <v>228.773</v>
      </c>
      <c r="R77" s="2350">
        <f>517.151-Q77-P77-O77</f>
        <v>152.63299999999992</v>
      </c>
    </row>
    <row r="78" spans="3:19" s="2347" customFormat="1" ht="13">
      <c r="C78" s="2353" t="s">
        <v>2119</v>
      </c>
      <c r="D78" s="2345"/>
      <c r="E78" s="2346">
        <f>E77/D77-1</f>
        <v>-0.17869415807560152</v>
      </c>
      <c r="F78" s="2346">
        <f>F77/E77-1</f>
        <v>3.00418410041841</v>
      </c>
      <c r="G78" s="2346">
        <f>G77/F77-1</f>
        <v>1.0140856844305119</v>
      </c>
      <c r="H78" s="2346">
        <f>H77/G77-1</f>
        <v>1.6830421067922883</v>
      </c>
      <c r="I78" s="2346"/>
      <c r="J78" s="2345"/>
      <c r="K78" s="2345"/>
      <c r="L78" s="2345"/>
      <c r="O78" s="961">
        <f>O77/J77-1</f>
        <v>0.43439392092323925</v>
      </c>
      <c r="P78" s="961">
        <f>P77/K77-1</f>
        <v>1.2822930630978617</v>
      </c>
      <c r="Q78" s="961">
        <f>Q77/M77-1</f>
        <v>3.7145388974755278</v>
      </c>
      <c r="R78" s="961">
        <f>R77/N77-1</f>
        <v>1.0188749123712015</v>
      </c>
    </row>
    <row r="79" spans="3:19" ht="13.5">
      <c r="C79" s="2363" t="s">
        <v>2157</v>
      </c>
      <c r="D79" s="2361">
        <f>D77/D$63</f>
        <v>2.8358454766315617E-2</v>
      </c>
      <c r="E79" s="2361">
        <f>E77/E$63</f>
        <v>1.0840723017258974E-2</v>
      </c>
      <c r="F79" s="2361">
        <f>F77/F$63</f>
        <v>3.7996922924214603E-2</v>
      </c>
      <c r="G79" s="2361">
        <f>G77/G$63</f>
        <v>3.6674512842301388E-2</v>
      </c>
      <c r="H79" s="2361">
        <f>H77/H$63</f>
        <v>6.9952083963439673E-2</v>
      </c>
      <c r="I79" s="2362"/>
      <c r="J79" s="2361">
        <f>J77/J63</f>
        <v>3.6064329302249239E-2</v>
      </c>
      <c r="K79" s="2361">
        <f>K77/K63</f>
        <v>3.3481680968900251E-2</v>
      </c>
      <c r="L79" s="2361">
        <f>L77/L$63</f>
        <v>3.4353247533677196E-2</v>
      </c>
      <c r="M79" s="2361">
        <f t="shared" ref="M79:R79" si="4">M77/M63</f>
        <v>2.8774363332003082E-2</v>
      </c>
      <c r="N79" s="2361">
        <f t="shared" si="4"/>
        <v>4.8081338185370352E-2</v>
      </c>
      <c r="O79" s="2361">
        <f t="shared" si="4"/>
        <v>1.9792969764120552E-2</v>
      </c>
      <c r="P79" s="2361">
        <f t="shared" si="4"/>
        <v>6.3137925875826104E-2</v>
      </c>
      <c r="Q79" s="2361">
        <f t="shared" si="4"/>
        <v>0.11094014441378573</v>
      </c>
      <c r="R79" s="2361">
        <f t="shared" si="4"/>
        <v>7.8013568154856661E-2</v>
      </c>
    </row>
    <row r="81" spans="3:20" s="2339" customFormat="1" ht="13">
      <c r="C81" s="2340" t="s">
        <v>2158</v>
      </c>
      <c r="D81" s="2403"/>
      <c r="E81" s="2403"/>
      <c r="F81" s="2403"/>
      <c r="G81" s="2403"/>
      <c r="H81" s="2403"/>
      <c r="I81" s="2404"/>
      <c r="J81" s="2403"/>
      <c r="K81" s="2403"/>
      <c r="L81" s="2403"/>
      <c r="M81" s="2340"/>
      <c r="N81" s="2340"/>
      <c r="O81" s="2340"/>
      <c r="P81" s="2340"/>
      <c r="Q81" s="2340"/>
      <c r="R81" s="2340"/>
    </row>
    <row r="83" spans="3:20" s="2339" customFormat="1" ht="13">
      <c r="C83" s="2339" t="s">
        <v>2159</v>
      </c>
      <c r="D83" s="2404">
        <f>D27/D3</f>
        <v>4.3621546773821317E-2</v>
      </c>
      <c r="E83" s="2404">
        <f>E27/E3</f>
        <v>5.3683749387865874E-2</v>
      </c>
      <c r="F83" s="2404">
        <f>F27/F3</f>
        <v>5.1079133174866301E-2</v>
      </c>
      <c r="G83" s="2404">
        <f>G27/G3</f>
        <v>4.6317870722433464E-2</v>
      </c>
      <c r="H83" s="2404">
        <f>H27/H3</f>
        <v>4.4508922335942211E-2</v>
      </c>
      <c r="I83" s="2371"/>
      <c r="J83" s="2405">
        <f>J27/J3</f>
        <v>5.2328E-2</v>
      </c>
      <c r="K83" s="2405">
        <f>K27/K3</f>
        <v>4.5483737024221454E-2</v>
      </c>
      <c r="L83" s="2405"/>
      <c r="M83" s="2405">
        <f>M27/M3</f>
        <v>4.3130358056265986E-2</v>
      </c>
      <c r="N83" s="2405">
        <f>N27/N3</f>
        <v>4.5577130434782627E-2</v>
      </c>
      <c r="O83" s="2405">
        <f>O63/O3</f>
        <v>4.9677186629526464E-2</v>
      </c>
      <c r="P83" s="2405">
        <f>P63/P3</f>
        <v>3.8520532687651328E-2</v>
      </c>
      <c r="Q83" s="2405">
        <f>Q63/Q3</f>
        <v>4.3322058823529415E-2</v>
      </c>
      <c r="R83" s="2405">
        <f>R63/R3</f>
        <v>4.7372711864406766E-2</v>
      </c>
    </row>
    <row r="84" spans="3:20" s="2339" customFormat="1" ht="13">
      <c r="D84" s="2404"/>
      <c r="E84" s="2404"/>
      <c r="F84" s="2404"/>
      <c r="G84" s="2404"/>
      <c r="H84" s="2404"/>
      <c r="I84" s="2371"/>
      <c r="J84" s="2405"/>
      <c r="K84" s="2405"/>
      <c r="L84" s="2405"/>
      <c r="O84" s="2405"/>
      <c r="P84" s="2405"/>
      <c r="Q84" s="2405"/>
      <c r="R84" s="2405"/>
    </row>
    <row r="85" spans="3:20" s="2339" customFormat="1" ht="13">
      <c r="C85" s="2339" t="s">
        <v>2160</v>
      </c>
      <c r="D85" s="2404"/>
      <c r="E85" s="2404"/>
      <c r="F85" s="2404"/>
      <c r="G85" s="2404"/>
      <c r="H85" s="2404"/>
      <c r="I85" s="2371"/>
      <c r="J85" s="2405"/>
      <c r="K85" s="2405"/>
      <c r="L85" s="2405"/>
      <c r="M85" s="2405"/>
      <c r="O85" s="2405">
        <f>O66/O6</f>
        <v>4.1132682066194012E-2</v>
      </c>
      <c r="P85" s="2405">
        <f>P66/P6</f>
        <v>2.6935762256775127E-2</v>
      </c>
      <c r="Q85" s="2405">
        <f>Q66/Q6</f>
        <v>2.8896228041705548E-2</v>
      </c>
      <c r="R85" s="2405">
        <f>R66/R6</f>
        <v>3.4962386811007842E-2</v>
      </c>
    </row>
    <row r="86" spans="3:20" s="2339" customFormat="1" ht="13">
      <c r="C86" s="2339" t="s">
        <v>2161</v>
      </c>
      <c r="D86" s="2404"/>
      <c r="E86" s="2404"/>
      <c r="F86" s="2404"/>
      <c r="G86" s="2404"/>
      <c r="H86" s="2404"/>
      <c r="I86" s="2371"/>
      <c r="J86" s="2405"/>
      <c r="K86" s="2405"/>
      <c r="L86" s="2405"/>
      <c r="O86" s="2405">
        <f>O70/O18</f>
        <v>9.2417154732665777E-2</v>
      </c>
      <c r="P86" s="2405">
        <v>8.5000000000000006E-2</v>
      </c>
      <c r="Q86" s="2405">
        <v>8.5000000000000006E-2</v>
      </c>
      <c r="R86" s="2405">
        <v>8.3000000000000004E-2</v>
      </c>
    </row>
    <row r="88" spans="3:20" ht="13">
      <c r="C88" s="2359" t="s">
        <v>2162</v>
      </c>
      <c r="G88" s="2361"/>
      <c r="H88" s="2361"/>
      <c r="I88" s="2362"/>
      <c r="J88" s="2361"/>
      <c r="K88" s="2361"/>
      <c r="L88" s="2361"/>
      <c r="M88" s="2361"/>
      <c r="N88" s="2361"/>
      <c r="O88" s="2361"/>
      <c r="P88" s="2361"/>
      <c r="Q88" s="2361"/>
      <c r="R88" s="2361"/>
      <c r="S88" s="2361" t="s">
        <v>2163</v>
      </c>
    </row>
    <row r="89" spans="3:20" ht="13">
      <c r="C89" s="2389" t="s">
        <v>2164</v>
      </c>
      <c r="D89" s="2406">
        <v>2.7E-2</v>
      </c>
      <c r="E89" s="2406">
        <v>2.8000000000000001E-2</v>
      </c>
      <c r="F89" s="2406">
        <v>3.2000000000000001E-2</v>
      </c>
      <c r="G89" s="2407"/>
      <c r="H89" s="2407"/>
      <c r="I89" s="2408"/>
      <c r="J89" s="2407"/>
      <c r="K89" s="2407"/>
      <c r="L89" s="2407"/>
      <c r="M89" s="2407"/>
      <c r="N89" s="2407"/>
      <c r="O89" s="2407"/>
      <c r="P89" s="2407"/>
      <c r="Q89" s="2407"/>
      <c r="R89" s="2407"/>
      <c r="S89" s="2409" t="s">
        <v>2165</v>
      </c>
      <c r="T89" s="2410">
        <v>0.52800000000000002</v>
      </c>
    </row>
    <row r="90" spans="3:20" ht="13">
      <c r="C90" s="2389" t="s">
        <v>2166</v>
      </c>
      <c r="D90" s="2406">
        <v>7.8E-2</v>
      </c>
      <c r="E90" s="2406">
        <v>0.06</v>
      </c>
      <c r="F90" s="2406">
        <v>5.7000000000000002E-2</v>
      </c>
      <c r="S90" s="2359" t="s">
        <v>2167</v>
      </c>
      <c r="T90" s="2410">
        <v>0.34899999999999998</v>
      </c>
    </row>
    <row r="91" spans="3:20" ht="13">
      <c r="C91" s="2359" t="s">
        <v>2168</v>
      </c>
      <c r="D91" s="2410"/>
      <c r="E91" s="2410"/>
      <c r="F91" s="2410"/>
      <c r="G91" s="2407"/>
      <c r="H91" s="2407"/>
      <c r="I91" s="2408"/>
      <c r="J91" s="2407"/>
      <c r="K91" s="2407"/>
      <c r="L91" s="2407"/>
      <c r="M91" s="2407"/>
      <c r="N91" s="2407"/>
      <c r="O91" s="2407"/>
      <c r="P91" s="2407"/>
      <c r="Q91" s="2407"/>
      <c r="R91" s="2407"/>
      <c r="S91" s="2409" t="s">
        <v>2169</v>
      </c>
      <c r="T91" s="2410">
        <v>0.123</v>
      </c>
    </row>
    <row r="92" spans="3:20" ht="13">
      <c r="C92" s="2389" t="s">
        <v>2164</v>
      </c>
      <c r="D92" s="2406">
        <v>2.4E-2</v>
      </c>
      <c r="E92" s="2406">
        <v>3.5000000000000003E-2</v>
      </c>
      <c r="F92" s="2406">
        <v>0.03</v>
      </c>
      <c r="G92" s="2407"/>
      <c r="H92" s="2407"/>
      <c r="I92" s="2408"/>
      <c r="J92" s="2407"/>
      <c r="K92" s="2407"/>
      <c r="L92" s="2407"/>
      <c r="M92" s="2407"/>
      <c r="N92" s="2407"/>
      <c r="O92" s="2407"/>
      <c r="P92" s="2407"/>
      <c r="Q92" s="2407"/>
      <c r="R92" s="2407"/>
    </row>
    <row r="93" spans="3:20" ht="13">
      <c r="C93" s="2389" t="s">
        <v>2166</v>
      </c>
      <c r="D93" s="2406">
        <v>0.05</v>
      </c>
      <c r="E93" s="2406">
        <v>8.8999999999999996E-2</v>
      </c>
      <c r="F93" s="2406">
        <v>8.8999999999999996E-2</v>
      </c>
      <c r="G93" s="2407"/>
      <c r="H93" s="2407"/>
      <c r="I93" s="2408"/>
      <c r="J93" s="2407"/>
      <c r="K93" s="2407"/>
      <c r="L93" s="2407"/>
      <c r="M93" s="2407"/>
      <c r="N93" s="2407"/>
      <c r="O93" s="2407"/>
      <c r="P93" s="2407"/>
      <c r="Q93" s="2407"/>
      <c r="R93" s="2407"/>
    </row>
    <row r="94" spans="3:20" ht="13">
      <c r="C94" s="2336"/>
      <c r="D94" s="2336">
        <v>2015</v>
      </c>
      <c r="E94" s="2336">
        <v>2016</v>
      </c>
      <c r="F94" s="2336">
        <v>2017</v>
      </c>
      <c r="G94" s="2337">
        <v>2018</v>
      </c>
      <c r="H94" s="2337">
        <v>2019</v>
      </c>
      <c r="I94" s="2338"/>
      <c r="J94" s="2337" t="s">
        <v>2170</v>
      </c>
      <c r="K94" s="2337" t="s">
        <v>2171</v>
      </c>
      <c r="L94" s="2337" t="s">
        <v>2172</v>
      </c>
      <c r="M94" s="2337" t="s">
        <v>1178</v>
      </c>
      <c r="N94" s="2337" t="s">
        <v>2173</v>
      </c>
      <c r="O94" s="2337" t="s">
        <v>2174</v>
      </c>
      <c r="P94" s="2337" t="s">
        <v>2175</v>
      </c>
      <c r="Q94" s="2337" t="s">
        <v>2176</v>
      </c>
      <c r="R94" s="2337" t="s">
        <v>2177</v>
      </c>
      <c r="S94" s="2337" t="s">
        <v>2595</v>
      </c>
    </row>
    <row r="95" spans="3:20" s="2339" customFormat="1" ht="13">
      <c r="C95" s="2340" t="s">
        <v>2178</v>
      </c>
      <c r="D95" s="2340"/>
      <c r="E95" s="2340"/>
      <c r="F95" s="2340"/>
      <c r="G95" s="2340"/>
      <c r="H95" s="2340"/>
      <c r="I95" s="2371"/>
      <c r="J95" s="2340"/>
      <c r="K95" s="2340"/>
      <c r="L95" s="2340"/>
      <c r="M95" s="2340"/>
      <c r="N95" s="2340"/>
      <c r="O95" s="2340"/>
      <c r="P95" s="2340"/>
      <c r="Q95" s="2340"/>
      <c r="R95" s="2340"/>
      <c r="S95" s="2340"/>
    </row>
    <row r="96" spans="3:20" s="2339" customFormat="1" ht="13">
      <c r="C96" s="2411" t="s">
        <v>2179</v>
      </c>
      <c r="D96" s="2351">
        <v>88.7</v>
      </c>
      <c r="E96" s="2412">
        <v>99.5</v>
      </c>
      <c r="F96" s="2351">
        <v>121.2</v>
      </c>
      <c r="G96" s="2351">
        <v>175.2</v>
      </c>
      <c r="H96" s="2351">
        <f>AVERAGE(O96:R96)</f>
        <v>205.2</v>
      </c>
      <c r="I96" s="2348"/>
      <c r="J96" s="2351">
        <v>163.4</v>
      </c>
      <c r="K96" s="2351">
        <v>157.4</v>
      </c>
      <c r="L96" s="2351">
        <v>160.4</v>
      </c>
      <c r="M96" s="2351">
        <v>206.3</v>
      </c>
      <c r="N96" s="2351">
        <v>173.7</v>
      </c>
      <c r="O96" s="2351">
        <v>199.3</v>
      </c>
      <c r="P96" s="2351">
        <v>181.6</v>
      </c>
      <c r="Q96" s="2351">
        <v>234</v>
      </c>
      <c r="R96" s="2351">
        <v>205.9</v>
      </c>
      <c r="S96" s="2351">
        <v>148.4</v>
      </c>
    </row>
    <row r="97" spans="3:20" s="2347" customFormat="1" ht="13">
      <c r="C97" s="2344" t="s">
        <v>2119</v>
      </c>
      <c r="D97" s="2345"/>
      <c r="E97" s="2346">
        <f>E96/D96-1</f>
        <v>0.12175873731679809</v>
      </c>
      <c r="F97" s="2346">
        <f>F96/E96-1</f>
        <v>0.21809045226130652</v>
      </c>
      <c r="G97" s="2346">
        <f>G96/F96-1</f>
        <v>0.4455445544554455</v>
      </c>
      <c r="H97" s="2346">
        <f>H96/G96-1</f>
        <v>0.17123287671232879</v>
      </c>
      <c r="I97" s="2346"/>
      <c r="J97" s="2345"/>
      <c r="K97" s="2345"/>
      <c r="L97" s="2345"/>
      <c r="O97" s="961">
        <f>O96/J96-1</f>
        <v>0.21970624235006131</v>
      </c>
      <c r="P97" s="961">
        <f>P96/K96-1</f>
        <v>0.15374841168996189</v>
      </c>
      <c r="Q97" s="961">
        <f>Q96/M96-1</f>
        <v>0.13427047988366447</v>
      </c>
      <c r="R97" s="961">
        <f>R96/N96-1</f>
        <v>0.18537708693149124</v>
      </c>
      <c r="S97" s="961">
        <f>S96/O96-1</f>
        <v>-0.25539387857501261</v>
      </c>
    </row>
    <row r="98" spans="3:20" s="2339" customFormat="1" ht="13">
      <c r="C98" s="2411" t="s">
        <v>2180</v>
      </c>
      <c r="D98" s="2351">
        <v>3.9</v>
      </c>
      <c r="E98" s="2412">
        <v>9.1</v>
      </c>
      <c r="F98" s="2351">
        <v>15.6</v>
      </c>
      <c r="G98" s="2351">
        <v>20</v>
      </c>
      <c r="H98" s="2351">
        <f>AVERAGE(O98:R98)</f>
        <v>26.924999999999997</v>
      </c>
      <c r="I98" s="2348"/>
      <c r="J98" s="2351">
        <v>16.899999999999999</v>
      </c>
      <c r="K98" s="2351">
        <v>18</v>
      </c>
      <c r="L98" s="2351">
        <v>17.5</v>
      </c>
      <c r="M98" s="2351">
        <v>22.6</v>
      </c>
      <c r="N98" s="2351">
        <v>22.3</v>
      </c>
      <c r="O98" s="2351">
        <v>23.1</v>
      </c>
      <c r="P98" s="2351">
        <v>27.7</v>
      </c>
      <c r="Q98" s="2351">
        <v>29.8</v>
      </c>
      <c r="R98" s="2351">
        <v>27.1</v>
      </c>
      <c r="S98" s="2351">
        <v>14.8</v>
      </c>
    </row>
    <row r="99" spans="3:20" s="2347" customFormat="1" ht="13">
      <c r="C99" s="2344" t="s">
        <v>2153</v>
      </c>
      <c r="D99" s="2345"/>
      <c r="E99" s="2346">
        <f>E98/D98-1</f>
        <v>1.3333333333333335</v>
      </c>
      <c r="F99" s="2346">
        <f>F98/E98-1</f>
        <v>0.71428571428571441</v>
      </c>
      <c r="G99" s="2346">
        <f>G98/F98-1</f>
        <v>0.28205128205128216</v>
      </c>
      <c r="H99" s="2346">
        <f>H98/G98-1</f>
        <v>0.34624999999999995</v>
      </c>
      <c r="I99" s="2346"/>
      <c r="J99" s="2345"/>
      <c r="K99" s="2345"/>
      <c r="L99" s="2345"/>
      <c r="O99" s="961">
        <f>O98/J98-1</f>
        <v>0.36686390532544388</v>
      </c>
      <c r="P99" s="961">
        <f>P98/K98-1</f>
        <v>0.53888888888888875</v>
      </c>
      <c r="Q99" s="961">
        <f>Q98/M98-1</f>
        <v>0.31858407079646023</v>
      </c>
      <c r="R99" s="961">
        <f>R98/N98-1</f>
        <v>0.2152466367713004</v>
      </c>
      <c r="S99" s="961">
        <f>S98/O98-1</f>
        <v>-0.35930735930735935</v>
      </c>
    </row>
    <row r="100" spans="3:20" s="2347" customFormat="1" ht="13">
      <c r="C100" s="2344" t="s">
        <v>2181</v>
      </c>
      <c r="D100" s="2346">
        <f>D98/D96</f>
        <v>4.3968432919954899E-2</v>
      </c>
      <c r="E100" s="2346">
        <f>E98/E96</f>
        <v>9.1457286432160806E-2</v>
      </c>
      <c r="F100" s="2346">
        <f t="shared" ref="F100:R100" si="5">F98/F96</f>
        <v>0.12871287128712872</v>
      </c>
      <c r="G100" s="2346">
        <f t="shared" si="5"/>
        <v>0.11415525114155252</v>
      </c>
      <c r="H100" s="2346">
        <f t="shared" si="5"/>
        <v>0.13121345029239764</v>
      </c>
      <c r="I100" s="2346"/>
      <c r="J100" s="2346">
        <f t="shared" si="5"/>
        <v>0.10342717258261933</v>
      </c>
      <c r="K100" s="2346">
        <f t="shared" si="5"/>
        <v>0.11435832274459974</v>
      </c>
      <c r="L100" s="2346">
        <f t="shared" si="5"/>
        <v>0.10910224438902742</v>
      </c>
      <c r="M100" s="2346">
        <f t="shared" si="5"/>
        <v>0.10954920019389239</v>
      </c>
      <c r="N100" s="2346">
        <f t="shared" si="5"/>
        <v>0.12838226827864135</v>
      </c>
      <c r="O100" s="2346">
        <f t="shared" si="5"/>
        <v>0.11590566984445559</v>
      </c>
      <c r="P100" s="2346">
        <f t="shared" si="5"/>
        <v>0.15253303964757708</v>
      </c>
      <c r="Q100" s="2346">
        <f t="shared" si="5"/>
        <v>0.12735042735042734</v>
      </c>
      <c r="R100" s="2346">
        <f t="shared" si="5"/>
        <v>0.13161728994657601</v>
      </c>
      <c r="S100" s="961">
        <f>S99/O99-1</f>
        <v>-1.9794023181119953</v>
      </c>
    </row>
    <row r="101" spans="3:20" s="2347" customFormat="1" ht="13">
      <c r="C101" s="2344"/>
      <c r="D101" s="2345"/>
      <c r="E101" s="2346"/>
      <c r="F101" s="2346"/>
      <c r="G101" s="2346"/>
      <c r="H101" s="2346"/>
      <c r="I101" s="2346"/>
      <c r="J101" s="2345"/>
      <c r="K101" s="2345"/>
      <c r="L101" s="2345"/>
    </row>
    <row r="102" spans="3:20" s="2339" customFormat="1" ht="13.5">
      <c r="C102" s="2413" t="s">
        <v>2182</v>
      </c>
      <c r="D102" s="2401"/>
      <c r="F102" s="2351">
        <v>79.599999999999994</v>
      </c>
      <c r="G102" s="2401">
        <f>74.2/0.528</f>
        <v>140.53030303030303</v>
      </c>
      <c r="H102" s="2401">
        <f>AVERAGE(O102:R102)</f>
        <v>172.90715372907152</v>
      </c>
      <c r="I102" s="2345"/>
      <c r="J102" s="2351"/>
      <c r="K102" s="2351"/>
      <c r="L102" s="2351">
        <v>123.6</v>
      </c>
      <c r="M102" s="2351" t="s">
        <v>2183</v>
      </c>
      <c r="N102" s="2351"/>
      <c r="O102" s="2351">
        <f>105.2+35.1+32.8</f>
        <v>173.10000000000002</v>
      </c>
      <c r="P102" s="2351">
        <f>97.2/P107</f>
        <v>152.59026687598117</v>
      </c>
      <c r="Q102" s="2351">
        <v>192.15</v>
      </c>
      <c r="R102" s="2351">
        <f>113.6/0.657*4-Q102-P102-O102</f>
        <v>173.78834804030492</v>
      </c>
      <c r="S102" s="2640">
        <f>+S96*S104</f>
        <v>122.42999999999999</v>
      </c>
    </row>
    <row r="103" spans="3:20" s="2347" customFormat="1" ht="13">
      <c r="C103" s="2344" t="s">
        <v>2119</v>
      </c>
      <c r="D103" s="2345"/>
      <c r="E103" s="2346"/>
      <c r="F103" s="2346"/>
      <c r="G103" s="2346">
        <f>G102/F102-1</f>
        <v>0.76545606821988743</v>
      </c>
      <c r="H103" s="2346">
        <f>H102/G102-1</f>
        <v>0.23039052788341996</v>
      </c>
      <c r="I103" s="2346"/>
      <c r="J103" s="2345"/>
      <c r="K103" s="2345"/>
      <c r="L103" s="2345"/>
      <c r="S103" s="961">
        <f>S102/O102-1</f>
        <v>-0.29272097053726187</v>
      </c>
    </row>
    <row r="104" spans="3:20" s="2347" customFormat="1" ht="13">
      <c r="C104" s="2344" t="s">
        <v>2184</v>
      </c>
      <c r="D104" s="2345"/>
      <c r="E104" s="2346"/>
      <c r="F104" s="2346">
        <f>F102/F$96</f>
        <v>0.65676567656765672</v>
      </c>
      <c r="G104" s="2346">
        <f>G102/G$96</f>
        <v>0.80211360177113611</v>
      </c>
      <c r="H104" s="2346">
        <f>H102/H$96</f>
        <v>0.84262745482003676</v>
      </c>
      <c r="I104" s="2346"/>
      <c r="J104" s="2345"/>
      <c r="K104" s="2345"/>
      <c r="L104" s="2345"/>
      <c r="O104" s="961">
        <f>O102/O96</f>
        <v>0.86853988961364781</v>
      </c>
      <c r="P104" s="961">
        <f>P102/P96</f>
        <v>0.84025477354615186</v>
      </c>
      <c r="Q104" s="961">
        <f>Q102/Q96</f>
        <v>0.82115384615384612</v>
      </c>
      <c r="R104" s="961">
        <f>R102/R96</f>
        <v>0.84404248683975192</v>
      </c>
      <c r="S104" s="2415">
        <v>0.82499999999999996</v>
      </c>
    </row>
    <row r="105" spans="3:20" s="2347" customFormat="1" ht="13">
      <c r="C105" s="2344"/>
      <c r="D105" s="2345"/>
      <c r="E105" s="2346"/>
      <c r="F105" s="2346"/>
      <c r="G105" s="2346"/>
      <c r="H105" s="2346"/>
      <c r="I105" s="2346"/>
      <c r="J105" s="2345"/>
      <c r="K105" s="2345"/>
      <c r="L105" s="2345"/>
    </row>
    <row r="106" spans="3:20" s="2347" customFormat="1" ht="13">
      <c r="C106" s="2344" t="s">
        <v>2185</v>
      </c>
      <c r="D106" s="2345"/>
      <c r="E106" s="2346"/>
      <c r="F106" s="2346"/>
      <c r="G106" s="2346"/>
      <c r="H106" s="2346"/>
      <c r="I106" s="2346"/>
      <c r="J106" s="2345"/>
      <c r="K106" s="2345"/>
      <c r="L106" s="2345"/>
    </row>
    <row r="107" spans="3:20" s="2347" customFormat="1" ht="13">
      <c r="C107" s="2353" t="s">
        <v>2186</v>
      </c>
      <c r="D107" s="2345"/>
      <c r="E107" s="2346"/>
      <c r="F107" s="2346"/>
      <c r="G107" s="2414">
        <v>0.52800000000000002</v>
      </c>
      <c r="H107" s="2414">
        <f>AVERAGE(O107:R107)</f>
        <v>0.63800000000000001</v>
      </c>
      <c r="I107" s="2346"/>
      <c r="J107" s="2345">
        <f>$G$102*G107</f>
        <v>74.2</v>
      </c>
      <c r="K107" s="2345"/>
      <c r="L107" s="2345"/>
      <c r="M107" s="2415">
        <v>0.503</v>
      </c>
      <c r="N107" s="2415"/>
      <c r="O107" s="2415">
        <v>0.60799999999999998</v>
      </c>
      <c r="P107" s="2415">
        <v>0.63700000000000001</v>
      </c>
      <c r="Q107" s="2415">
        <v>0.65</v>
      </c>
      <c r="R107" s="2415">
        <v>0.65700000000000003</v>
      </c>
      <c r="S107" s="2415">
        <v>0.83299999999999996</v>
      </c>
      <c r="T107" s="2639"/>
    </row>
    <row r="108" spans="3:20" s="2347" customFormat="1" ht="13">
      <c r="C108" s="2353" t="s">
        <v>2187</v>
      </c>
      <c r="D108" s="2345"/>
      <c r="E108" s="2346"/>
      <c r="F108" s="2346"/>
      <c r="G108" s="2414">
        <v>0.34899999999999998</v>
      </c>
      <c r="H108" s="2414">
        <f>AVERAGE(O108:R108)</f>
        <v>0.22550000000000001</v>
      </c>
      <c r="I108" s="2346"/>
      <c r="J108" s="2345">
        <f>$G$102*G108</f>
        <v>49.045075757575752</v>
      </c>
      <c r="K108" s="2345"/>
      <c r="L108" s="2345"/>
      <c r="M108" s="2415">
        <v>0.30499999999999999</v>
      </c>
      <c r="N108" s="2415"/>
      <c r="O108" s="2415">
        <v>0.20300000000000001</v>
      </c>
      <c r="P108" s="2415">
        <v>0.22800000000000001</v>
      </c>
      <c r="Q108" s="2415">
        <v>0.252</v>
      </c>
      <c r="R108" s="2415">
        <v>0.219</v>
      </c>
      <c r="S108" s="2415">
        <v>9.6000000000000002E-2</v>
      </c>
      <c r="T108" s="961"/>
    </row>
    <row r="109" spans="3:20" s="2347" customFormat="1" ht="13">
      <c r="C109" s="2353" t="s">
        <v>2188</v>
      </c>
      <c r="D109" s="2345"/>
      <c r="E109" s="2346"/>
      <c r="F109" s="2346"/>
      <c r="G109" s="2414">
        <v>0.123</v>
      </c>
      <c r="H109" s="2414">
        <f>AVERAGE(O109:R109)</f>
        <v>0.13650000000000001</v>
      </c>
      <c r="I109" s="2346"/>
      <c r="J109" s="2345">
        <f>$G$102*G109</f>
        <v>17.285227272727273</v>
      </c>
      <c r="K109" s="2345"/>
      <c r="L109" s="2345"/>
      <c r="M109" s="2415">
        <f>1-M107-M108</f>
        <v>0.192</v>
      </c>
      <c r="N109" s="2415"/>
      <c r="O109" s="2415">
        <v>0.189</v>
      </c>
      <c r="P109" s="2415">
        <v>0.13500000000000001</v>
      </c>
      <c r="Q109" s="2415">
        <v>9.8000000000000004E-2</v>
      </c>
      <c r="R109" s="2415">
        <v>0.124</v>
      </c>
      <c r="S109" s="2415">
        <v>7.0999999999999994E-2</v>
      </c>
      <c r="T109" s="961"/>
    </row>
    <row r="110" spans="3:20" s="2347" customFormat="1" ht="13">
      <c r="C110" s="2344"/>
      <c r="D110" s="2345"/>
      <c r="E110" s="2346"/>
      <c r="F110" s="2346"/>
      <c r="G110" s="2346"/>
      <c r="H110" s="2346"/>
      <c r="I110" s="2346"/>
      <c r="J110" s="2345"/>
      <c r="K110" s="2345"/>
      <c r="L110" s="2345"/>
    </row>
    <row r="111" spans="3:20" s="2347" customFormat="1" ht="13.5">
      <c r="C111" s="2413" t="s">
        <v>2594</v>
      </c>
      <c r="D111" s="2345"/>
      <c r="E111" s="2346"/>
      <c r="F111" s="2401">
        <f>+F96-F102</f>
        <v>41.600000000000009</v>
      </c>
      <c r="G111" s="2401">
        <f>+G96-G102</f>
        <v>34.669696969696957</v>
      </c>
      <c r="H111" s="2401">
        <f>+H96-H102</f>
        <v>32.292846270928464</v>
      </c>
      <c r="I111" s="2346"/>
      <c r="J111" s="2345"/>
      <c r="K111" s="2345"/>
      <c r="L111" s="2345"/>
      <c r="O111" s="2401">
        <f>+O96-O102</f>
        <v>26.199999999999989</v>
      </c>
      <c r="P111" s="2401">
        <f>+P96-P102</f>
        <v>29.009733124018823</v>
      </c>
      <c r="Q111" s="2401">
        <f>+Q96-Q102</f>
        <v>41.849999999999994</v>
      </c>
      <c r="R111" s="2401">
        <f>+R96-R102</f>
        <v>32.111651959695081</v>
      </c>
      <c r="S111" s="2401">
        <f>+S96-S102</f>
        <v>25.970000000000013</v>
      </c>
    </row>
    <row r="112" spans="3:20" s="2347" customFormat="1" ht="13">
      <c r="C112" s="2344" t="s">
        <v>2117</v>
      </c>
      <c r="D112" s="2345"/>
      <c r="E112" s="2346"/>
      <c r="F112" s="2346"/>
      <c r="G112" s="2346">
        <f>G111/F111-1</f>
        <v>-0.16659382284382329</v>
      </c>
      <c r="H112" s="2346">
        <f>H111/G111-1</f>
        <v>-6.8557008180543888E-2</v>
      </c>
      <c r="I112" s="2346"/>
      <c r="J112" s="2345"/>
      <c r="K112" s="2345"/>
      <c r="L112" s="2345"/>
      <c r="O112" s="2346"/>
      <c r="P112" s="2346"/>
      <c r="Q112" s="2346"/>
      <c r="R112" s="2346"/>
      <c r="S112" s="961">
        <f>S111/O111-1</f>
        <v>-8.7786259541975387E-3</v>
      </c>
    </row>
    <row r="113" spans="3:19" s="2347" customFormat="1" ht="13">
      <c r="C113" s="2344" t="s">
        <v>2184</v>
      </c>
      <c r="D113" s="2345"/>
      <c r="E113" s="2346"/>
      <c r="F113" s="2346">
        <f>F111/F$96</f>
        <v>0.34323432343234328</v>
      </c>
      <c r="G113" s="2346">
        <f>G111/G$96</f>
        <v>0.19788639822886392</v>
      </c>
      <c r="H113" s="2346">
        <f>H111/H$96</f>
        <v>0.1573725451799633</v>
      </c>
      <c r="I113" s="2346"/>
      <c r="J113" s="2345"/>
      <c r="K113" s="2345"/>
      <c r="L113" s="2345"/>
      <c r="O113" s="2346">
        <f>O111/O$96</f>
        <v>0.13146011038635216</v>
      </c>
      <c r="P113" s="2346">
        <f>P111/P$96</f>
        <v>0.15974522645384814</v>
      </c>
      <c r="Q113" s="2346">
        <f>Q111/Q$96</f>
        <v>0.17884615384615382</v>
      </c>
      <c r="R113" s="2346">
        <f>R111/R$96</f>
        <v>0.15595751316024808</v>
      </c>
      <c r="S113" s="2346">
        <f>S111/S$96</f>
        <v>0.17500000000000007</v>
      </c>
    </row>
    <row r="114" spans="3:19" s="2347" customFormat="1" ht="13">
      <c r="C114" s="2344"/>
      <c r="D114" s="2345"/>
      <c r="E114" s="2346"/>
      <c r="F114" s="2346"/>
      <c r="G114" s="2346"/>
      <c r="H114" s="2346"/>
      <c r="I114" s="2346"/>
      <c r="J114" s="2345"/>
      <c r="K114" s="2345"/>
      <c r="L114" s="2345"/>
    </row>
    <row r="115" spans="3:19" s="2347" customFormat="1" ht="13">
      <c r="C115" s="2344"/>
      <c r="D115" s="2345"/>
      <c r="E115" s="2346"/>
      <c r="F115" s="2346"/>
      <c r="G115" s="2346"/>
      <c r="H115" s="2346"/>
      <c r="I115" s="2346"/>
      <c r="J115" s="2345"/>
      <c r="K115" s="2345"/>
      <c r="L115" s="2345"/>
    </row>
    <row r="116" spans="3:19" s="2347" customFormat="1" ht="13">
      <c r="C116" s="2344"/>
      <c r="D116" s="2345"/>
      <c r="E116" s="2346"/>
      <c r="F116" s="2346"/>
      <c r="G116" s="2346"/>
      <c r="H116" s="2346"/>
      <c r="I116" s="2346"/>
      <c r="J116" s="2345"/>
      <c r="K116" s="2345"/>
      <c r="L116" s="2345"/>
    </row>
    <row r="117" spans="3:19" s="2347" customFormat="1" ht="13">
      <c r="C117" s="2344"/>
      <c r="D117" s="2345"/>
      <c r="E117" s="2346"/>
      <c r="F117" s="2346"/>
      <c r="G117" s="2346"/>
      <c r="H117" s="2346"/>
      <c r="I117" s="2346"/>
      <c r="J117" s="2345"/>
      <c r="K117" s="2345"/>
      <c r="L117" s="2345"/>
    </row>
    <row r="118" spans="3:19" s="2339" customFormat="1" ht="13.5">
      <c r="C118" s="2413" t="s">
        <v>2189</v>
      </c>
      <c r="D118" s="2401"/>
      <c r="F118" s="2351">
        <v>14</v>
      </c>
      <c r="G118" s="2401"/>
      <c r="H118" s="2401"/>
      <c r="I118" s="2345"/>
      <c r="J118" s="2351"/>
      <c r="K118" s="2351"/>
      <c r="L118" s="2351">
        <v>16.2</v>
      </c>
      <c r="M118" s="2351">
        <v>21.2</v>
      </c>
      <c r="N118" s="2351"/>
      <c r="O118" s="2351"/>
      <c r="P118" s="2351"/>
      <c r="Q118" s="2351"/>
      <c r="R118" s="2351"/>
    </row>
    <row r="119" spans="3:19" s="2347" customFormat="1" ht="13">
      <c r="C119" s="2344" t="s">
        <v>2119</v>
      </c>
      <c r="D119" s="2345"/>
      <c r="E119" s="2346"/>
      <c r="F119" s="2346"/>
      <c r="G119" s="2346"/>
      <c r="H119" s="2346"/>
      <c r="I119" s="2346"/>
      <c r="J119" s="2345"/>
      <c r="K119" s="2345"/>
      <c r="L119" s="2345"/>
    </row>
    <row r="120" spans="3:19" s="2347" customFormat="1" ht="13">
      <c r="C120" s="2344" t="s">
        <v>2181</v>
      </c>
      <c r="D120" s="2345"/>
      <c r="E120" s="2346"/>
      <c r="F120" s="2346">
        <f>F118/F102</f>
        <v>0.17587939698492464</v>
      </c>
      <c r="G120" s="2346"/>
      <c r="H120" s="2346"/>
      <c r="I120" s="2346"/>
      <c r="J120" s="2346"/>
      <c r="K120" s="2346"/>
      <c r="L120" s="2346">
        <f>L118/L102</f>
        <v>0.13106796116504854</v>
      </c>
      <c r="M120" s="2346"/>
      <c r="N120" s="2346"/>
      <c r="O120" s="2346"/>
      <c r="P120" s="2346"/>
      <c r="Q120" s="2346"/>
      <c r="R120" s="2346"/>
    </row>
    <row r="122" spans="3:19" ht="13">
      <c r="C122" s="2359" t="s">
        <v>2190</v>
      </c>
      <c r="D122" s="2406">
        <v>0.39100000000000001</v>
      </c>
      <c r="F122" s="2406">
        <v>0.503</v>
      </c>
      <c r="G122" s="2406">
        <v>0.67</v>
      </c>
      <c r="H122" s="2406"/>
      <c r="I122" s="2415"/>
      <c r="J122" s="2406"/>
      <c r="K122" s="2406"/>
      <c r="L122" s="2406">
        <v>0.64700000000000002</v>
      </c>
      <c r="M122" s="2406">
        <v>0.753</v>
      </c>
      <c r="N122" s="2406"/>
      <c r="O122" s="2406"/>
      <c r="P122" s="2406"/>
      <c r="Q122" s="2406"/>
      <c r="R122" s="2406"/>
    </row>
    <row r="123" spans="3:19" s="2416" customFormat="1">
      <c r="C123" s="2416" t="s">
        <v>2191</v>
      </c>
      <c r="D123" s="2417"/>
      <c r="F123" s="2417"/>
      <c r="G123" s="2417"/>
      <c r="H123" s="2417"/>
      <c r="I123" s="2417"/>
      <c r="J123" s="2417">
        <v>0.12</v>
      </c>
      <c r="K123" s="2417"/>
      <c r="L123" s="2417"/>
      <c r="M123" s="2417">
        <v>0.16</v>
      </c>
      <c r="N123" s="2417">
        <v>0.2</v>
      </c>
      <c r="O123" s="2417">
        <v>0.21</v>
      </c>
      <c r="P123" s="2417">
        <v>0.23</v>
      </c>
      <c r="Q123" s="2417">
        <v>0.26</v>
      </c>
      <c r="R123" s="2417">
        <v>0.28000000000000003</v>
      </c>
    </row>
    <row r="124" spans="3:19" ht="13">
      <c r="C124" s="2336"/>
      <c r="D124" s="2336">
        <v>2015</v>
      </c>
      <c r="E124" s="2336">
        <v>2016</v>
      </c>
      <c r="F124" s="2336">
        <v>2017</v>
      </c>
      <c r="G124" s="2337">
        <v>2018</v>
      </c>
      <c r="H124" s="2337"/>
      <c r="I124" s="2338"/>
      <c r="J124" s="2337" t="s">
        <v>1181</v>
      </c>
      <c r="K124" s="2337" t="s">
        <v>2192</v>
      </c>
      <c r="L124" s="2337" t="s">
        <v>2111</v>
      </c>
      <c r="M124" s="2337" t="s">
        <v>1178</v>
      </c>
      <c r="N124" s="2337" t="s">
        <v>1099</v>
      </c>
      <c r="O124" s="2337" t="s">
        <v>2031</v>
      </c>
      <c r="P124" s="2337" t="s">
        <v>2042</v>
      </c>
      <c r="Q124" s="2337" t="s">
        <v>2193</v>
      </c>
      <c r="R124" s="2337" t="s">
        <v>2194</v>
      </c>
    </row>
    <row r="125" spans="3:19">
      <c r="C125" s="2418" t="s">
        <v>2195</v>
      </c>
      <c r="D125" s="2418"/>
      <c r="E125" s="2418"/>
      <c r="F125" s="2418"/>
      <c r="G125" s="2418"/>
      <c r="H125" s="2418"/>
      <c r="J125" s="2418"/>
      <c r="K125" s="2418"/>
      <c r="L125" s="2418"/>
      <c r="M125" s="2418"/>
      <c r="N125" s="2418"/>
      <c r="O125" s="2418"/>
      <c r="P125" s="2418"/>
      <c r="Q125" s="2418"/>
      <c r="R125" s="2418"/>
    </row>
    <row r="126" spans="3:19" ht="13">
      <c r="C126" s="2419" t="s">
        <v>2196</v>
      </c>
      <c r="D126" s="2378">
        <v>1026.124</v>
      </c>
      <c r="E126" s="2378">
        <v>2204.5650000000001</v>
      </c>
      <c r="F126" s="2378">
        <v>2518.5909999999999</v>
      </c>
      <c r="G126" s="2420">
        <v>5255.6390000000001</v>
      </c>
      <c r="H126" s="2420"/>
      <c r="I126" s="2421"/>
      <c r="J126" s="2378">
        <v>682.36400000000003</v>
      </c>
      <c r="K126" s="2378">
        <v>1314.48</v>
      </c>
      <c r="L126" s="2378">
        <v>1996.8440000000001</v>
      </c>
      <c r="M126" s="2378">
        <v>1686.3969999999999</v>
      </c>
      <c r="N126" s="2378">
        <v>1572.3979999999999</v>
      </c>
      <c r="O126" s="2378">
        <v>1783.4110000000001</v>
      </c>
      <c r="P126" s="2378">
        <v>1590.8979999999999</v>
      </c>
      <c r="Q126" s="2378">
        <v>2062.13</v>
      </c>
      <c r="R126" s="2378">
        <v>1956.4929999999999</v>
      </c>
    </row>
    <row r="127" spans="3:19" ht="13">
      <c r="C127" s="2344" t="s">
        <v>2119</v>
      </c>
      <c r="D127" s="2422"/>
      <c r="E127" s="2423">
        <f>(E126-D126)/D126</f>
        <v>1.148439174992496</v>
      </c>
      <c r="F127" s="2423">
        <f>(F126-E126)/E126</f>
        <v>0.14244352060383786</v>
      </c>
      <c r="J127" s="2424"/>
      <c r="K127" s="2425"/>
      <c r="L127" s="2425">
        <v>0.6</v>
      </c>
      <c r="O127" s="727">
        <f>O126/J126-1</f>
        <v>1.6135772109900288</v>
      </c>
      <c r="P127" s="727">
        <f>P126/K126-1</f>
        <v>0.21028695758018379</v>
      </c>
      <c r="Q127" s="727">
        <f>Q126/M126-1</f>
        <v>0.22280222272691441</v>
      </c>
      <c r="R127" s="727">
        <f>R126/N126-1</f>
        <v>0.24427339643016599</v>
      </c>
    </row>
    <row r="128" spans="3:19">
      <c r="C128" s="2426" t="s">
        <v>2197</v>
      </c>
      <c r="D128" s="2422"/>
      <c r="E128" s="2423"/>
      <c r="F128" s="2427"/>
      <c r="G128" s="860"/>
      <c r="H128" s="860"/>
      <c r="I128" s="861"/>
      <c r="J128" s="2428">
        <v>449.58600000000001</v>
      </c>
      <c r="K128" s="2428">
        <v>440.98200000000003</v>
      </c>
      <c r="L128" s="2428">
        <f>J128+K128</f>
        <v>890.56799999999998</v>
      </c>
      <c r="M128" s="2378">
        <v>515.72199999999998</v>
      </c>
      <c r="N128" s="2378">
        <v>424.07999999999993</v>
      </c>
      <c r="O128" s="2428">
        <v>489.16399999999999</v>
      </c>
      <c r="P128" s="2378">
        <v>553.36</v>
      </c>
      <c r="Q128" s="2378">
        <v>693.73599999999999</v>
      </c>
      <c r="R128" s="2378">
        <v>621.86300000000006</v>
      </c>
    </row>
    <row r="129" spans="3:18">
      <c r="C129" s="2426"/>
      <c r="D129" s="2422"/>
      <c r="E129" s="2423"/>
      <c r="F129" s="2427"/>
      <c r="G129" s="860"/>
      <c r="H129" s="860"/>
      <c r="I129" s="861"/>
      <c r="J129" s="727">
        <f>J128/J126</f>
        <v>0.65886535632008725</v>
      </c>
      <c r="K129" s="727">
        <f>K128/K126</f>
        <v>0.33548018988497352</v>
      </c>
      <c r="L129" s="2429"/>
      <c r="M129" s="727">
        <f t="shared" ref="M129:R129" si="6">M128/M126</f>
        <v>0.30581292542621935</v>
      </c>
      <c r="N129" s="727">
        <f t="shared" si="6"/>
        <v>0.26970270885615472</v>
      </c>
      <c r="O129" s="727">
        <f t="shared" si="6"/>
        <v>0.27428562456999533</v>
      </c>
      <c r="P129" s="727">
        <f t="shared" si="6"/>
        <v>0.34782871057729664</v>
      </c>
      <c r="Q129" s="727">
        <f t="shared" si="6"/>
        <v>0.33641719969158101</v>
      </c>
      <c r="R129" s="727">
        <f t="shared" si="6"/>
        <v>0.31784575768990742</v>
      </c>
    </row>
    <row r="130" spans="3:18">
      <c r="C130" s="2426" t="s">
        <v>2198</v>
      </c>
      <c r="D130" s="2422"/>
      <c r="E130" s="2423"/>
      <c r="F130" s="2427"/>
      <c r="G130" s="860"/>
      <c r="H130" s="860"/>
      <c r="I130" s="861"/>
      <c r="J130" s="2428">
        <v>208.16900000000001</v>
      </c>
      <c r="K130" s="2428">
        <v>829.48699999999997</v>
      </c>
      <c r="L130" s="2428">
        <f>J130+K130</f>
        <v>1037.6559999999999</v>
      </c>
      <c r="M130" s="2378">
        <v>1122.1500000000001</v>
      </c>
      <c r="N130" s="2378">
        <v>1072.7149999999999</v>
      </c>
      <c r="O130" s="2428">
        <v>1258.9480000000001</v>
      </c>
      <c r="P130" s="2378">
        <v>937.09199999999998</v>
      </c>
      <c r="Q130" s="2378">
        <v>1139.6210000000001</v>
      </c>
      <c r="R130" s="2378">
        <v>1181.9970000000001</v>
      </c>
    </row>
    <row r="131" spans="3:18">
      <c r="C131" s="2426"/>
      <c r="D131" s="2422"/>
      <c r="E131" s="2423"/>
      <c r="F131" s="2427"/>
      <c r="G131" s="860"/>
      <c r="H131" s="860"/>
      <c r="I131" s="861"/>
      <c r="J131" s="727">
        <f t="shared" ref="J131:O131" si="7">J130/J126</f>
        <v>0.30507031437766352</v>
      </c>
      <c r="K131" s="727">
        <f t="shared" si="7"/>
        <v>0.63103812914612623</v>
      </c>
      <c r="L131" s="2429"/>
      <c r="M131" s="727">
        <f t="shared" si="7"/>
        <v>0.6654127112417777</v>
      </c>
      <c r="N131" s="727">
        <f t="shared" si="7"/>
        <v>0.68221595295847492</v>
      </c>
      <c r="O131" s="727">
        <f t="shared" si="7"/>
        <v>0.70592140566588413</v>
      </c>
      <c r="P131" s="727">
        <f>P130/P126</f>
        <v>0.5890333635468773</v>
      </c>
      <c r="Q131" s="727">
        <f>Q130/Q126</f>
        <v>0.55264265589463324</v>
      </c>
      <c r="R131" s="727">
        <f>R130/R126</f>
        <v>0.60414067415523598</v>
      </c>
    </row>
    <row r="132" spans="3:18">
      <c r="C132" s="2426" t="s">
        <v>2199</v>
      </c>
      <c r="D132" s="2422"/>
      <c r="E132" s="2423"/>
      <c r="F132" s="2427"/>
      <c r="G132" s="860"/>
      <c r="H132" s="860"/>
      <c r="I132" s="861"/>
      <c r="J132" s="2428">
        <v>24.609000000000002</v>
      </c>
      <c r="K132" s="2428">
        <v>44.011000000000003</v>
      </c>
      <c r="L132" s="2428">
        <f>J132+K132</f>
        <v>68.62</v>
      </c>
      <c r="M132" s="2378">
        <v>48.524999999999999</v>
      </c>
      <c r="N132" s="2378">
        <v>75.60299999999998</v>
      </c>
      <c r="O132" s="2428">
        <v>35.298999999999999</v>
      </c>
      <c r="P132" s="2378">
        <v>100.446</v>
      </c>
      <c r="Q132" s="2378">
        <v>228.773</v>
      </c>
      <c r="R132" s="2356">
        <f>517.151-Q132-P132-O132</f>
        <v>152.63299999999992</v>
      </c>
    </row>
    <row r="133" spans="3:18">
      <c r="C133" s="2426"/>
      <c r="D133" s="2422"/>
      <c r="E133" s="2423"/>
      <c r="F133" s="2427"/>
      <c r="G133" s="860"/>
      <c r="H133" s="860"/>
      <c r="I133" s="861"/>
      <c r="J133" s="727">
        <f t="shared" ref="J133:O133" si="8">J132/J126</f>
        <v>3.6064329302249239E-2</v>
      </c>
      <c r="K133" s="727">
        <f t="shared" si="8"/>
        <v>3.3481680968900251E-2</v>
      </c>
      <c r="L133" s="2429"/>
      <c r="M133" s="727">
        <f t="shared" si="8"/>
        <v>2.8774363332003082E-2</v>
      </c>
      <c r="N133" s="727">
        <f t="shared" si="8"/>
        <v>4.8081338185370359E-2</v>
      </c>
      <c r="O133" s="727">
        <f t="shared" si="8"/>
        <v>1.9792969764120552E-2</v>
      </c>
      <c r="P133" s="727">
        <f>P132/P126</f>
        <v>6.3137925875826104E-2</v>
      </c>
      <c r="Q133" s="727">
        <f>Q132/Q126</f>
        <v>0.11094014441378573</v>
      </c>
      <c r="R133" s="727">
        <f>R132/R126</f>
        <v>7.8013568154856633E-2</v>
      </c>
    </row>
    <row r="134" spans="3:18" ht="13">
      <c r="C134" s="2344"/>
      <c r="D134" s="2422"/>
      <c r="E134" s="2423"/>
      <c r="F134" s="2427"/>
      <c r="G134" s="860"/>
      <c r="H134" s="860"/>
      <c r="I134" s="861"/>
      <c r="J134" s="2429"/>
      <c r="K134" s="2429"/>
      <c r="L134" s="2429"/>
      <c r="M134" s="860"/>
      <c r="N134" s="860"/>
      <c r="O134" s="860"/>
      <c r="P134" s="860"/>
      <c r="Q134" s="860"/>
      <c r="R134" s="860"/>
    </row>
    <row r="135" spans="3:18">
      <c r="C135" s="2430" t="s">
        <v>2200</v>
      </c>
      <c r="D135" s="2378">
        <v>-639.72299999999996</v>
      </c>
      <c r="E135" s="2378">
        <v>-1032.913</v>
      </c>
      <c r="F135" s="2378">
        <v>-811.78099999999995</v>
      </c>
      <c r="G135" s="2420">
        <v>-1600.5129999999999</v>
      </c>
      <c r="H135" s="2420"/>
      <c r="I135" s="2421"/>
      <c r="J135" s="2378">
        <v>194.08500000000001</v>
      </c>
      <c r="K135" s="2378">
        <v>370.53100000000001</v>
      </c>
      <c r="L135" s="2428">
        <f>J135+K135</f>
        <v>564.61599999999999</v>
      </c>
      <c r="M135" s="2378">
        <v>479.54300000000001</v>
      </c>
      <c r="N135" s="2378">
        <v>556.35400000000004</v>
      </c>
      <c r="O135" s="2378">
        <v>498.27</v>
      </c>
      <c r="P135" s="2378">
        <v>561.16</v>
      </c>
      <c r="Q135" s="2378">
        <v>683.255</v>
      </c>
      <c r="R135" s="2378">
        <v>575.06100000000004</v>
      </c>
    </row>
    <row r="136" spans="3:18">
      <c r="C136" s="2431" t="s">
        <v>2201</v>
      </c>
      <c r="D136" s="2378"/>
      <c r="E136" s="2378"/>
      <c r="F136" s="2378"/>
      <c r="G136" s="2420"/>
      <c r="H136" s="2420"/>
      <c r="I136" s="2421"/>
      <c r="J136" s="2432">
        <f>J135/J126</f>
        <v>0.28443030406058933</v>
      </c>
      <c r="K136" s="2432">
        <f t="shared" ref="K136:R136" si="9">K135/K126</f>
        <v>0.28188409104741036</v>
      </c>
      <c r="L136" s="2378"/>
      <c r="M136" s="2432">
        <f t="shared" si="9"/>
        <v>0.28435949542130357</v>
      </c>
      <c r="N136" s="2432">
        <f t="shared" si="9"/>
        <v>0.35382517657743146</v>
      </c>
      <c r="O136" s="2432">
        <f t="shared" si="9"/>
        <v>0.27939157042319462</v>
      </c>
      <c r="P136" s="2432">
        <f t="shared" si="9"/>
        <v>0.35273160190031039</v>
      </c>
      <c r="Q136" s="2432">
        <f t="shared" si="9"/>
        <v>0.33133459093267636</v>
      </c>
      <c r="R136" s="2432">
        <f t="shared" si="9"/>
        <v>0.29392438408928634</v>
      </c>
    </row>
    <row r="137" spans="3:18">
      <c r="C137" s="2430" t="s">
        <v>2202</v>
      </c>
      <c r="D137" s="2378"/>
      <c r="E137" s="2378"/>
      <c r="F137" s="2378"/>
      <c r="G137" s="2420"/>
      <c r="H137" s="2420"/>
      <c r="I137" s="2421"/>
      <c r="J137" s="2378">
        <v>30.378</v>
      </c>
      <c r="K137" s="2378">
        <v>55.89</v>
      </c>
      <c r="L137" s="2428">
        <f>J137+K137</f>
        <v>86.268000000000001</v>
      </c>
      <c r="M137" s="2378">
        <v>72.935000000000002</v>
      </c>
      <c r="N137" s="2378">
        <v>137.136</v>
      </c>
      <c r="O137" s="2378">
        <v>109.56699999999999</v>
      </c>
      <c r="P137" s="2378">
        <v>61.646999999999998</v>
      </c>
      <c r="Q137" s="2378">
        <v>68.341999999999999</v>
      </c>
      <c r="R137" s="2378">
        <v>33.911999999999999</v>
      </c>
    </row>
    <row r="138" spans="3:18" s="2436" customFormat="1">
      <c r="C138" s="2431" t="s">
        <v>2201</v>
      </c>
      <c r="D138" s="2433"/>
      <c r="E138" s="2433"/>
      <c r="F138" s="2433"/>
      <c r="G138" s="2434"/>
      <c r="H138" s="2434"/>
      <c r="I138" s="2435"/>
      <c r="J138" s="2432">
        <f>J137/J126</f>
        <v>4.4518761247662533E-2</v>
      </c>
      <c r="K138" s="2432">
        <f>K137/K126</f>
        <v>4.2518714624794597E-2</v>
      </c>
      <c r="L138" s="2433"/>
      <c r="M138" s="2432">
        <f t="shared" ref="M138:R138" si="10">M137/M126</f>
        <v>4.3249009574851005E-2</v>
      </c>
      <c r="N138" s="2432">
        <f t="shared" si="10"/>
        <v>8.7214560181328143E-2</v>
      </c>
      <c r="O138" s="2432">
        <f t="shared" si="10"/>
        <v>6.1436763595155569E-2</v>
      </c>
      <c r="P138" s="2432">
        <f t="shared" si="10"/>
        <v>3.8749812998696335E-2</v>
      </c>
      <c r="Q138" s="2432">
        <f t="shared" si="10"/>
        <v>3.3141460528676656E-2</v>
      </c>
      <c r="R138" s="2432">
        <f t="shared" si="10"/>
        <v>1.7333054603313174E-2</v>
      </c>
    </row>
    <row r="139" spans="3:18">
      <c r="C139" s="2430" t="s">
        <v>2203</v>
      </c>
      <c r="D139" s="2378"/>
      <c r="E139" s="2378"/>
      <c r="F139" s="2378"/>
      <c r="G139" s="2420"/>
      <c r="H139" s="2420"/>
      <c r="I139" s="2421"/>
      <c r="J139" s="2378">
        <v>60.286000000000001</v>
      </c>
      <c r="K139" s="2378">
        <v>195.02699999999999</v>
      </c>
      <c r="L139" s="2428">
        <f>J139+K139</f>
        <v>255.31299999999999</v>
      </c>
      <c r="M139" s="2378">
        <v>240.54599999999999</v>
      </c>
      <c r="N139" s="2378">
        <v>208.369</v>
      </c>
      <c r="O139" s="2378">
        <v>233.82</v>
      </c>
      <c r="P139" s="2378">
        <v>243.566</v>
      </c>
      <c r="Q139" s="2378">
        <v>277.125</v>
      </c>
      <c r="R139" s="2378">
        <v>223.96600000000001</v>
      </c>
    </row>
    <row r="140" spans="3:18" s="2436" customFormat="1">
      <c r="C140" s="2431" t="s">
        <v>2204</v>
      </c>
      <c r="D140" s="2433"/>
      <c r="E140" s="2433"/>
      <c r="F140" s="2433"/>
      <c r="G140" s="2434"/>
      <c r="H140" s="2434"/>
      <c r="I140" s="2435"/>
      <c r="J140" s="2432">
        <f>J139/J126</f>
        <v>8.8348740554894459E-2</v>
      </c>
      <c r="K140" s="2432">
        <f>K139/K126</f>
        <v>0.1483681760087639</v>
      </c>
      <c r="L140" s="2433"/>
      <c r="M140" s="2432">
        <f t="shared" ref="M140:R140" si="11">M139/M126</f>
        <v>0.14263901086161798</v>
      </c>
      <c r="N140" s="2432">
        <f t="shared" si="11"/>
        <v>0.13251670378619154</v>
      </c>
      <c r="O140" s="2432">
        <f t="shared" si="11"/>
        <v>0.13110830874094642</v>
      </c>
      <c r="P140" s="2432">
        <f t="shared" si="11"/>
        <v>0.15309969589502281</v>
      </c>
      <c r="Q140" s="2432">
        <f t="shared" si="11"/>
        <v>0.13438774471056625</v>
      </c>
      <c r="R140" s="2432">
        <f t="shared" si="11"/>
        <v>0.1144731925951179</v>
      </c>
    </row>
    <row r="141" spans="3:18">
      <c r="C141" s="2430" t="s">
        <v>2205</v>
      </c>
      <c r="D141" s="2378"/>
      <c r="E141" s="2378"/>
      <c r="F141" s="2378"/>
      <c r="G141" s="2420"/>
      <c r="H141" s="2420"/>
      <c r="I141" s="2421"/>
      <c r="J141" s="2378">
        <v>37.177</v>
      </c>
      <c r="K141" s="2378">
        <v>28.823</v>
      </c>
      <c r="L141" s="2428">
        <f>J141+K141</f>
        <v>66</v>
      </c>
      <c r="M141" s="2378">
        <v>64.507999999999996</v>
      </c>
      <c r="N141" s="2378">
        <v>57.561999999999998</v>
      </c>
      <c r="O141" s="2378">
        <v>44.558</v>
      </c>
      <c r="P141" s="2378">
        <v>101.801</v>
      </c>
      <c r="Q141" s="2378">
        <v>151.619</v>
      </c>
      <c r="R141" s="2378">
        <v>129.774</v>
      </c>
    </row>
    <row r="142" spans="3:18" s="2436" customFormat="1">
      <c r="C142" s="2431" t="s">
        <v>2201</v>
      </c>
      <c r="D142" s="2433"/>
      <c r="E142" s="2433"/>
      <c r="F142" s="2433"/>
      <c r="G142" s="2434"/>
      <c r="H142" s="2434"/>
      <c r="I142" s="2435"/>
      <c r="J142" s="2432">
        <f>J141/J126</f>
        <v>5.4482651488062084E-2</v>
      </c>
      <c r="K142" s="2432">
        <f>K141/K126</f>
        <v>2.1927302051001157E-2</v>
      </c>
      <c r="L142" s="2433"/>
      <c r="M142" s="2432">
        <f t="shared" ref="M142:R142" si="12">M141/M126</f>
        <v>3.8251965581058311E-2</v>
      </c>
      <c r="N142" s="2432">
        <f t="shared" si="12"/>
        <v>3.6607779964105781E-2</v>
      </c>
      <c r="O142" s="2432">
        <f t="shared" si="12"/>
        <v>2.4984706273539863E-2</v>
      </c>
      <c r="P142" s="2432">
        <f t="shared" si="12"/>
        <v>6.3989646099247094E-2</v>
      </c>
      <c r="Q142" s="2432">
        <f t="shared" si="12"/>
        <v>7.3525432441213692E-2</v>
      </c>
      <c r="R142" s="2432">
        <f t="shared" si="12"/>
        <v>6.6329907645976752E-2</v>
      </c>
    </row>
    <row r="143" spans="3:18">
      <c r="C143" s="2430" t="s">
        <v>2206</v>
      </c>
      <c r="D143" s="2378"/>
      <c r="E143" s="2378"/>
      <c r="F143" s="2378"/>
      <c r="G143" s="2420"/>
      <c r="H143" s="2420"/>
      <c r="I143" s="2421"/>
      <c r="J143" s="2378">
        <v>11.736000000000001</v>
      </c>
      <c r="K143" s="2378">
        <v>23.87</v>
      </c>
      <c r="L143" s="2428">
        <f>J143+K143</f>
        <v>35.606000000000002</v>
      </c>
      <c r="M143" s="2378">
        <v>26.186</v>
      </c>
      <c r="N143" s="2378">
        <v>39.65</v>
      </c>
      <c r="O143" s="2378">
        <v>32.323</v>
      </c>
      <c r="P143" s="2378">
        <v>31.164999999999999</v>
      </c>
      <c r="Q143" s="2378">
        <v>29.518999999999998</v>
      </c>
      <c r="R143" s="2378">
        <v>29.084</v>
      </c>
    </row>
    <row r="144" spans="3:18" s="2436" customFormat="1">
      <c r="C144" s="2431" t="s">
        <v>2207</v>
      </c>
      <c r="D144" s="2433"/>
      <c r="E144" s="2433"/>
      <c r="F144" s="2433"/>
      <c r="G144" s="2434"/>
      <c r="H144" s="2434"/>
      <c r="I144" s="2435"/>
      <c r="J144" s="2432">
        <f>J143/J126</f>
        <v>1.7199031601901626E-2</v>
      </c>
      <c r="K144" s="2432">
        <f>K143/K126</f>
        <v>1.8159272107601484E-2</v>
      </c>
      <c r="L144" s="2433"/>
      <c r="M144" s="2432">
        <f t="shared" ref="M144:R144" si="13">M143/M126</f>
        <v>1.55277790460965E-2</v>
      </c>
      <c r="N144" s="2432">
        <f t="shared" si="13"/>
        <v>2.5216262040526637E-2</v>
      </c>
      <c r="O144" s="2432">
        <f t="shared" si="13"/>
        <v>1.8124257392154695E-2</v>
      </c>
      <c r="P144" s="2432">
        <f t="shared" si="13"/>
        <v>1.9589565138682683E-2</v>
      </c>
      <c r="Q144" s="2432">
        <f t="shared" si="13"/>
        <v>1.4314810414474353E-2</v>
      </c>
      <c r="R144" s="2432">
        <f t="shared" si="13"/>
        <v>1.4865373911381232E-2</v>
      </c>
    </row>
    <row r="145" spans="3:18">
      <c r="C145" s="2430" t="s">
        <v>2208</v>
      </c>
      <c r="D145" s="2378"/>
      <c r="E145" s="2378"/>
      <c r="F145" s="2378"/>
      <c r="G145" s="2420"/>
      <c r="H145" s="2420"/>
      <c r="I145" s="2421"/>
      <c r="J145" s="2378"/>
      <c r="K145" s="2378">
        <v>35.639000000000003</v>
      </c>
      <c r="L145" s="2428">
        <f>J145+K145</f>
        <v>35.639000000000003</v>
      </c>
      <c r="M145" s="2378">
        <v>19.111999999999998</v>
      </c>
      <c r="N145" s="2378">
        <v>20.577999999999999</v>
      </c>
      <c r="O145" s="2378"/>
      <c r="P145" s="2378">
        <v>64.712999999999994</v>
      </c>
      <c r="Q145" s="2378">
        <v>77.335999999999999</v>
      </c>
      <c r="R145" s="2378">
        <v>92.256</v>
      </c>
    </row>
    <row r="146" spans="3:18" s="2436" customFormat="1">
      <c r="C146" s="2431" t="s">
        <v>2201</v>
      </c>
      <c r="D146" s="2433"/>
      <c r="E146" s="2433"/>
      <c r="F146" s="2433"/>
      <c r="G146" s="2434"/>
      <c r="H146" s="2434"/>
      <c r="I146" s="2435"/>
      <c r="J146" s="2433"/>
      <c r="K146" s="2432">
        <f>K145/K126</f>
        <v>2.7112622481893982E-2</v>
      </c>
      <c r="L146" s="2433"/>
      <c r="M146" s="2432">
        <f>M145/M126</f>
        <v>1.133303723856245E-2</v>
      </c>
      <c r="N146" s="2432">
        <f>N145/N126</f>
        <v>1.3087017409078364E-2</v>
      </c>
      <c r="O146" s="2432"/>
      <c r="P146" s="2432">
        <f>P145/P126</f>
        <v>4.0677026434127142E-2</v>
      </c>
      <c r="Q146" s="2432">
        <f>Q145/Q126</f>
        <v>3.7502970229810924E-2</v>
      </c>
      <c r="R146" s="2432">
        <f>R145/R126</f>
        <v>4.7153759302997762E-2</v>
      </c>
    </row>
    <row r="147" spans="3:18">
      <c r="C147" s="2430" t="s">
        <v>2199</v>
      </c>
      <c r="D147" s="2378"/>
      <c r="E147" s="2378"/>
      <c r="F147" s="2378"/>
      <c r="G147" s="2420"/>
      <c r="H147" s="2420"/>
      <c r="I147" s="2421"/>
      <c r="J147" s="2378">
        <v>54.508000000000003</v>
      </c>
      <c r="K147" s="2378">
        <v>31.282</v>
      </c>
      <c r="L147" s="2428">
        <f>J147+K147</f>
        <v>85.79</v>
      </c>
      <c r="M147" s="2378">
        <v>56.256</v>
      </c>
      <c r="N147" s="2378">
        <v>93.058999999999997</v>
      </c>
      <c r="O147" s="2378">
        <v>78.001999999999995</v>
      </c>
      <c r="P147" s="2378">
        <v>58.268000000000001</v>
      </c>
      <c r="Q147" s="2378">
        <v>79.313999999999993</v>
      </c>
      <c r="R147" s="2378">
        <v>66.06</v>
      </c>
    </row>
    <row r="148" spans="3:18" s="2436" customFormat="1">
      <c r="C148" s="2431" t="s">
        <v>2201</v>
      </c>
      <c r="D148" s="2433"/>
      <c r="E148" s="2433"/>
      <c r="F148" s="2433"/>
      <c r="G148" s="2434"/>
      <c r="H148" s="2434"/>
      <c r="I148" s="2435"/>
      <c r="J148" s="2432">
        <f>J147/J126</f>
        <v>7.9881119168068657E-2</v>
      </c>
      <c r="K148" s="2432">
        <f>K147/K126</f>
        <v>2.3798003773355243E-2</v>
      </c>
      <c r="L148" s="2433"/>
      <c r="M148" s="2432">
        <f t="shared" ref="M148:R148" si="14">M147/M126</f>
        <v>3.3358693119117266E-2</v>
      </c>
      <c r="N148" s="2432">
        <f t="shared" si="14"/>
        <v>5.9182853196200966E-2</v>
      </c>
      <c r="O148" s="2432">
        <f t="shared" si="14"/>
        <v>4.3737534421398092E-2</v>
      </c>
      <c r="P148" s="2432">
        <f t="shared" si="14"/>
        <v>3.6625855334534337E-2</v>
      </c>
      <c r="Q148" s="2432">
        <f t="shared" si="14"/>
        <v>3.8462172607934511E-2</v>
      </c>
      <c r="R148" s="2432">
        <f t="shared" si="14"/>
        <v>3.3764495962929589E-2</v>
      </c>
    </row>
    <row r="149" spans="3:18">
      <c r="C149" s="2430"/>
      <c r="D149" s="2437"/>
      <c r="E149" s="2437"/>
      <c r="F149" s="2437"/>
      <c r="J149" s="2437"/>
      <c r="K149" s="2437"/>
      <c r="L149" s="2437"/>
    </row>
    <row r="150" spans="3:18" ht="13">
      <c r="C150" s="2419" t="s">
        <v>2209</v>
      </c>
      <c r="D150" s="2381">
        <f>D126+D135</f>
        <v>386.40100000000007</v>
      </c>
      <c r="E150" s="2381">
        <f>E126+E135</f>
        <v>1171.652</v>
      </c>
      <c r="F150" s="2381">
        <f>F126+F135</f>
        <v>1706.81</v>
      </c>
      <c r="G150" s="2381">
        <f>G126+G135</f>
        <v>3655.1260000000002</v>
      </c>
      <c r="H150" s="2381"/>
      <c r="I150" s="2438"/>
      <c r="J150" s="2381">
        <v>488.279</v>
      </c>
      <c r="K150" s="2381">
        <v>943.94899999999996</v>
      </c>
      <c r="L150" s="2381">
        <f>L126+L135</f>
        <v>2561.46</v>
      </c>
      <c r="M150" s="2381">
        <v>1206.854</v>
      </c>
      <c r="N150" s="2381">
        <v>1016.044</v>
      </c>
      <c r="O150" s="2381">
        <v>1285.1410000000001</v>
      </c>
      <c r="P150" s="2381">
        <v>1029.7380000000001</v>
      </c>
      <c r="Q150" s="2381">
        <v>1378.875</v>
      </c>
      <c r="R150" s="2381">
        <v>1381.432</v>
      </c>
    </row>
    <row r="151" spans="3:18" ht="13">
      <c r="C151" s="2344" t="s">
        <v>2210</v>
      </c>
      <c r="D151" s="2439"/>
      <c r="E151" s="2439">
        <f>E150/D150-1</f>
        <v>2.0322178255232255</v>
      </c>
      <c r="F151" s="2439">
        <f>F150/E150-1</f>
        <v>0.45675507744620414</v>
      </c>
      <c r="G151" s="2439">
        <f>1432228/780122-1</f>
        <v>0.83590258959496078</v>
      </c>
      <c r="H151" s="2439"/>
      <c r="I151" s="2439"/>
      <c r="J151" s="2439"/>
      <c r="K151" s="2439"/>
      <c r="L151" s="2439">
        <f>1432228/780122-1</f>
        <v>0.83590258959496078</v>
      </c>
      <c r="M151" s="2347"/>
      <c r="N151" s="2347"/>
      <c r="O151" s="961">
        <f>O150/J150-1</f>
        <v>1.6319808961679696</v>
      </c>
      <c r="P151" s="961">
        <f>P150/K150-1</f>
        <v>9.0883087963438802E-2</v>
      </c>
      <c r="Q151" s="961">
        <f>Q150/M150-1</f>
        <v>0.14253671115147304</v>
      </c>
      <c r="R151" s="961">
        <f>R150/N150-1</f>
        <v>0.35961828424753262</v>
      </c>
    </row>
    <row r="152" spans="3:18" ht="13">
      <c r="C152" s="2383" t="s">
        <v>2211</v>
      </c>
      <c r="D152" s="2423">
        <f>D150/D126</f>
        <v>0.37656365117666096</v>
      </c>
      <c r="E152" s="2423">
        <f>E150/E126</f>
        <v>0.53146629834003534</v>
      </c>
      <c r="F152" s="2423">
        <f>F150/F126</f>
        <v>0.67768446722790643</v>
      </c>
      <c r="G152" s="2423">
        <f>G150/G126</f>
        <v>0.69546747788423069</v>
      </c>
      <c r="H152" s="2423"/>
      <c r="I152" s="2440"/>
      <c r="J152" s="2423">
        <f t="shared" ref="J152:R152" si="15">J150/J126</f>
        <v>0.71556969593941055</v>
      </c>
      <c r="K152" s="2423">
        <f t="shared" si="15"/>
        <v>0.71811590895258959</v>
      </c>
      <c r="L152" s="2423">
        <f t="shared" si="15"/>
        <v>1.2827541861056748</v>
      </c>
      <c r="M152" s="2423">
        <f t="shared" si="15"/>
        <v>0.71564050457869655</v>
      </c>
      <c r="N152" s="727">
        <f t="shared" si="15"/>
        <v>0.6461748234225686</v>
      </c>
      <c r="O152" s="727">
        <f t="shared" si="15"/>
        <v>0.72060842957680538</v>
      </c>
      <c r="P152" s="727">
        <f t="shared" si="15"/>
        <v>0.64726839809968972</v>
      </c>
      <c r="Q152" s="727">
        <f t="shared" si="15"/>
        <v>0.66866540906732352</v>
      </c>
      <c r="R152" s="727">
        <f t="shared" si="15"/>
        <v>0.70607561591071377</v>
      </c>
    </row>
    <row r="153" spans="3:18" ht="13">
      <c r="C153" s="2383"/>
      <c r="D153" s="2423"/>
      <c r="E153" s="2423"/>
      <c r="F153" s="2423"/>
      <c r="G153" s="2423"/>
      <c r="H153" s="2423"/>
      <c r="I153" s="2440"/>
      <c r="J153" s="2423"/>
      <c r="K153" s="2423"/>
      <c r="L153" s="2423"/>
    </row>
    <row r="154" spans="3:18">
      <c r="C154" s="2430" t="s">
        <v>2212</v>
      </c>
      <c r="D154" s="2378">
        <v>-399.07299999999998</v>
      </c>
      <c r="E154" s="2378">
        <v>-517.64800000000002</v>
      </c>
      <c r="F154" s="2378">
        <v>-522.01800000000003</v>
      </c>
      <c r="G154" s="2420">
        <v>-1349.9349999999999</v>
      </c>
      <c r="H154" s="2420"/>
      <c r="I154" s="2421"/>
      <c r="J154" s="2378">
        <v>-189.23400000000001</v>
      </c>
      <c r="K154" s="2378">
        <v>-317.5</v>
      </c>
      <c r="L154" s="2378">
        <v>-506.73399999999998</v>
      </c>
      <c r="M154" s="2378">
        <v>-403.346</v>
      </c>
      <c r="N154" s="2378">
        <v>-439.85500000000002</v>
      </c>
      <c r="O154" s="2378">
        <v>-430.05200000000002</v>
      </c>
      <c r="P154" s="2378">
        <v>-352.154</v>
      </c>
      <c r="Q154" s="2378">
        <v>-359.58699999999999</v>
      </c>
      <c r="R154" s="2378">
        <v>-377.31599999999997</v>
      </c>
    </row>
    <row r="155" spans="3:18">
      <c r="C155" s="2430"/>
      <c r="D155" s="727">
        <f>D154/D126</f>
        <v>-0.38891303585141757</v>
      </c>
      <c r="E155" s="727">
        <f>E154/E126</f>
        <v>-0.23480732026499559</v>
      </c>
      <c r="F155" s="727">
        <f>F154/F126</f>
        <v>-0.20726588795084239</v>
      </c>
      <c r="G155" s="727">
        <f>G154/G126</f>
        <v>-0.25685458989858317</v>
      </c>
      <c r="H155" s="727"/>
      <c r="I155" s="2382"/>
      <c r="J155" s="2441">
        <f>J154/J126</f>
        <v>-0.27732119513925119</v>
      </c>
      <c r="K155" s="2441">
        <f>K154/K126</f>
        <v>-0.24154038098715841</v>
      </c>
      <c r="L155" s="2442"/>
      <c r="M155" s="2441">
        <f t="shared" ref="M155:R155" si="16">M154/M126</f>
        <v>-0.23917618449273809</v>
      </c>
      <c r="N155" s="2441">
        <f t="shared" si="16"/>
        <v>-0.27973515611187499</v>
      </c>
      <c r="O155" s="2441">
        <f t="shared" si="16"/>
        <v>-0.24114015221393162</v>
      </c>
      <c r="P155" s="2441">
        <f t="shared" si="16"/>
        <v>-0.22135548602110255</v>
      </c>
      <c r="Q155" s="2441">
        <f t="shared" si="16"/>
        <v>-0.17437649420744569</v>
      </c>
      <c r="R155" s="2441">
        <f t="shared" si="16"/>
        <v>-0.19285323279970845</v>
      </c>
    </row>
    <row r="156" spans="3:18">
      <c r="C156" s="2430" t="s">
        <v>2213</v>
      </c>
      <c r="D156" s="2378">
        <v>-775.46400000000006</v>
      </c>
      <c r="E156" s="2378">
        <v>-1882.779</v>
      </c>
      <c r="F156" s="2378">
        <v>-1094.9770000000001</v>
      </c>
      <c r="G156" s="2420">
        <v>-1841.3140000000001</v>
      </c>
      <c r="H156" s="2420"/>
      <c r="I156" s="2421"/>
      <c r="J156" s="2378">
        <v>-241.99100000000001</v>
      </c>
      <c r="K156" s="2378">
        <v>-464.096</v>
      </c>
      <c r="L156" s="2378">
        <v>-706.08699999999999</v>
      </c>
      <c r="M156" s="2378">
        <v>-576.20699999999999</v>
      </c>
      <c r="N156" s="2378">
        <v>-559.02</v>
      </c>
      <c r="O156" s="2378">
        <v>-469.72300000000001</v>
      </c>
      <c r="P156" s="2378">
        <v>-407.18700000000001</v>
      </c>
      <c r="Q156" s="2378">
        <v>-627.56500000000005</v>
      </c>
      <c r="R156" s="2378">
        <v>-741.97500000000002</v>
      </c>
    </row>
    <row r="157" spans="3:18">
      <c r="C157" s="2430"/>
      <c r="D157" s="727">
        <f>D156/D126</f>
        <v>-0.75572153073117876</v>
      </c>
      <c r="E157" s="727">
        <f>E156/E126</f>
        <v>-0.85403651060413277</v>
      </c>
      <c r="F157" s="727">
        <f>F156/F126</f>
        <v>-0.4347577673389606</v>
      </c>
      <c r="G157" s="727">
        <f>G156/G126</f>
        <v>-0.35035016674470981</v>
      </c>
      <c r="H157" s="727"/>
      <c r="I157" s="2382"/>
      <c r="J157" s="2441">
        <f>J156/J126</f>
        <v>-0.3546362352058432</v>
      </c>
      <c r="K157" s="2441">
        <f>K156/K126</f>
        <v>-0.35306432962083867</v>
      </c>
      <c r="L157" s="2442"/>
      <c r="M157" s="2441">
        <f t="shared" ref="M157:R157" si="17">M156/M126</f>
        <v>-0.3416793317350541</v>
      </c>
      <c r="N157" s="2441">
        <f t="shared" si="17"/>
        <v>-0.35552067606293064</v>
      </c>
      <c r="O157" s="2441">
        <f t="shared" si="17"/>
        <v>-0.26338460399762031</v>
      </c>
      <c r="P157" s="2441">
        <f t="shared" si="17"/>
        <v>-0.25594789860820744</v>
      </c>
      <c r="Q157" s="2441">
        <f t="shared" si="17"/>
        <v>-0.30432853408853955</v>
      </c>
      <c r="R157" s="2441">
        <f t="shared" si="17"/>
        <v>-0.37923723724030706</v>
      </c>
    </row>
    <row r="158" spans="3:18">
      <c r="C158" s="2430" t="s">
        <v>2214</v>
      </c>
      <c r="D158" s="2378">
        <v>-272.584</v>
      </c>
      <c r="E158" s="2378">
        <v>-898.33699999999999</v>
      </c>
      <c r="F158" s="2378">
        <v>-97.379000000000005</v>
      </c>
      <c r="G158" s="2420">
        <v>-934.92499999999995</v>
      </c>
      <c r="H158" s="2420"/>
      <c r="I158" s="2421"/>
      <c r="J158" s="2378">
        <v>-382.12900000000002</v>
      </c>
      <c r="K158" s="2378">
        <v>-133.749</v>
      </c>
      <c r="L158" s="2378">
        <v>-515.87800000000004</v>
      </c>
      <c r="M158" s="2378">
        <v>-163.476</v>
      </c>
      <c r="N158" s="2378">
        <v>-255.571</v>
      </c>
      <c r="O158" s="2378">
        <v>-228.322</v>
      </c>
      <c r="P158" s="2378">
        <v>-99.805000000000007</v>
      </c>
      <c r="Q158" s="2378">
        <v>-97.516000000000005</v>
      </c>
      <c r="R158" s="2378">
        <v>-199.51</v>
      </c>
    </row>
    <row r="159" spans="3:18">
      <c r="C159" s="2430"/>
      <c r="D159" s="727">
        <f>D158/D126</f>
        <v>-0.26564430809531792</v>
      </c>
      <c r="E159" s="727">
        <f>E158/E126</f>
        <v>-0.40748945937180348</v>
      </c>
      <c r="F159" s="727">
        <f>F158/F126</f>
        <v>-3.8664078447036461E-2</v>
      </c>
      <c r="G159" s="727">
        <f>G158/G126</f>
        <v>-0.17788988170610651</v>
      </c>
      <c r="H159" s="727"/>
      <c r="I159" s="2382"/>
      <c r="J159" s="2441">
        <f>J158/J126</f>
        <v>-0.56000756194640988</v>
      </c>
      <c r="K159" s="2441">
        <f>K158/K126</f>
        <v>-0.10175050209968961</v>
      </c>
      <c r="L159" s="2442"/>
      <c r="M159" s="2441">
        <f t="shared" ref="M159:R159" si="18">M158/M126</f>
        <v>-9.6938028234158383E-2</v>
      </c>
      <c r="N159" s="2441">
        <f t="shared" si="18"/>
        <v>-0.16253582108346615</v>
      </c>
      <c r="O159" s="2441">
        <f t="shared" si="18"/>
        <v>-0.12802545234945842</v>
      </c>
      <c r="P159" s="2441">
        <f t="shared" si="18"/>
        <v>-6.2735008781204082E-2</v>
      </c>
      <c r="Q159" s="2441">
        <f t="shared" si="18"/>
        <v>-4.7288968202780619E-2</v>
      </c>
      <c r="R159" s="2441">
        <f t="shared" si="18"/>
        <v>-0.10197327565189346</v>
      </c>
    </row>
    <row r="160" spans="3:18" ht="13">
      <c r="C160" s="2430" t="s">
        <v>2215</v>
      </c>
      <c r="D160" s="2378">
        <v>49.006</v>
      </c>
      <c r="E160" s="2378">
        <v>10.547000000000001</v>
      </c>
      <c r="F160" s="2378">
        <v>12.805</v>
      </c>
      <c r="G160" s="2420">
        <v>33.396000000000001</v>
      </c>
      <c r="H160" s="2420"/>
      <c r="I160" s="2421"/>
      <c r="J160" s="2378">
        <v>1.2909999999999999</v>
      </c>
      <c r="K160" s="2378">
        <v>7.4089999999999998</v>
      </c>
      <c r="L160" s="2378">
        <v>8.6999999999999993</v>
      </c>
      <c r="M160" s="2378">
        <v>9.1349999999999998</v>
      </c>
      <c r="N160" s="2378">
        <v>15.561</v>
      </c>
      <c r="O160" s="2378">
        <v>4.1310000000000002</v>
      </c>
      <c r="P160" s="2378">
        <v>13.667</v>
      </c>
      <c r="Q160" s="2378">
        <v>25.82</v>
      </c>
      <c r="R160" s="2378">
        <v>45.003</v>
      </c>
    </row>
    <row r="161" spans="3:18" ht="13">
      <c r="C161" s="2430" t="s">
        <v>2216</v>
      </c>
      <c r="D161" s="2378">
        <v>17.646000000000001</v>
      </c>
      <c r="E161" s="2378">
        <v>-4.0309999999999997</v>
      </c>
      <c r="F161" s="2378">
        <v>0.86299999999999999</v>
      </c>
      <c r="G161" s="2420">
        <v>78.572000000000003</v>
      </c>
      <c r="H161" s="2420"/>
      <c r="I161" s="2421"/>
      <c r="J161" s="2378">
        <v>8.5730000000000004</v>
      </c>
      <c r="K161" s="2378">
        <v>18.855</v>
      </c>
      <c r="L161" s="2378">
        <v>27.428000000000001</v>
      </c>
      <c r="M161" s="2378">
        <v>26.806999999999999</v>
      </c>
      <c r="N161" s="2378">
        <v>24.337</v>
      </c>
      <c r="O161" s="2378">
        <v>23.407</v>
      </c>
      <c r="P161" s="2378">
        <v>26.103999999999999</v>
      </c>
      <c r="Q161" s="2378">
        <v>27.666</v>
      </c>
      <c r="R161" s="2378">
        <v>28.829000000000001</v>
      </c>
    </row>
    <row r="162" spans="3:18" ht="13">
      <c r="C162" s="2430" t="s">
        <v>2217</v>
      </c>
      <c r="D162" s="2378">
        <v>51.106999999999999</v>
      </c>
      <c r="E162" s="2378">
        <v>4.6890000000000001</v>
      </c>
      <c r="F162" s="2378">
        <v>22.61</v>
      </c>
      <c r="G162" s="2420">
        <v>47.887999999999998</v>
      </c>
      <c r="H162" s="2420"/>
      <c r="I162" s="2421"/>
      <c r="J162" s="2378">
        <v>3.1829999999999998</v>
      </c>
      <c r="K162" s="2378">
        <v>8.7490000000000006</v>
      </c>
      <c r="L162" s="2378">
        <v>11.932</v>
      </c>
      <c r="M162" s="2378">
        <v>4.7480000000000002</v>
      </c>
      <c r="N162" s="2378">
        <v>31.207999999999998</v>
      </c>
      <c r="O162" s="2378">
        <v>2.87</v>
      </c>
      <c r="P162" s="2378">
        <v>7.8109999999999999</v>
      </c>
      <c r="Q162" s="2378">
        <v>-0.47399999999999998</v>
      </c>
      <c r="R162" s="2378">
        <v>-29.78</v>
      </c>
    </row>
    <row r="163" spans="3:18" ht="13.5">
      <c r="C163" s="2411" t="s">
        <v>2218</v>
      </c>
      <c r="D163" s="2381">
        <f>D150+SUM(D154:D162)</f>
        <v>-944.37127887467773</v>
      </c>
      <c r="E163" s="2381">
        <f>E150+SUM(E154:E162)</f>
        <v>-2117.4033332902409</v>
      </c>
      <c r="F163" s="2381">
        <f>F150+SUM(F154:F162)</f>
        <v>28.033312266263238</v>
      </c>
      <c r="G163" s="2381">
        <f>G150+SUM(G154:G162)</f>
        <v>-311.97709463834917</v>
      </c>
      <c r="H163" s="2381"/>
      <c r="I163" s="2438"/>
      <c r="J163" s="2381">
        <v>-312.02800000000002</v>
      </c>
      <c r="K163" s="2381">
        <v>63.616999999999997</v>
      </c>
      <c r="L163" s="2381">
        <f>L150+SUM(L154:L162)</f>
        <v>880.82100000000014</v>
      </c>
      <c r="M163" s="2381">
        <v>104.515</v>
      </c>
      <c r="N163" s="2381">
        <v>-167.29599999999999</v>
      </c>
      <c r="O163" s="2381">
        <v>187.452</v>
      </c>
      <c r="P163" s="2381">
        <v>218.17400000000001</v>
      </c>
      <c r="Q163" s="2381">
        <v>347.21899999999999</v>
      </c>
      <c r="R163" s="2381">
        <v>106.682</v>
      </c>
    </row>
    <row r="164" spans="3:18">
      <c r="C164" s="2366" t="s">
        <v>2219</v>
      </c>
      <c r="D164" s="727">
        <f>D163/D126</f>
        <v>-0.92032861415840361</v>
      </c>
      <c r="E164" s="727">
        <f>E163/E126</f>
        <v>-0.96046309965468957</v>
      </c>
      <c r="F164" s="727">
        <f>F163/F126</f>
        <v>1.1130553657288237E-2</v>
      </c>
      <c r="G164" s="727">
        <f>G163/G126</f>
        <v>-5.9360449726160634E-2</v>
      </c>
      <c r="H164" s="727"/>
      <c r="J164" s="2443">
        <f>J163/J126</f>
        <v>-0.45727500278443761</v>
      </c>
      <c r="K164" s="2443">
        <f>K163/K126</f>
        <v>4.8397084778771832E-2</v>
      </c>
      <c r="L164" s="2422"/>
      <c r="M164" s="2443">
        <f t="shared" ref="M164:R164" si="19">M163/M126</f>
        <v>6.1975323722705866E-2</v>
      </c>
      <c r="N164" s="727">
        <f t="shared" si="19"/>
        <v>-0.10639545458592545</v>
      </c>
      <c r="O164" s="727">
        <f t="shared" si="19"/>
        <v>0.10510869339709129</v>
      </c>
      <c r="P164" s="727">
        <f t="shared" si="19"/>
        <v>0.137138898911181</v>
      </c>
      <c r="Q164" s="727">
        <f t="shared" si="19"/>
        <v>0.16837881219903691</v>
      </c>
      <c r="R164" s="727">
        <f t="shared" si="19"/>
        <v>5.4527156498898798E-2</v>
      </c>
    </row>
    <row r="165" spans="3:18" ht="13.5">
      <c r="C165" s="2444" t="s">
        <v>2220</v>
      </c>
      <c r="D165" s="2445">
        <f>D126*D167</f>
        <v>-657.74548400000003</v>
      </c>
      <c r="E165" s="2445">
        <f>E126*E167</f>
        <v>-178.56976500000002</v>
      </c>
      <c r="F165" s="2446">
        <v>169.64699999999999</v>
      </c>
      <c r="G165" s="2447">
        <v>1152.134</v>
      </c>
      <c r="H165" s="2447"/>
      <c r="I165" s="2421"/>
      <c r="J165" s="2445"/>
      <c r="K165" s="2445">
        <v>312.70499999999998</v>
      </c>
      <c r="L165" s="2445">
        <f>L126*L167</f>
        <v>443.29936800000002</v>
      </c>
      <c r="M165" s="2445">
        <v>428.41699999999997</v>
      </c>
      <c r="N165" s="2445">
        <v>281.02399999999989</v>
      </c>
      <c r="O165" s="2445">
        <v>615.57000000000005</v>
      </c>
      <c r="P165" s="2445">
        <v>440.536</v>
      </c>
      <c r="Q165" s="2445">
        <v>547.31700000000001</v>
      </c>
      <c r="R165" s="2445">
        <v>415.10899999999998</v>
      </c>
    </row>
    <row r="166" spans="3:18" ht="13">
      <c r="C166" s="2395" t="s">
        <v>2221</v>
      </c>
      <c r="D166" s="2448"/>
      <c r="E166" s="2448">
        <f>E165/D165-1</f>
        <v>-0.72851236634260186</v>
      </c>
      <c r="F166" s="2448">
        <f>F165/E165-1</f>
        <v>-1.9500320504985824</v>
      </c>
      <c r="G166" s="2448">
        <f>G165/F165-1</f>
        <v>5.7913608846605014</v>
      </c>
      <c r="H166" s="2448"/>
      <c r="I166" s="2449"/>
      <c r="J166" s="2448"/>
      <c r="K166" s="2448"/>
      <c r="L166" s="2448">
        <f>442639/48080-1</f>
        <v>8.2063019966722131</v>
      </c>
      <c r="M166" s="2450"/>
      <c r="N166" s="2450"/>
      <c r="O166" s="2451"/>
      <c r="P166" s="2451"/>
      <c r="Q166" s="2451"/>
      <c r="R166" s="2451"/>
    </row>
    <row r="167" spans="3:18" ht="13.5">
      <c r="C167" s="2452" t="s">
        <v>2222</v>
      </c>
      <c r="D167" s="2453">
        <v>-0.64100000000000001</v>
      </c>
      <c r="E167" s="2453">
        <v>-8.1000000000000003E-2</v>
      </c>
      <c r="F167" s="2454">
        <f>F165/F126</f>
        <v>6.735789971456263E-2</v>
      </c>
      <c r="G167" s="2454">
        <f>G165/G126</f>
        <v>0.21921863354769991</v>
      </c>
      <c r="H167" s="2454"/>
      <c r="I167" s="2455"/>
      <c r="J167" s="2451">
        <f>J165/J126</f>
        <v>0</v>
      </c>
      <c r="K167" s="2451">
        <f>K165/K126</f>
        <v>0.2378925506664232</v>
      </c>
      <c r="L167" s="2453">
        <v>0.222</v>
      </c>
      <c r="M167" s="2451">
        <f t="shared" ref="M167:R167" si="20">M165/M126</f>
        <v>0.25404279063589413</v>
      </c>
      <c r="N167" s="2451">
        <f t="shared" si="20"/>
        <v>0.17872319857949445</v>
      </c>
      <c r="O167" s="2451">
        <f t="shared" si="20"/>
        <v>0.34516440685854244</v>
      </c>
      <c r="P167" s="2451">
        <f t="shared" si="20"/>
        <v>0.27691027331733398</v>
      </c>
      <c r="Q167" s="2451">
        <f t="shared" si="20"/>
        <v>0.2654134317429066</v>
      </c>
      <c r="R167" s="2451">
        <f t="shared" si="20"/>
        <v>0.21216993876287826</v>
      </c>
    </row>
    <row r="168" spans="3:18">
      <c r="C168" s="2430"/>
      <c r="D168" s="2456"/>
      <c r="E168" s="2456"/>
      <c r="F168" s="2456"/>
      <c r="J168" s="2456"/>
      <c r="K168" s="2456"/>
      <c r="L168" s="2456"/>
    </row>
    <row r="169" spans="3:18" ht="13.5">
      <c r="C169" s="2411" t="s">
        <v>2223</v>
      </c>
      <c r="D169" s="2378">
        <v>-957.81299999999999</v>
      </c>
      <c r="E169" s="2378">
        <v>-2159.6179999999999</v>
      </c>
      <c r="F169" s="2378">
        <v>134.02099999999999</v>
      </c>
      <c r="G169" s="2420">
        <v>601.52599999999995</v>
      </c>
      <c r="H169" s="2420"/>
      <c r="I169" s="2421"/>
      <c r="J169" s="2378">
        <v>597.29399999999998</v>
      </c>
      <c r="K169" s="2378">
        <v>64.600999999999999</v>
      </c>
      <c r="L169" s="2378">
        <v>661.89499999999998</v>
      </c>
      <c r="M169" s="2378">
        <v>107.72199999999999</v>
      </c>
      <c r="N169" s="2378">
        <v>-168.09100000000001</v>
      </c>
      <c r="O169" s="2378">
        <v>195.47800000000001</v>
      </c>
      <c r="P169" s="2378">
        <v>221.797</v>
      </c>
      <c r="Q169" s="2378">
        <v>349.49</v>
      </c>
      <c r="R169" s="2378">
        <v>114.746</v>
      </c>
    </row>
    <row r="170" spans="3:18" ht="13">
      <c r="C170" s="2411"/>
      <c r="D170" s="2378"/>
      <c r="E170" s="2378"/>
      <c r="F170" s="2378"/>
      <c r="G170" s="2457"/>
      <c r="H170" s="2457"/>
      <c r="I170" s="2382"/>
      <c r="J170" s="2378"/>
      <c r="K170" s="2378"/>
      <c r="L170" s="2378"/>
    </row>
    <row r="171" spans="3:18" ht="13.5">
      <c r="C171" s="2458" t="s">
        <v>2224</v>
      </c>
      <c r="D171" s="2459">
        <v>-963.01900000000001</v>
      </c>
      <c r="E171" s="2459">
        <v>-2160.596</v>
      </c>
      <c r="F171" s="2459">
        <v>194.37700000000001</v>
      </c>
      <c r="G171" s="2421">
        <v>534.53899999999999</v>
      </c>
      <c r="H171" s="2421"/>
      <c r="I171" s="2421"/>
      <c r="J171" s="2459">
        <v>187.75399999999999</v>
      </c>
      <c r="K171" s="2459">
        <v>-32.71</v>
      </c>
      <c r="L171" s="2459">
        <v>649.38499999999999</v>
      </c>
      <c r="M171" s="2459">
        <v>61.895000000000003</v>
      </c>
      <c r="N171" s="2459">
        <v>-176.74100000000001</v>
      </c>
      <c r="O171" s="2459">
        <v>448.45</v>
      </c>
      <c r="P171" s="2459">
        <v>198.161</v>
      </c>
      <c r="Q171" s="2378">
        <v>294.04899999999998</v>
      </c>
      <c r="R171" s="2378">
        <v>96.872</v>
      </c>
    </row>
    <row r="172" spans="3:18" ht="13">
      <c r="C172" s="2344" t="s">
        <v>2119</v>
      </c>
      <c r="D172" s="2439"/>
      <c r="E172" s="2439">
        <f>E171/D171-1</f>
        <v>1.243565287912284</v>
      </c>
      <c r="F172" s="2439">
        <f>F171/E171-1</f>
        <v>-1.0899645283060786</v>
      </c>
      <c r="G172" s="2439">
        <f>G171/F171-1</f>
        <v>1.7500115754435965</v>
      </c>
      <c r="H172" s="2439"/>
      <c r="I172" s="2449"/>
      <c r="J172" s="2460"/>
      <c r="K172" s="2460"/>
      <c r="L172" s="2460" t="s">
        <v>2225</v>
      </c>
      <c r="M172" s="2347"/>
      <c r="N172" s="2347"/>
      <c r="O172" s="961">
        <f>O171/J171-1</f>
        <v>1.3884977150952844</v>
      </c>
      <c r="P172" s="961">
        <f>P171/K171-1</f>
        <v>-7.0581167838581473</v>
      </c>
      <c r="Q172" s="961">
        <f>Q171/M171-1</f>
        <v>3.7507714678083843</v>
      </c>
      <c r="R172" s="961">
        <f>R171/N171-1</f>
        <v>-1.5481014591973565</v>
      </c>
    </row>
    <row r="173" spans="3:18" ht="13">
      <c r="C173" s="2461" t="s">
        <v>2226</v>
      </c>
      <c r="D173" s="2455">
        <f>D171/D126</f>
        <v>-0.93850158460381006</v>
      </c>
      <c r="E173" s="2455">
        <f>E171/E126</f>
        <v>-0.98005547579681251</v>
      </c>
      <c r="F173" s="2455">
        <f>F171/F126</f>
        <v>7.7176881835915409E-2</v>
      </c>
      <c r="G173" s="2455">
        <f>G171/G126</f>
        <v>0.10170770861545095</v>
      </c>
      <c r="H173" s="2455"/>
      <c r="I173" s="2449"/>
      <c r="J173" s="2455">
        <f t="shared" ref="J173:R173" si="21">J171/J126</f>
        <v>0.27515226477363985</v>
      </c>
      <c r="K173" s="2455">
        <f t="shared" si="21"/>
        <v>-2.4884364919968354E-2</v>
      </c>
      <c r="L173" s="2455">
        <f t="shared" si="21"/>
        <v>0.32520567455444688</v>
      </c>
      <c r="M173" s="961">
        <f t="shared" si="21"/>
        <v>3.6702508365467922E-2</v>
      </c>
      <c r="N173" s="961">
        <f t="shared" si="21"/>
        <v>-0.11240220351335986</v>
      </c>
      <c r="O173" s="961">
        <f t="shared" si="21"/>
        <v>0.25145633844357806</v>
      </c>
      <c r="P173" s="961">
        <f t="shared" si="21"/>
        <v>0.12455921121278675</v>
      </c>
      <c r="Q173" s="961">
        <f t="shared" si="21"/>
        <v>0.14259479276282289</v>
      </c>
      <c r="R173" s="961">
        <f t="shared" si="21"/>
        <v>4.9513082847728054E-2</v>
      </c>
    </row>
    <row r="174" spans="3:18" hidden="1" outlineLevel="1"/>
    <row r="175" spans="3:18" ht="13" hidden="1" outlineLevel="1">
      <c r="C175" s="2339" t="s">
        <v>2227</v>
      </c>
      <c r="F175" s="2375">
        <v>192.65700000000001</v>
      </c>
      <c r="G175" s="2375">
        <v>915.94500000000005</v>
      </c>
      <c r="H175" s="2375"/>
    </row>
    <row r="176" spans="3:18" ht="13" hidden="1" outlineLevel="1">
      <c r="C176" s="2344" t="s">
        <v>2119</v>
      </c>
      <c r="D176" s="2439"/>
      <c r="E176" s="2439"/>
      <c r="F176" s="2439"/>
      <c r="G176" s="2439">
        <f>G175/F175-1</f>
        <v>3.7542783288434887</v>
      </c>
      <c r="H176" s="2439"/>
    </row>
    <row r="177" spans="3:18" ht="13" hidden="1" outlineLevel="1">
      <c r="C177" s="2461" t="s">
        <v>2228</v>
      </c>
      <c r="D177" s="2455"/>
      <c r="E177" s="2455"/>
      <c r="F177" s="2455"/>
      <c r="G177" s="2455"/>
      <c r="H177" s="2455"/>
    </row>
    <row r="178" spans="3:18" ht="13" hidden="1" outlineLevel="1">
      <c r="C178" s="2461"/>
      <c r="D178" s="2455"/>
      <c r="E178" s="2455"/>
      <c r="F178" s="2455"/>
      <c r="G178" s="2455"/>
      <c r="H178" s="2455"/>
    </row>
    <row r="179" spans="3:18" ht="13" hidden="1" outlineLevel="1">
      <c r="C179" s="2418" t="s">
        <v>2229</v>
      </c>
      <c r="D179" s="2418"/>
      <c r="E179" s="2418"/>
      <c r="F179" s="2418"/>
      <c r="G179" s="2418"/>
      <c r="H179" s="2418"/>
      <c r="J179" s="2418"/>
      <c r="K179" s="2418"/>
      <c r="L179" s="2418"/>
      <c r="M179" s="2418"/>
      <c r="N179" s="2418"/>
      <c r="O179" s="2418"/>
      <c r="P179" s="2418"/>
      <c r="Q179" s="2418"/>
      <c r="R179" s="2418"/>
    </row>
    <row r="180" spans="3:18" ht="13.5" hidden="1" outlineLevel="1">
      <c r="C180" s="2411" t="s">
        <v>2230</v>
      </c>
      <c r="D180" s="2380">
        <f>D163-D162-D161-D160</f>
        <v>-1062.1302788746777</v>
      </c>
      <c r="E180" s="2380">
        <f>E163-E162-E161-E160</f>
        <v>-2128.6083332902408</v>
      </c>
      <c r="F180" s="2380">
        <f>F163-F162-F161-F160</f>
        <v>-8.244687733736761</v>
      </c>
      <c r="G180" s="2380">
        <f>G163-G162-G161-G160</f>
        <v>-471.83309463834917</v>
      </c>
      <c r="H180" s="2380"/>
      <c r="I180" s="2462"/>
      <c r="J180" s="2380"/>
      <c r="K180" s="2380"/>
      <c r="L180" s="2380">
        <f>L163-L162-L161-L160</f>
        <v>832.76100000000008</v>
      </c>
    </row>
    <row r="181" spans="3:18" ht="13" hidden="1" outlineLevel="1">
      <c r="C181" s="2463" t="s">
        <v>2231</v>
      </c>
      <c r="D181" s="2464">
        <v>52.067</v>
      </c>
      <c r="E181" s="2464">
        <v>52.844999999999999</v>
      </c>
      <c r="F181" s="2464">
        <v>45.076999999999998</v>
      </c>
      <c r="G181" s="2457"/>
      <c r="H181" s="2457"/>
      <c r="I181" s="2382"/>
      <c r="J181" s="2464"/>
      <c r="K181" s="2464"/>
      <c r="L181" s="2464">
        <v>45.363</v>
      </c>
    </row>
    <row r="182" spans="3:18" ht="13" hidden="1" outlineLevel="1">
      <c r="C182" s="2463" t="s">
        <v>2232</v>
      </c>
      <c r="D182" s="2464">
        <v>21.225000000000001</v>
      </c>
      <c r="E182" s="2464">
        <v>24.488</v>
      </c>
      <c r="F182" s="2464">
        <v>39.073</v>
      </c>
      <c r="G182" s="2457"/>
      <c r="H182" s="2457"/>
      <c r="I182" s="2382"/>
      <c r="J182" s="2464"/>
      <c r="K182" s="2464"/>
      <c r="L182" s="2464">
        <v>137.69</v>
      </c>
    </row>
    <row r="183" spans="3:18" ht="13" hidden="1" outlineLevel="1">
      <c r="C183" s="2354" t="s">
        <v>2233</v>
      </c>
      <c r="D183" s="2464">
        <v>211.5</v>
      </c>
      <c r="E183" s="2464">
        <v>72.343000000000004</v>
      </c>
      <c r="F183" s="2464">
        <v>56.783000000000001</v>
      </c>
      <c r="G183" s="2457"/>
      <c r="H183" s="2457"/>
      <c r="I183" s="2382"/>
      <c r="J183" s="2464"/>
      <c r="K183" s="2464"/>
      <c r="L183" s="2464">
        <v>124.857</v>
      </c>
    </row>
    <row r="184" spans="3:18" ht="13" hidden="1" outlineLevel="1">
      <c r="C184" s="2354" t="s">
        <v>2234</v>
      </c>
      <c r="D184" s="2464"/>
      <c r="E184" s="2464"/>
      <c r="F184" s="2464"/>
      <c r="G184" s="2457"/>
      <c r="H184" s="2457"/>
      <c r="I184" s="2382"/>
      <c r="J184" s="2464"/>
      <c r="K184" s="2464"/>
      <c r="L184" s="2464"/>
    </row>
    <row r="185" spans="3:18" ht="13" hidden="1" outlineLevel="1">
      <c r="C185" s="2465" t="s">
        <v>2235</v>
      </c>
      <c r="D185" s="2464"/>
      <c r="E185" s="2464">
        <v>1044.9079999999999</v>
      </c>
      <c r="F185" s="2464"/>
      <c r="G185" s="2457"/>
      <c r="H185" s="2457"/>
      <c r="I185" s="2382"/>
      <c r="J185" s="2464"/>
      <c r="K185" s="2464"/>
      <c r="L185" s="2464"/>
    </row>
    <row r="186" spans="3:18" ht="13" hidden="1" outlineLevel="1">
      <c r="C186" s="2465" t="s">
        <v>2236</v>
      </c>
      <c r="D186" s="2464"/>
      <c r="E186" s="2464">
        <v>742.46699999999998</v>
      </c>
      <c r="F186" s="2464"/>
      <c r="G186" s="2457"/>
      <c r="H186" s="2457"/>
      <c r="I186" s="2382"/>
      <c r="J186" s="2464"/>
      <c r="K186" s="2464"/>
      <c r="L186" s="2464"/>
    </row>
    <row r="187" spans="3:18" ht="13" hidden="1" outlineLevel="1">
      <c r="C187" s="2465" t="s">
        <v>2237</v>
      </c>
      <c r="D187" s="2464"/>
      <c r="E187" s="2464"/>
      <c r="F187" s="2464"/>
      <c r="G187" s="2457"/>
      <c r="H187" s="2457"/>
      <c r="I187" s="2382"/>
      <c r="J187" s="2464"/>
      <c r="K187" s="2464"/>
      <c r="L187" s="2464">
        <v>220.953</v>
      </c>
    </row>
    <row r="188" spans="3:18" ht="13" hidden="1" outlineLevel="1">
      <c r="C188" s="2465" t="s">
        <v>2238</v>
      </c>
      <c r="D188" s="2464"/>
      <c r="E188" s="2464"/>
      <c r="F188" s="2464"/>
      <c r="G188" s="2457"/>
      <c r="H188" s="2457"/>
      <c r="I188" s="2382"/>
      <c r="J188" s="2464"/>
      <c r="K188" s="2464"/>
      <c r="L188" s="2464">
        <v>113.099</v>
      </c>
    </row>
    <row r="189" spans="3:18" ht="13" hidden="1" outlineLevel="1">
      <c r="C189" s="2465" t="s">
        <v>2239</v>
      </c>
      <c r="D189" s="2464"/>
      <c r="E189" s="2464"/>
      <c r="F189" s="2464"/>
      <c r="G189" s="2457"/>
      <c r="H189" s="2457"/>
      <c r="I189" s="2382"/>
      <c r="J189" s="2464"/>
      <c r="K189" s="2464"/>
      <c r="L189" s="2464">
        <v>39.305999999999997</v>
      </c>
    </row>
    <row r="190" spans="3:18" ht="13" hidden="1" outlineLevel="1">
      <c r="C190" s="2465" t="s">
        <v>2240</v>
      </c>
      <c r="D190" s="2464"/>
      <c r="E190" s="2464"/>
      <c r="F190" s="2464"/>
      <c r="G190" s="2457"/>
      <c r="H190" s="2457"/>
      <c r="I190" s="2382"/>
      <c r="J190" s="2464"/>
      <c r="K190" s="2464"/>
      <c r="L190" s="2464">
        <v>9.8829999999999991</v>
      </c>
    </row>
    <row r="191" spans="3:18" ht="13" hidden="1" outlineLevel="1">
      <c r="C191" s="2465"/>
      <c r="D191" s="2464"/>
      <c r="E191" s="2464"/>
      <c r="F191" s="2464"/>
      <c r="G191" s="2457"/>
      <c r="H191" s="2457"/>
      <c r="I191" s="2382"/>
      <c r="J191" s="2464"/>
      <c r="K191" s="2464"/>
      <c r="L191" s="2464"/>
    </row>
    <row r="192" spans="3:18" ht="13.5" hidden="1" outlineLevel="1">
      <c r="C192" s="2444" t="s">
        <v>2241</v>
      </c>
      <c r="D192" s="2466">
        <f>SUM(D180:D190)</f>
        <v>-777.33827887467771</v>
      </c>
      <c r="E192" s="2466">
        <f>SUM(E180:E190)</f>
        <v>-191.55733329024122</v>
      </c>
      <c r="F192" s="2466">
        <f>SUM(F180:F190)</f>
        <v>132.68831226626324</v>
      </c>
      <c r="G192" s="2467"/>
      <c r="H192" s="2467"/>
      <c r="I192" s="2382"/>
      <c r="J192" s="2466"/>
      <c r="K192" s="2466"/>
      <c r="L192" s="2466">
        <f>SUM(L180:L190)</f>
        <v>1523.912</v>
      </c>
      <c r="M192" s="2450"/>
      <c r="N192" s="2450"/>
      <c r="O192" s="2450"/>
      <c r="P192" s="2450"/>
      <c r="Q192" s="2450"/>
      <c r="R192" s="2450"/>
    </row>
    <row r="193" spans="3:19" ht="13" hidden="1" outlineLevel="1">
      <c r="C193" s="2395" t="s">
        <v>2242</v>
      </c>
      <c r="D193" s="2448"/>
      <c r="E193" s="2448">
        <f>E192/D192-1</f>
        <v>-0.75357275140553825</v>
      </c>
      <c r="F193" s="2448">
        <f>F192/E192-1</f>
        <v>-1.6926819766550958</v>
      </c>
      <c r="G193" s="2468"/>
      <c r="H193" s="2468"/>
      <c r="I193" s="2449"/>
      <c r="J193" s="2469"/>
      <c r="K193" s="2469"/>
      <c r="L193" s="2469" t="s">
        <v>2243</v>
      </c>
      <c r="M193" s="2450"/>
      <c r="N193" s="2450"/>
      <c r="O193" s="2450"/>
      <c r="P193" s="2450"/>
      <c r="Q193" s="2450"/>
      <c r="R193" s="2450"/>
    </row>
    <row r="194" spans="3:19" ht="13.5" hidden="1" outlineLevel="1">
      <c r="C194" s="2395" t="s">
        <v>2244</v>
      </c>
      <c r="D194" s="2448">
        <f>D192/D126</f>
        <v>-0.75754809250604971</v>
      </c>
      <c r="E194" s="2448">
        <f>E192/E126</f>
        <v>-8.6891215859020363E-2</v>
      </c>
      <c r="F194" s="2448">
        <f>F192/F126</f>
        <v>5.2683548962996866E-2</v>
      </c>
      <c r="G194" s="2468"/>
      <c r="H194" s="2468"/>
      <c r="I194" s="2449"/>
      <c r="J194" s="2448"/>
      <c r="K194" s="2448"/>
      <c r="L194" s="2448">
        <f>L192/L126</f>
        <v>0.76316026690117</v>
      </c>
      <c r="M194" s="2450"/>
      <c r="N194" s="2450"/>
      <c r="O194" s="2450"/>
      <c r="P194" s="2450"/>
      <c r="Q194" s="2450"/>
      <c r="R194" s="2450"/>
    </row>
    <row r="195" spans="3:19" ht="13" hidden="1" outlineLevel="1">
      <c r="C195" s="2411"/>
      <c r="D195" s="2470"/>
      <c r="E195" s="2471"/>
      <c r="F195" s="2471"/>
      <c r="J195" s="2471"/>
      <c r="K195" s="2471"/>
      <c r="L195" s="2471"/>
    </row>
    <row r="196" spans="3:19" collapsed="1"/>
    <row r="197" spans="3:19">
      <c r="C197" s="2359" t="s">
        <v>2245</v>
      </c>
      <c r="G197" s="2359">
        <v>1140.7</v>
      </c>
      <c r="J197" s="2459">
        <v>412.5</v>
      </c>
      <c r="K197" s="2459">
        <v>216.02</v>
      </c>
      <c r="M197" s="2459">
        <v>314.72899999999998</v>
      </c>
      <c r="N197" s="2459">
        <v>197.44200000000001</v>
      </c>
      <c r="O197" s="2459">
        <v>448.5</v>
      </c>
      <c r="P197" s="2459">
        <v>345.56099999999998</v>
      </c>
      <c r="Q197" s="2459">
        <v>419.23399999999998</v>
      </c>
      <c r="R197" s="2459">
        <v>331.07499999999999</v>
      </c>
    </row>
    <row r="198" spans="3:19">
      <c r="J198" s="2472"/>
      <c r="O198" s="676">
        <f>O197/J197-1</f>
        <v>8.7272727272727169E-2</v>
      </c>
      <c r="P198" s="676">
        <f>P197/K197-1</f>
        <v>0.59967132672900636</v>
      </c>
      <c r="Q198" s="676">
        <f>Q197/M197-1</f>
        <v>0.33204757108496508</v>
      </c>
      <c r="R198" s="676">
        <f>R197/N197-1</f>
        <v>0.67682154759372359</v>
      </c>
    </row>
    <row r="199" spans="3:19">
      <c r="J199" s="727">
        <f>J197/J27</f>
        <v>0.2718265160341401</v>
      </c>
      <c r="K199" s="727">
        <f>K197/K126</f>
        <v>0.1643387499239243</v>
      </c>
      <c r="M199" s="727">
        <f>M197/M126</f>
        <v>0.18662805970361665</v>
      </c>
      <c r="N199" s="727">
        <f>N197/N126</f>
        <v>0.12556744539232434</v>
      </c>
      <c r="O199" s="727">
        <f>O197/O27</f>
        <v>0.25148437460574147</v>
      </c>
      <c r="P199" s="727">
        <f>P197/P126</f>
        <v>0.21721128570153461</v>
      </c>
      <c r="Q199" s="727">
        <f>Q197/Q126</f>
        <v>0.20330144074330908</v>
      </c>
      <c r="R199" s="727">
        <f>R197/R126</f>
        <v>0.16921859674427661</v>
      </c>
    </row>
    <row r="200" spans="3:19" ht="13">
      <c r="C200" s="2473" t="s">
        <v>2246</v>
      </c>
      <c r="D200" s="2418"/>
      <c r="E200" s="2418"/>
      <c r="F200" s="2418"/>
      <c r="G200" s="2418"/>
      <c r="H200" s="2418"/>
      <c r="J200" s="2418"/>
      <c r="K200" s="2418"/>
      <c r="L200" s="2418"/>
      <c r="M200" s="2418"/>
      <c r="N200" s="2418"/>
      <c r="O200" s="2418"/>
      <c r="P200" s="2418"/>
      <c r="Q200" s="2418"/>
      <c r="R200" s="2418"/>
    </row>
    <row r="201" spans="3:19" s="2339" customFormat="1" ht="13">
      <c r="C201" s="2339" t="s">
        <v>1637</v>
      </c>
      <c r="D201" s="2373">
        <v>580.52300000000002</v>
      </c>
      <c r="E201" s="2373">
        <v>1434.9570000000001</v>
      </c>
      <c r="F201" s="2373">
        <v>2707.4989999999998</v>
      </c>
      <c r="I201" s="2371"/>
      <c r="M201" s="2412">
        <v>707</v>
      </c>
      <c r="N201" s="2412"/>
      <c r="O201" s="2412"/>
      <c r="P201" s="2412"/>
      <c r="Q201" s="2412"/>
      <c r="R201" s="2412"/>
      <c r="S201" s="2339">
        <v>499</v>
      </c>
    </row>
    <row r="202" spans="3:19" ht="13">
      <c r="C202" s="2344" t="s">
        <v>2210</v>
      </c>
      <c r="D202" s="2422"/>
      <c r="E202" s="2423">
        <f>(E201-D201)/D201</f>
        <v>1.471834879927238</v>
      </c>
      <c r="F202" s="2423">
        <f>(F201-E201)/E201</f>
        <v>0.88681542373743572</v>
      </c>
      <c r="J202" s="2425"/>
      <c r="K202" s="2425"/>
      <c r="L202" s="2425">
        <v>0.6</v>
      </c>
    </row>
    <row r="203" spans="3:19" ht="13">
      <c r="C203" s="2344"/>
      <c r="D203" s="2422"/>
      <c r="E203" s="2423"/>
      <c r="F203" s="2423"/>
      <c r="J203" s="2425"/>
      <c r="K203" s="2425"/>
      <c r="L203" s="2425"/>
    </row>
    <row r="204" spans="3:19" ht="13">
      <c r="C204" s="2344" t="s">
        <v>2247</v>
      </c>
      <c r="D204" s="2378">
        <v>509.81900000000002</v>
      </c>
      <c r="E204" s="2378">
        <v>1348.374</v>
      </c>
      <c r="F204" s="2378">
        <v>2468.3980000000001</v>
      </c>
      <c r="J204" s="2425"/>
      <c r="K204" s="2425"/>
      <c r="L204" s="2425"/>
    </row>
    <row r="205" spans="3:19" ht="13">
      <c r="C205" s="2344" t="s">
        <v>2248</v>
      </c>
      <c r="D205" s="2378">
        <v>70.242999999999995</v>
      </c>
      <c r="E205" s="2378">
        <v>82.397999999999996</v>
      </c>
      <c r="F205" s="2378">
        <v>101.379</v>
      </c>
      <c r="J205" s="2425"/>
      <c r="K205" s="2425"/>
      <c r="L205" s="2425"/>
    </row>
    <row r="206" spans="3:19" ht="13">
      <c r="C206" s="2344" t="s">
        <v>1640</v>
      </c>
      <c r="D206" s="2378">
        <v>0.46100000000000002</v>
      </c>
      <c r="E206" s="2378">
        <v>4.1849999999999996</v>
      </c>
      <c r="F206" s="2378">
        <v>137.72200000000001</v>
      </c>
      <c r="J206" s="2425"/>
      <c r="K206" s="2425"/>
      <c r="L206" s="2425"/>
    </row>
    <row r="207" spans="3:19" ht="13">
      <c r="C207" s="2344"/>
      <c r="D207" s="2422"/>
      <c r="E207" s="2423"/>
      <c r="F207" s="2423"/>
      <c r="J207" s="2425"/>
      <c r="K207" s="2425"/>
      <c r="L207" s="2425"/>
    </row>
    <row r="208" spans="3:19">
      <c r="C208" s="2359" t="s">
        <v>2249</v>
      </c>
      <c r="D208" s="2375">
        <v>-228.465</v>
      </c>
      <c r="E208" s="2375">
        <v>-530.21100000000001</v>
      </c>
      <c r="F208" s="2375">
        <v>-858.80600000000004</v>
      </c>
    </row>
    <row r="209" spans="3:18" s="2339" customFormat="1" ht="13">
      <c r="D209" s="2372"/>
      <c r="E209" s="2372"/>
      <c r="F209" s="2372"/>
      <c r="I209" s="2371"/>
    </row>
    <row r="210" spans="3:18" s="2339" customFormat="1" ht="13">
      <c r="C210" s="2339" t="s">
        <v>2250</v>
      </c>
      <c r="D210" s="2372">
        <f>+D201+D208</f>
        <v>352.05799999999999</v>
      </c>
      <c r="E210" s="2372">
        <f>+E201+E208</f>
        <v>904.74600000000009</v>
      </c>
      <c r="F210" s="2372">
        <f>+F201+F208</f>
        <v>1848.6929999999998</v>
      </c>
      <c r="I210" s="2371"/>
      <c r="M210" s="2412">
        <v>693</v>
      </c>
      <c r="N210" s="2412"/>
      <c r="O210" s="2412"/>
      <c r="P210" s="2412"/>
      <c r="Q210" s="2412"/>
      <c r="R210" s="2412"/>
    </row>
    <row r="211" spans="3:18" ht="13">
      <c r="C211" s="2344" t="s">
        <v>2242</v>
      </c>
      <c r="D211" s="2439"/>
      <c r="E211" s="2439">
        <f>E210/D210-1</f>
        <v>1.569877690607798</v>
      </c>
      <c r="F211" s="2439">
        <f>F210/E210-1</f>
        <v>1.0433281827164747</v>
      </c>
      <c r="G211" s="2439"/>
      <c r="H211" s="2439"/>
      <c r="I211" s="2439"/>
      <c r="J211" s="2439"/>
      <c r="K211" s="2439"/>
      <c r="L211" s="2439"/>
      <c r="M211" s="2347"/>
      <c r="N211" s="2347"/>
      <c r="O211" s="2347"/>
      <c r="P211" s="2347"/>
      <c r="Q211" s="2347"/>
      <c r="R211" s="2347"/>
    </row>
    <row r="212" spans="3:18" ht="13">
      <c r="C212" s="2383" t="s">
        <v>2251</v>
      </c>
      <c r="D212" s="2423">
        <f>D210/D$201</f>
        <v>0.60644970138995347</v>
      </c>
      <c r="E212" s="2423">
        <f>E210/E$201</f>
        <v>0.63050391057014255</v>
      </c>
      <c r="F212" s="2423">
        <f>F210/F$201</f>
        <v>0.68280468432305974</v>
      </c>
      <c r="G212" s="2423"/>
      <c r="H212" s="2423"/>
      <c r="I212" s="2440"/>
      <c r="J212" s="2423"/>
      <c r="K212" s="2423"/>
      <c r="L212" s="2423"/>
    </row>
    <row r="213" spans="3:18">
      <c r="D213" s="2376"/>
      <c r="E213" s="2376"/>
      <c r="F213" s="2376"/>
    </row>
    <row r="214" spans="3:18">
      <c r="C214" s="2359" t="s">
        <v>2252</v>
      </c>
      <c r="D214" s="2375">
        <v>-164.27699999999999</v>
      </c>
      <c r="E214" s="2375">
        <v>-371.72</v>
      </c>
      <c r="F214" s="2375">
        <v>-514.79999999999995</v>
      </c>
    </row>
    <row r="215" spans="3:18">
      <c r="C215" s="2359" t="s">
        <v>2253</v>
      </c>
      <c r="D215" s="2375">
        <v>-580.76400000000001</v>
      </c>
      <c r="E215" s="2375">
        <v>-515.17399999999998</v>
      </c>
      <c r="F215" s="2375">
        <v>-670.73199999999997</v>
      </c>
    </row>
    <row r="216" spans="3:18">
      <c r="C216" s="2359" t="s">
        <v>2254</v>
      </c>
      <c r="D216" s="2375">
        <v>-56.83</v>
      </c>
      <c r="E216" s="2375">
        <v>-91.119</v>
      </c>
      <c r="F216" s="2375">
        <v>-132.77199999999999</v>
      </c>
    </row>
    <row r="217" spans="3:18">
      <c r="D217" s="2376"/>
      <c r="E217" s="2376"/>
      <c r="F217" s="2376"/>
    </row>
    <row r="218" spans="3:18">
      <c r="C218" s="2359" t="s">
        <v>2255</v>
      </c>
      <c r="D218" s="2375">
        <v>3.5739999999999998</v>
      </c>
      <c r="E218" s="2375">
        <v>2.097</v>
      </c>
      <c r="F218" s="2375">
        <v>7.5830000000000002</v>
      </c>
    </row>
    <row r="219" spans="3:18">
      <c r="C219" s="2359" t="s">
        <v>2256</v>
      </c>
      <c r="D219" s="2375">
        <v>0.51600000000000001</v>
      </c>
      <c r="E219" s="2375">
        <v>-1.8640000000000001</v>
      </c>
      <c r="F219" s="2375">
        <v>31.545000000000002</v>
      </c>
    </row>
    <row r="220" spans="3:18">
      <c r="E220" s="2376"/>
      <c r="F220" s="2376"/>
    </row>
    <row r="221" spans="3:18" s="2339" customFormat="1" ht="13">
      <c r="C221" s="2339" t="s">
        <v>2257</v>
      </c>
      <c r="D221" s="2372">
        <f>+D210+D214+D215+D216+D218+D219</f>
        <v>-445.72299999999996</v>
      </c>
      <c r="E221" s="2372">
        <f>+E210+E214+E215+E216+E218+E219</f>
        <v>-73.033999999999921</v>
      </c>
      <c r="F221" s="2372">
        <f>+F210+F214+F215+F216+F218+F219</f>
        <v>569.51699999999983</v>
      </c>
      <c r="I221" s="2371"/>
    </row>
    <row r="222" spans="3:18" ht="13">
      <c r="C222" s="2344" t="s">
        <v>2119</v>
      </c>
      <c r="D222" s="2439"/>
      <c r="E222" s="2439">
        <f>E221/D221-1</f>
        <v>-0.83614487024452422</v>
      </c>
      <c r="F222" s="2439">
        <f>F221/E221-1</f>
        <v>-8.7979708081167729</v>
      </c>
      <c r="G222" s="2439"/>
      <c r="H222" s="2439"/>
      <c r="I222" s="2439"/>
      <c r="J222" s="2439"/>
      <c r="K222" s="2439"/>
      <c r="L222" s="2439"/>
      <c r="M222" s="2347"/>
      <c r="N222" s="2347"/>
      <c r="O222" s="2347"/>
      <c r="P222" s="2347"/>
      <c r="Q222" s="2347"/>
      <c r="R222" s="2347"/>
    </row>
    <row r="223" spans="3:18" ht="13">
      <c r="C223" s="2383" t="s">
        <v>2133</v>
      </c>
      <c r="D223" s="2423">
        <f>D221/D$201</f>
        <v>-0.76779559121688534</v>
      </c>
      <c r="E223" s="2423">
        <f>E221/E$201</f>
        <v>-5.0896298634732551E-2</v>
      </c>
      <c r="F223" s="2423">
        <f>F221/F$201</f>
        <v>0.21034800012853186</v>
      </c>
      <c r="G223" s="2423"/>
      <c r="H223" s="2423"/>
      <c r="I223" s="2440"/>
      <c r="J223" s="2423"/>
      <c r="K223" s="2423"/>
      <c r="L223" s="2423"/>
    </row>
    <row r="224" spans="3:18">
      <c r="D224" s="2376"/>
      <c r="E224" s="2376"/>
      <c r="F224" s="2376"/>
    </row>
    <row r="225" spans="3:18">
      <c r="C225" s="2359" t="s">
        <v>2258</v>
      </c>
      <c r="D225" s="2375">
        <v>2.177</v>
      </c>
      <c r="E225" s="2375">
        <v>2.7320000000000002</v>
      </c>
      <c r="F225" s="2375">
        <v>2.9550000000000001</v>
      </c>
    </row>
    <row r="226" spans="3:18">
      <c r="D226" s="2376"/>
      <c r="E226" s="2376"/>
      <c r="F226" s="2376"/>
    </row>
    <row r="227" spans="3:18">
      <c r="C227" s="2359" t="s">
        <v>2259</v>
      </c>
      <c r="D227" s="2376">
        <f>+D221+D225</f>
        <v>-443.54599999999994</v>
      </c>
      <c r="E227" s="2376">
        <f>+E221+E225</f>
        <v>-70.301999999999921</v>
      </c>
      <c r="F227" s="2376">
        <f>+F221+F225</f>
        <v>572.47199999999987</v>
      </c>
    </row>
    <row r="228" spans="3:18">
      <c r="C228" s="2359" t="s">
        <v>2260</v>
      </c>
      <c r="D228" s="2375">
        <v>108.437</v>
      </c>
      <c r="E228" s="2375">
        <v>-20.795999999999999</v>
      </c>
      <c r="F228" s="2375">
        <v>-81.134</v>
      </c>
    </row>
    <row r="229" spans="3:18">
      <c r="D229" s="2375"/>
      <c r="E229" s="2375"/>
      <c r="F229" s="2375"/>
    </row>
    <row r="230" spans="3:18" s="2339" customFormat="1" ht="13">
      <c r="C230" s="2339" t="s">
        <v>2261</v>
      </c>
      <c r="D230" s="2372">
        <f>+D227+D228</f>
        <v>-335.10899999999992</v>
      </c>
      <c r="E230" s="2372">
        <f>+E227+E228</f>
        <v>-91.097999999999928</v>
      </c>
      <c r="F230" s="2372">
        <f>+F227+F228</f>
        <v>491.33799999999985</v>
      </c>
      <c r="I230" s="2371"/>
    </row>
    <row r="231" spans="3:18" ht="13">
      <c r="C231" s="2344" t="s">
        <v>2221</v>
      </c>
      <c r="D231" s="2439"/>
      <c r="E231" s="2439">
        <f>E230/D230-1</f>
        <v>-0.72815412298684923</v>
      </c>
      <c r="F231" s="2439">
        <f>F230/E230-1</f>
        <v>-6.3935102856264709</v>
      </c>
      <c r="G231" s="2439"/>
      <c r="H231" s="2439"/>
      <c r="I231" s="2439"/>
      <c r="J231" s="2439"/>
      <c r="K231" s="2439"/>
      <c r="L231" s="2439"/>
      <c r="M231" s="2347"/>
      <c r="N231" s="2347"/>
      <c r="O231" s="2347"/>
      <c r="P231" s="2347"/>
      <c r="Q231" s="2347"/>
      <c r="R231" s="2347"/>
    </row>
    <row r="232" spans="3:18" ht="13">
      <c r="C232" s="2383" t="s">
        <v>2262</v>
      </c>
      <c r="D232" s="2423">
        <f>D230/D$201</f>
        <v>-0.57725361441320999</v>
      </c>
      <c r="E232" s="2423">
        <f>E230/E$201</f>
        <v>-6.3484829162128151E-2</v>
      </c>
      <c r="F232" s="2423">
        <f>F230/F$201</f>
        <v>0.18147301254774237</v>
      </c>
      <c r="G232" s="2423"/>
      <c r="H232" s="2423"/>
      <c r="I232" s="2440"/>
      <c r="J232" s="2423"/>
      <c r="K232" s="2423"/>
      <c r="L232" s="2423"/>
    </row>
    <row r="235" spans="3:18" outlineLevel="1">
      <c r="C235" s="2359" t="s">
        <v>2263</v>
      </c>
      <c r="D235" s="2376">
        <f>+D236+D237+D238</f>
        <v>101.444</v>
      </c>
      <c r="E235" s="2376">
        <f>+E236+E237+E238</f>
        <v>194.107</v>
      </c>
      <c r="F235" s="2376">
        <f>+F236+F237+F238</f>
        <v>201.34799999999998</v>
      </c>
    </row>
    <row r="236" spans="3:18" outlineLevel="1">
      <c r="C236" s="2389" t="s">
        <v>2264</v>
      </c>
      <c r="D236" s="2375">
        <v>20.847999999999999</v>
      </c>
      <c r="E236" s="2375">
        <v>35.524000000000001</v>
      </c>
      <c r="F236" s="2375">
        <v>42.031999999999996</v>
      </c>
    </row>
    <row r="237" spans="3:18" outlineLevel="1">
      <c r="C237" s="2389" t="s">
        <v>2253</v>
      </c>
      <c r="D237" s="2375">
        <v>75.546000000000006</v>
      </c>
      <c r="E237" s="2375">
        <v>151.44200000000001</v>
      </c>
      <c r="F237" s="2375">
        <v>151.55000000000001</v>
      </c>
    </row>
    <row r="238" spans="3:18" outlineLevel="1">
      <c r="C238" s="2389" t="s">
        <v>2265</v>
      </c>
      <c r="D238" s="2375">
        <v>5.05</v>
      </c>
      <c r="E238" s="2375">
        <v>7.141</v>
      </c>
      <c r="F238" s="2375">
        <v>7.766</v>
      </c>
    </row>
    <row r="239" spans="3:18" outlineLevel="1">
      <c r="D239" s="2376"/>
      <c r="E239" s="2376"/>
      <c r="F239" s="2376"/>
    </row>
    <row r="240" spans="3:18">
      <c r="C240" s="2450" t="s">
        <v>2266</v>
      </c>
      <c r="D240" s="2474">
        <v>-340.75900000000001</v>
      </c>
      <c r="E240" s="2474">
        <v>132.018</v>
      </c>
      <c r="F240" s="2474">
        <v>782.40700000000004</v>
      </c>
      <c r="G240" s="2450"/>
      <c r="H240" s="2450"/>
    </row>
    <row r="241" spans="3:18" ht="13">
      <c r="C241" s="2344" t="s">
        <v>2267</v>
      </c>
      <c r="D241" s="2439"/>
      <c r="E241" s="2439">
        <f>E240/D240-1</f>
        <v>-1.3874233695955205</v>
      </c>
      <c r="F241" s="2439">
        <f>F240/E240-1</f>
        <v>4.9265175960853824</v>
      </c>
      <c r="G241" s="2439"/>
      <c r="H241" s="2439"/>
      <c r="I241" s="2439"/>
      <c r="J241" s="2439"/>
      <c r="K241" s="2439"/>
      <c r="L241" s="2439"/>
      <c r="M241" s="2347"/>
      <c r="N241" s="2347"/>
      <c r="O241" s="2347"/>
      <c r="P241" s="2347"/>
      <c r="Q241" s="2347"/>
      <c r="R241" s="2347"/>
    </row>
    <row r="242" spans="3:18" ht="13">
      <c r="C242" s="2383" t="s">
        <v>2133</v>
      </c>
      <c r="D242" s="2423">
        <f>D240/D$201</f>
        <v>-0.5869862176003362</v>
      </c>
      <c r="E242" s="2423">
        <f>E240/E$201</f>
        <v>9.2001363107047804E-2</v>
      </c>
      <c r="F242" s="2423">
        <f>F240/F$201</f>
        <v>0.28897776139529513</v>
      </c>
      <c r="G242" s="2423"/>
      <c r="H242" s="2423"/>
      <c r="I242" s="2440"/>
      <c r="J242" s="2423"/>
      <c r="K242" s="2423"/>
      <c r="L242" s="2423"/>
    </row>
    <row r="244" spans="3:18" ht="13">
      <c r="C244" s="2336"/>
      <c r="D244" s="2336">
        <v>2015</v>
      </c>
      <c r="E244" s="2336">
        <v>2016</v>
      </c>
      <c r="F244" s="2336">
        <v>2017</v>
      </c>
      <c r="G244" s="2337">
        <v>2018</v>
      </c>
      <c r="H244" s="2337"/>
      <c r="I244" s="2338"/>
      <c r="J244" s="2337" t="s">
        <v>1181</v>
      </c>
      <c r="K244" s="2337" t="s">
        <v>2268</v>
      </c>
      <c r="L244" s="2337"/>
      <c r="M244" s="2337" t="s">
        <v>1178</v>
      </c>
      <c r="N244" s="2337" t="s">
        <v>1099</v>
      </c>
      <c r="O244" s="2337" t="s">
        <v>2031</v>
      </c>
      <c r="P244" s="2337"/>
      <c r="Q244" s="2337"/>
      <c r="R244" s="2337"/>
    </row>
    <row r="245" spans="3:18">
      <c r="C245" s="2418" t="s">
        <v>2269</v>
      </c>
      <c r="D245" s="2418"/>
      <c r="E245" s="2418"/>
      <c r="F245" s="2418"/>
      <c r="G245" s="2418"/>
      <c r="H245" s="2418"/>
      <c r="J245" s="2418"/>
      <c r="K245" s="2418"/>
      <c r="L245" s="2418"/>
      <c r="M245" s="2418"/>
      <c r="N245" s="2418"/>
      <c r="O245" s="2418"/>
      <c r="P245" s="2418"/>
      <c r="Q245" s="2418"/>
      <c r="R245" s="2418"/>
    </row>
    <row r="246" spans="3:18">
      <c r="C246" s="2359" t="s">
        <v>1778</v>
      </c>
      <c r="F246" s="2376">
        <v>80013</v>
      </c>
      <c r="G246" s="2376">
        <v>110819</v>
      </c>
      <c r="H246" s="2376"/>
      <c r="O246" s="2376">
        <v>30607</v>
      </c>
      <c r="P246" s="2376"/>
      <c r="Q246" s="2376"/>
      <c r="R246" s="2376"/>
    </row>
    <row r="247" spans="3:18" ht="13">
      <c r="C247" s="2475" t="s">
        <v>2270</v>
      </c>
      <c r="G247" s="2476">
        <f>G246/F246-1</f>
        <v>0.38501243547923458</v>
      </c>
      <c r="H247" s="2476"/>
      <c r="I247" s="2477"/>
      <c r="J247" s="2478"/>
      <c r="K247" s="2478"/>
      <c r="L247" s="2478"/>
      <c r="M247" s="2478"/>
      <c r="N247" s="2478"/>
      <c r="O247" s="2479">
        <v>0.3</v>
      </c>
      <c r="P247" s="2479"/>
      <c r="Q247" s="2479"/>
      <c r="R247" s="2479"/>
    </row>
    <row r="248" spans="3:18">
      <c r="C248" s="2359" t="s">
        <v>1779</v>
      </c>
      <c r="F248" s="727">
        <f>F249/F246</f>
        <v>3.1619861772461975E-2</v>
      </c>
      <c r="G248" s="727">
        <f>G249/G246</f>
        <v>3.6275367942320363E-2</v>
      </c>
      <c r="H248" s="727"/>
      <c r="O248" s="727">
        <f>O249/O246</f>
        <v>4.1134381023948771E-2</v>
      </c>
      <c r="P248" s="727"/>
      <c r="Q248" s="727"/>
      <c r="R248" s="727"/>
    </row>
    <row r="249" spans="3:18">
      <c r="C249" s="2359" t="s">
        <v>1637</v>
      </c>
      <c r="F249" s="2376">
        <v>2530</v>
      </c>
      <c r="G249" s="2376">
        <v>4020</v>
      </c>
      <c r="H249" s="2376"/>
      <c r="O249" s="2376">
        <v>1259</v>
      </c>
      <c r="P249" s="2376"/>
      <c r="Q249" s="2376"/>
      <c r="R249" s="2376"/>
    </row>
    <row r="250" spans="3:18" ht="13">
      <c r="C250" s="2475" t="s">
        <v>2270</v>
      </c>
      <c r="G250" s="2480">
        <f>G249/F249-1</f>
        <v>0.5889328063241106</v>
      </c>
      <c r="H250" s="2480"/>
      <c r="I250" s="2477"/>
      <c r="J250" s="2478"/>
      <c r="K250" s="2478"/>
      <c r="L250" s="2478"/>
      <c r="M250" s="2478"/>
      <c r="N250" s="2478"/>
      <c r="O250" s="2479">
        <v>0.3</v>
      </c>
      <c r="P250" s="2479"/>
      <c r="Q250" s="2479"/>
      <c r="R250" s="2479"/>
    </row>
    <row r="251" spans="3:18">
      <c r="C251" s="2418" t="s">
        <v>2271</v>
      </c>
      <c r="D251" s="2418"/>
      <c r="E251" s="2418"/>
      <c r="F251" s="2418"/>
      <c r="G251" s="2418"/>
      <c r="H251" s="2418"/>
      <c r="J251" s="2418"/>
      <c r="K251" s="2418"/>
      <c r="L251" s="2418"/>
      <c r="M251" s="2418"/>
      <c r="N251" s="2418"/>
      <c r="O251" s="2418"/>
      <c r="P251" s="2418"/>
      <c r="Q251" s="2418"/>
      <c r="R251" s="2418"/>
    </row>
    <row r="252" spans="3:18">
      <c r="C252" s="2359" t="s">
        <v>2272</v>
      </c>
      <c r="F252" s="2359">
        <v>49</v>
      </c>
      <c r="G252" s="2359">
        <v>67</v>
      </c>
      <c r="O252" s="2359">
        <v>17</v>
      </c>
    </row>
    <row r="253" spans="3:18" ht="13">
      <c r="C253" s="2475" t="s">
        <v>2270</v>
      </c>
      <c r="G253" s="2479">
        <v>0.38</v>
      </c>
      <c r="H253" s="2479"/>
      <c r="I253" s="2477"/>
      <c r="J253" s="2478"/>
      <c r="K253" s="2478"/>
      <c r="L253" s="2478"/>
      <c r="M253" s="2478"/>
      <c r="N253" s="2478"/>
      <c r="O253" s="2479">
        <v>0.2</v>
      </c>
      <c r="P253" s="2479"/>
      <c r="Q253" s="2479"/>
      <c r="R253" s="2479"/>
    </row>
    <row r="254" spans="3:18">
      <c r="C254" s="2359" t="s">
        <v>2273</v>
      </c>
      <c r="F254" s="2359">
        <v>814</v>
      </c>
      <c r="G254" s="2359">
        <v>827</v>
      </c>
      <c r="O254" s="2359">
        <v>826</v>
      </c>
    </row>
    <row r="255" spans="3:18" ht="13">
      <c r="C255" s="2475" t="s">
        <v>2270</v>
      </c>
      <c r="G255" s="2479">
        <v>0.02</v>
      </c>
      <c r="H255" s="2479"/>
      <c r="I255" s="2477"/>
      <c r="J255" s="2478"/>
      <c r="K255" s="2478"/>
      <c r="L255" s="2478"/>
      <c r="M255" s="2478"/>
      <c r="N255" s="2478"/>
      <c r="O255" s="2479">
        <v>-0.02</v>
      </c>
      <c r="P255" s="2479"/>
      <c r="Q255" s="2479"/>
      <c r="R255" s="2479"/>
    </row>
    <row r="256" spans="3:18">
      <c r="C256" s="2359" t="s">
        <v>1778</v>
      </c>
      <c r="F256" s="2376">
        <v>39503</v>
      </c>
      <c r="G256" s="2376">
        <v>55409</v>
      </c>
      <c r="H256" s="2376"/>
      <c r="O256" s="2376">
        <v>13773</v>
      </c>
      <c r="P256" s="2376"/>
      <c r="Q256" s="2376"/>
      <c r="R256" s="2376"/>
    </row>
    <row r="257" spans="3:18" ht="13">
      <c r="C257" s="2475" t="s">
        <v>2270</v>
      </c>
      <c r="G257" s="2479">
        <v>0.4</v>
      </c>
      <c r="H257" s="2479"/>
      <c r="I257" s="2477"/>
      <c r="J257" s="2478"/>
      <c r="K257" s="2478"/>
      <c r="L257" s="2478"/>
      <c r="M257" s="2478"/>
      <c r="N257" s="2478"/>
      <c r="O257" s="2479">
        <v>0.17</v>
      </c>
      <c r="P257" s="2479"/>
      <c r="Q257" s="2479"/>
      <c r="R257" s="2479"/>
    </row>
    <row r="258" spans="3:18">
      <c r="C258" s="2359" t="s">
        <v>1779</v>
      </c>
      <c r="F258" s="2407">
        <v>3.5000000000000003E-2</v>
      </c>
      <c r="G258" s="2407">
        <v>3.5999999999999997E-2</v>
      </c>
      <c r="H258" s="2407"/>
      <c r="O258" s="2407">
        <v>4.1000000000000002E-2</v>
      </c>
      <c r="P258" s="2407"/>
      <c r="Q258" s="2407"/>
      <c r="R258" s="2407"/>
    </row>
    <row r="259" spans="3:18">
      <c r="C259" s="2359" t="s">
        <v>1637</v>
      </c>
      <c r="F259" s="2376">
        <v>1383</v>
      </c>
      <c r="G259" s="2376">
        <v>2017</v>
      </c>
      <c r="H259" s="2376"/>
      <c r="O259" s="2359">
        <v>565</v>
      </c>
    </row>
    <row r="260" spans="3:18" ht="13">
      <c r="C260" s="2475" t="s">
        <v>2270</v>
      </c>
      <c r="G260" s="2479">
        <v>0.46</v>
      </c>
      <c r="H260" s="2479"/>
      <c r="I260" s="2477"/>
      <c r="J260" s="2478"/>
      <c r="K260" s="2478"/>
      <c r="L260" s="2478"/>
      <c r="M260" s="2478"/>
      <c r="N260" s="2478"/>
      <c r="O260" s="2479">
        <v>0.17</v>
      </c>
      <c r="P260" s="2479"/>
      <c r="Q260" s="2479"/>
      <c r="R260" s="2479"/>
    </row>
    <row r="261" spans="3:18">
      <c r="C261" s="2418" t="s">
        <v>2274</v>
      </c>
      <c r="D261" s="2418"/>
      <c r="E261" s="2418"/>
      <c r="F261" s="2418"/>
      <c r="G261" s="2418"/>
      <c r="H261" s="2418"/>
      <c r="J261" s="2418"/>
      <c r="K261" s="2418"/>
      <c r="L261" s="2418"/>
      <c r="M261" s="2418"/>
      <c r="N261" s="2418"/>
      <c r="O261" s="2418"/>
      <c r="P261" s="2418"/>
      <c r="Q261" s="2418"/>
      <c r="R261" s="2418"/>
    </row>
    <row r="262" spans="3:18">
      <c r="C262" s="2359" t="s">
        <v>2272</v>
      </c>
      <c r="F262" s="2359">
        <v>328</v>
      </c>
      <c r="G262" s="2359">
        <v>416</v>
      </c>
      <c r="O262" s="2359">
        <v>124</v>
      </c>
    </row>
    <row r="263" spans="3:18" ht="13">
      <c r="C263" s="2475" t="s">
        <v>2270</v>
      </c>
      <c r="G263" s="2479">
        <v>0.27</v>
      </c>
      <c r="H263" s="2479"/>
      <c r="I263" s="2477"/>
      <c r="J263" s="2478"/>
      <c r="K263" s="2478"/>
      <c r="L263" s="2478"/>
      <c r="M263" s="2478"/>
      <c r="N263" s="2478"/>
      <c r="O263" s="2479">
        <v>0.47</v>
      </c>
      <c r="P263" s="2479"/>
      <c r="Q263" s="2479"/>
      <c r="R263" s="2479"/>
    </row>
    <row r="264" spans="3:18">
      <c r="C264" s="2359" t="s">
        <v>2273</v>
      </c>
      <c r="F264" s="2359">
        <v>124</v>
      </c>
      <c r="G264" s="2359">
        <v>133</v>
      </c>
      <c r="O264" s="2359">
        <v>136</v>
      </c>
    </row>
    <row r="265" spans="3:18" ht="13">
      <c r="C265" s="2475" t="s">
        <v>2270</v>
      </c>
      <c r="G265" s="2479">
        <v>0.08</v>
      </c>
      <c r="H265" s="2479"/>
      <c r="I265" s="2477"/>
      <c r="J265" s="2478"/>
      <c r="K265" s="2478"/>
      <c r="L265" s="2478"/>
      <c r="M265" s="2478"/>
      <c r="N265" s="2478"/>
      <c r="O265" s="2479">
        <v>-0.03</v>
      </c>
      <c r="P265" s="2479"/>
      <c r="Q265" s="2479"/>
      <c r="R265" s="2479"/>
    </row>
    <row r="266" spans="3:18">
      <c r="C266" s="2359" t="s">
        <v>1778</v>
      </c>
      <c r="F266" s="2376">
        <v>40511</v>
      </c>
      <c r="G266" s="2376">
        <v>55409</v>
      </c>
      <c r="H266" s="2376"/>
      <c r="O266" s="2376">
        <v>16834</v>
      </c>
      <c r="P266" s="2376"/>
      <c r="Q266" s="2376"/>
      <c r="R266" s="2376"/>
    </row>
    <row r="267" spans="3:18" ht="13">
      <c r="C267" s="2475" t="s">
        <v>2270</v>
      </c>
      <c r="G267" s="2479">
        <v>0.37</v>
      </c>
      <c r="H267" s="2479"/>
      <c r="I267" s="2477"/>
      <c r="J267" s="2478"/>
      <c r="K267" s="2478"/>
      <c r="L267" s="2478"/>
      <c r="M267" s="2478"/>
      <c r="N267" s="2478"/>
      <c r="O267" s="2479">
        <v>0.43</v>
      </c>
      <c r="P267" s="2479"/>
      <c r="Q267" s="2479"/>
      <c r="R267" s="2479"/>
    </row>
    <row r="268" spans="3:18">
      <c r="C268" s="2359" t="s">
        <v>1779</v>
      </c>
      <c r="F268" s="2407">
        <v>2.8000000000000001E-2</v>
      </c>
      <c r="G268" s="2407">
        <v>3.5999999999999997E-2</v>
      </c>
      <c r="H268" s="2407"/>
      <c r="O268" s="2407">
        <v>4.1000000000000002E-2</v>
      </c>
      <c r="P268" s="2407"/>
      <c r="Q268" s="2407"/>
      <c r="R268" s="2407"/>
    </row>
    <row r="269" spans="3:18">
      <c r="C269" s="2359" t="s">
        <v>1637</v>
      </c>
      <c r="F269" s="2376">
        <v>1147</v>
      </c>
      <c r="G269" s="2376">
        <v>2003</v>
      </c>
      <c r="H269" s="2376"/>
      <c r="O269" s="2359">
        <v>694</v>
      </c>
    </row>
    <row r="270" spans="3:18" ht="13">
      <c r="C270" s="2475" t="s">
        <v>2270</v>
      </c>
      <c r="G270" s="2479">
        <v>0.75</v>
      </c>
      <c r="H270" s="2479"/>
      <c r="I270" s="2481"/>
      <c r="J270" s="2479"/>
      <c r="K270" s="2479"/>
      <c r="L270" s="2479"/>
      <c r="M270" s="2479"/>
      <c r="N270" s="2479"/>
      <c r="O270" s="2479">
        <v>0.43</v>
      </c>
      <c r="P270" s="2479"/>
      <c r="Q270" s="2479"/>
      <c r="R270" s="2479"/>
    </row>
    <row r="275" spans="6:8">
      <c r="F275" s="2359" t="s">
        <v>2275</v>
      </c>
      <c r="G275" s="860">
        <f>0.9*25.47</f>
        <v>22.922999999999998</v>
      </c>
      <c r="H275" s="860"/>
    </row>
    <row r="276" spans="6:8">
      <c r="F276" s="2359" t="s">
        <v>2276</v>
      </c>
      <c r="G276" s="860">
        <f>(142.767+19.692-2376.789)/1000</f>
        <v>-2.2143300000000004</v>
      </c>
      <c r="H276" s="860"/>
    </row>
    <row r="277" spans="6:8">
      <c r="F277" s="2359" t="s">
        <v>2277</v>
      </c>
      <c r="G277" s="860">
        <f>G275+G276</f>
        <v>20.708669999999998</v>
      </c>
      <c r="H277" s="860"/>
    </row>
    <row r="279" spans="6:8">
      <c r="F279" s="2359" t="s">
        <v>2278</v>
      </c>
      <c r="G279" s="859">
        <f>G54-J54-K54+O54+P54</f>
        <v>1765.6010000000001</v>
      </c>
      <c r="H279" s="859"/>
    </row>
    <row r="280" spans="6:8">
      <c r="F280" s="2359" t="s">
        <v>2279</v>
      </c>
      <c r="G280" s="859">
        <f>G197-J197-K197+O197+P197</f>
        <v>1306.241</v>
      </c>
      <c r="H280" s="859"/>
    </row>
    <row r="281" spans="6:8">
      <c r="F281" s="2359" t="s">
        <v>2280</v>
      </c>
      <c r="G281" s="859">
        <f>G27-J27-K27+O27+P27</f>
        <v>6633.1170000000011</v>
      </c>
      <c r="H281" s="859"/>
    </row>
    <row r="283" spans="6:8">
      <c r="F283" s="2359" t="s">
        <v>2281</v>
      </c>
      <c r="G283" s="2482">
        <f>G277*1000/G279</f>
        <v>11.728963678656728</v>
      </c>
      <c r="H283" s="2482"/>
    </row>
    <row r="284" spans="6:8">
      <c r="F284" s="2359" t="s">
        <v>2282</v>
      </c>
      <c r="G284" s="2482">
        <f>G275*1000/G280</f>
        <v>17.548829044563753</v>
      </c>
      <c r="H284" s="2482"/>
    </row>
    <row r="285" spans="6:8">
      <c r="F285" s="2359" t="s">
        <v>2283</v>
      </c>
      <c r="G285" s="2482">
        <f>G277*1000/G281</f>
        <v>3.1220118686282774</v>
      </c>
      <c r="H285" s="2482"/>
    </row>
    <row r="286" spans="6:8">
      <c r="F286" s="2359" t="s">
        <v>2284</v>
      </c>
      <c r="G286" s="2482">
        <f>G275*1000/G281</f>
        <v>3.4558413487957464</v>
      </c>
      <c r="H286" s="2482"/>
    </row>
    <row r="289" spans="11:22">
      <c r="K289" s="2483"/>
      <c r="O289" s="2483">
        <v>0.54166666666666663</v>
      </c>
      <c r="P289" s="2483">
        <v>0.64583333333333337</v>
      </c>
    </row>
    <row r="290" spans="11:22">
      <c r="K290" s="2483"/>
      <c r="O290" s="2483">
        <f>O289-K291</f>
        <v>0.54166666666666663</v>
      </c>
      <c r="P290" s="2483">
        <f>P289-K291</f>
        <v>0.64583333333333337</v>
      </c>
    </row>
    <row r="291" spans="11:22">
      <c r="K291" s="2483"/>
    </row>
    <row r="292" spans="11:22">
      <c r="U292" s="2484" t="s">
        <v>2285</v>
      </c>
      <c r="V292" s="2484" t="s">
        <v>2286</v>
      </c>
    </row>
    <row r="293" spans="11:22">
      <c r="T293" s="2359" t="s">
        <v>2287</v>
      </c>
      <c r="U293" s="859">
        <v>2711343</v>
      </c>
      <c r="V293" s="859">
        <v>3143883</v>
      </c>
    </row>
    <row r="294" spans="11:22">
      <c r="U294" s="859"/>
      <c r="V294" s="859"/>
    </row>
  </sheetData>
  <phoneticPr fontId="11" type="noConversion"/>
  <pageMargins left="0.7" right="0.7" top="0.75" bottom="0.75" header="0.3" footer="0.3"/>
  <pageSetup paperSize="9" orientation="portrait" verticalDpi="599"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38"/>
  <sheetViews>
    <sheetView workbookViewId="0"/>
  </sheetViews>
  <sheetFormatPr defaultColWidth="9" defaultRowHeight="12.5"/>
  <cols>
    <col min="1" max="1" width="9" style="2359"/>
    <col min="2" max="2" width="26" style="2359" bestFit="1" customWidth="1"/>
    <col min="3" max="5" width="20.58203125" style="2359" customWidth="1"/>
    <col min="6" max="6" width="9" style="2359"/>
    <col min="7" max="7" width="9.83203125" style="2359" bestFit="1" customWidth="1"/>
    <col min="8" max="16384" width="9" style="2359"/>
  </cols>
  <sheetData>
    <row r="1" spans="2:8" ht="13" thickBot="1"/>
    <row r="2" spans="2:8" ht="13">
      <c r="B2" s="2485"/>
      <c r="C2" s="3525" t="s">
        <v>2288</v>
      </c>
      <c r="D2" s="3525"/>
      <c r="E2" s="3526"/>
    </row>
    <row r="3" spans="2:8" ht="26">
      <c r="B3" s="2486"/>
      <c r="C3" s="2487" t="s">
        <v>2289</v>
      </c>
      <c r="D3" s="2488" t="s">
        <v>2290</v>
      </c>
      <c r="E3" s="2489" t="s">
        <v>2291</v>
      </c>
    </row>
    <row r="4" spans="2:8">
      <c r="B4" s="2490" t="s">
        <v>2292</v>
      </c>
      <c r="C4" s="848">
        <f>同程艺龙!Q3</f>
        <v>47600</v>
      </c>
      <c r="D4" s="848">
        <v>63900</v>
      </c>
      <c r="E4" s="2491"/>
    </row>
    <row r="5" spans="2:8">
      <c r="B5" s="2490" t="s">
        <v>2293</v>
      </c>
      <c r="C5" s="854">
        <f>同程艺龙!Q4</f>
        <v>0.21739130434782616</v>
      </c>
      <c r="D5" s="854">
        <v>0.3</v>
      </c>
      <c r="E5" s="2491"/>
    </row>
    <row r="6" spans="2:8">
      <c r="B6" s="2492" t="s">
        <v>2294</v>
      </c>
      <c r="C6" s="848">
        <f>同程艺龙!Q6</f>
        <v>39438.400000000001</v>
      </c>
      <c r="D6" s="848"/>
      <c r="E6" s="2491"/>
    </row>
    <row r="7" spans="2:8" ht="13">
      <c r="B7" s="2493" t="s">
        <v>2295</v>
      </c>
      <c r="C7" s="2494">
        <f>同程艺龙!Q18</f>
        <v>8161.5999999999995</v>
      </c>
      <c r="D7" s="2494">
        <f>D36*D37</f>
        <v>21960</v>
      </c>
      <c r="E7" s="2495"/>
      <c r="G7" s="2409" t="s">
        <v>2296</v>
      </c>
    </row>
    <row r="8" spans="2:8" ht="13">
      <c r="B8" s="2492"/>
      <c r="C8" s="2496"/>
      <c r="D8" s="848"/>
      <c r="E8" s="2491"/>
      <c r="G8" s="2409" t="s">
        <v>2297</v>
      </c>
      <c r="H8" s="2359">
        <v>198</v>
      </c>
    </row>
    <row r="9" spans="2:8" ht="13">
      <c r="B9" s="2497" t="s">
        <v>2298</v>
      </c>
      <c r="C9" s="2498">
        <f>同程艺龙!Q27</f>
        <v>2062.13</v>
      </c>
      <c r="D9" s="2498">
        <v>6181.1170000000002</v>
      </c>
      <c r="E9" s="2499">
        <f>E11+E14+E17+E23+E20</f>
        <v>10499</v>
      </c>
      <c r="G9" s="2409" t="s">
        <v>2299</v>
      </c>
      <c r="H9" s="2359">
        <v>6.2</v>
      </c>
    </row>
    <row r="10" spans="2:8" ht="13">
      <c r="B10" s="2490" t="s">
        <v>2293</v>
      </c>
      <c r="C10" s="2500">
        <f>同程艺龙!Q28</f>
        <v>0.22280222272691441</v>
      </c>
      <c r="D10" s="854">
        <v>0.39</v>
      </c>
      <c r="E10" s="2501">
        <f>E9/9396-1</f>
        <v>0.11739037888463177</v>
      </c>
      <c r="G10" s="2409" t="s">
        <v>2300</v>
      </c>
      <c r="H10" s="2359">
        <v>3.9</v>
      </c>
    </row>
    <row r="11" spans="2:8">
      <c r="B11" s="2492" t="s">
        <v>2301</v>
      </c>
      <c r="C11" s="848">
        <f>同程艺龙!Q66</f>
        <v>1139.6210000000001</v>
      </c>
      <c r="D11" s="2496"/>
      <c r="E11" s="2502">
        <v>3721</v>
      </c>
      <c r="H11" s="2359">
        <f>SUM(H8:H10)</f>
        <v>208.1</v>
      </c>
    </row>
    <row r="12" spans="2:8" s="2480" customFormat="1" ht="13">
      <c r="B12" s="2503" t="s">
        <v>2293</v>
      </c>
      <c r="C12" s="2504">
        <f>同程艺龙!Q67</f>
        <v>1.5569219801274237E-2</v>
      </c>
      <c r="D12" s="2504"/>
      <c r="E12" s="2505">
        <v>0.03</v>
      </c>
    </row>
    <row r="13" spans="2:8" s="2478" customFormat="1" ht="13">
      <c r="B13" s="2506" t="s">
        <v>2302</v>
      </c>
      <c r="C13" s="2504">
        <f>C11/C9</f>
        <v>0.55264265589463324</v>
      </c>
      <c r="D13" s="2504"/>
      <c r="E13" s="2505">
        <f>E11/E9</f>
        <v>0.35441470616249166</v>
      </c>
    </row>
    <row r="14" spans="2:8">
      <c r="B14" s="2492" t="s">
        <v>2303</v>
      </c>
      <c r="C14" s="848">
        <f>同程艺龙!Q70</f>
        <v>693.73599999999999</v>
      </c>
      <c r="D14" s="848">
        <f>D7*D29</f>
        <v>1756.8</v>
      </c>
      <c r="E14" s="2502">
        <v>4117</v>
      </c>
    </row>
    <row r="15" spans="2:8" s="2478" customFormat="1" ht="13">
      <c r="B15" s="2506" t="s">
        <v>2293</v>
      </c>
      <c r="C15" s="2507">
        <f>同程艺龙!Q71</f>
        <v>0.34517433811239395</v>
      </c>
      <c r="D15" s="2507">
        <v>0.44400000000000001</v>
      </c>
      <c r="E15" s="2505">
        <v>0.14000000000000001</v>
      </c>
    </row>
    <row r="16" spans="2:8" s="2478" customFormat="1" ht="13">
      <c r="B16" s="2506" t="s">
        <v>2304</v>
      </c>
      <c r="C16" s="2504">
        <f>C14/C9</f>
        <v>0.33641719969158101</v>
      </c>
      <c r="D16" s="2504">
        <f>D14/D9</f>
        <v>0.28422047341928652</v>
      </c>
      <c r="E16" s="2505">
        <f>E14/E9</f>
        <v>0.39213258405562434</v>
      </c>
    </row>
    <row r="17" spans="2:5">
      <c r="B17" s="2492" t="s">
        <v>2305</v>
      </c>
      <c r="C17" s="848"/>
      <c r="D17" s="848"/>
      <c r="E17" s="2502">
        <v>1638</v>
      </c>
    </row>
    <row r="18" spans="2:5" s="2478" customFormat="1" ht="13">
      <c r="B18" s="2506" t="s">
        <v>2306</v>
      </c>
      <c r="C18" s="2508"/>
      <c r="D18" s="2508"/>
      <c r="E18" s="2505">
        <v>0.19</v>
      </c>
    </row>
    <row r="19" spans="2:5" s="2478" customFormat="1" ht="13">
      <c r="B19" s="2506" t="s">
        <v>2201</v>
      </c>
      <c r="C19" s="2508"/>
      <c r="D19" s="2508"/>
      <c r="E19" s="2505">
        <f>E17/E9</f>
        <v>0.15601485855795791</v>
      </c>
    </row>
    <row r="20" spans="2:5">
      <c r="B20" s="2492" t="s">
        <v>2307</v>
      </c>
      <c r="C20" s="848"/>
      <c r="D20" s="848"/>
      <c r="E20" s="2502">
        <v>335</v>
      </c>
    </row>
    <row r="21" spans="2:5" s="2478" customFormat="1" ht="13">
      <c r="B21" s="2506" t="s">
        <v>2293</v>
      </c>
      <c r="C21" s="2508"/>
      <c r="D21" s="2508"/>
      <c r="E21" s="2505">
        <v>0.26</v>
      </c>
    </row>
    <row r="22" spans="2:5" s="2478" customFormat="1" ht="13">
      <c r="B22" s="2506" t="s">
        <v>2304</v>
      </c>
      <c r="C22" s="2508"/>
      <c r="D22" s="2508"/>
      <c r="E22" s="2505">
        <f>E20/E9</f>
        <v>3.19078007429279E-2</v>
      </c>
    </row>
    <row r="23" spans="2:5">
      <c r="B23" s="2492" t="s">
        <v>2308</v>
      </c>
      <c r="C23" s="2509">
        <f>同程艺龙!Q77</f>
        <v>228.773</v>
      </c>
      <c r="D23" s="2496"/>
      <c r="E23" s="2502">
        <v>688</v>
      </c>
    </row>
    <row r="24" spans="2:5" s="2478" customFormat="1" ht="13">
      <c r="B24" s="2506" t="s">
        <v>2306</v>
      </c>
      <c r="C24" s="2507">
        <f>同程艺龙!Q78</f>
        <v>3.7145388974755278</v>
      </c>
      <c r="D24" s="2510"/>
      <c r="E24" s="2505">
        <f>688/503-1</f>
        <v>0.36779324055665996</v>
      </c>
    </row>
    <row r="25" spans="2:5" s="2478" customFormat="1" ht="13">
      <c r="B25" s="2511" t="s">
        <v>2302</v>
      </c>
      <c r="C25" s="2512">
        <f>C23/C9</f>
        <v>0.11094014441378573</v>
      </c>
      <c r="D25" s="2513"/>
      <c r="E25" s="2514">
        <f>E23/E9</f>
        <v>6.5530050480998192E-2</v>
      </c>
    </row>
    <row r="26" spans="2:5">
      <c r="B26" s="2492"/>
      <c r="C26" s="2496"/>
      <c r="D26" s="2496"/>
      <c r="E26" s="2491"/>
    </row>
    <row r="27" spans="2:5">
      <c r="B27" s="2497" t="s">
        <v>2309</v>
      </c>
      <c r="C27" s="2515"/>
      <c r="D27" s="2515"/>
      <c r="E27" s="2516"/>
    </row>
    <row r="28" spans="2:5">
      <c r="B28" s="2492" t="s">
        <v>2310</v>
      </c>
      <c r="C28" s="647">
        <f>C11/C6</f>
        <v>2.8896228041705548E-2</v>
      </c>
      <c r="D28" s="2496"/>
      <c r="E28" s="2491"/>
    </row>
    <row r="29" spans="2:5">
      <c r="B29" s="2493" t="s">
        <v>2303</v>
      </c>
      <c r="C29" s="652">
        <f>C14/C7</f>
        <v>8.5000000000000006E-2</v>
      </c>
      <c r="D29" s="2517">
        <v>0.08</v>
      </c>
      <c r="E29" s="2495"/>
    </row>
    <row r="30" spans="2:5">
      <c r="B30" s="2492"/>
      <c r="C30" s="647"/>
      <c r="D30" s="2518"/>
      <c r="E30" s="2491"/>
    </row>
    <row r="31" spans="2:5">
      <c r="B31" s="2519" t="s">
        <v>2311</v>
      </c>
      <c r="C31" s="2498">
        <f>同程艺龙!Q150</f>
        <v>1378.875</v>
      </c>
      <c r="D31" s="2520"/>
      <c r="E31" s="2499">
        <v>8319</v>
      </c>
    </row>
    <row r="32" spans="2:5" s="2478" customFormat="1" ht="13">
      <c r="B32" s="2521" t="s">
        <v>2312</v>
      </c>
      <c r="C32" s="2507">
        <f>C31/C9</f>
        <v>0.66866540906732352</v>
      </c>
      <c r="D32" s="2522"/>
      <c r="E32" s="2505">
        <f>E31/E9</f>
        <v>0.79236117725497668</v>
      </c>
    </row>
    <row r="33" spans="2:5">
      <c r="B33" s="2523" t="s">
        <v>2313</v>
      </c>
      <c r="C33" s="848">
        <f>同程艺龙!Q163</f>
        <v>347.21899999999999</v>
      </c>
      <c r="D33" s="2518"/>
      <c r="E33" s="2502">
        <v>2242</v>
      </c>
    </row>
    <row r="34" spans="2:5" s="2478" customFormat="1" ht="13">
      <c r="B34" s="2524" t="s">
        <v>2314</v>
      </c>
      <c r="C34" s="2525">
        <f>C33/C9</f>
        <v>0.16837881219903691</v>
      </c>
      <c r="D34" s="2526"/>
      <c r="E34" s="2514">
        <f>E33/E9</f>
        <v>0.21354414706162492</v>
      </c>
    </row>
    <row r="35" spans="2:5">
      <c r="B35" s="2523"/>
      <c r="C35" s="2496"/>
      <c r="D35" s="848"/>
      <c r="E35" s="2491"/>
    </row>
    <row r="36" spans="2:5">
      <c r="B36" s="2497" t="s">
        <v>2315</v>
      </c>
      <c r="C36" s="2527">
        <f>C7/C37</f>
        <v>30.798490566037735</v>
      </c>
      <c r="D36" s="2527">
        <v>109.8</v>
      </c>
      <c r="E36" s="2516"/>
    </row>
    <row r="37" spans="2:5" ht="13" thickBot="1">
      <c r="B37" s="2528" t="s">
        <v>2316</v>
      </c>
      <c r="C37" s="2529">
        <v>265</v>
      </c>
      <c r="D37" s="2529">
        <v>200</v>
      </c>
      <c r="E37" s="2530"/>
    </row>
    <row r="38" spans="2:5">
      <c r="D38" s="2410"/>
    </row>
  </sheetData>
  <mergeCells count="1">
    <mergeCell ref="C2:E2"/>
  </mergeCells>
  <phoneticPr fontId="11"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8"/>
  <sheetViews>
    <sheetView workbookViewId="0"/>
  </sheetViews>
  <sheetFormatPr defaultColWidth="9" defaultRowHeight="15"/>
  <cols>
    <col min="1" max="1" width="31.58203125" style="2319" customWidth="1"/>
    <col min="2" max="2" width="10.75" style="2319" customWidth="1"/>
    <col min="3" max="3" width="11.25" style="2319" customWidth="1"/>
    <col min="4" max="6" width="11.58203125" style="2319" bestFit="1" customWidth="1"/>
    <col min="7" max="7" width="11.33203125" style="2319" customWidth="1"/>
    <col min="8" max="8" width="9" style="2319" customWidth="1"/>
    <col min="9" max="9" width="15" style="2319" bestFit="1" customWidth="1"/>
    <col min="10" max="16384" width="9" style="2319"/>
  </cols>
  <sheetData>
    <row r="1" spans="8:12">
      <c r="I1" s="2333" t="s">
        <v>2317</v>
      </c>
      <c r="J1" s="2333" t="s">
        <v>2318</v>
      </c>
      <c r="K1" s="2333" t="s">
        <v>2319</v>
      </c>
      <c r="L1" s="2333" t="s">
        <v>2194</v>
      </c>
    </row>
    <row r="2" spans="8:12">
      <c r="H2" s="2333" t="s">
        <v>2320</v>
      </c>
      <c r="I2" s="2350">
        <v>1122.1500000000001</v>
      </c>
      <c r="J2" s="2350">
        <v>937.09199999999998</v>
      </c>
      <c r="K2" s="2350">
        <v>1139.6210000000001</v>
      </c>
      <c r="L2" s="2350">
        <v>1956.4929999999995</v>
      </c>
    </row>
    <row r="3" spans="8:12">
      <c r="H3" s="2333" t="s">
        <v>2321</v>
      </c>
      <c r="I3" s="2350">
        <v>515.72199999999998</v>
      </c>
      <c r="J3" s="2350">
        <v>553.36</v>
      </c>
      <c r="K3" s="2350">
        <v>693.73599999999999</v>
      </c>
      <c r="L3" s="2350">
        <v>1181.9970000000001</v>
      </c>
    </row>
    <row r="4" spans="8:12">
      <c r="H4" s="2333" t="s">
        <v>2322</v>
      </c>
      <c r="I4" s="2350">
        <v>48.524999999999999</v>
      </c>
      <c r="J4" s="2350">
        <v>100.446</v>
      </c>
      <c r="K4" s="2350">
        <v>228.773</v>
      </c>
      <c r="L4" s="2350">
        <v>621.86300000000006</v>
      </c>
    </row>
    <row r="30" spans="1:9">
      <c r="B30" s="3527" t="s">
        <v>2323</v>
      </c>
      <c r="C30" s="3527"/>
      <c r="D30" s="3527" t="s">
        <v>2324</v>
      </c>
      <c r="E30" s="3527"/>
      <c r="F30" s="3527" t="s">
        <v>2325</v>
      </c>
      <c r="G30" s="3527"/>
      <c r="H30" s="3527" t="s">
        <v>2326</v>
      </c>
      <c r="I30" s="3528"/>
    </row>
    <row r="31" spans="1:9">
      <c r="B31" s="2531">
        <v>2018</v>
      </c>
      <c r="C31" s="2531">
        <v>2019</v>
      </c>
      <c r="D31" s="2531">
        <v>2018</v>
      </c>
      <c r="E31" s="2531">
        <v>2019</v>
      </c>
      <c r="F31" s="2531">
        <v>2018</v>
      </c>
      <c r="G31" s="2531">
        <v>2019</v>
      </c>
      <c r="H31" s="2531">
        <v>2018</v>
      </c>
      <c r="I31" s="2531">
        <v>2019</v>
      </c>
    </row>
    <row r="32" spans="1:9">
      <c r="A32" s="2532" t="s">
        <v>2327</v>
      </c>
      <c r="B32" s="2533">
        <f>同程艺龙!J3</f>
        <v>29000</v>
      </c>
      <c r="C32" s="2533">
        <f>同程艺龙!O3</f>
        <v>35900</v>
      </c>
      <c r="D32" s="2533">
        <f>同程艺龙!K3</f>
        <v>28900</v>
      </c>
      <c r="E32" s="2533">
        <f>同程艺龙!P3</f>
        <v>41300</v>
      </c>
      <c r="F32" s="2533">
        <f>同程艺龙!M3</f>
        <v>39100</v>
      </c>
      <c r="G32" s="2533">
        <f>同程艺龙!Q3</f>
        <v>47600</v>
      </c>
      <c r="H32" s="2533">
        <f>同程艺龙!N3</f>
        <v>34500</v>
      </c>
      <c r="I32" s="2533">
        <f>同程艺龙!R3</f>
        <v>41300</v>
      </c>
    </row>
    <row r="33" spans="1:9">
      <c r="A33" s="2532" t="s">
        <v>2328</v>
      </c>
      <c r="B33" s="2533">
        <f>同程艺龙!J27</f>
        <v>1517.5119999999999</v>
      </c>
      <c r="C33" s="2533">
        <f>同程艺龙!O27</f>
        <v>1783.4110000000001</v>
      </c>
      <c r="D33" s="2533">
        <f>同程艺龙!K27</f>
        <v>1314.48</v>
      </c>
      <c r="E33" s="2533">
        <f>同程艺龙!P27</f>
        <v>1590.8979999999999</v>
      </c>
      <c r="F33" s="2533">
        <f>同程艺龙!M27</f>
        <v>1686.3969999999999</v>
      </c>
      <c r="G33" s="2533">
        <f>同程艺龙!Q27</f>
        <v>2062.13</v>
      </c>
      <c r="H33" s="2533">
        <f>同程艺龙!N27</f>
        <v>1572.4110000000005</v>
      </c>
      <c r="I33" s="2533">
        <f>同程艺龙!R27</f>
        <v>1956.4929999999999</v>
      </c>
    </row>
    <row r="34" spans="1:9">
      <c r="A34" s="2532" t="s">
        <v>2329</v>
      </c>
      <c r="B34" s="512"/>
      <c r="C34" s="512">
        <f>C32/B32-1</f>
        <v>0.23793103448275854</v>
      </c>
      <c r="D34" s="512"/>
      <c r="E34" s="512">
        <f>E32/D32-1</f>
        <v>0.42906574394463659</v>
      </c>
      <c r="F34" s="512"/>
      <c r="G34" s="512">
        <f>G32/F32-1</f>
        <v>0.21739130434782616</v>
      </c>
      <c r="I34" s="512">
        <f>I32/H32-1</f>
        <v>0.19710144927536222</v>
      </c>
    </row>
    <row r="35" spans="1:9">
      <c r="A35" s="2532" t="s">
        <v>2330</v>
      </c>
      <c r="B35" s="2533"/>
      <c r="C35" s="512">
        <f>C33/B33-1</f>
        <v>0.17522036069566505</v>
      </c>
      <c r="D35" s="512"/>
      <c r="E35" s="512">
        <f>E33/D33-1</f>
        <v>0.21028695758018379</v>
      </c>
      <c r="F35" s="512"/>
      <c r="G35" s="512">
        <f>G33/F33-1</f>
        <v>0.22280222272691441</v>
      </c>
      <c r="I35" s="512">
        <f>I33/H33-1</f>
        <v>0.24426310932701401</v>
      </c>
    </row>
    <row r="36" spans="1:9">
      <c r="A36" s="2532" t="s">
        <v>2331</v>
      </c>
      <c r="B36" s="512">
        <f>B33/B32</f>
        <v>5.2328E-2</v>
      </c>
      <c r="C36" s="512">
        <f t="shared" ref="C36:I36" si="0">C33/C32</f>
        <v>4.9677186629526464E-2</v>
      </c>
      <c r="D36" s="512">
        <f t="shared" si="0"/>
        <v>4.5483737024221454E-2</v>
      </c>
      <c r="E36" s="512">
        <f t="shared" si="0"/>
        <v>3.8520532687651328E-2</v>
      </c>
      <c r="F36" s="512">
        <f t="shared" si="0"/>
        <v>4.3130358056265986E-2</v>
      </c>
      <c r="G36" s="512">
        <f t="shared" si="0"/>
        <v>4.3322058823529415E-2</v>
      </c>
      <c r="H36" s="512">
        <f t="shared" si="0"/>
        <v>4.5577130434782627E-2</v>
      </c>
      <c r="I36" s="512">
        <f t="shared" si="0"/>
        <v>4.737271186440678E-2</v>
      </c>
    </row>
    <row r="39" spans="1:9">
      <c r="B39" s="2333" t="s">
        <v>2332</v>
      </c>
      <c r="C39" s="2333" t="s">
        <v>2333</v>
      </c>
      <c r="D39" s="2333" t="s">
        <v>1099</v>
      </c>
      <c r="E39" s="2333" t="s">
        <v>2334</v>
      </c>
      <c r="F39" s="2333" t="s">
        <v>2193</v>
      </c>
      <c r="G39" s="2333" t="s">
        <v>2335</v>
      </c>
    </row>
    <row r="40" spans="1:9">
      <c r="A40" s="2430" t="s">
        <v>2202</v>
      </c>
      <c r="B40" s="2378">
        <v>55.89</v>
      </c>
      <c r="C40" s="2378">
        <v>72.935000000000002</v>
      </c>
      <c r="D40" s="2378">
        <v>137.136</v>
      </c>
      <c r="E40" s="2378">
        <v>61.646999999999998</v>
      </c>
      <c r="F40" s="2378">
        <v>68.341999999999999</v>
      </c>
      <c r="G40" s="2378">
        <v>33.911999999999999</v>
      </c>
    </row>
    <row r="41" spans="1:9">
      <c r="A41" s="2430" t="s">
        <v>2203</v>
      </c>
      <c r="B41" s="2378">
        <v>195.02699999999999</v>
      </c>
      <c r="C41" s="2378">
        <v>240.54599999999999</v>
      </c>
      <c r="D41" s="2378">
        <v>208.369</v>
      </c>
      <c r="E41" s="2378">
        <v>243.566</v>
      </c>
      <c r="F41" s="2378">
        <v>277.125</v>
      </c>
      <c r="G41" s="2378">
        <v>223.96600000000001</v>
      </c>
    </row>
    <row r="42" spans="1:9">
      <c r="A42" s="2430" t="s">
        <v>2336</v>
      </c>
      <c r="B42" s="2378">
        <v>28.823</v>
      </c>
      <c r="C42" s="2378">
        <v>64.507999999999996</v>
      </c>
      <c r="D42" s="2378">
        <v>57.561999999999998</v>
      </c>
      <c r="E42" s="2378">
        <v>101.801</v>
      </c>
      <c r="F42" s="2378">
        <v>151.619</v>
      </c>
      <c r="G42" s="2378">
        <v>129.774</v>
      </c>
    </row>
    <row r="43" spans="1:9">
      <c r="A43" s="2430" t="s">
        <v>2337</v>
      </c>
      <c r="B43" s="2378">
        <v>23.87</v>
      </c>
      <c r="C43" s="2378">
        <v>26.186</v>
      </c>
      <c r="D43" s="2378">
        <v>39.65</v>
      </c>
      <c r="E43" s="2378">
        <v>31.164999999999999</v>
      </c>
      <c r="F43" s="2378">
        <v>29.518999999999998</v>
      </c>
      <c r="G43" s="2378">
        <v>29.084</v>
      </c>
    </row>
    <row r="44" spans="1:9">
      <c r="A44" s="2430" t="s">
        <v>2338</v>
      </c>
      <c r="B44" s="2378">
        <v>35.639000000000003</v>
      </c>
      <c r="C44" s="2378">
        <v>19.111999999999998</v>
      </c>
      <c r="D44" s="2378">
        <v>20.577999999999999</v>
      </c>
      <c r="E44" s="2378">
        <v>64.712999999999994</v>
      </c>
      <c r="F44" s="2378">
        <v>77.335999999999999</v>
      </c>
      <c r="G44" s="2378">
        <v>92.256</v>
      </c>
    </row>
    <row r="45" spans="1:9">
      <c r="A45" s="2430" t="s">
        <v>2339</v>
      </c>
      <c r="B45" s="2378">
        <v>31.282</v>
      </c>
      <c r="C45" s="2378">
        <v>56.256</v>
      </c>
      <c r="D45" s="2378">
        <v>93.058999999999997</v>
      </c>
      <c r="E45" s="2378">
        <v>58.268000000000001</v>
      </c>
      <c r="F45" s="2378">
        <v>79.313999999999993</v>
      </c>
      <c r="G45" s="2378">
        <v>66.06</v>
      </c>
    </row>
    <row r="46" spans="1:9">
      <c r="B46" s="2534">
        <f>同程艺龙!K126</f>
        <v>1314.48</v>
      </c>
      <c r="C46" s="2534">
        <f>同程艺龙!M126</f>
        <v>1686.3969999999999</v>
      </c>
      <c r="D46" s="2534">
        <f>同程艺龙!N126</f>
        <v>1572.3979999999999</v>
      </c>
      <c r="E46" s="2534">
        <f>同程艺龙!P126</f>
        <v>1590.8979999999999</v>
      </c>
      <c r="F46" s="2534">
        <f>同程艺龙!Q126</f>
        <v>2062.13</v>
      </c>
      <c r="G46" s="2534">
        <f>同程艺龙!R126</f>
        <v>1956.4929999999999</v>
      </c>
    </row>
    <row r="48" spans="1:9">
      <c r="B48" s="2333" t="s">
        <v>2340</v>
      </c>
      <c r="C48" s="2333" t="s">
        <v>2333</v>
      </c>
      <c r="D48" s="2333" t="s">
        <v>2341</v>
      </c>
      <c r="E48" s="2333" t="s">
        <v>2042</v>
      </c>
      <c r="F48" s="2333" t="s">
        <v>2342</v>
      </c>
      <c r="G48" s="2333" t="s">
        <v>2194</v>
      </c>
    </row>
    <row r="49" spans="1:8">
      <c r="A49" s="2430" t="s">
        <v>2343</v>
      </c>
      <c r="B49" s="2535">
        <f t="shared" ref="B49:B54" si="1">B40/$B$46</f>
        <v>4.2518714624794597E-2</v>
      </c>
      <c r="C49" s="2535">
        <f t="shared" ref="C49:C54" si="2">C40/$C$46</f>
        <v>4.3249009574851005E-2</v>
      </c>
      <c r="D49" s="2535">
        <f t="shared" ref="D49:D54" si="3">D40/$D$46</f>
        <v>8.7214560181328143E-2</v>
      </c>
      <c r="E49" s="2535">
        <f t="shared" ref="E49:E54" si="4">E40/$E$46</f>
        <v>3.8749812998696335E-2</v>
      </c>
      <c r="F49" s="2535">
        <f t="shared" ref="F49:F54" si="5">F40/$F$46</f>
        <v>3.3141460528676656E-2</v>
      </c>
      <c r="G49" s="2535">
        <f t="shared" ref="G49:G54" si="6">G40/$G$46</f>
        <v>1.7333054603313174E-2</v>
      </c>
    </row>
    <row r="50" spans="1:8">
      <c r="A50" s="2430" t="s">
        <v>2203</v>
      </c>
      <c r="B50" s="2535">
        <f t="shared" si="1"/>
        <v>0.1483681760087639</v>
      </c>
      <c r="C50" s="2535">
        <f t="shared" si="2"/>
        <v>0.14263901086161798</v>
      </c>
      <c r="D50" s="2535">
        <f t="shared" si="3"/>
        <v>0.13251670378619154</v>
      </c>
      <c r="E50" s="2535">
        <f t="shared" si="4"/>
        <v>0.15309969589502281</v>
      </c>
      <c r="F50" s="2535">
        <f t="shared" si="5"/>
        <v>0.13438774471056625</v>
      </c>
      <c r="G50" s="2535">
        <f t="shared" si="6"/>
        <v>0.1144731925951179</v>
      </c>
    </row>
    <row r="51" spans="1:8">
      <c r="A51" s="2430" t="s">
        <v>2205</v>
      </c>
      <c r="B51" s="2535">
        <f t="shared" si="1"/>
        <v>2.1927302051001157E-2</v>
      </c>
      <c r="C51" s="2535">
        <f t="shared" si="2"/>
        <v>3.8251965581058311E-2</v>
      </c>
      <c r="D51" s="2535">
        <f t="shared" si="3"/>
        <v>3.6607779964105781E-2</v>
      </c>
      <c r="E51" s="2535">
        <f t="shared" si="4"/>
        <v>6.3989646099247094E-2</v>
      </c>
      <c r="F51" s="2535">
        <f t="shared" si="5"/>
        <v>7.3525432441213692E-2</v>
      </c>
      <c r="G51" s="2535">
        <f t="shared" si="6"/>
        <v>6.6329907645976752E-2</v>
      </c>
    </row>
    <row r="52" spans="1:8">
      <c r="A52" s="2430" t="s">
        <v>2344</v>
      </c>
      <c r="B52" s="2535">
        <f t="shared" si="1"/>
        <v>1.8159272107601484E-2</v>
      </c>
      <c r="C52" s="2535">
        <f t="shared" si="2"/>
        <v>1.55277790460965E-2</v>
      </c>
      <c r="D52" s="2535">
        <f t="shared" si="3"/>
        <v>2.5216262040526637E-2</v>
      </c>
      <c r="E52" s="2535">
        <f t="shared" si="4"/>
        <v>1.9589565138682683E-2</v>
      </c>
      <c r="F52" s="2535">
        <f t="shared" si="5"/>
        <v>1.4314810414474353E-2</v>
      </c>
      <c r="G52" s="2535">
        <f t="shared" si="6"/>
        <v>1.4865373911381232E-2</v>
      </c>
    </row>
    <row r="53" spans="1:8">
      <c r="A53" s="2430" t="s">
        <v>2345</v>
      </c>
      <c r="B53" s="2535">
        <f t="shared" si="1"/>
        <v>2.7112622481893982E-2</v>
      </c>
      <c r="C53" s="2535">
        <f t="shared" si="2"/>
        <v>1.133303723856245E-2</v>
      </c>
      <c r="D53" s="2535">
        <f t="shared" si="3"/>
        <v>1.3087017409078364E-2</v>
      </c>
      <c r="E53" s="2535">
        <f t="shared" si="4"/>
        <v>4.0677026434127142E-2</v>
      </c>
      <c r="F53" s="2535">
        <f t="shared" si="5"/>
        <v>3.7502970229810924E-2</v>
      </c>
      <c r="G53" s="2535">
        <f t="shared" si="6"/>
        <v>4.7153759302997762E-2</v>
      </c>
    </row>
    <row r="54" spans="1:8">
      <c r="A54" s="2430" t="s">
        <v>2199</v>
      </c>
      <c r="B54" s="2535">
        <f t="shared" si="1"/>
        <v>2.3798003773355243E-2</v>
      </c>
      <c r="C54" s="2535">
        <f t="shared" si="2"/>
        <v>3.3358693119117266E-2</v>
      </c>
      <c r="D54" s="2535">
        <f t="shared" si="3"/>
        <v>5.9182853196200966E-2</v>
      </c>
      <c r="E54" s="2535">
        <f t="shared" si="4"/>
        <v>3.6625855334534337E-2</v>
      </c>
      <c r="F54" s="2535">
        <f t="shared" si="5"/>
        <v>3.8462172607934511E-2</v>
      </c>
      <c r="G54" s="2535">
        <f t="shared" si="6"/>
        <v>3.3764495962929589E-2</v>
      </c>
    </row>
    <row r="58" spans="1:8">
      <c r="B58" s="2333" t="s">
        <v>2332</v>
      </c>
      <c r="C58" s="2333" t="s">
        <v>2333</v>
      </c>
      <c r="D58" s="2333" t="s">
        <v>1099</v>
      </c>
      <c r="E58" s="2333" t="s">
        <v>2031</v>
      </c>
      <c r="F58" s="2333" t="s">
        <v>2042</v>
      </c>
      <c r="G58" s="2333" t="s">
        <v>2193</v>
      </c>
      <c r="H58" s="2333" t="s">
        <v>2194</v>
      </c>
    </row>
    <row r="59" spans="1:8">
      <c r="A59" s="2532" t="s">
        <v>2346</v>
      </c>
      <c r="B59" s="512">
        <f>同程艺龙!K152</f>
        <v>0.71811590895258959</v>
      </c>
      <c r="C59" s="512">
        <f>同程艺龙!M152</f>
        <v>0.71564050457869655</v>
      </c>
      <c r="D59" s="512">
        <f>同程艺龙!N152</f>
        <v>0.6461748234225686</v>
      </c>
      <c r="E59" s="512">
        <f>同程艺龙!O152</f>
        <v>0.72060842957680538</v>
      </c>
      <c r="F59" s="512">
        <f>同程艺龙!P152</f>
        <v>0.64726839809968972</v>
      </c>
      <c r="G59" s="512">
        <f>同程艺龙!Q152</f>
        <v>0.66866540906732352</v>
      </c>
      <c r="H59" s="512">
        <f>同程艺龙!R152</f>
        <v>0.70607561591071377</v>
      </c>
    </row>
    <row r="60" spans="1:8">
      <c r="A60" s="2532" t="s">
        <v>2347</v>
      </c>
      <c r="B60" s="512">
        <f>-同程艺龙!K155</f>
        <v>0.24154038098715841</v>
      </c>
      <c r="C60" s="512">
        <f>-同程艺龙!M155</f>
        <v>0.23917618449273809</v>
      </c>
      <c r="D60" s="512">
        <f>-同程艺龙!N155</f>
        <v>0.27973515611187499</v>
      </c>
      <c r="E60" s="512">
        <f>-同程艺龙!O155</f>
        <v>0.24114015221393162</v>
      </c>
      <c r="F60" s="512">
        <f>-同程艺龙!P155</f>
        <v>0.22135548602110255</v>
      </c>
      <c r="G60" s="512">
        <f>-同程艺龙!Q155</f>
        <v>0.17437649420744569</v>
      </c>
      <c r="H60" s="512">
        <f>-同程艺龙!R155</f>
        <v>0.19285323279970845</v>
      </c>
    </row>
    <row r="61" spans="1:8">
      <c r="A61" s="2532" t="s">
        <v>2348</v>
      </c>
      <c r="B61" s="512">
        <f>-同程艺龙!K157</f>
        <v>0.35306432962083867</v>
      </c>
      <c r="C61" s="512">
        <f>-同程艺龙!M157</f>
        <v>0.3416793317350541</v>
      </c>
      <c r="D61" s="512">
        <f>-同程艺龙!N157</f>
        <v>0.35552067606293064</v>
      </c>
      <c r="E61" s="512">
        <f>-同程艺龙!O157</f>
        <v>0.26338460399762031</v>
      </c>
      <c r="F61" s="512">
        <f>-同程艺龙!P157</f>
        <v>0.25594789860820744</v>
      </c>
      <c r="G61" s="512">
        <f>-同程艺龙!Q157</f>
        <v>0.30432853408853955</v>
      </c>
      <c r="H61" s="512">
        <f>-同程艺龙!R157</f>
        <v>0.37923723724030706</v>
      </c>
    </row>
    <row r="62" spans="1:8">
      <c r="A62" s="2532" t="s">
        <v>2349</v>
      </c>
      <c r="B62" s="512">
        <f>-同程艺龙!K159</f>
        <v>0.10175050209968961</v>
      </c>
      <c r="C62" s="512">
        <f>-同程艺龙!M159</f>
        <v>9.6938028234158383E-2</v>
      </c>
      <c r="D62" s="512">
        <f>-同程艺龙!N159</f>
        <v>0.16253582108346615</v>
      </c>
      <c r="E62" s="512">
        <f>-同程艺龙!O159</f>
        <v>0.12802545234945842</v>
      </c>
      <c r="F62" s="512">
        <f>-同程艺龙!P159</f>
        <v>6.2735008781204082E-2</v>
      </c>
      <c r="G62" s="512">
        <f>-同程艺龙!Q159</f>
        <v>4.7288968202780619E-2</v>
      </c>
      <c r="H62" s="512">
        <f>-同程艺龙!R159</f>
        <v>0.10197327565189346</v>
      </c>
    </row>
    <row r="63" spans="1:8">
      <c r="A63" s="2532" t="s">
        <v>2350</v>
      </c>
      <c r="B63" s="512">
        <f>同程艺龙!K164</f>
        <v>4.8397084778771832E-2</v>
      </c>
      <c r="C63" s="512">
        <f>同程艺龙!M164</f>
        <v>6.1975323722705866E-2</v>
      </c>
      <c r="D63" s="512">
        <f>同程艺龙!N164</f>
        <v>-0.10639545458592545</v>
      </c>
      <c r="E63" s="512">
        <f>同程艺龙!O164</f>
        <v>0.10510869339709129</v>
      </c>
      <c r="F63" s="512">
        <f>同程艺龙!P164</f>
        <v>0.137138898911181</v>
      </c>
      <c r="G63" s="512">
        <f>同程艺龙!Q164</f>
        <v>0.16837881219903691</v>
      </c>
      <c r="H63" s="512">
        <f>同程艺龙!R164</f>
        <v>5.4527156498898798E-2</v>
      </c>
    </row>
    <row r="68" spans="1:9">
      <c r="B68" s="2333" t="s">
        <v>2351</v>
      </c>
      <c r="C68" s="2333" t="s">
        <v>2352</v>
      </c>
      <c r="D68" s="2333" t="s">
        <v>2353</v>
      </c>
      <c r="E68" s="2333" t="s">
        <v>2354</v>
      </c>
      <c r="F68" s="2333" t="s">
        <v>2355</v>
      </c>
      <c r="G68" s="2333" t="s">
        <v>2356</v>
      </c>
      <c r="H68" s="2333" t="s">
        <v>2357</v>
      </c>
      <c r="I68" s="2333" t="s">
        <v>2358</v>
      </c>
    </row>
    <row r="69" spans="1:9">
      <c r="A69" s="2333" t="s">
        <v>2359</v>
      </c>
      <c r="B69" s="512">
        <f>同程艺龙!J100</f>
        <v>0.10342717258261933</v>
      </c>
      <c r="C69" s="512">
        <f>同程艺龙!K100</f>
        <v>0.11435832274459974</v>
      </c>
      <c r="D69" s="512">
        <f>同程艺龙!M100</f>
        <v>0.10954920019389239</v>
      </c>
      <c r="E69" s="512">
        <f>同程艺龙!N100</f>
        <v>0.12838226827864135</v>
      </c>
      <c r="F69" s="512">
        <f>同程艺龙!O100</f>
        <v>0.11590566984445559</v>
      </c>
      <c r="G69" s="512">
        <f>同程艺龙!P100</f>
        <v>0.15253303964757708</v>
      </c>
      <c r="H69" s="512">
        <f>同程艺龙!Q100</f>
        <v>0.12735042735042734</v>
      </c>
      <c r="I69" s="512">
        <f>同程艺龙!R100</f>
        <v>0.13161728994657601</v>
      </c>
    </row>
    <row r="71" spans="1:9">
      <c r="B71" s="2531">
        <v>2017</v>
      </c>
      <c r="C71" s="2531">
        <v>2018</v>
      </c>
      <c r="D71" s="2532" t="s">
        <v>2360</v>
      </c>
      <c r="E71" s="2532" t="s">
        <v>2361</v>
      </c>
      <c r="F71" s="2532" t="s">
        <v>2319</v>
      </c>
      <c r="G71" s="2532" t="s">
        <v>2362</v>
      </c>
    </row>
    <row r="72" spans="1:9">
      <c r="A72" s="2333" t="s">
        <v>2363</v>
      </c>
      <c r="B72" s="2536">
        <f>同程艺龙!F102</f>
        <v>79.599999999999994</v>
      </c>
      <c r="C72" s="2536">
        <f>同程艺龙!G102</f>
        <v>140.53030303030303</v>
      </c>
      <c r="D72" s="2536">
        <f>同程艺龙!O102</f>
        <v>173.10000000000002</v>
      </c>
      <c r="E72" s="2536">
        <f>同程艺龙!P102</f>
        <v>152.59026687598117</v>
      </c>
      <c r="F72" s="2536">
        <f>同程艺龙!Q102</f>
        <v>192.15</v>
      </c>
      <c r="G72" s="2536">
        <f>同程艺龙!R102</f>
        <v>173.78834804030492</v>
      </c>
    </row>
    <row r="73" spans="1:9">
      <c r="A73" s="2333" t="s">
        <v>2364</v>
      </c>
      <c r="B73" s="2536">
        <f>同程艺龙!F96-同程艺龙!F102</f>
        <v>41.600000000000009</v>
      </c>
      <c r="C73" s="2536">
        <f>同程艺龙!G96-同程艺龙!G102</f>
        <v>34.669696969696957</v>
      </c>
      <c r="D73" s="2536">
        <f>同程艺龙!O96-同程艺龙!O102</f>
        <v>26.199999999999989</v>
      </c>
      <c r="E73" s="2536">
        <f>同程艺龙!P96-同程艺龙!P102</f>
        <v>29.009733124018823</v>
      </c>
      <c r="F73" s="2536">
        <f>同程艺龙!Q96-同程艺龙!Q102</f>
        <v>41.849999999999994</v>
      </c>
      <c r="G73" s="2536">
        <f>同程艺龙!R96-同程艺龙!R102</f>
        <v>32.111651959695081</v>
      </c>
    </row>
    <row r="74" spans="1:9">
      <c r="A74" s="2333" t="s">
        <v>2365</v>
      </c>
      <c r="B74" s="512">
        <f t="shared" ref="B74:G74" si="7">B72/SUM(B72:B73)</f>
        <v>0.65676567656765672</v>
      </c>
      <c r="C74" s="512">
        <f t="shared" si="7"/>
        <v>0.80211360177113611</v>
      </c>
      <c r="D74" s="512">
        <f t="shared" si="7"/>
        <v>0.86853988961364781</v>
      </c>
      <c r="E74" s="512">
        <f t="shared" si="7"/>
        <v>0.84025477354615186</v>
      </c>
      <c r="F74" s="512">
        <f t="shared" si="7"/>
        <v>0.82115384615384612</v>
      </c>
      <c r="G74" s="512">
        <f t="shared" si="7"/>
        <v>0.84404248683975192</v>
      </c>
    </row>
    <row r="82" spans="1:7">
      <c r="B82" s="2531">
        <v>2018</v>
      </c>
      <c r="C82" s="2333" t="s">
        <v>2366</v>
      </c>
      <c r="D82" s="2333" t="s">
        <v>2367</v>
      </c>
      <c r="E82" s="2333" t="s">
        <v>2368</v>
      </c>
      <c r="F82" s="2333" t="s">
        <v>2194</v>
      </c>
    </row>
    <row r="83" spans="1:7">
      <c r="A83" s="2353" t="s">
        <v>2369</v>
      </c>
      <c r="B83" s="512">
        <f>同程艺龙!G107</f>
        <v>0.52800000000000002</v>
      </c>
      <c r="C83" s="512">
        <f>同程艺龙!O107</f>
        <v>0.60799999999999998</v>
      </c>
      <c r="D83" s="512">
        <f>同程艺龙!P107</f>
        <v>0.63700000000000001</v>
      </c>
      <c r="E83" s="512">
        <f>同程艺龙!Q107</f>
        <v>0.65</v>
      </c>
      <c r="F83" s="512">
        <f>同程艺龙!R107</f>
        <v>0.65700000000000003</v>
      </c>
    </row>
    <row r="84" spans="1:7">
      <c r="A84" s="2353" t="s">
        <v>2370</v>
      </c>
      <c r="B84" s="512">
        <f>同程艺龙!G108</f>
        <v>0.34899999999999998</v>
      </c>
      <c r="C84" s="512">
        <f>同程艺龙!O108</f>
        <v>0.20300000000000001</v>
      </c>
      <c r="D84" s="512">
        <f>同程艺龙!P108</f>
        <v>0.22800000000000001</v>
      </c>
      <c r="E84" s="512">
        <f>同程艺龙!Q108</f>
        <v>0.252</v>
      </c>
      <c r="F84" s="512">
        <f>同程艺龙!R108</f>
        <v>0.219</v>
      </c>
    </row>
    <row r="85" spans="1:7">
      <c r="A85" s="2353" t="s">
        <v>2371</v>
      </c>
      <c r="B85" s="512">
        <f>同程艺龙!G109</f>
        <v>0.123</v>
      </c>
      <c r="C85" s="512">
        <f>同程艺龙!O109</f>
        <v>0.189</v>
      </c>
      <c r="D85" s="512">
        <f>同程艺龙!P109</f>
        <v>0.13500000000000001</v>
      </c>
      <c r="E85" s="512">
        <f>同程艺龙!Q109</f>
        <v>9.8000000000000004E-2</v>
      </c>
      <c r="F85" s="512">
        <f>同程艺龙!R109</f>
        <v>0.124</v>
      </c>
    </row>
    <row r="94" spans="1:7">
      <c r="B94" s="2333" t="s">
        <v>2333</v>
      </c>
      <c r="C94" s="2333" t="s">
        <v>2372</v>
      </c>
      <c r="D94" s="2333" t="s">
        <v>2373</v>
      </c>
      <c r="E94" s="2333" t="s">
        <v>2374</v>
      </c>
      <c r="F94" s="2333" t="s">
        <v>2193</v>
      </c>
      <c r="G94" s="2333" t="s">
        <v>2194</v>
      </c>
    </row>
    <row r="95" spans="1:7">
      <c r="A95" s="2333" t="s">
        <v>2375</v>
      </c>
      <c r="B95" s="371">
        <f>同程艺龙!M123</f>
        <v>0.16</v>
      </c>
      <c r="C95" s="371">
        <f>同程艺龙!N123</f>
        <v>0.2</v>
      </c>
      <c r="D95" s="371">
        <f>同程艺龙!O123</f>
        <v>0.21</v>
      </c>
      <c r="E95" s="371">
        <f>同程艺龙!P123</f>
        <v>0.23</v>
      </c>
      <c r="F95" s="371">
        <f>同程艺龙!Q123</f>
        <v>0.26</v>
      </c>
      <c r="G95" s="371">
        <v>0.28000000000000003</v>
      </c>
    </row>
    <row r="97" spans="1:4">
      <c r="B97" s="2531">
        <v>2017</v>
      </c>
      <c r="C97" s="2531">
        <v>2018</v>
      </c>
      <c r="D97" s="2532" t="s">
        <v>2319</v>
      </c>
    </row>
    <row r="98" spans="1:4">
      <c r="A98" s="2363" t="s">
        <v>2376</v>
      </c>
      <c r="B98" s="371">
        <v>0.4</v>
      </c>
      <c r="C98" s="371">
        <v>0.2</v>
      </c>
      <c r="D98" s="371">
        <v>0.08</v>
      </c>
    </row>
  </sheetData>
  <mergeCells count="4">
    <mergeCell ref="B30:C30"/>
    <mergeCell ref="D30:E30"/>
    <mergeCell ref="F30:G30"/>
    <mergeCell ref="H30:I30"/>
  </mergeCells>
  <phoneticPr fontId="11" type="noConversion"/>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B116"/>
  <sheetViews>
    <sheetView workbookViewId="0"/>
  </sheetViews>
  <sheetFormatPr defaultColWidth="9" defaultRowHeight="12.5"/>
  <cols>
    <col min="1" max="1" width="47.33203125" style="2541" customWidth="1"/>
    <col min="2" max="9" width="10.58203125" style="2541" hidden="1" customWidth="1"/>
    <col min="10" max="13" width="10.58203125" style="2541" customWidth="1"/>
    <col min="14" max="14" width="9.58203125" style="2541" bestFit="1" customWidth="1"/>
    <col min="15" max="16" width="9" style="2541"/>
    <col min="17" max="21" width="9.58203125" style="2541" bestFit="1" customWidth="1"/>
    <col min="22" max="22" width="10.33203125" style="2541" bestFit="1" customWidth="1"/>
    <col min="23" max="24" width="9" style="2541"/>
    <col min="25" max="25" width="9.5" style="2541" customWidth="1"/>
    <col min="26" max="16384" width="9" style="2541"/>
  </cols>
  <sheetData>
    <row r="1" spans="1:21" ht="13">
      <c r="A1" s="2537" t="s">
        <v>2377</v>
      </c>
      <c r="B1" s="2538" t="s">
        <v>2378</v>
      </c>
      <c r="C1" s="2539" t="s">
        <v>2379</v>
      </c>
      <c r="D1" s="2539" t="s">
        <v>2380</v>
      </c>
      <c r="E1" s="2539" t="s">
        <v>2381</v>
      </c>
      <c r="F1" s="2538" t="s">
        <v>2382</v>
      </c>
      <c r="G1" s="2539" t="s">
        <v>2383</v>
      </c>
      <c r="H1" s="2539" t="s">
        <v>2384</v>
      </c>
      <c r="I1" s="2540" t="s">
        <v>2385</v>
      </c>
      <c r="J1" s="2538" t="s">
        <v>2386</v>
      </c>
      <c r="K1" s="2539" t="s">
        <v>2387</v>
      </c>
      <c r="L1" s="2539" t="s">
        <v>2388</v>
      </c>
      <c r="M1" s="2539" t="s">
        <v>2389</v>
      </c>
      <c r="N1" s="2539" t="s">
        <v>2390</v>
      </c>
      <c r="O1" s="2539" t="s">
        <v>2391</v>
      </c>
      <c r="P1" s="2539" t="s">
        <v>2392</v>
      </c>
      <c r="Q1" s="2539" t="s">
        <v>2393</v>
      </c>
      <c r="R1" s="2539" t="s">
        <v>2394</v>
      </c>
      <c r="S1" s="2539" t="s">
        <v>2395</v>
      </c>
      <c r="T1" s="2539" t="s">
        <v>2396</v>
      </c>
      <c r="U1" s="2539" t="s">
        <v>2397</v>
      </c>
    </row>
    <row r="2" spans="1:21" ht="13">
      <c r="A2" s="2542" t="s">
        <v>2398</v>
      </c>
      <c r="B2" s="2543"/>
      <c r="C2" s="2543"/>
      <c r="D2" s="2543"/>
      <c r="E2" s="2543"/>
      <c r="F2" s="2543"/>
      <c r="G2" s="2543"/>
      <c r="H2" s="2543"/>
      <c r="I2" s="2543"/>
      <c r="J2" s="2543"/>
      <c r="K2" s="2543"/>
      <c r="L2" s="2543"/>
      <c r="M2" s="2543"/>
      <c r="N2" s="2543"/>
      <c r="O2" s="2543"/>
      <c r="P2" s="2543"/>
    </row>
    <row r="3" spans="1:21" ht="13">
      <c r="A3" s="2544" t="s">
        <v>1221</v>
      </c>
      <c r="B3" s="2543">
        <v>810.96100000000001</v>
      </c>
      <c r="C3" s="2543">
        <v>868.56200000000001</v>
      </c>
      <c r="D3" s="2543">
        <v>941.07600000000002</v>
      </c>
      <c r="E3" s="2543">
        <v>970.19500000000005</v>
      </c>
      <c r="F3" s="2543">
        <v>661.40899999999999</v>
      </c>
      <c r="G3" s="2543">
        <v>755.43299999999999</v>
      </c>
      <c r="H3" s="2543">
        <v>844.86599999999999</v>
      </c>
      <c r="I3" s="2543">
        <v>998.52599999999995</v>
      </c>
      <c r="J3" s="2543">
        <v>1019.102</v>
      </c>
      <c r="K3" s="2543">
        <v>1061.0260000000001</v>
      </c>
      <c r="L3" s="2543">
        <v>1116.0219999999999</v>
      </c>
      <c r="M3" s="2543">
        <v>1258.3979999999999</v>
      </c>
      <c r="N3" s="2543">
        <v>1231.4970000000001</v>
      </c>
      <c r="O3" s="2543">
        <v>1184.355</v>
      </c>
      <c r="P3" s="2543">
        <v>1092.3</v>
      </c>
      <c r="Q3" s="2543">
        <v>1207.2</v>
      </c>
      <c r="R3" s="2543">
        <v>1157.5</v>
      </c>
      <c r="S3" s="2543">
        <v>1118.0999999999999</v>
      </c>
      <c r="T3" s="2543">
        <v>1177.7</v>
      </c>
      <c r="U3" s="2543">
        <v>1280.9000000000001</v>
      </c>
    </row>
    <row r="4" spans="1:21" ht="13">
      <c r="A4" s="740" t="s">
        <v>2399</v>
      </c>
      <c r="B4" s="778"/>
      <c r="C4" s="778"/>
      <c r="D4" s="778"/>
      <c r="E4" s="778"/>
      <c r="F4" s="676">
        <f t="shared" ref="F4:N4" si="0">(F3-B3)/B3</f>
        <v>-0.18441330717506763</v>
      </c>
      <c r="G4" s="676">
        <f t="shared" si="0"/>
        <v>-0.13024861783039093</v>
      </c>
      <c r="H4" s="676">
        <f t="shared" si="0"/>
        <v>-0.10223403848360817</v>
      </c>
      <c r="I4" s="676">
        <f t="shared" si="0"/>
        <v>2.9201346121140493E-2</v>
      </c>
      <c r="J4" s="676">
        <f t="shared" si="0"/>
        <v>0.54080455512398529</v>
      </c>
      <c r="K4" s="676">
        <f t="shared" si="0"/>
        <v>0.40452694017867907</v>
      </c>
      <c r="L4" s="676">
        <f t="shared" si="0"/>
        <v>0.32094557006673241</v>
      </c>
      <c r="M4" s="676">
        <f t="shared" si="0"/>
        <v>0.26025561677913239</v>
      </c>
      <c r="N4" s="676">
        <f t="shared" si="0"/>
        <v>0.20841387810052389</v>
      </c>
      <c r="O4" s="676">
        <f t="shared" ref="O4:U4" si="1">(O3-K3)/K3</f>
        <v>0.11623560591352139</v>
      </c>
      <c r="P4" s="676">
        <f t="shared" si="1"/>
        <v>-2.1255853379234444E-2</v>
      </c>
      <c r="Q4" s="676">
        <f t="shared" si="1"/>
        <v>-4.0685061482932959E-2</v>
      </c>
      <c r="R4" s="676">
        <f t="shared" si="1"/>
        <v>-6.0087032286721014E-2</v>
      </c>
      <c r="S4" s="676">
        <f t="shared" si="1"/>
        <v>-5.5941841761971797E-2</v>
      </c>
      <c r="T4" s="676">
        <f t="shared" si="1"/>
        <v>7.8183649180628118E-2</v>
      </c>
      <c r="U4" s="676">
        <f t="shared" si="1"/>
        <v>6.1050364479787976E-2</v>
      </c>
    </row>
    <row r="5" spans="1:21" ht="13">
      <c r="A5" s="2545" t="s">
        <v>1637</v>
      </c>
      <c r="B5" s="2543">
        <v>96.777000000000001</v>
      </c>
      <c r="C5" s="2543">
        <v>102.509</v>
      </c>
      <c r="D5" s="2543">
        <v>108.367</v>
      </c>
      <c r="E5" s="2543">
        <v>114.05800000000001</v>
      </c>
      <c r="F5" s="2543">
        <v>95.114999999999995</v>
      </c>
      <c r="G5" s="2543">
        <v>98.796999999999997</v>
      </c>
      <c r="H5" s="2543">
        <v>106.08799999999999</v>
      </c>
      <c r="I5" s="2543">
        <v>111.16200000000001</v>
      </c>
      <c r="J5" s="2543">
        <v>124.999</v>
      </c>
      <c r="K5" s="2543">
        <v>123.462</v>
      </c>
      <c r="L5" s="2543">
        <v>131.46799999999999</v>
      </c>
      <c r="M5" s="2543">
        <v>144.011</v>
      </c>
      <c r="N5" s="2543">
        <v>148.59299999999999</v>
      </c>
      <c r="O5" s="2543">
        <v>128.25899999999999</v>
      </c>
      <c r="P5" s="2543">
        <v>121.2</v>
      </c>
      <c r="Q5" s="2543">
        <v>132.51499999999999</v>
      </c>
      <c r="R5" s="2543">
        <v>133.114</v>
      </c>
      <c r="S5" s="2543">
        <v>114.087</v>
      </c>
      <c r="T5" s="2543">
        <v>132.048</v>
      </c>
      <c r="U5" s="2543">
        <v>145.62700000000001</v>
      </c>
    </row>
    <row r="6" spans="1:21">
      <c r="A6" s="2546" t="s">
        <v>2400</v>
      </c>
      <c r="B6" s="2543"/>
      <c r="C6" s="2543"/>
      <c r="D6" s="2543"/>
      <c r="E6" s="2543"/>
      <c r="F6" s="2543"/>
      <c r="G6" s="2543"/>
      <c r="H6" s="2543"/>
      <c r="I6" s="2543"/>
      <c r="J6" s="2543">
        <v>-3.3210000000000002</v>
      </c>
      <c r="K6" s="2543">
        <v>-5.8999999999999997E-2</v>
      </c>
      <c r="L6" s="2543">
        <v>1.31</v>
      </c>
      <c r="M6" s="2543">
        <v>7.5780000000000003</v>
      </c>
      <c r="N6" s="2543"/>
      <c r="O6" s="2543"/>
      <c r="P6" s="2543"/>
    </row>
    <row r="7" spans="1:21">
      <c r="A7" s="2546" t="s">
        <v>2401</v>
      </c>
      <c r="B7" s="2543"/>
      <c r="C7" s="2543"/>
      <c r="D7" s="2543"/>
      <c r="E7" s="2543"/>
      <c r="F7" s="2543"/>
      <c r="G7" s="2543"/>
      <c r="H7" s="2543"/>
      <c r="I7" s="2543"/>
      <c r="J7" s="2543">
        <f>J5+J6</f>
        <v>121.678</v>
      </c>
      <c r="K7" s="2543">
        <f t="shared" ref="K7:U7" si="2">K5+K6</f>
        <v>123.40300000000001</v>
      </c>
      <c r="L7" s="2543">
        <f t="shared" si="2"/>
        <v>132.77799999999999</v>
      </c>
      <c r="M7" s="2543">
        <f t="shared" si="2"/>
        <v>151.589</v>
      </c>
      <c r="N7" s="2543">
        <f t="shared" si="2"/>
        <v>148.59299999999999</v>
      </c>
      <c r="O7" s="2543">
        <f t="shared" si="2"/>
        <v>128.25899999999999</v>
      </c>
      <c r="P7" s="2543">
        <f t="shared" si="2"/>
        <v>121.2</v>
      </c>
      <c r="Q7" s="2543">
        <f t="shared" si="2"/>
        <v>132.51499999999999</v>
      </c>
      <c r="R7" s="2543">
        <f t="shared" si="2"/>
        <v>133.114</v>
      </c>
      <c r="S7" s="2543">
        <f t="shared" si="2"/>
        <v>114.087</v>
      </c>
      <c r="T7" s="2543">
        <f t="shared" si="2"/>
        <v>132.048</v>
      </c>
      <c r="U7" s="2543">
        <f t="shared" si="2"/>
        <v>145.62700000000001</v>
      </c>
    </row>
    <row r="8" spans="1:21">
      <c r="A8" s="2547" t="s">
        <v>2402</v>
      </c>
      <c r="B8" s="2543"/>
      <c r="C8" s="2543"/>
      <c r="D8" s="2543"/>
      <c r="E8" s="2543"/>
      <c r="F8" s="2543"/>
      <c r="G8" s="2543"/>
      <c r="H8" s="2543"/>
      <c r="I8" s="2543"/>
      <c r="J8" s="2543">
        <f>J46*J49/1000</f>
        <v>56.817599999999999</v>
      </c>
      <c r="K8" s="2543">
        <f t="shared" ref="K8:U8" si="3">K46*K49/1000</f>
        <v>59.890000000000008</v>
      </c>
      <c r="L8" s="2543">
        <f t="shared" si="3"/>
        <v>58.830399999999997</v>
      </c>
      <c r="M8" s="2543">
        <f t="shared" si="3"/>
        <v>66.112200000000001</v>
      </c>
      <c r="N8" s="2543">
        <f t="shared" si="3"/>
        <v>60.881399999999999</v>
      </c>
      <c r="O8" s="2543">
        <f t="shared" si="3"/>
        <v>53.106300000000005</v>
      </c>
      <c r="P8" s="2543">
        <f t="shared" si="3"/>
        <v>50.500799999999998</v>
      </c>
      <c r="Q8" s="2543">
        <f t="shared" si="3"/>
        <v>50.2911</v>
      </c>
      <c r="R8" s="2543">
        <f t="shared" si="3"/>
        <v>49.757599999999996</v>
      </c>
      <c r="S8" s="2543">
        <f t="shared" si="3"/>
        <v>47.417499999999997</v>
      </c>
      <c r="T8" s="2543">
        <f t="shared" si="3"/>
        <v>51.227799999999995</v>
      </c>
      <c r="U8" s="2543">
        <f t="shared" si="3"/>
        <v>53.387600000000006</v>
      </c>
    </row>
    <row r="9" spans="1:21">
      <c r="A9" s="2547"/>
      <c r="B9" s="2543"/>
      <c r="C9" s="2543"/>
      <c r="D9" s="2543"/>
      <c r="E9" s="2543"/>
      <c r="F9" s="2543"/>
      <c r="G9" s="2543"/>
      <c r="H9" s="2543"/>
      <c r="I9" s="2543"/>
      <c r="J9" s="676">
        <f>J8/J7</f>
        <v>0.46695047584608557</v>
      </c>
      <c r="K9" s="676">
        <f t="shared" ref="K9:U9" si="4">K8/K7</f>
        <v>0.48532045412186092</v>
      </c>
      <c r="L9" s="676">
        <f t="shared" si="4"/>
        <v>0.44307340071397372</v>
      </c>
      <c r="M9" s="676">
        <f t="shared" si="4"/>
        <v>0.43612795123656733</v>
      </c>
      <c r="N9" s="676">
        <f t="shared" si="4"/>
        <v>0.40971916577496925</v>
      </c>
      <c r="O9" s="676">
        <f t="shared" si="4"/>
        <v>0.41405515402427906</v>
      </c>
      <c r="P9" s="676">
        <f t="shared" si="4"/>
        <v>0.41667326732673265</v>
      </c>
      <c r="Q9" s="676">
        <f t="shared" si="4"/>
        <v>0.37951250801796027</v>
      </c>
      <c r="R9" s="676">
        <f t="shared" si="4"/>
        <v>0.37379689589374515</v>
      </c>
      <c r="S9" s="676">
        <f t="shared" si="4"/>
        <v>0.41562579434992591</v>
      </c>
      <c r="T9" s="676">
        <f t="shared" si="4"/>
        <v>0.3879483218223676</v>
      </c>
      <c r="U9" s="676">
        <f t="shared" si="4"/>
        <v>0.36660509383562118</v>
      </c>
    </row>
    <row r="10" spans="1:21">
      <c r="A10" s="2547" t="s">
        <v>2403</v>
      </c>
      <c r="B10" s="2543"/>
      <c r="C10" s="2543"/>
      <c r="D10" s="2543"/>
      <c r="E10" s="2543"/>
      <c r="F10" s="2543"/>
      <c r="G10" s="2543"/>
      <c r="H10" s="2543"/>
      <c r="I10" s="2543"/>
      <c r="J10" s="2543">
        <f>J47*J50/1000</f>
        <v>64.900499999999994</v>
      </c>
      <c r="K10" s="2543">
        <f t="shared" ref="K10:U10" si="5">K47*K50/1000</f>
        <v>63.542999999999999</v>
      </c>
      <c r="L10" s="2543">
        <f t="shared" si="5"/>
        <v>73.914000000000001</v>
      </c>
      <c r="M10" s="2543">
        <f t="shared" si="5"/>
        <v>85.429100000000005</v>
      </c>
      <c r="N10" s="2543">
        <f t="shared" si="5"/>
        <v>87.78240000000001</v>
      </c>
      <c r="O10" s="2543">
        <f t="shared" si="5"/>
        <v>75.048400000000001</v>
      </c>
      <c r="P10" s="2543">
        <f t="shared" si="5"/>
        <v>70.742000000000004</v>
      </c>
      <c r="Q10" s="2543">
        <f t="shared" si="5"/>
        <v>82.246499999999997</v>
      </c>
      <c r="R10" s="2543">
        <f t="shared" si="5"/>
        <v>83.422499999999999</v>
      </c>
      <c r="S10" s="2543">
        <f t="shared" si="5"/>
        <v>66.757499999999993</v>
      </c>
      <c r="T10" s="2543">
        <f t="shared" si="5"/>
        <v>80.840699999999998</v>
      </c>
      <c r="U10" s="2543">
        <f t="shared" si="5"/>
        <v>92.288699999999992</v>
      </c>
    </row>
    <row r="11" spans="1:21">
      <c r="A11" s="2547"/>
      <c r="B11" s="2543"/>
      <c r="C11" s="2543"/>
      <c r="D11" s="2543"/>
      <c r="E11" s="2543"/>
      <c r="F11" s="2543"/>
      <c r="G11" s="2543"/>
      <c r="H11" s="2543"/>
      <c r="I11" s="2543"/>
      <c r="J11" s="676">
        <f>J10/J7</f>
        <v>0.53337908249642496</v>
      </c>
      <c r="K11" s="676">
        <f t="shared" ref="K11:U11" si="6">K10/K7</f>
        <v>0.51492265179938901</v>
      </c>
      <c r="L11" s="676">
        <f t="shared" si="6"/>
        <v>0.55667354531624225</v>
      </c>
      <c r="M11" s="676">
        <f t="shared" si="6"/>
        <v>0.56355738213194895</v>
      </c>
      <c r="N11" s="676">
        <f t="shared" si="6"/>
        <v>0.59075730350689482</v>
      </c>
      <c r="O11" s="676">
        <f t="shared" si="6"/>
        <v>0.58513164768164427</v>
      </c>
      <c r="P11" s="676">
        <f t="shared" si="6"/>
        <v>0.58367986798679872</v>
      </c>
      <c r="Q11" s="676">
        <f t="shared" si="6"/>
        <v>0.62065803871259861</v>
      </c>
      <c r="R11" s="676">
        <f t="shared" si="6"/>
        <v>0.62669967095872703</v>
      </c>
      <c r="S11" s="676">
        <f t="shared" si="6"/>
        <v>0.58514554681953235</v>
      </c>
      <c r="T11" s="676">
        <f t="shared" si="6"/>
        <v>0.61220692475463467</v>
      </c>
      <c r="U11" s="676">
        <f t="shared" si="6"/>
        <v>0.63373344228748785</v>
      </c>
    </row>
    <row r="12" spans="1:21">
      <c r="A12" s="2546" t="s">
        <v>2404</v>
      </c>
      <c r="B12" s="727">
        <f t="shared" ref="B12:I12" si="7">B5/B3</f>
        <v>0.11933619495882046</v>
      </c>
      <c r="C12" s="727">
        <f t="shared" si="7"/>
        <v>0.11802151141772263</v>
      </c>
      <c r="D12" s="727">
        <f t="shared" si="7"/>
        <v>0.11515223000055257</v>
      </c>
      <c r="E12" s="727">
        <f t="shared" si="7"/>
        <v>0.11756193342575462</v>
      </c>
      <c r="F12" s="727">
        <f t="shared" si="7"/>
        <v>0.14380663099534477</v>
      </c>
      <c r="G12" s="727">
        <f t="shared" si="7"/>
        <v>0.13078194889553407</v>
      </c>
      <c r="H12" s="727">
        <f t="shared" si="7"/>
        <v>0.12556784152753217</v>
      </c>
      <c r="I12" s="727">
        <f t="shared" si="7"/>
        <v>0.11132609466353406</v>
      </c>
      <c r="J12" s="727">
        <f>J5/J3</f>
        <v>0.1226560246177517</v>
      </c>
      <c r="K12" s="727">
        <f t="shared" ref="K12:U12" si="8">K5/K3</f>
        <v>0.11636095628193842</v>
      </c>
      <c r="L12" s="727">
        <f t="shared" si="8"/>
        <v>0.11780054515054363</v>
      </c>
      <c r="M12" s="727">
        <f t="shared" si="8"/>
        <v>0.11443994666234371</v>
      </c>
      <c r="N12" s="727">
        <f t="shared" si="8"/>
        <v>0.12066046445910951</v>
      </c>
      <c r="O12" s="727">
        <f t="shared" si="8"/>
        <v>0.10829438808465366</v>
      </c>
      <c r="P12" s="727">
        <f t="shared" si="8"/>
        <v>0.11095852787695688</v>
      </c>
      <c r="Q12" s="727">
        <f t="shared" si="8"/>
        <v>0.10977054340622927</v>
      </c>
      <c r="R12" s="727">
        <f t="shared" si="8"/>
        <v>0.11500129589632829</v>
      </c>
      <c r="S12" s="727">
        <f t="shared" si="8"/>
        <v>0.10203649047491281</v>
      </c>
      <c r="T12" s="727">
        <f t="shared" si="8"/>
        <v>0.11212363080580792</v>
      </c>
      <c r="U12" s="727">
        <f t="shared" si="8"/>
        <v>0.11369115465688188</v>
      </c>
    </row>
    <row r="13" spans="1:21" ht="13">
      <c r="A13" s="2545" t="s">
        <v>1668</v>
      </c>
      <c r="B13" s="2548">
        <v>-29.248000000000001</v>
      </c>
      <c r="C13" s="2548">
        <v>-27.61</v>
      </c>
      <c r="D13" s="2548">
        <v>-34.680999999999997</v>
      </c>
      <c r="E13" s="2548">
        <v>-62.673999999999999</v>
      </c>
      <c r="F13" s="2548">
        <v>-33.494</v>
      </c>
      <c r="G13" s="2548">
        <v>-33.752000000000002</v>
      </c>
      <c r="H13" s="2548">
        <v>-26.15</v>
      </c>
      <c r="I13" s="2548">
        <v>-33.279000000000003</v>
      </c>
      <c r="J13" s="2548">
        <v>-31.14</v>
      </c>
      <c r="K13" s="2548">
        <v>-35.087000000000003</v>
      </c>
      <c r="L13" s="2548">
        <v>-37.869</v>
      </c>
      <c r="M13" s="2548">
        <v>-38.383000000000003</v>
      </c>
      <c r="N13" s="2548">
        <v>-43.646000000000001</v>
      </c>
      <c r="O13" s="2548">
        <v>-42.088000000000001</v>
      </c>
      <c r="P13" s="2548">
        <v>-36.700000000000003</v>
      </c>
      <c r="Q13" s="2548">
        <v>-49.703000000000003</v>
      </c>
      <c r="R13" s="2548">
        <v>-45.244999999999997</v>
      </c>
      <c r="S13" s="2548">
        <v>-40.341999999999999</v>
      </c>
      <c r="T13" s="2548">
        <v>-42.591000000000001</v>
      </c>
      <c r="U13" s="860">
        <v>-51.387</v>
      </c>
    </row>
    <row r="14" spans="1:21">
      <c r="A14" s="2549" t="s">
        <v>356</v>
      </c>
      <c r="B14" s="2543">
        <f t="shared" ref="B14:I14" si="9">B5+B13</f>
        <v>67.528999999999996</v>
      </c>
      <c r="C14" s="2543">
        <f t="shared" si="9"/>
        <v>74.899000000000001</v>
      </c>
      <c r="D14" s="2543">
        <f t="shared" si="9"/>
        <v>73.686000000000007</v>
      </c>
      <c r="E14" s="2543">
        <f t="shared" si="9"/>
        <v>51.384000000000007</v>
      </c>
      <c r="F14" s="2543">
        <f t="shared" si="9"/>
        <v>61.620999999999995</v>
      </c>
      <c r="G14" s="2543">
        <f t="shared" si="9"/>
        <v>65.044999999999987</v>
      </c>
      <c r="H14" s="2543">
        <f t="shared" si="9"/>
        <v>79.937999999999988</v>
      </c>
      <c r="I14" s="2543">
        <f t="shared" si="9"/>
        <v>77.88300000000001</v>
      </c>
      <c r="J14" s="2543">
        <v>90.537999999999997</v>
      </c>
      <c r="K14" s="2543">
        <v>88.316000000000003</v>
      </c>
      <c r="L14" s="2543">
        <v>94.909000000000006</v>
      </c>
      <c r="M14" s="2543">
        <v>113.206</v>
      </c>
      <c r="N14" s="2543">
        <v>104.947</v>
      </c>
      <c r="O14" s="2543">
        <v>86.171000000000006</v>
      </c>
      <c r="P14" s="2543">
        <f t="shared" ref="P14:U14" si="10">P5+P13</f>
        <v>84.5</v>
      </c>
      <c r="Q14" s="2543">
        <f t="shared" si="10"/>
        <v>82.811999999999983</v>
      </c>
      <c r="R14" s="2543">
        <f t="shared" si="10"/>
        <v>87.869</v>
      </c>
      <c r="S14" s="2543">
        <f t="shared" si="10"/>
        <v>73.745000000000005</v>
      </c>
      <c r="T14" s="2543">
        <f t="shared" si="10"/>
        <v>89.456999999999994</v>
      </c>
      <c r="U14" s="2543">
        <f t="shared" si="10"/>
        <v>94.240000000000009</v>
      </c>
    </row>
    <row r="15" spans="1:21">
      <c r="A15" s="2549" t="s">
        <v>2405</v>
      </c>
      <c r="B15" s="676">
        <f>B14/B5</f>
        <v>0.69777943106316576</v>
      </c>
      <c r="C15" s="676">
        <f t="shared" ref="C15:U15" si="11">C14/C5</f>
        <v>0.73065779590084778</v>
      </c>
      <c r="D15" s="676">
        <f t="shared" si="11"/>
        <v>0.67996714867072083</v>
      </c>
      <c r="E15" s="676">
        <f t="shared" si="11"/>
        <v>0.45050763646565783</v>
      </c>
      <c r="F15" s="676">
        <f t="shared" si="11"/>
        <v>0.64785785627924086</v>
      </c>
      <c r="G15" s="676">
        <f t="shared" si="11"/>
        <v>0.65837019342692582</v>
      </c>
      <c r="H15" s="676">
        <f t="shared" si="11"/>
        <v>0.75350652288666009</v>
      </c>
      <c r="I15" s="676">
        <f t="shared" si="11"/>
        <v>0.70062611324013602</v>
      </c>
      <c r="J15" s="676">
        <f t="shared" si="11"/>
        <v>0.72430979447835586</v>
      </c>
      <c r="K15" s="676">
        <f t="shared" si="11"/>
        <v>0.71532941309876719</v>
      </c>
      <c r="L15" s="676">
        <f t="shared" si="11"/>
        <v>0.7219171205160192</v>
      </c>
      <c r="M15" s="676">
        <f t="shared" si="11"/>
        <v>0.78609272902764382</v>
      </c>
      <c r="N15" s="676">
        <f t="shared" si="11"/>
        <v>0.70627149327357286</v>
      </c>
      <c r="O15" s="676">
        <f t="shared" si="11"/>
        <v>0.67185148800474048</v>
      </c>
      <c r="P15" s="676">
        <f t="shared" si="11"/>
        <v>0.69719471947194722</v>
      </c>
      <c r="Q15" s="676">
        <f t="shared" si="11"/>
        <v>0.62492548013432436</v>
      </c>
      <c r="R15" s="676">
        <f t="shared" si="11"/>
        <v>0.66010337004372188</v>
      </c>
      <c r="S15" s="676">
        <f t="shared" si="11"/>
        <v>0.6463926652466977</v>
      </c>
      <c r="T15" s="676">
        <f t="shared" si="11"/>
        <v>0.67745819701926568</v>
      </c>
      <c r="U15" s="676">
        <f t="shared" si="11"/>
        <v>0.64713274324129455</v>
      </c>
    </row>
    <row r="16" spans="1:21">
      <c r="A16" s="2549"/>
      <c r="B16" s="2543"/>
      <c r="C16" s="2543"/>
      <c r="D16" s="2543"/>
      <c r="E16" s="2543"/>
      <c r="F16" s="2543"/>
      <c r="G16" s="2543"/>
      <c r="H16" s="2543"/>
      <c r="I16" s="2543"/>
      <c r="J16" s="2543"/>
      <c r="K16" s="2543"/>
      <c r="L16" s="2543"/>
      <c r="M16" s="2543"/>
      <c r="N16" s="2543"/>
      <c r="O16" s="2543"/>
      <c r="P16" s="2543"/>
    </row>
    <row r="17" spans="1:21" ht="13">
      <c r="A17" s="2545" t="s">
        <v>1226</v>
      </c>
      <c r="B17" s="2548"/>
      <c r="C17" s="2548"/>
      <c r="D17" s="2548"/>
      <c r="E17" s="2548"/>
      <c r="F17" s="2548"/>
      <c r="G17" s="2548"/>
      <c r="H17" s="2548"/>
      <c r="I17" s="2548"/>
      <c r="J17" s="2548"/>
      <c r="K17" s="2543"/>
      <c r="L17" s="2543"/>
      <c r="M17" s="2543"/>
      <c r="N17" s="2543"/>
      <c r="O17" s="2543"/>
      <c r="P17" s="2543"/>
    </row>
    <row r="18" spans="1:21">
      <c r="A18" s="2550" t="s">
        <v>2406</v>
      </c>
      <c r="B18" s="2548">
        <v>-19.606000000000002</v>
      </c>
      <c r="C18" s="2548">
        <v>-16.991</v>
      </c>
      <c r="D18" s="2548">
        <v>-13.36</v>
      </c>
      <c r="E18" s="2548">
        <v>-28.224</v>
      </c>
      <c r="F18" s="2548">
        <v>-15.186</v>
      </c>
      <c r="G18" s="2548">
        <v>-13.96</v>
      </c>
      <c r="H18" s="2548">
        <v>-13.576000000000001</v>
      </c>
      <c r="I18" s="2548">
        <v>-21.960999999999999</v>
      </c>
      <c r="J18" s="2548">
        <v>-18.869</v>
      </c>
      <c r="K18" s="2548">
        <v>-18.617999999999999</v>
      </c>
      <c r="L18" s="2548">
        <v>-15.318</v>
      </c>
      <c r="M18" s="2548">
        <v>-19.821000000000002</v>
      </c>
      <c r="N18" s="2548">
        <v>-15.888</v>
      </c>
      <c r="O18" s="2548">
        <v>-16.986000000000001</v>
      </c>
      <c r="P18" s="2548">
        <v>-17.100000000000001</v>
      </c>
      <c r="Q18" s="2548">
        <v>-17.599</v>
      </c>
      <c r="R18" s="2548">
        <v>-20.638000000000002</v>
      </c>
      <c r="S18" s="2548">
        <v>-21.254000000000001</v>
      </c>
      <c r="T18" s="2548">
        <v>-25.09</v>
      </c>
      <c r="U18" s="860">
        <v>-25.98</v>
      </c>
    </row>
    <row r="19" spans="1:21">
      <c r="A19" s="2551" t="s">
        <v>2407</v>
      </c>
      <c r="B19" s="2548"/>
      <c r="C19" s="2548"/>
      <c r="D19" s="2548"/>
      <c r="E19" s="2548"/>
      <c r="F19" s="2548"/>
      <c r="G19" s="2548"/>
      <c r="H19" s="2548"/>
      <c r="I19" s="2548"/>
      <c r="J19" s="727">
        <f>J18/J7</f>
        <v>-0.1550732260556551</v>
      </c>
      <c r="K19" s="727">
        <f t="shared" ref="K19:U19" si="12">K18/K7</f>
        <v>-0.15087153472768083</v>
      </c>
      <c r="L19" s="727">
        <f t="shared" si="12"/>
        <v>-0.11536549729623884</v>
      </c>
      <c r="M19" s="727">
        <f t="shared" si="12"/>
        <v>-0.1307548700763248</v>
      </c>
      <c r="N19" s="727">
        <f t="shared" si="12"/>
        <v>-0.10692293715047142</v>
      </c>
      <c r="O19" s="727">
        <f t="shared" si="12"/>
        <v>-0.13243515074965501</v>
      </c>
      <c r="P19" s="727">
        <f t="shared" si="12"/>
        <v>-0.1410891089108911</v>
      </c>
      <c r="Q19" s="727">
        <f t="shared" si="12"/>
        <v>-0.13280760668603556</v>
      </c>
      <c r="R19" s="727">
        <f t="shared" si="12"/>
        <v>-0.15504004086722659</v>
      </c>
      <c r="S19" s="727">
        <f t="shared" si="12"/>
        <v>-0.18629642290532664</v>
      </c>
      <c r="T19" s="727">
        <f t="shared" si="12"/>
        <v>-0.19000666424330545</v>
      </c>
      <c r="U19" s="727">
        <f t="shared" si="12"/>
        <v>-0.17840098333413446</v>
      </c>
    </row>
    <row r="20" spans="1:21">
      <c r="A20" s="2550" t="s">
        <v>2408</v>
      </c>
      <c r="B20" s="2548">
        <v>-19.07</v>
      </c>
      <c r="C20" s="2548">
        <v>-20.055</v>
      </c>
      <c r="D20" s="2548">
        <v>-15.262</v>
      </c>
      <c r="E20" s="2548">
        <v>-19.148</v>
      </c>
      <c r="F20" s="2548">
        <v>-15.561</v>
      </c>
      <c r="G20" s="2548">
        <v>-15.943</v>
      </c>
      <c r="H20" s="2548">
        <v>-15.718</v>
      </c>
      <c r="I20" s="2548">
        <v>-16.03</v>
      </c>
      <c r="J20" s="2548">
        <v>-15.407999999999999</v>
      </c>
      <c r="K20" s="2548">
        <v>-17.643999999999998</v>
      </c>
      <c r="L20" s="2548">
        <v>-18.907</v>
      </c>
      <c r="M20" s="2548">
        <v>-19.349</v>
      </c>
      <c r="N20" s="2548">
        <v>-19.225000000000001</v>
      </c>
      <c r="O20" s="2548">
        <v>-18.731999999999999</v>
      </c>
      <c r="P20" s="2548">
        <v>-16.8</v>
      </c>
      <c r="Q20" s="2548">
        <v>-16.376000000000001</v>
      </c>
      <c r="R20" s="2548">
        <v>-18.713000000000001</v>
      </c>
      <c r="S20" s="2548">
        <v>-18.077000000000002</v>
      </c>
      <c r="T20" s="2548">
        <v>-17.922000000000001</v>
      </c>
      <c r="U20" s="860">
        <v>-18.663</v>
      </c>
    </row>
    <row r="21" spans="1:21">
      <c r="A21" s="2551" t="s">
        <v>2409</v>
      </c>
      <c r="B21" s="2548"/>
      <c r="C21" s="2548"/>
      <c r="D21" s="2548"/>
      <c r="E21" s="2548"/>
      <c r="F21" s="2548"/>
      <c r="G21" s="2548"/>
      <c r="H21" s="2548"/>
      <c r="I21" s="2548"/>
      <c r="J21" s="727">
        <f>J20/J7</f>
        <v>-0.12662930028435707</v>
      </c>
      <c r="K21" s="727">
        <f t="shared" ref="K21:U21" si="13">K20/K7</f>
        <v>-0.14297869581776779</v>
      </c>
      <c r="L21" s="727">
        <f t="shared" si="13"/>
        <v>-0.14239557758062329</v>
      </c>
      <c r="M21" s="727">
        <f t="shared" si="13"/>
        <v>-0.12764118768512228</v>
      </c>
      <c r="N21" s="727">
        <f t="shared" si="13"/>
        <v>-0.12938025344397114</v>
      </c>
      <c r="O21" s="727">
        <f t="shared" si="13"/>
        <v>-0.14604823053352983</v>
      </c>
      <c r="P21" s="727">
        <f t="shared" si="13"/>
        <v>-0.13861386138613863</v>
      </c>
      <c r="Q21" s="727">
        <f t="shared" si="13"/>
        <v>-0.12357846281553034</v>
      </c>
      <c r="R21" s="727">
        <f t="shared" si="13"/>
        <v>-0.14057875204711751</v>
      </c>
      <c r="S21" s="727">
        <f t="shared" si="13"/>
        <v>-0.15844925363976614</v>
      </c>
      <c r="T21" s="727">
        <f t="shared" si="13"/>
        <v>-0.13572337331879317</v>
      </c>
      <c r="U21" s="727">
        <f t="shared" si="13"/>
        <v>-0.1281561798292899</v>
      </c>
    </row>
    <row r="22" spans="1:21">
      <c r="A22" s="2550" t="s">
        <v>2410</v>
      </c>
      <c r="B22" s="2548">
        <v>-45.177999999999997</v>
      </c>
      <c r="C22" s="2548">
        <v>-52.893000000000001</v>
      </c>
      <c r="D22" s="2548">
        <v>-36.185000000000002</v>
      </c>
      <c r="E22" s="2548">
        <v>-35.893000000000001</v>
      </c>
      <c r="F22" s="2548">
        <v>-28.577000000000002</v>
      </c>
      <c r="G22" s="2548">
        <v>-29.132999999999999</v>
      </c>
      <c r="H22" s="2548">
        <v>-31.373999999999999</v>
      </c>
      <c r="I22" s="2548">
        <v>-32.381999999999998</v>
      </c>
      <c r="J22" s="2548">
        <v>-35.545999999999999</v>
      </c>
      <c r="K22" s="2548">
        <v>-43.289000000000001</v>
      </c>
      <c r="L22" s="2548">
        <v>-41.097000000000001</v>
      </c>
      <c r="M22" s="2548">
        <v>-46.356000000000002</v>
      </c>
      <c r="N22" s="2548">
        <v>-46.41</v>
      </c>
      <c r="O22" s="2548">
        <v>-43.45</v>
      </c>
      <c r="P22" s="2548">
        <v>-41.6</v>
      </c>
      <c r="Q22" s="2548">
        <v>-42.924999999999997</v>
      </c>
      <c r="R22" s="2548">
        <v>-40.933</v>
      </c>
      <c r="S22" s="2548">
        <v>-50.701000000000001</v>
      </c>
      <c r="T22" s="2548">
        <v>-46.655999999999999</v>
      </c>
      <c r="U22" s="860">
        <v>-49.603999999999999</v>
      </c>
    </row>
    <row r="23" spans="1:21">
      <c r="A23" s="2551" t="s">
        <v>2411</v>
      </c>
      <c r="B23" s="2548"/>
      <c r="C23" s="2548"/>
      <c r="D23" s="2548"/>
      <c r="E23" s="2548"/>
      <c r="F23" s="2548"/>
      <c r="G23" s="2548"/>
      <c r="H23" s="2548"/>
      <c r="I23" s="2548"/>
      <c r="J23" s="727">
        <f>J22/J7</f>
        <v>-0.29213169184240373</v>
      </c>
      <c r="K23" s="727">
        <f t="shared" ref="K23:U23" si="14">K22/K7</f>
        <v>-0.3507937408328809</v>
      </c>
      <c r="L23" s="727">
        <f t="shared" si="14"/>
        <v>-0.30951663679223973</v>
      </c>
      <c r="M23" s="727">
        <f t="shared" si="14"/>
        <v>-0.30580055281056012</v>
      </c>
      <c r="N23" s="727">
        <f t="shared" si="14"/>
        <v>-0.3123296521370455</v>
      </c>
      <c r="O23" s="727">
        <f t="shared" si="14"/>
        <v>-0.33876764983354002</v>
      </c>
      <c r="P23" s="727">
        <f t="shared" si="14"/>
        <v>-0.34323432343234322</v>
      </c>
      <c r="Q23" s="727">
        <f t="shared" si="14"/>
        <v>-0.32392559332905713</v>
      </c>
      <c r="R23" s="727">
        <f t="shared" si="14"/>
        <v>-0.30750334299923371</v>
      </c>
      <c r="S23" s="727">
        <f t="shared" si="14"/>
        <v>-0.44440646173534232</v>
      </c>
      <c r="T23" s="727">
        <f t="shared" si="14"/>
        <v>-0.35332606324972737</v>
      </c>
      <c r="U23" s="727">
        <f t="shared" si="14"/>
        <v>-0.34062364808723655</v>
      </c>
    </row>
    <row r="24" spans="1:21">
      <c r="A24" s="2550" t="s">
        <v>2412</v>
      </c>
      <c r="B24" s="676">
        <f t="shared" ref="B24:U24" si="15">-B22/B3</f>
        <v>5.5709214129902665E-2</v>
      </c>
      <c r="C24" s="676">
        <f t="shared" si="15"/>
        <v>6.0897207107840315E-2</v>
      </c>
      <c r="D24" s="676">
        <f t="shared" si="15"/>
        <v>3.8450667108713858E-2</v>
      </c>
      <c r="E24" s="676">
        <f t="shared" si="15"/>
        <v>3.6995655512551601E-2</v>
      </c>
      <c r="F24" s="676">
        <f t="shared" si="15"/>
        <v>4.3206246059548634E-2</v>
      </c>
      <c r="G24" s="676">
        <f t="shared" si="15"/>
        <v>3.8564637764037311E-2</v>
      </c>
      <c r="H24" s="676">
        <f t="shared" si="15"/>
        <v>3.7134882928180325E-2</v>
      </c>
      <c r="I24" s="676">
        <f t="shared" si="15"/>
        <v>3.2429801527451466E-2</v>
      </c>
      <c r="J24" s="676">
        <f t="shared" si="15"/>
        <v>3.487972744632039E-2</v>
      </c>
      <c r="K24" s="676">
        <f t="shared" si="15"/>
        <v>4.0799188709795986E-2</v>
      </c>
      <c r="L24" s="676">
        <f t="shared" si="15"/>
        <v>3.6824542885355312E-2</v>
      </c>
      <c r="M24" s="676">
        <f t="shared" si="15"/>
        <v>3.6837312201704074E-2</v>
      </c>
      <c r="N24" s="676">
        <f t="shared" si="15"/>
        <v>3.7685840891208015E-2</v>
      </c>
      <c r="O24" s="676">
        <f t="shared" si="15"/>
        <v>3.6686635341599438E-2</v>
      </c>
      <c r="P24" s="676">
        <f t="shared" si="15"/>
        <v>3.8084775244896091E-2</v>
      </c>
      <c r="Q24" s="676">
        <f t="shared" si="15"/>
        <v>3.5557488402915838E-2</v>
      </c>
      <c r="R24" s="676">
        <f t="shared" si="15"/>
        <v>3.5363282937365008E-2</v>
      </c>
      <c r="S24" s="676">
        <f t="shared" si="15"/>
        <v>4.5345675699847959E-2</v>
      </c>
      <c r="T24" s="676">
        <f t="shared" si="15"/>
        <v>3.9616201069881972E-2</v>
      </c>
      <c r="U24" s="676">
        <f t="shared" si="15"/>
        <v>3.8725895854477319E-2</v>
      </c>
    </row>
    <row r="25" spans="1:21">
      <c r="A25" s="2550"/>
      <c r="B25" s="676"/>
      <c r="C25" s="676"/>
      <c r="D25" s="676"/>
      <c r="E25" s="676"/>
      <c r="F25" s="676"/>
      <c r="G25" s="676"/>
      <c r="H25" s="676"/>
      <c r="I25" s="676"/>
      <c r="J25" s="676"/>
      <c r="K25" s="676"/>
      <c r="L25" s="676"/>
      <c r="M25" s="676"/>
      <c r="N25" s="676"/>
      <c r="O25" s="676"/>
      <c r="P25" s="676"/>
      <c r="Q25" s="676"/>
      <c r="R25" s="676"/>
      <c r="S25" s="676"/>
      <c r="T25" s="676"/>
      <c r="U25" s="676"/>
    </row>
    <row r="26" spans="1:21" s="2553" customFormat="1" ht="13">
      <c r="A26" s="2545" t="s">
        <v>363</v>
      </c>
      <c r="B26" s="2552">
        <f>B18+B20+B22</f>
        <v>-83.853999999999999</v>
      </c>
      <c r="C26" s="2552">
        <f t="shared" ref="C26:U26" si="16">C18+C20+C22</f>
        <v>-89.938999999999993</v>
      </c>
      <c r="D26" s="2552">
        <f t="shared" si="16"/>
        <v>-64.807000000000002</v>
      </c>
      <c r="E26" s="2552">
        <f t="shared" si="16"/>
        <v>-83.265000000000001</v>
      </c>
      <c r="F26" s="2552">
        <f t="shared" si="16"/>
        <v>-59.323999999999998</v>
      </c>
      <c r="G26" s="2552">
        <f t="shared" si="16"/>
        <v>-59.036000000000001</v>
      </c>
      <c r="H26" s="2552">
        <f t="shared" si="16"/>
        <v>-60.667999999999999</v>
      </c>
      <c r="I26" s="2552">
        <f t="shared" si="16"/>
        <v>-70.37299999999999</v>
      </c>
      <c r="J26" s="2552">
        <f t="shared" si="16"/>
        <v>-69.823000000000008</v>
      </c>
      <c r="K26" s="2552">
        <f t="shared" si="16"/>
        <v>-79.551000000000002</v>
      </c>
      <c r="L26" s="2552">
        <f t="shared" si="16"/>
        <v>-75.322000000000003</v>
      </c>
      <c r="M26" s="2552">
        <f t="shared" si="16"/>
        <v>-85.52600000000001</v>
      </c>
      <c r="N26" s="2552">
        <f t="shared" si="16"/>
        <v>-81.522999999999996</v>
      </c>
      <c r="O26" s="2552">
        <f t="shared" si="16"/>
        <v>-79.168000000000006</v>
      </c>
      <c r="P26" s="2552">
        <f t="shared" si="16"/>
        <v>-75.5</v>
      </c>
      <c r="Q26" s="2552">
        <f t="shared" si="16"/>
        <v>-76.900000000000006</v>
      </c>
      <c r="R26" s="2552">
        <f t="shared" si="16"/>
        <v>-80.283999999999992</v>
      </c>
      <c r="S26" s="2552">
        <f t="shared" si="16"/>
        <v>-90.032000000000011</v>
      </c>
      <c r="T26" s="2552">
        <f t="shared" si="16"/>
        <v>-89.668000000000006</v>
      </c>
      <c r="U26" s="2552">
        <f t="shared" si="16"/>
        <v>-94.247</v>
      </c>
    </row>
    <row r="27" spans="1:21" s="2553" customFormat="1" ht="13">
      <c r="A27" s="2545" t="s">
        <v>2413</v>
      </c>
      <c r="B27" s="2552">
        <f>B14+B26</f>
        <v>-16.325000000000003</v>
      </c>
      <c r="C27" s="2552">
        <f t="shared" ref="C27:Q27" si="17">C14+C26</f>
        <v>-15.039999999999992</v>
      </c>
      <c r="D27" s="2552">
        <f t="shared" si="17"/>
        <v>8.8790000000000049</v>
      </c>
      <c r="E27" s="2552">
        <f t="shared" si="17"/>
        <v>-31.880999999999993</v>
      </c>
      <c r="F27" s="2552">
        <f t="shared" si="17"/>
        <v>2.296999999999997</v>
      </c>
      <c r="G27" s="2552">
        <f t="shared" si="17"/>
        <v>6.0089999999999861</v>
      </c>
      <c r="H27" s="2552">
        <f t="shared" si="17"/>
        <v>19.269999999999989</v>
      </c>
      <c r="I27" s="2552">
        <f t="shared" si="17"/>
        <v>7.5100000000000193</v>
      </c>
      <c r="J27" s="2552">
        <f t="shared" si="17"/>
        <v>20.714999999999989</v>
      </c>
      <c r="K27" s="2552">
        <f t="shared" si="17"/>
        <v>8.7650000000000006</v>
      </c>
      <c r="L27" s="2552">
        <f t="shared" si="17"/>
        <v>19.587000000000003</v>
      </c>
      <c r="M27" s="2552">
        <f t="shared" si="17"/>
        <v>27.679999999999993</v>
      </c>
      <c r="N27" s="2552">
        <f t="shared" si="17"/>
        <v>23.424000000000007</v>
      </c>
      <c r="O27" s="2552">
        <f t="shared" si="17"/>
        <v>7.0030000000000001</v>
      </c>
      <c r="P27" s="2552">
        <f t="shared" si="17"/>
        <v>9</v>
      </c>
      <c r="Q27" s="2552">
        <f t="shared" si="17"/>
        <v>5.9119999999999777</v>
      </c>
      <c r="R27" s="2552">
        <f>R14+R26</f>
        <v>7.585000000000008</v>
      </c>
      <c r="S27" s="2552">
        <f>S14+S26</f>
        <v>-16.287000000000006</v>
      </c>
      <c r="T27" s="2552">
        <f>T14+T26</f>
        <v>-0.21100000000001273</v>
      </c>
      <c r="U27" s="2552">
        <f>U14+U26</f>
        <v>-6.9999999999907914E-3</v>
      </c>
    </row>
    <row r="28" spans="1:21" s="2553" customFormat="1" ht="13">
      <c r="A28" s="2545"/>
      <c r="B28" s="2552"/>
      <c r="C28" s="2552"/>
      <c r="D28" s="2552"/>
      <c r="E28" s="2552"/>
      <c r="F28" s="2552"/>
      <c r="G28" s="2552"/>
      <c r="H28" s="2552"/>
      <c r="I28" s="2552"/>
      <c r="J28" s="2552"/>
      <c r="K28" s="2552"/>
      <c r="L28" s="2552"/>
      <c r="M28" s="2552"/>
      <c r="N28" s="2552"/>
      <c r="O28" s="2552"/>
      <c r="P28" s="2554"/>
    </row>
    <row r="29" spans="1:21">
      <c r="A29" s="2549" t="s">
        <v>2414</v>
      </c>
      <c r="B29" s="2548">
        <f>-1.267-2.367</f>
        <v>-3.6339999999999999</v>
      </c>
      <c r="C29" s="2548">
        <f>-1.371-2.371</f>
        <v>-3.742</v>
      </c>
      <c r="D29" s="2548">
        <f>-1.253-2.389</f>
        <v>-3.6419999999999995</v>
      </c>
      <c r="E29" s="2548">
        <f>-1.261-2.16</f>
        <v>-3.4210000000000003</v>
      </c>
      <c r="F29" s="2548">
        <f>-1.265-1.728</f>
        <v>-2.9929999999999999</v>
      </c>
      <c r="G29" s="2548">
        <f>-1.255-1.918</f>
        <v>-3.173</v>
      </c>
      <c r="H29" s="2548">
        <f>-1.45-2.06</f>
        <v>-3.51</v>
      </c>
      <c r="I29" s="2548">
        <f>-1.111-2.129</f>
        <v>-3.24</v>
      </c>
      <c r="J29" s="2548">
        <f>-1.343-1.517</f>
        <v>-2.86</v>
      </c>
      <c r="K29" s="2548">
        <f>-1.362-2.039</f>
        <v>-3.4010000000000002</v>
      </c>
      <c r="L29" s="2548">
        <f>-1.337-2.454</f>
        <v>-3.7910000000000004</v>
      </c>
      <c r="M29" s="2548">
        <f>-1.033-2.741</f>
        <v>-3.774</v>
      </c>
      <c r="N29" s="2548">
        <f>-0.859-2.018</f>
        <v>-2.8769999999999998</v>
      </c>
      <c r="O29" s="2548">
        <f>-1.475-2.228</f>
        <v>-3.7030000000000003</v>
      </c>
      <c r="P29" s="2548">
        <f>-1.3-2.7</f>
        <v>-4</v>
      </c>
      <c r="Q29" s="2548">
        <f>-1.7-3.2</f>
        <v>-4.9000000000000004</v>
      </c>
      <c r="R29" s="2548">
        <f>-0.8-3.8</f>
        <v>-4.5999999999999996</v>
      </c>
      <c r="S29" s="2548">
        <f>-2.7-3.1</f>
        <v>-5.8000000000000007</v>
      </c>
      <c r="T29" s="2548">
        <f>-2-4.2</f>
        <v>-6.2</v>
      </c>
      <c r="U29" s="860">
        <f>-1.094-5.1</f>
        <v>-6.194</v>
      </c>
    </row>
    <row r="30" spans="1:21">
      <c r="A30" s="2550" t="s">
        <v>2415</v>
      </c>
      <c r="B30" s="2548">
        <v>-0.32100000000000001</v>
      </c>
      <c r="C30" s="2548">
        <v>-0.374</v>
      </c>
      <c r="D30" s="2548">
        <v>-0.374</v>
      </c>
      <c r="E30" s="2548">
        <v>0.20799999999999999</v>
      </c>
      <c r="F30" s="2548">
        <v>-0.05</v>
      </c>
      <c r="G30" s="2548">
        <v>-0.05</v>
      </c>
      <c r="H30" s="2548">
        <v>-0.05</v>
      </c>
      <c r="I30" s="2548">
        <v>-0.42399999999999999</v>
      </c>
      <c r="J30" s="2548">
        <v>-1.1759999999999999</v>
      </c>
      <c r="K30" s="2548">
        <v>-0.93</v>
      </c>
      <c r="L30" s="2548">
        <v>-0.95899999999999996</v>
      </c>
      <c r="M30" s="2548">
        <v>-1.224</v>
      </c>
      <c r="N30" s="2548">
        <v>-0.98299999999999998</v>
      </c>
      <c r="O30" s="2548">
        <v>-1.266</v>
      </c>
      <c r="P30" s="2548">
        <v>-1.4</v>
      </c>
      <c r="Q30" s="2548">
        <v>-3.1</v>
      </c>
      <c r="R30" s="2548">
        <v>-3</v>
      </c>
      <c r="S30" s="2548">
        <f>-3.2</f>
        <v>-3.2</v>
      </c>
      <c r="T30" s="2548">
        <v>-3.4</v>
      </c>
      <c r="U30" s="860">
        <f>-2.105</f>
        <v>-2.105</v>
      </c>
    </row>
    <row r="31" spans="1:21">
      <c r="A31" s="2546" t="s">
        <v>1229</v>
      </c>
      <c r="B31" s="2548">
        <f>B18+B20+B22+B29</f>
        <v>-87.488</v>
      </c>
      <c r="C31" s="2548">
        <f t="shared" ref="C31:T31" si="18">C18+C20+C22+C29</f>
        <v>-93.680999999999997</v>
      </c>
      <c r="D31" s="2548">
        <f t="shared" si="18"/>
        <v>-68.448999999999998</v>
      </c>
      <c r="E31" s="2548">
        <f t="shared" si="18"/>
        <v>-86.686000000000007</v>
      </c>
      <c r="F31" s="2548">
        <f t="shared" si="18"/>
        <v>-62.317</v>
      </c>
      <c r="G31" s="2548">
        <f t="shared" si="18"/>
        <v>-62.209000000000003</v>
      </c>
      <c r="H31" s="2548">
        <f t="shared" si="18"/>
        <v>-64.177999999999997</v>
      </c>
      <c r="I31" s="2548">
        <f t="shared" si="18"/>
        <v>-73.612999999999985</v>
      </c>
      <c r="J31" s="2548">
        <f t="shared" si="18"/>
        <v>-72.683000000000007</v>
      </c>
      <c r="K31" s="2548">
        <f t="shared" si="18"/>
        <v>-82.951999999999998</v>
      </c>
      <c r="L31" s="2548">
        <f t="shared" si="18"/>
        <v>-79.113</v>
      </c>
      <c r="M31" s="2548">
        <f t="shared" si="18"/>
        <v>-89.300000000000011</v>
      </c>
      <c r="N31" s="2548">
        <f t="shared" si="18"/>
        <v>-84.399999999999991</v>
      </c>
      <c r="O31" s="2548">
        <f t="shared" si="18"/>
        <v>-82.871000000000009</v>
      </c>
      <c r="P31" s="2548">
        <f t="shared" si="18"/>
        <v>-79.5</v>
      </c>
      <c r="Q31" s="2548">
        <f t="shared" si="18"/>
        <v>-81.800000000000011</v>
      </c>
      <c r="R31" s="2548">
        <f t="shared" si="18"/>
        <v>-84.883999999999986</v>
      </c>
      <c r="S31" s="2548">
        <f t="shared" si="18"/>
        <v>-95.832000000000008</v>
      </c>
      <c r="T31" s="2548">
        <f t="shared" si="18"/>
        <v>-95.868000000000009</v>
      </c>
      <c r="U31" s="2548">
        <f>U18+U20+U22+U29</f>
        <v>-100.441</v>
      </c>
    </row>
    <row r="32" spans="1:21">
      <c r="A32" s="2549" t="s">
        <v>1230</v>
      </c>
      <c r="B32" s="2548">
        <f>B31-B30</f>
        <v>-87.167000000000002</v>
      </c>
      <c r="C32" s="2548">
        <f t="shared" ref="C32:T32" si="19">C31-C30</f>
        <v>-93.307000000000002</v>
      </c>
      <c r="D32" s="2548">
        <f t="shared" si="19"/>
        <v>-68.075000000000003</v>
      </c>
      <c r="E32" s="2548">
        <f t="shared" si="19"/>
        <v>-86.894000000000005</v>
      </c>
      <c r="F32" s="2548">
        <f t="shared" si="19"/>
        <v>-62.267000000000003</v>
      </c>
      <c r="G32" s="2548">
        <f t="shared" si="19"/>
        <v>-62.159000000000006</v>
      </c>
      <c r="H32" s="2548">
        <f t="shared" si="19"/>
        <v>-64.128</v>
      </c>
      <c r="I32" s="2548">
        <f t="shared" si="19"/>
        <v>-73.188999999999979</v>
      </c>
      <c r="J32" s="2548">
        <f t="shared" si="19"/>
        <v>-71.507000000000005</v>
      </c>
      <c r="K32" s="2548">
        <f t="shared" si="19"/>
        <v>-82.021999999999991</v>
      </c>
      <c r="L32" s="2548">
        <f t="shared" si="19"/>
        <v>-78.153999999999996</v>
      </c>
      <c r="M32" s="2548">
        <f t="shared" si="19"/>
        <v>-88.076000000000008</v>
      </c>
      <c r="N32" s="2548">
        <f t="shared" si="19"/>
        <v>-83.416999999999987</v>
      </c>
      <c r="O32" s="2548">
        <f t="shared" si="19"/>
        <v>-81.605000000000004</v>
      </c>
      <c r="P32" s="2548">
        <f t="shared" si="19"/>
        <v>-78.099999999999994</v>
      </c>
      <c r="Q32" s="2548">
        <f t="shared" si="19"/>
        <v>-78.700000000000017</v>
      </c>
      <c r="R32" s="2548">
        <f t="shared" si="19"/>
        <v>-81.883999999999986</v>
      </c>
      <c r="S32" s="2548">
        <f t="shared" si="19"/>
        <v>-92.632000000000005</v>
      </c>
      <c r="T32" s="2548">
        <f t="shared" si="19"/>
        <v>-92.468000000000004</v>
      </c>
      <c r="U32" s="2548">
        <f>U31-U30</f>
        <v>-98.335999999999999</v>
      </c>
    </row>
    <row r="33" spans="1:21">
      <c r="A33" s="2555"/>
      <c r="B33" s="2548"/>
      <c r="C33" s="2548"/>
      <c r="D33" s="2548"/>
      <c r="E33" s="2548"/>
      <c r="F33" s="2548"/>
      <c r="G33" s="2548"/>
      <c r="H33" s="2548"/>
      <c r="I33" s="2548"/>
      <c r="J33" s="2548"/>
      <c r="K33" s="2548"/>
      <c r="L33" s="2543"/>
      <c r="M33" s="2543"/>
      <c r="N33" s="2543"/>
      <c r="O33" s="2543"/>
      <c r="P33" s="2543"/>
    </row>
    <row r="34" spans="1:21">
      <c r="A34" s="2556" t="s">
        <v>1231</v>
      </c>
      <c r="B34" s="2548">
        <v>-16.324999999999999</v>
      </c>
      <c r="C34" s="2548">
        <v>-15.04</v>
      </c>
      <c r="D34" s="2548">
        <v>8.8789999999999996</v>
      </c>
      <c r="E34" s="2548">
        <v>-31.881</v>
      </c>
      <c r="F34" s="2548">
        <v>2.2970000000000002</v>
      </c>
      <c r="G34" s="2548">
        <v>6.0090000000000003</v>
      </c>
      <c r="H34" s="2548">
        <v>19.27</v>
      </c>
      <c r="I34" s="2548">
        <v>7.51</v>
      </c>
      <c r="J34" s="2548">
        <v>20.715</v>
      </c>
      <c r="K34" s="2548">
        <v>8.7650000000000006</v>
      </c>
      <c r="L34" s="2543">
        <v>19.587</v>
      </c>
      <c r="M34" s="2543">
        <v>27.68</v>
      </c>
      <c r="N34" s="2543">
        <v>23.423999999999999</v>
      </c>
      <c r="O34" s="2543">
        <v>7.0030000000000001</v>
      </c>
      <c r="P34" s="2543">
        <v>9.0510000000000002</v>
      </c>
      <c r="Q34" s="2543">
        <v>5.9119999999999999</v>
      </c>
      <c r="R34" s="2543">
        <v>7.585</v>
      </c>
      <c r="S34" s="2548">
        <v>-16.286999999999999</v>
      </c>
      <c r="T34" s="2548">
        <v>-0.21099999999999999</v>
      </c>
      <c r="U34" s="860">
        <v>-7.0000000000000001E-3</v>
      </c>
    </row>
    <row r="35" spans="1:21" ht="13">
      <c r="A35" s="747" t="s">
        <v>2416</v>
      </c>
      <c r="B35" s="676">
        <f t="shared" ref="B35:U35" si="20">B34/B5</f>
        <v>-0.16868677475019891</v>
      </c>
      <c r="C35" s="676">
        <f t="shared" si="20"/>
        <v>-0.14671882468856393</v>
      </c>
      <c r="D35" s="676">
        <f t="shared" si="20"/>
        <v>8.1934537266880131E-2</v>
      </c>
      <c r="E35" s="676">
        <f t="shared" si="20"/>
        <v>-0.27951568500236718</v>
      </c>
      <c r="F35" s="676">
        <f t="shared" si="20"/>
        <v>2.4149713504704833E-2</v>
      </c>
      <c r="G35" s="676">
        <f t="shared" si="20"/>
        <v>6.0821684868973762E-2</v>
      </c>
      <c r="H35" s="676">
        <f t="shared" si="20"/>
        <v>0.18164165598371165</v>
      </c>
      <c r="I35" s="676">
        <f t="shared" si="20"/>
        <v>6.7559057951458223E-2</v>
      </c>
      <c r="J35" s="676">
        <f t="shared" si="20"/>
        <v>0.16572132577060616</v>
      </c>
      <c r="K35" s="676">
        <f t="shared" si="20"/>
        <v>7.0993504074128078E-2</v>
      </c>
      <c r="L35" s="676">
        <f t="shared" si="20"/>
        <v>0.14898682569142302</v>
      </c>
      <c r="M35" s="676">
        <f t="shared" si="20"/>
        <v>0.19220753970182833</v>
      </c>
      <c r="N35" s="676">
        <f t="shared" si="20"/>
        <v>0.15763865054208476</v>
      </c>
      <c r="O35" s="676">
        <f t="shared" si="20"/>
        <v>5.460045688801566E-2</v>
      </c>
      <c r="P35" s="676">
        <f t="shared" si="20"/>
        <v>7.4678217821782175E-2</v>
      </c>
      <c r="Q35" s="676">
        <f t="shared" si="20"/>
        <v>4.4613817303701474E-2</v>
      </c>
      <c r="R35" s="676">
        <f t="shared" si="20"/>
        <v>5.6981234130144082E-2</v>
      </c>
      <c r="S35" s="676">
        <f t="shared" si="20"/>
        <v>-0.1427594730337374</v>
      </c>
      <c r="T35" s="676">
        <f t="shared" si="20"/>
        <v>-1.597903792560281E-3</v>
      </c>
      <c r="U35" s="676">
        <f t="shared" si="20"/>
        <v>-4.8068009366394963E-5</v>
      </c>
    </row>
    <row r="36" spans="1:21">
      <c r="A36" s="747"/>
      <c r="B36" s="2548"/>
      <c r="C36" s="2548"/>
      <c r="D36" s="2548"/>
      <c r="E36" s="2548"/>
      <c r="F36" s="2548"/>
      <c r="G36" s="2548"/>
      <c r="H36" s="2548"/>
      <c r="I36" s="2548"/>
      <c r="J36" s="2548"/>
      <c r="K36" s="2548"/>
      <c r="L36" s="2543"/>
      <c r="M36" s="2543"/>
      <c r="N36" s="2543"/>
      <c r="O36" s="2543"/>
      <c r="P36" s="2543"/>
    </row>
    <row r="37" spans="1:21">
      <c r="A37" s="2549" t="s">
        <v>1247</v>
      </c>
      <c r="B37" s="2548">
        <v>-26.221</v>
      </c>
      <c r="C37" s="2548">
        <v>-15.954000000000001</v>
      </c>
      <c r="D37" s="2548">
        <v>-1.6519999999999999</v>
      </c>
      <c r="E37" s="2548">
        <v>-41.448999999999998</v>
      </c>
      <c r="F37" s="2548">
        <v>-0.73499999999999999</v>
      </c>
      <c r="G37" s="2548">
        <v>0.17899999999999999</v>
      </c>
      <c r="H37" s="2548">
        <v>14.353</v>
      </c>
      <c r="I37" s="2548">
        <v>4</v>
      </c>
      <c r="J37" s="2548">
        <v>12.141</v>
      </c>
      <c r="K37" s="2548">
        <v>2.9</v>
      </c>
      <c r="L37" s="2548">
        <v>12.334</v>
      </c>
      <c r="M37" s="2548">
        <v>18.831</v>
      </c>
      <c r="N37" s="2548">
        <v>16.358000000000001</v>
      </c>
      <c r="O37" s="2548">
        <v>1.24</v>
      </c>
      <c r="P37" s="2548">
        <v>-1.474</v>
      </c>
      <c r="Q37" s="2548">
        <v>3.03</v>
      </c>
      <c r="R37" s="2548">
        <v>1.8859999999999999</v>
      </c>
      <c r="S37" s="2548">
        <v>-16.466999999999999</v>
      </c>
      <c r="T37" s="2548">
        <v>-3.6840000000000002</v>
      </c>
      <c r="U37" s="860">
        <v>-2.645</v>
      </c>
    </row>
    <row r="38" spans="1:21" ht="13">
      <c r="A38" s="749" t="s">
        <v>2417</v>
      </c>
      <c r="B38" s="676">
        <f t="shared" ref="B38:U38" si="21">B37/B5</f>
        <v>-0.27094247600152926</v>
      </c>
      <c r="C38" s="676">
        <f t="shared" si="21"/>
        <v>-0.15563511496551524</v>
      </c>
      <c r="D38" s="676">
        <f t="shared" si="21"/>
        <v>-1.5244493249790063E-2</v>
      </c>
      <c r="E38" s="676">
        <f t="shared" si="21"/>
        <v>-0.363402830139052</v>
      </c>
      <c r="F38" s="676">
        <f t="shared" si="21"/>
        <v>-7.7274877779530049E-3</v>
      </c>
      <c r="G38" s="676">
        <f t="shared" si="21"/>
        <v>1.8117959047339494E-3</v>
      </c>
      <c r="H38" s="676">
        <f t="shared" si="21"/>
        <v>0.13529334137697008</v>
      </c>
      <c r="I38" s="676">
        <f t="shared" si="21"/>
        <v>3.5983519548046995E-2</v>
      </c>
      <c r="J38" s="676">
        <f t="shared" si="21"/>
        <v>9.7128777030216246E-2</v>
      </c>
      <c r="K38" s="676">
        <f t="shared" si="21"/>
        <v>2.3489008763830165E-2</v>
      </c>
      <c r="L38" s="676">
        <f t="shared" si="21"/>
        <v>9.3817506921836491E-2</v>
      </c>
      <c r="M38" s="676">
        <f t="shared" si="21"/>
        <v>0.13076084465769977</v>
      </c>
      <c r="N38" s="676">
        <f t="shared" si="21"/>
        <v>0.11008593944533054</v>
      </c>
      <c r="O38" s="676">
        <f t="shared" si="21"/>
        <v>9.6679375326487824E-3</v>
      </c>
      <c r="P38" s="676">
        <f t="shared" si="21"/>
        <v>-1.2161716171617161E-2</v>
      </c>
      <c r="Q38" s="676">
        <f t="shared" si="21"/>
        <v>2.2865335999698148E-2</v>
      </c>
      <c r="R38" s="676">
        <f t="shared" si="21"/>
        <v>1.4168306864792583E-2</v>
      </c>
      <c r="S38" s="676">
        <f t="shared" si="21"/>
        <v>-0.14433721633490229</v>
      </c>
      <c r="T38" s="676">
        <f t="shared" si="21"/>
        <v>-2.7898945837877137E-2</v>
      </c>
      <c r="U38" s="676">
        <f t="shared" si="21"/>
        <v>-1.8162840682016384E-2</v>
      </c>
    </row>
    <row r="39" spans="1:21">
      <c r="A39" s="2555"/>
      <c r="B39" s="2548"/>
      <c r="C39" s="2548"/>
      <c r="D39" s="2548"/>
      <c r="E39" s="2548"/>
      <c r="F39" s="2548"/>
      <c r="G39" s="2548"/>
      <c r="H39" s="2548"/>
      <c r="I39" s="2548"/>
      <c r="J39" s="2548"/>
      <c r="K39" s="2548"/>
      <c r="L39" s="2548"/>
      <c r="M39" s="2548"/>
      <c r="N39" s="2548"/>
      <c r="O39" s="2548"/>
      <c r="P39" s="2548"/>
    </row>
    <row r="40" spans="1:21" ht="13">
      <c r="A40" s="2557" t="s">
        <v>1236</v>
      </c>
      <c r="B40" s="2548">
        <v>-12.265000000000001</v>
      </c>
      <c r="C40" s="2548">
        <v>-10.999000000000001</v>
      </c>
      <c r="D40" s="2548">
        <v>12.637</v>
      </c>
      <c r="E40" s="2548">
        <v>28.44</v>
      </c>
      <c r="F40" s="2548">
        <v>5.34</v>
      </c>
      <c r="G40" s="2548">
        <v>9.2319999999999993</v>
      </c>
      <c r="H40" s="2548">
        <v>22.831</v>
      </c>
      <c r="I40" s="2548">
        <v>11.173</v>
      </c>
      <c r="J40" s="2548">
        <v>24.751000000000001</v>
      </c>
      <c r="K40" s="2548">
        <v>13.097</v>
      </c>
      <c r="L40" s="2543">
        <v>24.337</v>
      </c>
      <c r="M40" s="2543">
        <v>32.677999999999997</v>
      </c>
      <c r="N40" s="2543">
        <v>27.283999999999999</v>
      </c>
      <c r="O40" s="2543">
        <v>11.972</v>
      </c>
      <c r="P40" s="2543">
        <v>14.5</v>
      </c>
      <c r="Q40" s="2543">
        <v>13.9</v>
      </c>
      <c r="R40" s="2543">
        <v>15.2</v>
      </c>
      <c r="S40" s="2548">
        <v>-7.3</v>
      </c>
      <c r="T40" s="2548">
        <v>9.4</v>
      </c>
      <c r="U40" s="860">
        <v>8.2919999999999998</v>
      </c>
    </row>
    <row r="41" spans="1:21" ht="13">
      <c r="A41" s="749" t="s">
        <v>1237</v>
      </c>
      <c r="B41" s="2543"/>
      <c r="C41" s="2543"/>
      <c r="D41" s="2543"/>
      <c r="E41" s="2543"/>
      <c r="F41" s="2543"/>
      <c r="G41" s="2543"/>
      <c r="H41" s="2543"/>
      <c r="I41" s="2543"/>
      <c r="J41" s="727">
        <f>J40/J5</f>
        <v>0.19800958407667263</v>
      </c>
      <c r="K41" s="727">
        <f t="shared" ref="K41:U41" si="22">K40/K5</f>
        <v>0.10608122337237368</v>
      </c>
      <c r="L41" s="727">
        <f t="shared" si="22"/>
        <v>0.18511729089968662</v>
      </c>
      <c r="M41" s="727">
        <f t="shared" si="22"/>
        <v>0.22691322190665988</v>
      </c>
      <c r="N41" s="727">
        <f t="shared" si="22"/>
        <v>0.18361564811262981</v>
      </c>
      <c r="O41" s="727">
        <f t="shared" si="22"/>
        <v>9.3342377532960652E-2</v>
      </c>
      <c r="P41" s="727">
        <f t="shared" si="22"/>
        <v>0.11963696369636963</v>
      </c>
      <c r="Q41" s="727">
        <f t="shared" si="22"/>
        <v>0.10489378560917634</v>
      </c>
      <c r="R41" s="727">
        <f t="shared" si="22"/>
        <v>0.11418783899514701</v>
      </c>
      <c r="S41" s="727">
        <f t="shared" si="22"/>
        <v>-6.3986256102798733E-2</v>
      </c>
      <c r="T41" s="727">
        <f t="shared" si="22"/>
        <v>7.1186235308372717E-2</v>
      </c>
      <c r="U41" s="727">
        <f t="shared" si="22"/>
        <v>5.6939990523735294E-2</v>
      </c>
    </row>
    <row r="42" spans="1:21" ht="13">
      <c r="A42" s="749"/>
      <c r="B42" s="2543"/>
      <c r="C42" s="2543"/>
      <c r="D42" s="2543"/>
      <c r="E42" s="2543"/>
      <c r="F42" s="2543"/>
      <c r="G42" s="2543"/>
      <c r="H42" s="2543"/>
      <c r="I42" s="2543"/>
      <c r="J42" s="2543"/>
      <c r="K42" s="2543"/>
      <c r="L42" s="2543"/>
      <c r="M42" s="2543"/>
      <c r="N42" s="2543"/>
      <c r="O42" s="2543"/>
      <c r="P42" s="2543"/>
    </row>
    <row r="43" spans="1:21" ht="13">
      <c r="A43" s="749" t="s">
        <v>2418</v>
      </c>
      <c r="B43" s="2543"/>
      <c r="C43" s="2543"/>
      <c r="D43" s="2543"/>
      <c r="E43" s="2543"/>
      <c r="F43" s="2543"/>
      <c r="G43" s="2543"/>
      <c r="H43" s="2543"/>
      <c r="I43" s="2543"/>
      <c r="J43" s="2543"/>
      <c r="K43" s="2543"/>
      <c r="L43" s="2543"/>
      <c r="M43" s="2543"/>
      <c r="N43" s="2543"/>
      <c r="O43" s="2543"/>
      <c r="P43" s="2543">
        <f t="shared" ref="P43:U43" si="23">P45/1000</f>
        <v>2.5960000000000001</v>
      </c>
      <c r="Q43" s="2543">
        <f t="shared" si="23"/>
        <v>2.6760000000000002</v>
      </c>
      <c r="R43" s="2543">
        <f t="shared" si="23"/>
        <v>2.6520000000000001</v>
      </c>
      <c r="S43" s="2543">
        <f t="shared" si="23"/>
        <v>2.448</v>
      </c>
      <c r="T43" s="2543">
        <f t="shared" si="23"/>
        <v>2.7229999999999999</v>
      </c>
      <c r="U43" s="2543">
        <f t="shared" si="23"/>
        <v>2.855</v>
      </c>
    </row>
    <row r="44" spans="1:21">
      <c r="A44" s="750" t="s">
        <v>2419</v>
      </c>
      <c r="B44" s="2543"/>
      <c r="C44" s="2543"/>
      <c r="D44" s="2543"/>
      <c r="E44" s="2543"/>
      <c r="F44" s="859">
        <f t="shared" ref="F44:U44" si="24">F3*1000/F45</f>
        <v>405.27512254901961</v>
      </c>
      <c r="G44" s="859">
        <f t="shared" si="24"/>
        <v>442.80949589683468</v>
      </c>
      <c r="H44" s="859">
        <f t="shared" si="24"/>
        <v>459.41598694942905</v>
      </c>
      <c r="I44" s="859">
        <f t="shared" si="24"/>
        <v>490.67616707616708</v>
      </c>
      <c r="J44" s="859">
        <f t="shared" si="24"/>
        <v>478.6763738844528</v>
      </c>
      <c r="K44" s="859">
        <f t="shared" si="24"/>
        <v>480.10226244343892</v>
      </c>
      <c r="L44" s="859">
        <f t="shared" si="24"/>
        <v>485.64926022628373</v>
      </c>
      <c r="M44" s="859">
        <f t="shared" si="24"/>
        <v>520.21413807358408</v>
      </c>
      <c r="N44" s="859">
        <f t="shared" si="24"/>
        <v>489.85560859188541</v>
      </c>
      <c r="O44" s="859">
        <f t="shared" si="24"/>
        <v>454.29804372842347</v>
      </c>
      <c r="P44" s="859">
        <f t="shared" si="24"/>
        <v>420.76271186440675</v>
      </c>
      <c r="Q44" s="859">
        <f t="shared" si="24"/>
        <v>451.12107623318383</v>
      </c>
      <c r="R44" s="859">
        <f t="shared" si="24"/>
        <v>436.46304675716442</v>
      </c>
      <c r="S44" s="859">
        <f t="shared" si="24"/>
        <v>456.74019607843138</v>
      </c>
      <c r="T44" s="859">
        <f t="shared" si="24"/>
        <v>432.50091810503119</v>
      </c>
      <c r="U44" s="859">
        <f t="shared" si="24"/>
        <v>448.65148861646236</v>
      </c>
    </row>
    <row r="45" spans="1:21">
      <c r="A45" s="750" t="s">
        <v>2420</v>
      </c>
      <c r="B45" s="2543"/>
      <c r="C45" s="2543"/>
      <c r="D45" s="2543"/>
      <c r="E45" s="2543"/>
      <c r="F45" s="859">
        <v>1632</v>
      </c>
      <c r="G45" s="859">
        <v>1706</v>
      </c>
      <c r="H45" s="859">
        <v>1839</v>
      </c>
      <c r="I45" s="859">
        <v>2035</v>
      </c>
      <c r="J45" s="859">
        <v>2129</v>
      </c>
      <c r="K45" s="859">
        <v>2210</v>
      </c>
      <c r="L45" s="859">
        <v>2298</v>
      </c>
      <c r="M45" s="859">
        <v>2419</v>
      </c>
      <c r="N45" s="859">
        <v>2514</v>
      </c>
      <c r="O45" s="859">
        <v>2607</v>
      </c>
      <c r="P45" s="859">
        <v>2596</v>
      </c>
      <c r="Q45" s="859">
        <v>2676</v>
      </c>
      <c r="R45" s="859">
        <v>2652</v>
      </c>
      <c r="S45" s="859">
        <v>2448</v>
      </c>
      <c r="T45" s="859">
        <v>2723</v>
      </c>
      <c r="U45" s="859">
        <v>2855</v>
      </c>
    </row>
    <row r="46" spans="1:21">
      <c r="A46" s="2558" t="s">
        <v>1361</v>
      </c>
      <c r="B46" s="2543"/>
      <c r="C46" s="2543"/>
      <c r="D46" s="2543"/>
      <c r="E46" s="2543"/>
      <c r="F46" s="859"/>
      <c r="G46" s="859"/>
      <c r="H46" s="859"/>
      <c r="I46" s="859"/>
      <c r="J46" s="859">
        <v>1246</v>
      </c>
      <c r="K46" s="859">
        <v>1325</v>
      </c>
      <c r="L46" s="859">
        <v>1328</v>
      </c>
      <c r="M46" s="859">
        <v>1386</v>
      </c>
      <c r="N46" s="859">
        <v>1362</v>
      </c>
      <c r="O46" s="859">
        <v>1513</v>
      </c>
      <c r="P46" s="859">
        <v>1512</v>
      </c>
      <c r="Q46" s="859">
        <v>1557</v>
      </c>
      <c r="R46" s="859">
        <v>1517</v>
      </c>
      <c r="S46" s="859">
        <v>1459</v>
      </c>
      <c r="T46" s="859">
        <v>1586</v>
      </c>
      <c r="U46" s="859">
        <v>1658</v>
      </c>
    </row>
    <row r="47" spans="1:21">
      <c r="A47" s="2558" t="s">
        <v>2421</v>
      </c>
      <c r="B47" s="2543"/>
      <c r="C47" s="2543"/>
      <c r="D47" s="2543"/>
      <c r="E47" s="2543"/>
      <c r="F47" s="859"/>
      <c r="G47" s="859"/>
      <c r="H47" s="859"/>
      <c r="I47" s="859"/>
      <c r="J47" s="859">
        <v>883</v>
      </c>
      <c r="K47" s="859">
        <v>885</v>
      </c>
      <c r="L47" s="859">
        <v>970</v>
      </c>
      <c r="M47" s="859">
        <v>1033</v>
      </c>
      <c r="N47" s="859">
        <v>1152</v>
      </c>
      <c r="O47" s="859">
        <v>1094</v>
      </c>
      <c r="P47" s="859">
        <v>1085</v>
      </c>
      <c r="Q47" s="859">
        <v>1119</v>
      </c>
      <c r="R47" s="859">
        <v>1135</v>
      </c>
      <c r="S47" s="859">
        <v>989</v>
      </c>
      <c r="T47" s="859">
        <v>1137</v>
      </c>
      <c r="U47" s="859">
        <v>1197</v>
      </c>
    </row>
    <row r="48" spans="1:21">
      <c r="A48" s="2559" t="s">
        <v>2422</v>
      </c>
      <c r="B48" s="2543"/>
      <c r="C48" s="2543"/>
      <c r="D48" s="2543"/>
      <c r="E48" s="2543"/>
      <c r="F48" s="859"/>
      <c r="G48" s="859"/>
      <c r="H48" s="859"/>
      <c r="I48" s="859"/>
      <c r="J48" s="859">
        <v>57.2</v>
      </c>
      <c r="K48" s="859">
        <v>55.8</v>
      </c>
      <c r="L48" s="859">
        <v>57.8</v>
      </c>
      <c r="M48" s="859">
        <v>62.7</v>
      </c>
      <c r="N48" s="859">
        <v>59.1</v>
      </c>
      <c r="O48" s="859">
        <v>49.2</v>
      </c>
      <c r="P48" s="859">
        <v>46.7</v>
      </c>
      <c r="Q48" s="859">
        <v>49.5</v>
      </c>
      <c r="R48" s="859">
        <v>50.2</v>
      </c>
      <c r="S48" s="859">
        <v>46.6</v>
      </c>
      <c r="T48" s="859">
        <v>48.5</v>
      </c>
      <c r="U48" s="859">
        <v>51</v>
      </c>
    </row>
    <row r="49" spans="1:22">
      <c r="A49" s="2558" t="s">
        <v>1361</v>
      </c>
      <c r="B49" s="2543"/>
      <c r="C49" s="2543"/>
      <c r="D49" s="2543"/>
      <c r="E49" s="2543"/>
      <c r="F49" s="2560"/>
      <c r="G49" s="2560"/>
      <c r="H49" s="2560"/>
      <c r="I49" s="2560"/>
      <c r="J49" s="859">
        <v>45.6</v>
      </c>
      <c r="K49" s="859">
        <v>45.2</v>
      </c>
      <c r="L49" s="859">
        <v>44.3</v>
      </c>
      <c r="M49" s="859">
        <v>47.7</v>
      </c>
      <c r="N49" s="859">
        <v>44.7</v>
      </c>
      <c r="O49" s="859">
        <v>35.1</v>
      </c>
      <c r="P49" s="859">
        <v>33.4</v>
      </c>
      <c r="Q49" s="859">
        <v>32.299999999999997</v>
      </c>
      <c r="R49" s="859">
        <v>32.799999999999997</v>
      </c>
      <c r="S49" s="859">
        <v>32.5</v>
      </c>
      <c r="T49" s="859">
        <v>32.299999999999997</v>
      </c>
      <c r="U49" s="859">
        <v>32.200000000000003</v>
      </c>
    </row>
    <row r="50" spans="1:22">
      <c r="A50" s="2558" t="s">
        <v>2421</v>
      </c>
      <c r="B50" s="2543"/>
      <c r="C50" s="2543"/>
      <c r="D50" s="2543"/>
      <c r="E50" s="2543"/>
      <c r="F50" s="2543"/>
      <c r="G50" s="2543"/>
      <c r="H50" s="2543"/>
      <c r="I50" s="2543"/>
      <c r="J50" s="859">
        <v>73.5</v>
      </c>
      <c r="K50" s="859">
        <v>71.8</v>
      </c>
      <c r="L50" s="859">
        <v>76.2</v>
      </c>
      <c r="M50" s="859">
        <v>82.7</v>
      </c>
      <c r="N50" s="859">
        <v>76.2</v>
      </c>
      <c r="O50" s="859">
        <v>68.599999999999994</v>
      </c>
      <c r="P50" s="859">
        <v>65.2</v>
      </c>
      <c r="Q50" s="859">
        <v>73.5</v>
      </c>
      <c r="R50" s="859">
        <v>73.5</v>
      </c>
      <c r="S50" s="859">
        <v>67.5</v>
      </c>
      <c r="T50" s="859">
        <v>71.099999999999994</v>
      </c>
      <c r="U50" s="859">
        <v>77.099999999999994</v>
      </c>
    </row>
    <row r="51" spans="1:22">
      <c r="A51" s="2558"/>
      <c r="B51" s="2543"/>
      <c r="C51" s="2543"/>
      <c r="D51" s="2543"/>
      <c r="E51" s="2543"/>
      <c r="F51" s="2543"/>
      <c r="G51" s="2543"/>
      <c r="H51" s="2543"/>
      <c r="I51" s="2543"/>
      <c r="J51" s="2543"/>
      <c r="K51" s="2543"/>
      <c r="L51" s="2543"/>
      <c r="M51" s="2543"/>
      <c r="N51" s="2543"/>
      <c r="O51" s="2543"/>
      <c r="P51" s="2543"/>
      <c r="Q51" s="2543"/>
      <c r="R51" s="2543"/>
      <c r="S51" s="2543"/>
      <c r="T51" s="2543"/>
      <c r="U51" s="2543"/>
    </row>
    <row r="52" spans="1:22" ht="13">
      <c r="A52" s="749" t="s">
        <v>2423</v>
      </c>
      <c r="B52" s="2543"/>
      <c r="C52" s="2543"/>
      <c r="D52" s="2543"/>
      <c r="E52" s="2543"/>
      <c r="F52" s="2543"/>
      <c r="G52" s="2543"/>
      <c r="H52" s="2543"/>
      <c r="I52" s="2543"/>
      <c r="J52" s="2561" t="s">
        <v>2424</v>
      </c>
      <c r="K52" s="2561" t="s">
        <v>2425</v>
      </c>
      <c r="L52" s="2561" t="s">
        <v>2426</v>
      </c>
      <c r="M52" s="2561" t="s">
        <v>2389</v>
      </c>
      <c r="N52" s="2561" t="s">
        <v>2390</v>
      </c>
      <c r="O52" s="2561" t="s">
        <v>2391</v>
      </c>
      <c r="P52" s="2561" t="s">
        <v>2427</v>
      </c>
      <c r="Q52" s="2562" t="s">
        <v>2428</v>
      </c>
      <c r="R52" s="2562" t="s">
        <v>2429</v>
      </c>
      <c r="S52" s="2562" t="s">
        <v>2430</v>
      </c>
      <c r="T52" s="2562" t="s">
        <v>2431</v>
      </c>
      <c r="U52" s="2562" t="s">
        <v>2397</v>
      </c>
    </row>
    <row r="53" spans="1:22">
      <c r="A53" s="750" t="s">
        <v>2432</v>
      </c>
      <c r="B53" s="2543"/>
      <c r="C53" s="2543"/>
      <c r="D53" s="2543"/>
      <c r="E53" s="2543"/>
      <c r="F53" s="2543"/>
      <c r="G53" s="2543"/>
      <c r="H53" s="2543"/>
      <c r="I53" s="2543"/>
      <c r="J53" s="859">
        <v>2129</v>
      </c>
      <c r="K53" s="859">
        <v>2210</v>
      </c>
      <c r="L53" s="859">
        <v>2298</v>
      </c>
      <c r="M53" s="859">
        <f>M55+M58+M61</f>
        <v>2400</v>
      </c>
      <c r="N53" s="859">
        <f t="shared" ref="N53:U53" si="25">N55+N58+N61</f>
        <v>2514</v>
      </c>
      <c r="O53" s="859">
        <f t="shared" si="25"/>
        <v>2607</v>
      </c>
      <c r="P53" s="859">
        <f t="shared" si="25"/>
        <v>2597</v>
      </c>
      <c r="Q53" s="859">
        <f t="shared" si="25"/>
        <v>2675</v>
      </c>
      <c r="R53" s="859">
        <f t="shared" si="25"/>
        <v>2652</v>
      </c>
      <c r="S53" s="859">
        <f t="shared" si="25"/>
        <v>2448</v>
      </c>
      <c r="T53" s="859">
        <f t="shared" si="25"/>
        <v>2723</v>
      </c>
      <c r="U53" s="859">
        <f t="shared" si="25"/>
        <v>2854</v>
      </c>
    </row>
    <row r="54" spans="1:22" ht="13">
      <c r="A54" s="2563" t="s">
        <v>2433</v>
      </c>
      <c r="B54" s="2543"/>
      <c r="C54" s="2543"/>
      <c r="D54" s="2543"/>
      <c r="E54" s="2543"/>
      <c r="F54" s="2543"/>
      <c r="G54" s="2543"/>
      <c r="H54" s="2543"/>
      <c r="I54" s="2543"/>
      <c r="J54" s="2543"/>
      <c r="K54" s="2543"/>
      <c r="L54" s="2543"/>
      <c r="M54" s="859"/>
      <c r="N54" s="727">
        <f t="shared" ref="N54:T54" si="26">N53/J53-1</f>
        <v>0.18083607327383744</v>
      </c>
      <c r="O54" s="727">
        <f t="shared" si="26"/>
        <v>0.17963800904977378</v>
      </c>
      <c r="P54" s="727">
        <f t="shared" si="26"/>
        <v>0.13011314186248901</v>
      </c>
      <c r="Q54" s="727">
        <f t="shared" si="26"/>
        <v>0.11458333333333326</v>
      </c>
      <c r="R54" s="727">
        <f t="shared" si="26"/>
        <v>5.4892601431980825E-2</v>
      </c>
      <c r="S54" s="727">
        <f t="shared" si="26"/>
        <v>-6.0989643268124283E-2</v>
      </c>
      <c r="T54" s="727">
        <f t="shared" si="26"/>
        <v>4.8517520215633381E-2</v>
      </c>
      <c r="U54" s="727">
        <f>U53/Q53-1</f>
        <v>6.6915887850467204E-2</v>
      </c>
    </row>
    <row r="55" spans="1:22">
      <c r="A55" s="2558" t="s">
        <v>2434</v>
      </c>
      <c r="B55" s="2543"/>
      <c r="C55" s="2543"/>
      <c r="D55" s="2543"/>
      <c r="E55" s="2543"/>
      <c r="F55" s="2543"/>
      <c r="G55" s="2543"/>
      <c r="H55" s="2543"/>
      <c r="I55" s="2543"/>
      <c r="J55" s="859">
        <f>N55/(1+N56)</f>
        <v>557.85123966942149</v>
      </c>
      <c r="K55" s="859">
        <f>O55/(1+O56)</f>
        <v>519.81981981981983</v>
      </c>
      <c r="L55" s="859">
        <f>P55/(1+P56)</f>
        <v>550</v>
      </c>
      <c r="M55" s="859">
        <v>632</v>
      </c>
      <c r="N55" s="859">
        <v>675</v>
      </c>
      <c r="O55" s="859">
        <v>577</v>
      </c>
      <c r="P55" s="859">
        <v>572</v>
      </c>
      <c r="Q55" s="859">
        <v>558</v>
      </c>
      <c r="R55" s="859">
        <v>618</v>
      </c>
      <c r="S55" s="859">
        <v>496</v>
      </c>
      <c r="T55" s="859">
        <v>551</v>
      </c>
      <c r="U55" s="859">
        <v>629</v>
      </c>
    </row>
    <row r="56" spans="1:22" ht="13">
      <c r="A56" s="2563" t="s">
        <v>2433</v>
      </c>
      <c r="B56" s="2543"/>
      <c r="C56" s="2543"/>
      <c r="D56" s="2543"/>
      <c r="E56" s="2543"/>
      <c r="F56" s="2543"/>
      <c r="G56" s="2543"/>
      <c r="H56" s="2543"/>
      <c r="I56" s="2543"/>
      <c r="J56" s="859"/>
      <c r="K56" s="859"/>
      <c r="L56" s="1121">
        <v>0.24</v>
      </c>
      <c r="M56" s="1121">
        <v>0.22</v>
      </c>
      <c r="N56" s="1121">
        <v>0.21</v>
      </c>
      <c r="O56" s="1121">
        <v>0.11</v>
      </c>
      <c r="P56" s="1121">
        <v>0.04</v>
      </c>
      <c r="Q56" s="727">
        <f>Q55/M55-1</f>
        <v>-0.11708860759493667</v>
      </c>
      <c r="R56" s="727">
        <f>R55/N55-1</f>
        <v>-8.4444444444444433E-2</v>
      </c>
      <c r="S56" s="727">
        <f>S55/O55-1</f>
        <v>-0.14038128249566728</v>
      </c>
      <c r="T56" s="727">
        <f>T55/P55-1</f>
        <v>-3.6713286713286664E-2</v>
      </c>
      <c r="U56" s="727">
        <f>U55/Q55-1</f>
        <v>0.12724014336917566</v>
      </c>
    </row>
    <row r="57" spans="1:22" ht="13">
      <c r="A57" s="2563" t="s">
        <v>2435</v>
      </c>
      <c r="B57" s="2543"/>
      <c r="C57" s="2543"/>
      <c r="D57" s="2543"/>
      <c r="E57" s="2543"/>
      <c r="F57" s="2543"/>
      <c r="G57" s="2543"/>
      <c r="H57" s="2543"/>
      <c r="I57" s="2543"/>
      <c r="J57" s="859"/>
      <c r="K57" s="859"/>
      <c r="L57" s="859"/>
      <c r="M57" s="2564">
        <f t="shared" ref="M57:U57" si="27">M55/M53</f>
        <v>0.26333333333333331</v>
      </c>
      <c r="N57" s="2564">
        <f t="shared" si="27"/>
        <v>0.26849642004773272</v>
      </c>
      <c r="O57" s="2564">
        <f t="shared" si="27"/>
        <v>0.2213271960107403</v>
      </c>
      <c r="P57" s="2564">
        <f t="shared" si="27"/>
        <v>0.22025413939160571</v>
      </c>
      <c r="Q57" s="2564">
        <f t="shared" si="27"/>
        <v>0.2085981308411215</v>
      </c>
      <c r="R57" s="2564">
        <f t="shared" si="27"/>
        <v>0.2330316742081448</v>
      </c>
      <c r="S57" s="2564">
        <f t="shared" si="27"/>
        <v>0.20261437908496732</v>
      </c>
      <c r="T57" s="2564">
        <f t="shared" si="27"/>
        <v>0.20235034887991185</v>
      </c>
      <c r="U57" s="2564">
        <f t="shared" si="27"/>
        <v>0.22039243167484232</v>
      </c>
    </row>
    <row r="58" spans="1:22" s="2565" customFormat="1">
      <c r="A58" s="2558" t="s">
        <v>2436</v>
      </c>
      <c r="B58" s="2543"/>
      <c r="C58" s="2543"/>
      <c r="D58" s="2543"/>
      <c r="E58" s="2543"/>
      <c r="F58" s="2543"/>
      <c r="G58" s="2543"/>
      <c r="H58" s="2543"/>
      <c r="I58" s="2543"/>
      <c r="J58" s="859">
        <f>N58/(1+N59)</f>
        <v>888.59649122807002</v>
      </c>
      <c r="K58" s="859">
        <f>O58/(1+O59)</f>
        <v>907.43801652892569</v>
      </c>
      <c r="L58" s="859">
        <f>P58/(1+P59)</f>
        <v>937.83783783783781</v>
      </c>
      <c r="M58" s="859">
        <v>966</v>
      </c>
      <c r="N58" s="859">
        <v>1013</v>
      </c>
      <c r="O58" s="859">
        <v>1098</v>
      </c>
      <c r="P58" s="859">
        <v>1041</v>
      </c>
      <c r="Q58" s="859">
        <v>1085</v>
      </c>
      <c r="R58" s="859">
        <v>1045</v>
      </c>
      <c r="S58" s="859">
        <v>948</v>
      </c>
      <c r="T58" s="859">
        <v>1070</v>
      </c>
      <c r="U58" s="859">
        <v>1105</v>
      </c>
      <c r="V58" s="2541"/>
    </row>
    <row r="59" spans="1:22" ht="13">
      <c r="A59" s="2563" t="s">
        <v>2437</v>
      </c>
      <c r="B59" s="2543"/>
      <c r="C59" s="2543"/>
      <c r="D59" s="2543"/>
      <c r="E59" s="2543"/>
      <c r="F59" s="2543"/>
      <c r="G59" s="2543"/>
      <c r="H59" s="2543"/>
      <c r="I59" s="2543"/>
      <c r="J59" s="2543"/>
      <c r="K59" s="2543"/>
      <c r="L59" s="1121">
        <v>0.28999999999999998</v>
      </c>
      <c r="M59" s="1121">
        <v>0.18</v>
      </c>
      <c r="N59" s="1121">
        <v>0.14000000000000001</v>
      </c>
      <c r="O59" s="1121">
        <v>0.21</v>
      </c>
      <c r="P59" s="1121">
        <v>0.11</v>
      </c>
      <c r="Q59" s="727">
        <f>Q58/M58-1</f>
        <v>0.12318840579710155</v>
      </c>
      <c r="R59" s="727">
        <f>R58/N58-1</f>
        <v>3.1589338598223105E-2</v>
      </c>
      <c r="S59" s="727">
        <f>S58/O58-1</f>
        <v>-0.13661202185792354</v>
      </c>
      <c r="T59" s="727">
        <f>T58/P58-1</f>
        <v>2.7857829010566659E-2</v>
      </c>
      <c r="U59" s="727">
        <f>U58/Q58-1</f>
        <v>1.8433179723502224E-2</v>
      </c>
      <c r="V59" s="2565"/>
    </row>
    <row r="60" spans="1:22" ht="13">
      <c r="A60" s="2563" t="s">
        <v>2438</v>
      </c>
      <c r="B60" s="2543"/>
      <c r="C60" s="2543"/>
      <c r="D60" s="2543"/>
      <c r="E60" s="2543"/>
      <c r="F60" s="2543"/>
      <c r="G60" s="2543"/>
      <c r="H60" s="2543"/>
      <c r="I60" s="2543"/>
      <c r="J60" s="2543"/>
      <c r="K60" s="2543"/>
      <c r="L60" s="2543"/>
      <c r="M60" s="2564">
        <f t="shared" ref="M60:U60" si="28">M58/M53</f>
        <v>0.40250000000000002</v>
      </c>
      <c r="N60" s="2564">
        <f t="shared" si="28"/>
        <v>0.40294351630867142</v>
      </c>
      <c r="O60" s="2564">
        <f t="shared" si="28"/>
        <v>0.42117376294591485</v>
      </c>
      <c r="P60" s="2564">
        <f t="shared" si="28"/>
        <v>0.40084713130535232</v>
      </c>
      <c r="Q60" s="2564">
        <f t="shared" si="28"/>
        <v>0.405607476635514</v>
      </c>
      <c r="R60" s="2564">
        <f t="shared" si="28"/>
        <v>0.39404223227752638</v>
      </c>
      <c r="S60" s="2564">
        <f t="shared" si="28"/>
        <v>0.38725490196078433</v>
      </c>
      <c r="T60" s="2564">
        <f t="shared" si="28"/>
        <v>0.39294895336026442</v>
      </c>
      <c r="U60" s="2564">
        <f t="shared" si="28"/>
        <v>0.3871758934828311</v>
      </c>
    </row>
    <row r="61" spans="1:22">
      <c r="A61" s="2558" t="s">
        <v>2439</v>
      </c>
      <c r="B61" s="2543"/>
      <c r="C61" s="2543"/>
      <c r="D61" s="2543"/>
      <c r="E61" s="2543"/>
      <c r="F61" s="2543"/>
      <c r="G61" s="2543"/>
      <c r="H61" s="2543"/>
      <c r="I61" s="2543"/>
      <c r="J61" s="859">
        <f>J53-J55-J58</f>
        <v>682.5522691025086</v>
      </c>
      <c r="K61" s="859">
        <f>K53-K55-K58</f>
        <v>782.7421636512546</v>
      </c>
      <c r="L61" s="859">
        <f>L53-L55-L58</f>
        <v>810.16216216216219</v>
      </c>
      <c r="M61" s="859">
        <v>802</v>
      </c>
      <c r="N61" s="859">
        <v>826</v>
      </c>
      <c r="O61" s="859">
        <v>932</v>
      </c>
      <c r="P61" s="859">
        <v>984</v>
      </c>
      <c r="Q61" s="859">
        <v>1032</v>
      </c>
      <c r="R61" s="859">
        <v>989</v>
      </c>
      <c r="S61" s="859">
        <v>1004</v>
      </c>
      <c r="T61" s="859">
        <v>1102</v>
      </c>
      <c r="U61" s="859">
        <v>1120</v>
      </c>
    </row>
    <row r="62" spans="1:22" ht="13">
      <c r="A62" s="2563" t="s">
        <v>2433</v>
      </c>
      <c r="B62" s="2543"/>
      <c r="C62" s="2543"/>
      <c r="D62" s="2543"/>
      <c r="E62" s="2543"/>
      <c r="F62" s="2543"/>
      <c r="G62" s="2543"/>
      <c r="H62" s="2543"/>
      <c r="I62" s="2543"/>
      <c r="J62" s="2543"/>
      <c r="K62" s="2543"/>
      <c r="L62" s="2543"/>
      <c r="M62" s="727"/>
      <c r="N62" s="727">
        <f t="shared" ref="N62:T62" si="29">N61/J61-1</f>
        <v>0.21016373015082279</v>
      </c>
      <c r="O62" s="727">
        <f t="shared" si="29"/>
        <v>0.19068582641888465</v>
      </c>
      <c r="P62" s="727">
        <f t="shared" si="29"/>
        <v>0.2145716573258607</v>
      </c>
      <c r="Q62" s="727">
        <f t="shared" si="29"/>
        <v>0.28678304239401498</v>
      </c>
      <c r="R62" s="727">
        <f t="shared" si="29"/>
        <v>0.19733656174334135</v>
      </c>
      <c r="S62" s="727">
        <f t="shared" si="29"/>
        <v>7.7253218884120178E-2</v>
      </c>
      <c r="T62" s="727">
        <f t="shared" si="29"/>
        <v>0.11991869918699183</v>
      </c>
      <c r="U62" s="727">
        <f>U61/Q61-1</f>
        <v>8.5271317829457294E-2</v>
      </c>
    </row>
    <row r="63" spans="1:22" ht="13">
      <c r="A63" s="2563" t="s">
        <v>2438</v>
      </c>
      <c r="B63" s="2543"/>
      <c r="C63" s="2543"/>
      <c r="D63" s="2543"/>
      <c r="E63" s="2543"/>
      <c r="F63" s="2543"/>
      <c r="G63" s="2543"/>
      <c r="H63" s="2543"/>
      <c r="I63" s="2543"/>
      <c r="J63" s="2543"/>
      <c r="K63" s="2543"/>
      <c r="L63" s="2543"/>
      <c r="M63" s="2564">
        <f t="shared" ref="M63:U63" si="30">M61/M53</f>
        <v>0.33416666666666667</v>
      </c>
      <c r="N63" s="2564">
        <f t="shared" si="30"/>
        <v>0.32856006364359586</v>
      </c>
      <c r="O63" s="2564">
        <f t="shared" si="30"/>
        <v>0.35749904104334485</v>
      </c>
      <c r="P63" s="2564">
        <f t="shared" si="30"/>
        <v>0.37889872930304197</v>
      </c>
      <c r="Q63" s="2564">
        <f t="shared" si="30"/>
        <v>0.3857943925233645</v>
      </c>
      <c r="R63" s="2564">
        <f t="shared" si="30"/>
        <v>0.37292609351432882</v>
      </c>
      <c r="S63" s="2564">
        <f t="shared" si="30"/>
        <v>0.41013071895424835</v>
      </c>
      <c r="T63" s="2564">
        <f t="shared" si="30"/>
        <v>0.4047006977598237</v>
      </c>
      <c r="U63" s="2564">
        <f t="shared" si="30"/>
        <v>0.39243167484232655</v>
      </c>
    </row>
    <row r="64" spans="1:22">
      <c r="A64" s="2559" t="s">
        <v>2440</v>
      </c>
      <c r="B64" s="2543"/>
      <c r="C64" s="2543"/>
      <c r="D64" s="2543"/>
      <c r="E64" s="2543"/>
      <c r="F64" s="2543"/>
      <c r="G64" s="2543"/>
      <c r="H64" s="2543"/>
      <c r="I64" s="2543"/>
      <c r="J64" s="2543"/>
      <c r="K64" s="2543"/>
      <c r="L64" s="2543"/>
      <c r="M64" s="859">
        <f>M66+M69+M72</f>
        <v>1259</v>
      </c>
      <c r="N64" s="859">
        <f t="shared" ref="N64:U64" si="31">N66+N69+N72</f>
        <v>1232</v>
      </c>
      <c r="O64" s="859">
        <f t="shared" si="31"/>
        <v>1184</v>
      </c>
      <c r="P64" s="859">
        <f t="shared" si="31"/>
        <v>1092.7</v>
      </c>
      <c r="Q64" s="859">
        <f t="shared" si="31"/>
        <v>1208</v>
      </c>
      <c r="R64" s="859">
        <f t="shared" si="31"/>
        <v>1157</v>
      </c>
      <c r="S64" s="859">
        <f t="shared" si="31"/>
        <v>1118</v>
      </c>
      <c r="T64" s="859">
        <f t="shared" si="31"/>
        <v>1178</v>
      </c>
      <c r="U64" s="859">
        <f t="shared" si="31"/>
        <v>1280.5</v>
      </c>
    </row>
    <row r="65" spans="1:23" ht="13">
      <c r="A65" s="2563" t="s">
        <v>2433</v>
      </c>
      <c r="B65" s="2543"/>
      <c r="C65" s="2543"/>
      <c r="D65" s="2543"/>
      <c r="E65" s="2543"/>
      <c r="F65" s="2543"/>
      <c r="G65" s="2543"/>
      <c r="H65" s="2543"/>
      <c r="I65" s="2543"/>
      <c r="J65" s="2543"/>
      <c r="K65" s="2543"/>
      <c r="L65" s="2543"/>
      <c r="M65" s="859"/>
      <c r="N65" s="859"/>
      <c r="O65" s="859"/>
      <c r="P65" s="859"/>
      <c r="Q65" s="727">
        <f>Q64/M64-1</f>
        <v>-4.0508339952343153E-2</v>
      </c>
      <c r="R65" s="727">
        <f>R64/N64-1</f>
        <v>-6.0876623376623362E-2</v>
      </c>
      <c r="S65" s="727">
        <f>S64/O64-1</f>
        <v>-5.5743243243243201E-2</v>
      </c>
      <c r="T65" s="727">
        <f>T64/P64-1</f>
        <v>7.8063512400475821E-2</v>
      </c>
      <c r="U65" s="727">
        <f>U64/Q64-1</f>
        <v>6.0016556291390799E-2</v>
      </c>
    </row>
    <row r="66" spans="1:23">
      <c r="A66" s="2558" t="s">
        <v>2441</v>
      </c>
      <c r="B66" s="2543"/>
      <c r="C66" s="2543"/>
      <c r="D66" s="2543"/>
      <c r="E66" s="2543"/>
      <c r="F66" s="2543"/>
      <c r="G66" s="2543"/>
      <c r="H66" s="2543"/>
      <c r="I66" s="2543"/>
      <c r="J66" s="2543"/>
      <c r="K66" s="2543"/>
      <c r="L66" s="2543"/>
      <c r="M66" s="859">
        <v>451</v>
      </c>
      <c r="N66" s="859">
        <v>407</v>
      </c>
      <c r="O66" s="859">
        <v>312</v>
      </c>
      <c r="P66" s="859">
        <v>262</v>
      </c>
      <c r="Q66" s="859">
        <v>269</v>
      </c>
      <c r="R66" s="859">
        <v>275</v>
      </c>
      <c r="S66" s="859">
        <v>216</v>
      </c>
      <c r="T66" s="859">
        <v>232</v>
      </c>
      <c r="U66" s="859">
        <v>304.60000000000002</v>
      </c>
    </row>
    <row r="67" spans="1:23" ht="13">
      <c r="A67" s="2563" t="s">
        <v>2433</v>
      </c>
      <c r="B67" s="2543"/>
      <c r="C67" s="2543"/>
      <c r="D67" s="2543"/>
      <c r="E67" s="2543"/>
      <c r="F67" s="2543"/>
      <c r="G67" s="2543"/>
      <c r="H67" s="2543"/>
      <c r="I67" s="2543"/>
      <c r="J67" s="2543"/>
      <c r="K67" s="2543"/>
      <c r="L67" s="2543"/>
      <c r="M67" s="859"/>
      <c r="N67" s="859"/>
      <c r="O67" s="859"/>
      <c r="P67" s="859"/>
      <c r="Q67" s="727">
        <f>Q66/M66-1</f>
        <v>-0.40354767184035478</v>
      </c>
      <c r="R67" s="727">
        <f>R66/N66-1</f>
        <v>-0.32432432432432434</v>
      </c>
      <c r="S67" s="727">
        <f>S66/O66-1</f>
        <v>-0.30769230769230771</v>
      </c>
      <c r="T67" s="727">
        <f>T66/P66-1</f>
        <v>-0.1145038167938931</v>
      </c>
      <c r="U67" s="727">
        <f>U66/Q66-1</f>
        <v>0.1323420074349444</v>
      </c>
    </row>
    <row r="68" spans="1:23" ht="13">
      <c r="A68" s="2563" t="s">
        <v>2442</v>
      </c>
      <c r="B68" s="2566"/>
      <c r="C68" s="2566"/>
      <c r="D68" s="2566"/>
      <c r="E68" s="2566"/>
      <c r="F68" s="2566"/>
      <c r="G68" s="2566"/>
      <c r="H68" s="2566"/>
      <c r="I68" s="2566"/>
      <c r="J68" s="2566"/>
      <c r="K68" s="2566"/>
      <c r="L68" s="2566"/>
      <c r="M68" s="2567">
        <f t="shared" ref="M68:U68" si="32">M66/M64</f>
        <v>0.35822081016679902</v>
      </c>
      <c r="N68" s="2567">
        <f t="shared" si="32"/>
        <v>0.33035714285714285</v>
      </c>
      <c r="O68" s="2567">
        <f t="shared" si="32"/>
        <v>0.26351351351351349</v>
      </c>
      <c r="P68" s="2567">
        <f t="shared" si="32"/>
        <v>0.23977303926054727</v>
      </c>
      <c r="Q68" s="2567">
        <f t="shared" si="32"/>
        <v>0.22268211920529801</v>
      </c>
      <c r="R68" s="2567">
        <f t="shared" si="32"/>
        <v>0.23768366464995677</v>
      </c>
      <c r="S68" s="2567">
        <f t="shared" si="32"/>
        <v>0.19320214669051877</v>
      </c>
      <c r="T68" s="2567">
        <f t="shared" si="32"/>
        <v>0.19694397283531409</v>
      </c>
      <c r="U68" s="2567">
        <f t="shared" si="32"/>
        <v>0.23787582975400237</v>
      </c>
    </row>
    <row r="69" spans="1:23" s="2568" customFormat="1" ht="13">
      <c r="A69" s="2558" t="s">
        <v>2436</v>
      </c>
      <c r="B69" s="2543"/>
      <c r="C69" s="2543"/>
      <c r="D69" s="2543"/>
      <c r="E69" s="2543"/>
      <c r="F69" s="2543"/>
      <c r="G69" s="2543"/>
      <c r="H69" s="2543"/>
      <c r="I69" s="2543"/>
      <c r="J69" s="2543"/>
      <c r="K69" s="2543"/>
      <c r="L69" s="2543"/>
      <c r="M69" s="859">
        <v>441</v>
      </c>
      <c r="N69" s="859">
        <v>452</v>
      </c>
      <c r="O69" s="859">
        <v>435</v>
      </c>
      <c r="P69" s="859">
        <v>407.9</v>
      </c>
      <c r="Q69" s="859">
        <v>496</v>
      </c>
      <c r="R69" s="859">
        <v>466</v>
      </c>
      <c r="S69" s="859">
        <v>452</v>
      </c>
      <c r="T69" s="859">
        <v>468</v>
      </c>
      <c r="U69" s="859">
        <v>492.5</v>
      </c>
      <c r="V69" s="2541"/>
      <c r="W69" s="2541"/>
    </row>
    <row r="70" spans="1:23" ht="13">
      <c r="A70" s="2563" t="s">
        <v>2443</v>
      </c>
      <c r="B70" s="2543"/>
      <c r="C70" s="2543"/>
      <c r="D70" s="2543"/>
      <c r="E70" s="2543"/>
      <c r="F70" s="2543"/>
      <c r="G70" s="2543"/>
      <c r="H70" s="2543"/>
      <c r="I70" s="2543"/>
      <c r="J70" s="2543"/>
      <c r="K70" s="2543"/>
      <c r="L70" s="2543"/>
      <c r="M70" s="859"/>
      <c r="N70" s="859"/>
      <c r="O70" s="1131">
        <v>0.13</v>
      </c>
      <c r="P70" s="1131">
        <v>0</v>
      </c>
      <c r="Q70" s="727">
        <f>Q69/M69-1</f>
        <v>0.12471655328798192</v>
      </c>
      <c r="R70" s="727">
        <f>R69/N69-1</f>
        <v>3.0973451327433565E-2</v>
      </c>
      <c r="S70" s="727">
        <f>S69/O69-1</f>
        <v>3.9080459770114873E-2</v>
      </c>
      <c r="T70" s="727">
        <f>T69/P69-1</f>
        <v>0.14734003432213783</v>
      </c>
      <c r="U70" s="727">
        <f>U69/Q69-1</f>
        <v>-7.0564516129032473E-3</v>
      </c>
      <c r="W70" s="2568"/>
    </row>
    <row r="71" spans="1:23" ht="13">
      <c r="A71" s="2563" t="s">
        <v>2435</v>
      </c>
      <c r="B71" s="2566"/>
      <c r="C71" s="2566"/>
      <c r="D71" s="2566"/>
      <c r="E71" s="2566"/>
      <c r="F71" s="2566"/>
      <c r="G71" s="2566"/>
      <c r="H71" s="2566"/>
      <c r="I71" s="2566"/>
      <c r="J71" s="2566"/>
      <c r="K71" s="2566"/>
      <c r="L71" s="2566"/>
      <c r="M71" s="2567">
        <f t="shared" ref="M71:U71" si="33">M69/M64</f>
        <v>0.35027799841143764</v>
      </c>
      <c r="N71" s="2567">
        <f t="shared" si="33"/>
        <v>0.36688311688311687</v>
      </c>
      <c r="O71" s="2567">
        <f t="shared" si="33"/>
        <v>0.36739864864864863</v>
      </c>
      <c r="P71" s="2567">
        <f t="shared" si="33"/>
        <v>0.37329550654342453</v>
      </c>
      <c r="Q71" s="2567">
        <f t="shared" si="33"/>
        <v>0.41059602649006621</v>
      </c>
      <c r="R71" s="2567">
        <f t="shared" si="33"/>
        <v>0.40276577355229043</v>
      </c>
      <c r="S71" s="2567">
        <f t="shared" si="33"/>
        <v>0.40429338103756707</v>
      </c>
      <c r="T71" s="2567">
        <f t="shared" si="33"/>
        <v>0.39728353140916806</v>
      </c>
      <c r="U71" s="2567">
        <f t="shared" si="33"/>
        <v>0.38461538461538464</v>
      </c>
      <c r="V71" s="2568"/>
    </row>
    <row r="72" spans="1:23" s="2568" customFormat="1" ht="13">
      <c r="A72" s="2558" t="s">
        <v>2444</v>
      </c>
      <c r="B72" s="2543"/>
      <c r="C72" s="2543"/>
      <c r="D72" s="2543"/>
      <c r="E72" s="2543"/>
      <c r="F72" s="2543"/>
      <c r="G72" s="2543"/>
      <c r="H72" s="2543"/>
      <c r="I72" s="2543"/>
      <c r="J72" s="2543"/>
      <c r="K72" s="2543"/>
      <c r="L72" s="2543"/>
      <c r="M72" s="859">
        <v>367</v>
      </c>
      <c r="N72" s="859">
        <v>373</v>
      </c>
      <c r="O72" s="859">
        <v>437</v>
      </c>
      <c r="P72" s="859">
        <v>422.8</v>
      </c>
      <c r="Q72" s="859">
        <v>443</v>
      </c>
      <c r="R72" s="859">
        <v>416</v>
      </c>
      <c r="S72" s="859">
        <v>450</v>
      </c>
      <c r="T72" s="859">
        <v>478</v>
      </c>
      <c r="U72" s="859">
        <v>483.4</v>
      </c>
      <c r="V72" s="2541"/>
      <c r="W72" s="2541"/>
    </row>
    <row r="73" spans="1:23" ht="13">
      <c r="A73" s="2563" t="s">
        <v>2103</v>
      </c>
      <c r="B73" s="2543"/>
      <c r="C73" s="2543"/>
      <c r="D73" s="2543"/>
      <c r="E73" s="2543"/>
      <c r="F73" s="2543"/>
      <c r="G73" s="2543"/>
      <c r="H73" s="2543"/>
      <c r="I73" s="2543"/>
      <c r="J73" s="2543"/>
      <c r="K73" s="2543"/>
      <c r="L73" s="2543"/>
      <c r="M73" s="859"/>
      <c r="N73" s="859"/>
      <c r="O73" s="859"/>
      <c r="P73" s="859"/>
      <c r="Q73" s="727">
        <f>Q72/M72-1</f>
        <v>0.20708446866485009</v>
      </c>
      <c r="R73" s="727">
        <f>R72/N72-1</f>
        <v>0.11528150134048265</v>
      </c>
      <c r="S73" s="727">
        <f>S72/O72-1</f>
        <v>2.9748283752860427E-2</v>
      </c>
      <c r="T73" s="727">
        <f>T72/P72-1</f>
        <v>0.13055818353831605</v>
      </c>
      <c r="U73" s="727">
        <f>U72/Q72-1</f>
        <v>9.1196388261850947E-2</v>
      </c>
      <c r="W73" s="2568"/>
    </row>
    <row r="74" spans="1:23" ht="13">
      <c r="A74" s="2563" t="s">
        <v>2442</v>
      </c>
      <c r="B74" s="2566"/>
      <c r="C74" s="2566"/>
      <c r="D74" s="2566"/>
      <c r="E74" s="2566"/>
      <c r="F74" s="2566"/>
      <c r="G74" s="2566"/>
      <c r="H74" s="2566"/>
      <c r="I74" s="2566"/>
      <c r="J74" s="2566"/>
      <c r="K74" s="2566"/>
      <c r="L74" s="2566"/>
      <c r="M74" s="2567">
        <f t="shared" ref="M74:U74" si="34">M72/M64</f>
        <v>0.29150119142176328</v>
      </c>
      <c r="N74" s="2567">
        <f t="shared" si="34"/>
        <v>0.30275974025974028</v>
      </c>
      <c r="O74" s="2567">
        <f t="shared" si="34"/>
        <v>0.36908783783783783</v>
      </c>
      <c r="P74" s="2567">
        <f t="shared" si="34"/>
        <v>0.3869314541960282</v>
      </c>
      <c r="Q74" s="2567">
        <f t="shared" si="34"/>
        <v>0.36672185430463577</v>
      </c>
      <c r="R74" s="2567">
        <f t="shared" si="34"/>
        <v>0.3595505617977528</v>
      </c>
      <c r="S74" s="2567">
        <f t="shared" si="34"/>
        <v>0.40250447227191416</v>
      </c>
      <c r="T74" s="2567">
        <f t="shared" si="34"/>
        <v>0.40577249575551783</v>
      </c>
      <c r="U74" s="2567">
        <f t="shared" si="34"/>
        <v>0.37750878563061302</v>
      </c>
      <c r="V74" s="2568"/>
    </row>
    <row r="75" spans="1:23" ht="13">
      <c r="A75" s="2563"/>
      <c r="B75" s="2566"/>
      <c r="C75" s="2566"/>
      <c r="D75" s="2566"/>
      <c r="E75" s="2566"/>
      <c r="F75" s="2566"/>
      <c r="G75" s="2566"/>
      <c r="H75" s="2566"/>
      <c r="I75" s="2566"/>
      <c r="J75" s="2566"/>
      <c r="K75" s="2566"/>
      <c r="L75" s="2566"/>
      <c r="M75" s="2569">
        <f t="shared" ref="M75:T75" si="35">M69+M72</f>
        <v>808</v>
      </c>
      <c r="N75" s="2569">
        <f t="shared" si="35"/>
        <v>825</v>
      </c>
      <c r="O75" s="2569">
        <f t="shared" si="35"/>
        <v>872</v>
      </c>
      <c r="P75" s="2569">
        <f t="shared" si="35"/>
        <v>830.7</v>
      </c>
      <c r="Q75" s="2569">
        <f t="shared" si="35"/>
        <v>939</v>
      </c>
      <c r="R75" s="2569">
        <f t="shared" si="35"/>
        <v>882</v>
      </c>
      <c r="S75" s="2569">
        <f t="shared" si="35"/>
        <v>902</v>
      </c>
      <c r="T75" s="2569">
        <f t="shared" si="35"/>
        <v>946</v>
      </c>
      <c r="U75" s="2569">
        <f>U69+U72</f>
        <v>975.9</v>
      </c>
      <c r="V75" s="2568"/>
    </row>
    <row r="76" spans="1:23" ht="13">
      <c r="A76" s="2563" t="s">
        <v>2433</v>
      </c>
      <c r="B76" s="2543"/>
      <c r="C76" s="2543"/>
      <c r="D76" s="2543"/>
      <c r="E76" s="2543"/>
      <c r="F76" s="2543"/>
      <c r="G76" s="2543"/>
      <c r="H76" s="2543"/>
      <c r="I76" s="2543"/>
      <c r="J76" s="2543"/>
      <c r="K76" s="2543"/>
      <c r="L76" s="2543"/>
      <c r="M76" s="859"/>
      <c r="N76" s="859"/>
      <c r="O76" s="859"/>
      <c r="P76" s="859"/>
      <c r="Q76" s="727">
        <f>Q75/M75-1</f>
        <v>0.16212871287128716</v>
      </c>
      <c r="R76" s="727">
        <f>R75/N75-1</f>
        <v>6.9090909090909092E-2</v>
      </c>
      <c r="S76" s="727">
        <f>S75/O75-1</f>
        <v>3.4403669724770714E-2</v>
      </c>
      <c r="T76" s="727">
        <f>T75/P75-1</f>
        <v>0.13879860358733587</v>
      </c>
      <c r="U76" s="727">
        <f>U75/Q75-1</f>
        <v>3.9297124600639055E-2</v>
      </c>
      <c r="V76" s="2568"/>
    </row>
    <row r="77" spans="1:23" ht="13">
      <c r="A77" s="2563"/>
      <c r="B77" s="2566"/>
      <c r="C77" s="2566"/>
      <c r="D77" s="2566"/>
      <c r="E77" s="2566"/>
      <c r="F77" s="2566"/>
      <c r="G77" s="2566"/>
      <c r="H77" s="2566"/>
      <c r="I77" s="2566"/>
      <c r="J77" s="2566"/>
      <c r="K77" s="2566"/>
      <c r="L77" s="2566"/>
      <c r="M77" s="2567"/>
      <c r="N77" s="2567"/>
      <c r="O77" s="2567"/>
      <c r="P77" s="2567"/>
      <c r="Q77" s="2567"/>
      <c r="R77" s="2567"/>
      <c r="S77" s="2567"/>
      <c r="T77" s="2567"/>
      <c r="U77" s="2567" t="s">
        <v>2100</v>
      </c>
      <c r="V77" s="2568"/>
    </row>
    <row r="78" spans="1:23" ht="13">
      <c r="A78" s="2563"/>
      <c r="B78" s="2566"/>
      <c r="C78" s="2566"/>
      <c r="D78" s="2566"/>
      <c r="E78" s="2566"/>
      <c r="F78" s="2566"/>
      <c r="G78" s="2566"/>
      <c r="H78" s="2566"/>
      <c r="I78" s="2566"/>
      <c r="J78" s="2566"/>
      <c r="K78" s="2566"/>
      <c r="L78" s="2566"/>
      <c r="M78" s="2567"/>
      <c r="N78" s="2567"/>
      <c r="O78" s="2567"/>
      <c r="P78" s="2567"/>
      <c r="Q78" s="2567"/>
      <c r="R78" s="2567"/>
      <c r="S78" s="2567"/>
      <c r="T78" s="2567"/>
      <c r="U78" s="2567"/>
      <c r="V78" s="2568"/>
    </row>
    <row r="79" spans="1:23">
      <c r="A79" s="2559" t="s">
        <v>2445</v>
      </c>
      <c r="B79" s="2543"/>
      <c r="C79" s="2543"/>
      <c r="D79" s="2543"/>
      <c r="E79" s="2543"/>
      <c r="F79" s="2543"/>
      <c r="G79" s="2543"/>
      <c r="H79" s="2543"/>
      <c r="I79" s="2543"/>
      <c r="J79" s="2543"/>
      <c r="K79" s="2543"/>
      <c r="L79" s="2543"/>
      <c r="M79" s="2543"/>
      <c r="N79" s="2543"/>
      <c r="O79" s="2543"/>
      <c r="P79" s="2543"/>
    </row>
    <row r="80" spans="1:23">
      <c r="A80" s="2558" t="s">
        <v>2446</v>
      </c>
      <c r="B80" s="2543"/>
      <c r="C80" s="2543"/>
      <c r="D80" s="2543"/>
      <c r="E80" s="2543"/>
      <c r="F80" s="2543"/>
      <c r="G80" s="2543"/>
      <c r="H80" s="2543"/>
      <c r="I80" s="2543"/>
      <c r="J80" s="2543"/>
      <c r="K80" s="2543"/>
      <c r="L80" s="2543"/>
      <c r="M80" s="859">
        <f t="shared" ref="M80:U80" si="36">M66*1000000/M55/1000</f>
        <v>713.60759493670878</v>
      </c>
      <c r="N80" s="859">
        <f t="shared" si="36"/>
        <v>602.96296296296293</v>
      </c>
      <c r="O80" s="859">
        <f t="shared" si="36"/>
        <v>540.72790294627384</v>
      </c>
      <c r="P80" s="859">
        <f t="shared" si="36"/>
        <v>458.04195804195803</v>
      </c>
      <c r="Q80" s="859">
        <f t="shared" si="36"/>
        <v>482.07885304659499</v>
      </c>
      <c r="R80" s="859">
        <f t="shared" si="36"/>
        <v>444.98381877022655</v>
      </c>
      <c r="S80" s="859">
        <f t="shared" si="36"/>
        <v>435.48387096774195</v>
      </c>
      <c r="T80" s="859">
        <f t="shared" si="36"/>
        <v>421.05263157894734</v>
      </c>
      <c r="U80" s="859">
        <f t="shared" si="36"/>
        <v>484.26073131955485</v>
      </c>
    </row>
    <row r="81" spans="1:21">
      <c r="A81" s="2558" t="s">
        <v>2436</v>
      </c>
      <c r="B81" s="2543"/>
      <c r="C81" s="2543"/>
      <c r="D81" s="2543"/>
      <c r="E81" s="2543"/>
      <c r="F81" s="2543"/>
      <c r="G81" s="2543"/>
      <c r="H81" s="2543"/>
      <c r="I81" s="2543"/>
      <c r="J81" s="2543"/>
      <c r="K81" s="2543"/>
      <c r="L81" s="2543"/>
      <c r="M81" s="859">
        <f t="shared" ref="M81:U81" si="37">M69*1000000/M58/1000</f>
        <v>456.52173913043475</v>
      </c>
      <c r="N81" s="859">
        <f t="shared" si="37"/>
        <v>446.19940769990126</v>
      </c>
      <c r="O81" s="859">
        <f t="shared" si="37"/>
        <v>396.17486338797818</v>
      </c>
      <c r="P81" s="859">
        <f t="shared" si="37"/>
        <v>391.83477425552354</v>
      </c>
      <c r="Q81" s="859">
        <f t="shared" si="37"/>
        <v>457.14285714285717</v>
      </c>
      <c r="R81" s="859">
        <f t="shared" si="37"/>
        <v>445.93301435406698</v>
      </c>
      <c r="S81" s="859">
        <f t="shared" si="37"/>
        <v>476.7932489451477</v>
      </c>
      <c r="T81" s="859">
        <f t="shared" si="37"/>
        <v>437.38317757009349</v>
      </c>
      <c r="U81" s="859">
        <f t="shared" si="37"/>
        <v>445.70135746606337</v>
      </c>
    </row>
    <row r="82" spans="1:21">
      <c r="A82" s="2558" t="s">
        <v>2439</v>
      </c>
      <c r="B82" s="2543"/>
      <c r="C82" s="2543"/>
      <c r="D82" s="2543"/>
      <c r="E82" s="2543"/>
      <c r="F82" s="2543"/>
      <c r="G82" s="2543"/>
      <c r="H82" s="2543"/>
      <c r="I82" s="2543"/>
      <c r="J82" s="2543"/>
      <c r="K82" s="2543"/>
      <c r="L82" s="2543"/>
      <c r="M82" s="859">
        <f t="shared" ref="M82:U82" si="38">M72*1000000/M61/1000</f>
        <v>457.60598503740653</v>
      </c>
      <c r="N82" s="859">
        <f t="shared" si="38"/>
        <v>451.5738498789346</v>
      </c>
      <c r="O82" s="859">
        <f t="shared" si="38"/>
        <v>468.88412017167383</v>
      </c>
      <c r="P82" s="859">
        <f t="shared" si="38"/>
        <v>429.67479674796749</v>
      </c>
      <c r="Q82" s="859">
        <f t="shared" si="38"/>
        <v>429.26356589147287</v>
      </c>
      <c r="R82" s="859">
        <f t="shared" si="38"/>
        <v>420.62689585439836</v>
      </c>
      <c r="S82" s="859">
        <f t="shared" si="38"/>
        <v>448.207171314741</v>
      </c>
      <c r="T82" s="859">
        <f t="shared" si="38"/>
        <v>433.75680580762253</v>
      </c>
      <c r="U82" s="859">
        <f t="shared" si="38"/>
        <v>431.60714285714283</v>
      </c>
    </row>
    <row r="83" spans="1:21">
      <c r="A83" s="2558"/>
      <c r="B83" s="2543"/>
      <c r="C83" s="2543"/>
      <c r="D83" s="2543"/>
      <c r="E83" s="2543"/>
      <c r="F83" s="2543"/>
      <c r="G83" s="2543"/>
      <c r="H83" s="2543"/>
      <c r="I83" s="2543"/>
      <c r="J83" s="2543"/>
      <c r="K83" s="2543"/>
      <c r="L83" s="2543"/>
      <c r="M83" s="859"/>
      <c r="N83" s="859"/>
      <c r="O83" s="859"/>
      <c r="P83" s="859"/>
      <c r="Q83" s="859"/>
      <c r="R83" s="859"/>
      <c r="S83" s="859"/>
      <c r="T83" s="859"/>
      <c r="U83" s="859"/>
    </row>
    <row r="84" spans="1:21" ht="13">
      <c r="A84" s="749" t="s">
        <v>2447</v>
      </c>
      <c r="B84" s="2543"/>
      <c r="C84" s="2543"/>
      <c r="D84" s="2543"/>
      <c r="E84" s="2543"/>
      <c r="F84" s="2543"/>
      <c r="G84" s="2543"/>
      <c r="H84" s="2543"/>
      <c r="I84" s="2543"/>
      <c r="J84" s="2543"/>
      <c r="K84" s="2543"/>
      <c r="L84" s="2543"/>
      <c r="M84" s="2561" t="s">
        <v>2389</v>
      </c>
      <c r="N84" s="2561" t="s">
        <v>2390</v>
      </c>
      <c r="O84" s="2561" t="s">
        <v>2391</v>
      </c>
      <c r="P84" s="2561" t="s">
        <v>2427</v>
      </c>
      <c r="Q84" s="2562" t="s">
        <v>2428</v>
      </c>
      <c r="R84" s="2562" t="s">
        <v>2429</v>
      </c>
      <c r="S84" s="2562" t="s">
        <v>2430</v>
      </c>
      <c r="T84" s="2562" t="s">
        <v>2431</v>
      </c>
      <c r="U84" s="2562" t="s">
        <v>2448</v>
      </c>
    </row>
    <row r="85" spans="1:21">
      <c r="A85" s="750" t="s">
        <v>2432</v>
      </c>
      <c r="B85" s="2543"/>
      <c r="C85" s="2543"/>
      <c r="D85" s="2543"/>
      <c r="E85" s="2543"/>
      <c r="F85" s="2543"/>
      <c r="G85" s="2543"/>
      <c r="H85" s="2543"/>
      <c r="I85" s="2543"/>
      <c r="J85" s="2543"/>
      <c r="K85" s="2543"/>
      <c r="L85" s="2543"/>
      <c r="M85" s="859">
        <f>M86+M88+M90</f>
        <v>2400</v>
      </c>
      <c r="N85" s="859">
        <f t="shared" ref="N85:U85" si="39">N86+N88+N90</f>
        <v>2514</v>
      </c>
      <c r="O85" s="859">
        <f t="shared" si="39"/>
        <v>2607</v>
      </c>
      <c r="P85" s="859">
        <f t="shared" si="39"/>
        <v>2597</v>
      </c>
      <c r="Q85" s="859">
        <f t="shared" si="39"/>
        <v>2675</v>
      </c>
      <c r="R85" s="859">
        <f t="shared" si="39"/>
        <v>2652</v>
      </c>
      <c r="S85" s="859">
        <f t="shared" si="39"/>
        <v>2448</v>
      </c>
      <c r="T85" s="859">
        <f t="shared" si="39"/>
        <v>2723</v>
      </c>
      <c r="U85" s="859">
        <f t="shared" si="39"/>
        <v>2854</v>
      </c>
    </row>
    <row r="86" spans="1:21">
      <c r="A86" s="2558" t="s">
        <v>2446</v>
      </c>
      <c r="B86" s="2543"/>
      <c r="C86" s="2543"/>
      <c r="D86" s="2543"/>
      <c r="E86" s="2543"/>
      <c r="F86" s="2543"/>
      <c r="G86" s="2543"/>
      <c r="H86" s="2543"/>
      <c r="I86" s="2543"/>
      <c r="J86" s="2543"/>
      <c r="K86" s="2543"/>
      <c r="L86" s="2543"/>
      <c r="M86" s="859">
        <v>632</v>
      </c>
      <c r="N86" s="859">
        <v>675</v>
      </c>
      <c r="O86" s="859">
        <v>577</v>
      </c>
      <c r="P86" s="859">
        <v>572</v>
      </c>
      <c r="Q86" s="859">
        <v>558</v>
      </c>
      <c r="R86" s="859">
        <v>618</v>
      </c>
      <c r="S86" s="859">
        <v>496</v>
      </c>
      <c r="T86" s="859">
        <v>551</v>
      </c>
      <c r="U86" s="860">
        <v>629</v>
      </c>
    </row>
    <row r="87" spans="1:21" ht="13">
      <c r="A87" s="2563" t="s">
        <v>2442</v>
      </c>
      <c r="B87" s="2543"/>
      <c r="C87" s="2543"/>
      <c r="D87" s="2543"/>
      <c r="E87" s="2543"/>
      <c r="F87" s="2543"/>
      <c r="G87" s="2543"/>
      <c r="H87" s="2543"/>
      <c r="I87" s="2543"/>
      <c r="J87" s="2543"/>
      <c r="K87" s="2543"/>
      <c r="L87" s="2543"/>
      <c r="M87" s="2564">
        <f>M86/M85</f>
        <v>0.26333333333333331</v>
      </c>
      <c r="N87" s="2564">
        <f t="shared" ref="N87:U87" si="40">N86/N85</f>
        <v>0.26849642004773272</v>
      </c>
      <c r="O87" s="2564">
        <f t="shared" si="40"/>
        <v>0.2213271960107403</v>
      </c>
      <c r="P87" s="2564">
        <f t="shared" si="40"/>
        <v>0.22025413939160571</v>
      </c>
      <c r="Q87" s="2564">
        <f t="shared" si="40"/>
        <v>0.2085981308411215</v>
      </c>
      <c r="R87" s="2564">
        <f t="shared" si="40"/>
        <v>0.2330316742081448</v>
      </c>
      <c r="S87" s="2564">
        <f t="shared" si="40"/>
        <v>0.20261437908496732</v>
      </c>
      <c r="T87" s="2564">
        <f t="shared" si="40"/>
        <v>0.20235034887991185</v>
      </c>
      <c r="U87" s="2564">
        <f t="shared" si="40"/>
        <v>0.22039243167484232</v>
      </c>
    </row>
    <row r="88" spans="1:21">
      <c r="A88" s="2558" t="s">
        <v>2436</v>
      </c>
      <c r="B88" s="2543"/>
      <c r="C88" s="2543"/>
      <c r="D88" s="2543"/>
      <c r="E88" s="2543"/>
      <c r="F88" s="2543"/>
      <c r="G88" s="2543"/>
      <c r="H88" s="2543"/>
      <c r="I88" s="2543"/>
      <c r="J88" s="2543"/>
      <c r="K88" s="2543"/>
      <c r="L88" s="2543"/>
      <c r="M88" s="859">
        <v>966</v>
      </c>
      <c r="N88" s="859">
        <v>1013</v>
      </c>
      <c r="O88" s="859">
        <v>1098</v>
      </c>
      <c r="P88" s="859">
        <v>1041</v>
      </c>
      <c r="Q88" s="859">
        <v>1085</v>
      </c>
      <c r="R88" s="859">
        <v>1045</v>
      </c>
      <c r="S88" s="859">
        <v>948</v>
      </c>
      <c r="T88" s="859">
        <v>1070</v>
      </c>
      <c r="U88" s="860">
        <v>1105</v>
      </c>
    </row>
    <row r="89" spans="1:21" ht="13">
      <c r="A89" s="2563" t="s">
        <v>2442</v>
      </c>
      <c r="B89" s="2543"/>
      <c r="C89" s="2543"/>
      <c r="D89" s="2543"/>
      <c r="E89" s="2543"/>
      <c r="F89" s="2543"/>
      <c r="G89" s="2543"/>
      <c r="H89" s="2543"/>
      <c r="I89" s="2543"/>
      <c r="J89" s="2543"/>
      <c r="K89" s="2543"/>
      <c r="L89" s="2543"/>
      <c r="M89" s="2564">
        <f>M88/M85</f>
        <v>0.40250000000000002</v>
      </c>
      <c r="N89" s="2564">
        <f t="shared" ref="N89:U89" si="41">N88/N85</f>
        <v>0.40294351630867142</v>
      </c>
      <c r="O89" s="2564">
        <f t="shared" si="41"/>
        <v>0.42117376294591485</v>
      </c>
      <c r="P89" s="2564">
        <f t="shared" si="41"/>
        <v>0.40084713130535232</v>
      </c>
      <c r="Q89" s="2564">
        <f t="shared" si="41"/>
        <v>0.405607476635514</v>
      </c>
      <c r="R89" s="2564">
        <f t="shared" si="41"/>
        <v>0.39404223227752638</v>
      </c>
      <c r="S89" s="2564">
        <f t="shared" si="41"/>
        <v>0.38725490196078433</v>
      </c>
      <c r="T89" s="2564">
        <f t="shared" si="41"/>
        <v>0.39294895336026442</v>
      </c>
      <c r="U89" s="2564">
        <f t="shared" si="41"/>
        <v>0.3871758934828311</v>
      </c>
    </row>
    <row r="90" spans="1:21">
      <c r="A90" s="2558" t="s">
        <v>2439</v>
      </c>
      <c r="B90" s="2543"/>
      <c r="C90" s="2543"/>
      <c r="D90" s="2543"/>
      <c r="E90" s="2543"/>
      <c r="F90" s="2543"/>
      <c r="G90" s="2543"/>
      <c r="H90" s="2543"/>
      <c r="I90" s="2543"/>
      <c r="J90" s="2543"/>
      <c r="K90" s="2543"/>
      <c r="L90" s="2543"/>
      <c r="M90" s="859">
        <v>802</v>
      </c>
      <c r="N90" s="859">
        <v>826</v>
      </c>
      <c r="O90" s="859">
        <v>932</v>
      </c>
      <c r="P90" s="859">
        <v>984</v>
      </c>
      <c r="Q90" s="859">
        <v>1032</v>
      </c>
      <c r="R90" s="859">
        <v>989</v>
      </c>
      <c r="S90" s="859">
        <v>1004</v>
      </c>
      <c r="T90" s="859">
        <v>1102</v>
      </c>
      <c r="U90" s="860">
        <v>1120</v>
      </c>
    </row>
    <row r="91" spans="1:21" ht="13">
      <c r="A91" s="2563" t="s">
        <v>2449</v>
      </c>
      <c r="B91" s="2543"/>
      <c r="C91" s="2543"/>
      <c r="D91" s="2543"/>
      <c r="E91" s="2543"/>
      <c r="F91" s="2543"/>
      <c r="G91" s="2543"/>
      <c r="H91" s="2543"/>
      <c r="I91" s="2543"/>
      <c r="J91" s="2543"/>
      <c r="K91" s="2543"/>
      <c r="L91" s="2543"/>
      <c r="M91" s="2564">
        <f>M90/M85</f>
        <v>0.33416666666666667</v>
      </c>
      <c r="N91" s="2564">
        <f t="shared" ref="N91:U91" si="42">N90/N85</f>
        <v>0.32856006364359586</v>
      </c>
      <c r="O91" s="2564">
        <f t="shared" si="42"/>
        <v>0.35749904104334485</v>
      </c>
      <c r="P91" s="2564">
        <f t="shared" si="42"/>
        <v>0.37889872930304197</v>
      </c>
      <c r="Q91" s="2564">
        <f t="shared" si="42"/>
        <v>0.3857943925233645</v>
      </c>
      <c r="R91" s="2564">
        <f t="shared" si="42"/>
        <v>0.37292609351432882</v>
      </c>
      <c r="S91" s="2564">
        <f t="shared" si="42"/>
        <v>0.41013071895424835</v>
      </c>
      <c r="T91" s="2564">
        <f t="shared" si="42"/>
        <v>0.4047006977598237</v>
      </c>
      <c r="U91" s="2564">
        <f t="shared" si="42"/>
        <v>0.39243167484232655</v>
      </c>
    </row>
    <row r="92" spans="1:21">
      <c r="A92" s="2559" t="s">
        <v>2440</v>
      </c>
      <c r="B92" s="2543"/>
      <c r="C92" s="2543"/>
      <c r="D92" s="2543"/>
      <c r="E92" s="2543"/>
      <c r="F92" s="2543"/>
      <c r="G92" s="2543"/>
      <c r="H92" s="2543"/>
      <c r="I92" s="2543"/>
      <c r="J92" s="2543"/>
      <c r="K92" s="2543"/>
      <c r="L92" s="2543"/>
      <c r="M92" s="859">
        <f>M93+M95+M97</f>
        <v>1259</v>
      </c>
      <c r="N92" s="859">
        <f t="shared" ref="N92:U92" si="43">N93+N95+N97</f>
        <v>1232</v>
      </c>
      <c r="O92" s="859">
        <f t="shared" si="43"/>
        <v>1184</v>
      </c>
      <c r="P92" s="859">
        <f t="shared" si="43"/>
        <v>1062</v>
      </c>
      <c r="Q92" s="859">
        <f t="shared" si="43"/>
        <v>1208</v>
      </c>
      <c r="R92" s="859">
        <f t="shared" si="43"/>
        <v>1526</v>
      </c>
      <c r="S92" s="859">
        <f t="shared" si="43"/>
        <v>1366</v>
      </c>
      <c r="T92" s="859">
        <f t="shared" si="43"/>
        <v>1326</v>
      </c>
      <c r="U92" s="859">
        <f t="shared" si="43"/>
        <v>1517</v>
      </c>
    </row>
    <row r="93" spans="1:21">
      <c r="A93" s="2558" t="s">
        <v>2441</v>
      </c>
      <c r="B93" s="2543"/>
      <c r="C93" s="2543"/>
      <c r="D93" s="2543"/>
      <c r="E93" s="2543"/>
      <c r="F93" s="2543"/>
      <c r="G93" s="2543"/>
      <c r="H93" s="2543"/>
      <c r="I93" s="2543"/>
      <c r="J93" s="2543"/>
      <c r="K93" s="2543"/>
      <c r="L93" s="2543"/>
      <c r="M93" s="859">
        <v>451</v>
      </c>
      <c r="N93" s="859">
        <v>407</v>
      </c>
      <c r="O93" s="859">
        <v>312</v>
      </c>
      <c r="P93" s="859">
        <v>262</v>
      </c>
      <c r="Q93" s="859">
        <v>269</v>
      </c>
      <c r="R93" s="859">
        <v>545</v>
      </c>
      <c r="S93" s="859">
        <v>405</v>
      </c>
      <c r="T93" s="859">
        <v>384</v>
      </c>
      <c r="U93" s="860">
        <v>487</v>
      </c>
    </row>
    <row r="94" spans="1:21" ht="13">
      <c r="A94" s="2563" t="s">
        <v>2435</v>
      </c>
      <c r="B94" s="2566"/>
      <c r="C94" s="2566"/>
      <c r="D94" s="2566"/>
      <c r="E94" s="2566"/>
      <c r="F94" s="2566"/>
      <c r="G94" s="2566"/>
      <c r="H94" s="2566"/>
      <c r="I94" s="2566"/>
      <c r="J94" s="2566"/>
      <c r="K94" s="2566"/>
      <c r="L94" s="2566"/>
      <c r="M94" s="2567">
        <f>M93/M92</f>
        <v>0.35822081016679902</v>
      </c>
      <c r="N94" s="2567">
        <f t="shared" ref="N94:U94" si="44">N93/N92</f>
        <v>0.33035714285714285</v>
      </c>
      <c r="O94" s="2567">
        <f t="shared" si="44"/>
        <v>0.26351351351351349</v>
      </c>
      <c r="P94" s="2567">
        <f t="shared" si="44"/>
        <v>0.24670433145009416</v>
      </c>
      <c r="Q94" s="2567">
        <f t="shared" si="44"/>
        <v>0.22268211920529801</v>
      </c>
      <c r="R94" s="2567">
        <f t="shared" si="44"/>
        <v>0.35714285714285715</v>
      </c>
      <c r="S94" s="2567">
        <f t="shared" si="44"/>
        <v>0.29648609077598831</v>
      </c>
      <c r="T94" s="2567">
        <f t="shared" si="44"/>
        <v>0.2895927601809955</v>
      </c>
      <c r="U94" s="2567">
        <f t="shared" si="44"/>
        <v>0.32102834541858932</v>
      </c>
    </row>
    <row r="95" spans="1:21">
      <c r="A95" s="2558" t="s">
        <v>2436</v>
      </c>
      <c r="B95" s="2543"/>
      <c r="C95" s="2543"/>
      <c r="D95" s="2543"/>
      <c r="E95" s="2543"/>
      <c r="F95" s="2543"/>
      <c r="G95" s="2543"/>
      <c r="H95" s="2543"/>
      <c r="I95" s="2543"/>
      <c r="J95" s="2543"/>
      <c r="K95" s="2543"/>
      <c r="L95" s="2543"/>
      <c r="M95" s="859">
        <v>441</v>
      </c>
      <c r="N95" s="859">
        <v>452</v>
      </c>
      <c r="O95" s="859">
        <v>435</v>
      </c>
      <c r="P95" s="859">
        <v>408</v>
      </c>
      <c r="Q95" s="859">
        <v>496</v>
      </c>
      <c r="R95" s="859">
        <v>541</v>
      </c>
      <c r="S95" s="859">
        <v>490</v>
      </c>
      <c r="T95" s="859">
        <v>487</v>
      </c>
      <c r="U95" s="860">
        <v>532</v>
      </c>
    </row>
    <row r="96" spans="1:21" ht="13">
      <c r="A96" s="2563" t="s">
        <v>2442</v>
      </c>
      <c r="B96" s="2566"/>
      <c r="C96" s="2566"/>
      <c r="D96" s="2566"/>
      <c r="E96" s="2566"/>
      <c r="F96" s="2566"/>
      <c r="G96" s="2566"/>
      <c r="H96" s="2566"/>
      <c r="I96" s="2566"/>
      <c r="J96" s="2566"/>
      <c r="K96" s="2566"/>
      <c r="L96" s="2566"/>
      <c r="M96" s="2567">
        <f>M95/M92</f>
        <v>0.35027799841143764</v>
      </c>
      <c r="N96" s="2567">
        <f t="shared" ref="N96:U96" si="45">N95/N92</f>
        <v>0.36688311688311687</v>
      </c>
      <c r="O96" s="2567">
        <f t="shared" si="45"/>
        <v>0.36739864864864863</v>
      </c>
      <c r="P96" s="2567">
        <f t="shared" si="45"/>
        <v>0.38418079096045199</v>
      </c>
      <c r="Q96" s="2567">
        <f t="shared" si="45"/>
        <v>0.41059602649006621</v>
      </c>
      <c r="R96" s="2567">
        <f t="shared" si="45"/>
        <v>0.35452162516382701</v>
      </c>
      <c r="S96" s="2567">
        <f t="shared" si="45"/>
        <v>0.35871156661786235</v>
      </c>
      <c r="T96" s="2567">
        <f t="shared" si="45"/>
        <v>0.36726998491704377</v>
      </c>
      <c r="U96" s="2567">
        <f t="shared" si="45"/>
        <v>0.35069215557020433</v>
      </c>
    </row>
    <row r="97" spans="1:28">
      <c r="A97" s="2558" t="s">
        <v>2450</v>
      </c>
      <c r="B97" s="2543"/>
      <c r="C97" s="2543"/>
      <c r="D97" s="2543"/>
      <c r="E97" s="2543"/>
      <c r="F97" s="2543"/>
      <c r="G97" s="2543"/>
      <c r="H97" s="2543"/>
      <c r="I97" s="2543"/>
      <c r="J97" s="2543"/>
      <c r="K97" s="2543"/>
      <c r="L97" s="2543"/>
      <c r="M97" s="859">
        <v>367</v>
      </c>
      <c r="N97" s="859">
        <v>373</v>
      </c>
      <c r="O97" s="859">
        <v>437</v>
      </c>
      <c r="P97" s="859">
        <v>392</v>
      </c>
      <c r="Q97" s="859">
        <v>443</v>
      </c>
      <c r="R97" s="859">
        <v>440</v>
      </c>
      <c r="S97" s="859">
        <v>471</v>
      </c>
      <c r="T97" s="859">
        <v>455</v>
      </c>
      <c r="U97" s="860">
        <v>498</v>
      </c>
    </row>
    <row r="98" spans="1:28" ht="13">
      <c r="A98" s="2563" t="s">
        <v>2442</v>
      </c>
      <c r="B98" s="2566"/>
      <c r="C98" s="2566"/>
      <c r="D98" s="2566"/>
      <c r="E98" s="2566"/>
      <c r="F98" s="2566"/>
      <c r="G98" s="2566"/>
      <c r="H98" s="2566"/>
      <c r="I98" s="2566"/>
      <c r="J98" s="2566"/>
      <c r="K98" s="2566"/>
      <c r="L98" s="2566"/>
      <c r="M98" s="2567">
        <f>M97/M92</f>
        <v>0.29150119142176328</v>
      </c>
      <c r="N98" s="2567">
        <f t="shared" ref="N98:U98" si="46">N97/N92</f>
        <v>0.30275974025974028</v>
      </c>
      <c r="O98" s="2567">
        <f t="shared" si="46"/>
        <v>0.36908783783783783</v>
      </c>
      <c r="P98" s="2567">
        <f t="shared" si="46"/>
        <v>0.36911487758945388</v>
      </c>
      <c r="Q98" s="2567">
        <f t="shared" si="46"/>
        <v>0.36672185430463577</v>
      </c>
      <c r="R98" s="2567">
        <f t="shared" si="46"/>
        <v>0.28833551769331583</v>
      </c>
      <c r="S98" s="2567">
        <f t="shared" si="46"/>
        <v>0.34480234260614934</v>
      </c>
      <c r="T98" s="2567">
        <f t="shared" si="46"/>
        <v>0.34313725490196079</v>
      </c>
      <c r="U98" s="2567">
        <f t="shared" si="46"/>
        <v>0.32827949901120634</v>
      </c>
    </row>
    <row r="99" spans="1:28">
      <c r="A99" s="2559" t="s">
        <v>2445</v>
      </c>
      <c r="B99" s="2543"/>
      <c r="C99" s="2543"/>
      <c r="D99" s="2543"/>
      <c r="E99" s="2543"/>
      <c r="F99" s="2543"/>
      <c r="G99" s="2543"/>
      <c r="H99" s="2543"/>
      <c r="I99" s="2543"/>
      <c r="J99" s="2543"/>
      <c r="K99" s="2543"/>
      <c r="L99" s="2543"/>
      <c r="M99" s="2543"/>
      <c r="N99" s="2543"/>
      <c r="O99" s="2543"/>
      <c r="P99" s="2543"/>
    </row>
    <row r="100" spans="1:28">
      <c r="A100" s="2558" t="s">
        <v>2446</v>
      </c>
      <c r="B100" s="2543"/>
      <c r="C100" s="2543"/>
      <c r="D100" s="2543"/>
      <c r="E100" s="2543"/>
      <c r="F100" s="2543"/>
      <c r="G100" s="2543"/>
      <c r="H100" s="2543"/>
      <c r="I100" s="2543"/>
      <c r="J100" s="2543"/>
      <c r="K100" s="2543"/>
      <c r="L100" s="2543"/>
      <c r="M100" s="859">
        <f t="shared" ref="M100:U100" si="47">M93*1000000/M86/1000</f>
        <v>713.60759493670878</v>
      </c>
      <c r="N100" s="859">
        <f t="shared" si="47"/>
        <v>602.96296296296293</v>
      </c>
      <c r="O100" s="859">
        <f t="shared" si="47"/>
        <v>540.72790294627384</v>
      </c>
      <c r="P100" s="859">
        <f t="shared" si="47"/>
        <v>458.04195804195803</v>
      </c>
      <c r="Q100" s="859">
        <f t="shared" si="47"/>
        <v>482.07885304659499</v>
      </c>
      <c r="R100" s="859">
        <f t="shared" si="47"/>
        <v>881.87702265372172</v>
      </c>
      <c r="S100" s="859">
        <f t="shared" si="47"/>
        <v>816.5322580645161</v>
      </c>
      <c r="T100" s="859">
        <f t="shared" si="47"/>
        <v>696.91470054446461</v>
      </c>
      <c r="U100" s="859">
        <f t="shared" si="47"/>
        <v>774.24483306836248</v>
      </c>
      <c r="AA100" s="727">
        <v>-0.223</v>
      </c>
      <c r="AB100" s="727">
        <f>Z101-AA100</f>
        <v>-0.18054767184035478</v>
      </c>
    </row>
    <row r="101" spans="1:28">
      <c r="A101" s="2558" t="s">
        <v>2451</v>
      </c>
      <c r="B101" s="2543"/>
      <c r="C101" s="2543"/>
      <c r="D101" s="2543"/>
      <c r="E101" s="2543"/>
      <c r="F101" s="2543"/>
      <c r="G101" s="2543"/>
      <c r="H101" s="2543"/>
      <c r="I101" s="2543"/>
      <c r="J101" s="2543"/>
      <c r="K101" s="2543"/>
      <c r="L101" s="2543"/>
      <c r="M101" s="859">
        <f>M95*1000000/M88/1000</f>
        <v>456.52173913043475</v>
      </c>
      <c r="N101" s="859">
        <f t="shared" ref="N101:U101" si="48">N95*1000000/N88/1000</f>
        <v>446.19940769990126</v>
      </c>
      <c r="O101" s="859">
        <f t="shared" si="48"/>
        <v>396.17486338797818</v>
      </c>
      <c r="P101" s="859">
        <f t="shared" si="48"/>
        <v>391.93083573487036</v>
      </c>
      <c r="Q101" s="859">
        <f t="shared" si="48"/>
        <v>457.14285714285717</v>
      </c>
      <c r="R101" s="859">
        <f t="shared" si="48"/>
        <v>517.7033492822967</v>
      </c>
      <c r="S101" s="859">
        <f t="shared" si="48"/>
        <v>516.87763713080165</v>
      </c>
      <c r="T101" s="859">
        <f t="shared" si="48"/>
        <v>455.14018691588785</v>
      </c>
      <c r="U101" s="859">
        <f t="shared" si="48"/>
        <v>481.44796380090497</v>
      </c>
      <c r="Y101" s="2570">
        <v>2018</v>
      </c>
      <c r="Z101" s="676">
        <f>Q67</f>
        <v>-0.40354767184035478</v>
      </c>
      <c r="AA101" s="727">
        <v>-3.6999999999999998E-2</v>
      </c>
      <c r="AB101" s="727">
        <f>Z102-AA101</f>
        <v>0.16171655328798193</v>
      </c>
    </row>
    <row r="102" spans="1:28">
      <c r="A102" s="2558" t="s">
        <v>2439</v>
      </c>
      <c r="B102" s="2543"/>
      <c r="C102" s="2543"/>
      <c r="D102" s="2543"/>
      <c r="E102" s="2543"/>
      <c r="F102" s="2543"/>
      <c r="G102" s="2543"/>
      <c r="H102" s="2543"/>
      <c r="I102" s="2543"/>
      <c r="J102" s="2543"/>
      <c r="K102" s="2543"/>
      <c r="L102" s="2543"/>
      <c r="M102" s="859">
        <f>M97*1000000/M90/1000</f>
        <v>457.60598503740653</v>
      </c>
      <c r="N102" s="859">
        <f t="shared" ref="N102:U102" si="49">N97*1000000/N90/1000</f>
        <v>451.5738498789346</v>
      </c>
      <c r="O102" s="859">
        <f t="shared" si="49"/>
        <v>468.88412017167383</v>
      </c>
      <c r="P102" s="859">
        <f t="shared" si="49"/>
        <v>398.3739837398374</v>
      </c>
      <c r="Q102" s="859">
        <f t="shared" si="49"/>
        <v>429.26356589147287</v>
      </c>
      <c r="R102" s="859">
        <f t="shared" si="49"/>
        <v>444.8938321536906</v>
      </c>
      <c r="S102" s="859">
        <f t="shared" si="49"/>
        <v>469.1235059760956</v>
      </c>
      <c r="T102" s="859">
        <f t="shared" si="49"/>
        <v>412.88566243194197</v>
      </c>
      <c r="U102" s="859">
        <f t="shared" si="49"/>
        <v>444.64285714285717</v>
      </c>
      <c r="Y102" s="2541" t="s">
        <v>2441</v>
      </c>
      <c r="Z102" s="676">
        <f>Q70</f>
        <v>0.12471655328798192</v>
      </c>
    </row>
    <row r="103" spans="1:28">
      <c r="A103" s="2558"/>
      <c r="B103" s="2543"/>
      <c r="C103" s="2543"/>
      <c r="D103" s="2543"/>
      <c r="E103" s="2543"/>
      <c r="F103" s="2543"/>
      <c r="G103" s="2543"/>
      <c r="H103" s="2543"/>
      <c r="I103" s="2543"/>
      <c r="J103" s="2543"/>
      <c r="K103" s="2543"/>
      <c r="L103" s="2543"/>
      <c r="M103" s="859"/>
      <c r="N103" s="859"/>
      <c r="O103" s="859"/>
      <c r="P103" s="859"/>
      <c r="Q103" s="859"/>
      <c r="R103" s="859"/>
      <c r="S103" s="859"/>
      <c r="T103" s="859"/>
      <c r="U103" s="859"/>
      <c r="Y103" s="2541" t="s">
        <v>2436</v>
      </c>
    </row>
    <row r="104" spans="1:28">
      <c r="A104" s="2549" t="s">
        <v>2414</v>
      </c>
      <c r="B104" s="778" t="s">
        <v>12</v>
      </c>
      <c r="C104" s="778" t="s">
        <v>12</v>
      </c>
      <c r="D104" s="778" t="s">
        <v>12</v>
      </c>
      <c r="E104" s="778" t="s">
        <v>12</v>
      </c>
      <c r="F104" s="676">
        <f t="shared" ref="F104:U105" si="50">(F29-B29)/B29</f>
        <v>-0.17638965327462852</v>
      </c>
      <c r="G104" s="676">
        <f t="shared" si="50"/>
        <v>-0.15205772314270441</v>
      </c>
      <c r="H104" s="676">
        <f t="shared" si="50"/>
        <v>-3.6243822075782452E-2</v>
      </c>
      <c r="I104" s="676">
        <f t="shared" si="50"/>
        <v>-5.2908506284712081E-2</v>
      </c>
      <c r="J104" s="676">
        <f t="shared" si="50"/>
        <v>-4.4437019712662881E-2</v>
      </c>
      <c r="K104" s="676">
        <f t="shared" si="50"/>
        <v>7.1856287425149767E-2</v>
      </c>
      <c r="L104" s="676">
        <f t="shared" si="50"/>
        <v>8.0056980056980226E-2</v>
      </c>
      <c r="M104" s="676">
        <f t="shared" si="50"/>
        <v>0.16481481481481475</v>
      </c>
      <c r="N104" s="676">
        <f t="shared" si="50"/>
        <v>5.9440559440559109E-3</v>
      </c>
      <c r="O104" s="676">
        <f t="shared" si="50"/>
        <v>8.8797412525727731E-2</v>
      </c>
      <c r="P104" s="676">
        <f t="shared" si="50"/>
        <v>5.5130572408335431E-2</v>
      </c>
      <c r="Q104" s="676">
        <f t="shared" si="50"/>
        <v>0.29835718071012196</v>
      </c>
      <c r="R104" s="676">
        <f t="shared" si="50"/>
        <v>0.59888773027459163</v>
      </c>
      <c r="S104" s="676">
        <f t="shared" si="50"/>
        <v>0.56629759654334333</v>
      </c>
      <c r="T104" s="676">
        <f t="shared" si="50"/>
        <v>0.55000000000000004</v>
      </c>
      <c r="U104" s="676">
        <f t="shared" si="50"/>
        <v>0.26408163265306112</v>
      </c>
      <c r="Y104" s="2570">
        <v>2019</v>
      </c>
      <c r="Z104" s="727">
        <f>SUM(R66:U66)/SUM(N66:Q66)-1</f>
        <v>-0.17792000000000008</v>
      </c>
    </row>
    <row r="105" spans="1:28">
      <c r="A105" s="2550" t="s">
        <v>2452</v>
      </c>
      <c r="B105" s="778" t="s">
        <v>12</v>
      </c>
      <c r="C105" s="778" t="s">
        <v>12</v>
      </c>
      <c r="D105" s="778" t="s">
        <v>12</v>
      </c>
      <c r="E105" s="778" t="s">
        <v>12</v>
      </c>
      <c r="F105" s="676">
        <f t="shared" si="50"/>
        <v>-0.84423676012461069</v>
      </c>
      <c r="G105" s="676">
        <f t="shared" si="50"/>
        <v>-0.86631016042780751</v>
      </c>
      <c r="H105" s="676">
        <f t="shared" si="50"/>
        <v>-0.86631016042780751</v>
      </c>
      <c r="I105" s="676">
        <f t="shared" si="50"/>
        <v>-3.0384615384615388</v>
      </c>
      <c r="J105" s="676">
        <f t="shared" si="50"/>
        <v>22.519999999999996</v>
      </c>
      <c r="K105" s="676">
        <f t="shared" si="50"/>
        <v>17.599999999999998</v>
      </c>
      <c r="L105" s="676">
        <f t="shared" si="50"/>
        <v>18.179999999999996</v>
      </c>
      <c r="M105" s="676">
        <f t="shared" si="50"/>
        <v>1.8867924528301889</v>
      </c>
      <c r="N105" s="676">
        <f t="shared" si="50"/>
        <v>-0.16411564625850336</v>
      </c>
      <c r="O105" s="676">
        <f t="shared" si="50"/>
        <v>0.36129032258064508</v>
      </c>
      <c r="P105" s="676">
        <f t="shared" si="50"/>
        <v>0.45985401459854008</v>
      </c>
      <c r="Q105" s="676">
        <f t="shared" si="50"/>
        <v>1.5326797385620916</v>
      </c>
      <c r="R105" s="676">
        <f t="shared" si="50"/>
        <v>2.0518819938962358</v>
      </c>
      <c r="S105" s="676">
        <f t="shared" si="50"/>
        <v>1.5276461295418642</v>
      </c>
      <c r="T105" s="676">
        <f t="shared" si="50"/>
        <v>1.4285714285714286</v>
      </c>
      <c r="U105" s="676">
        <f t="shared" si="50"/>
        <v>-0.32096774193548389</v>
      </c>
      <c r="Z105" s="727">
        <f>SUM(R69:U69)/SUM(N69:Q69)-1</f>
        <v>4.8913953877938399E-2</v>
      </c>
    </row>
    <row r="106" spans="1:28">
      <c r="A106" s="2571" t="s">
        <v>1231</v>
      </c>
      <c r="B106" s="778" t="s">
        <v>12</v>
      </c>
      <c r="C106" s="778" t="s">
        <v>12</v>
      </c>
      <c r="D106" s="778" t="s">
        <v>12</v>
      </c>
      <c r="E106" s="778" t="s">
        <v>12</v>
      </c>
      <c r="F106" s="676">
        <f t="shared" ref="F106:U106" si="51">(F34-B34)/B34</f>
        <v>-1.1407044410413476</v>
      </c>
      <c r="G106" s="676">
        <f t="shared" si="51"/>
        <v>-1.3995345744680852</v>
      </c>
      <c r="H106" s="676">
        <f t="shared" si="51"/>
        <v>1.1702894470097984</v>
      </c>
      <c r="I106" s="676">
        <f t="shared" si="51"/>
        <v>-1.2355635017722153</v>
      </c>
      <c r="J106" s="676">
        <f t="shared" si="51"/>
        <v>8.0182847191989541</v>
      </c>
      <c r="K106" s="676">
        <f t="shared" si="51"/>
        <v>0.45864536528540523</v>
      </c>
      <c r="L106" s="676">
        <f t="shared" si="51"/>
        <v>1.6450441100155692E-2</v>
      </c>
      <c r="M106" s="676">
        <f t="shared" si="51"/>
        <v>2.6857523302263653</v>
      </c>
      <c r="N106" s="676">
        <f t="shared" si="51"/>
        <v>0.13077480086893553</v>
      </c>
      <c r="O106" s="676">
        <f t="shared" si="51"/>
        <v>-0.2010268111808329</v>
      </c>
      <c r="P106" s="676">
        <f t="shared" si="51"/>
        <v>-0.53790779598713434</v>
      </c>
      <c r="Q106" s="676">
        <f t="shared" si="51"/>
        <v>-0.78641618497109833</v>
      </c>
      <c r="R106" s="676">
        <f t="shared" si="51"/>
        <v>-0.67618681693989069</v>
      </c>
      <c r="S106" s="676">
        <f t="shared" si="51"/>
        <v>-3.3257175496215905</v>
      </c>
      <c r="T106" s="676">
        <f t="shared" si="51"/>
        <v>-1.0233123411777705</v>
      </c>
      <c r="U106" s="676">
        <f t="shared" si="51"/>
        <v>-1.0011840324763193</v>
      </c>
    </row>
    <row r="107" spans="1:28">
      <c r="A107" s="2571" t="s">
        <v>1247</v>
      </c>
      <c r="B107" s="778" t="s">
        <v>12</v>
      </c>
      <c r="C107" s="778" t="s">
        <v>12</v>
      </c>
      <c r="D107" s="778" t="s">
        <v>12</v>
      </c>
      <c r="E107" s="778" t="s">
        <v>12</v>
      </c>
      <c r="F107" s="676">
        <f t="shared" ref="F107:U107" si="52">(F37-B37)/B37</f>
        <v>-0.97196903245490263</v>
      </c>
      <c r="G107" s="676">
        <f t="shared" si="52"/>
        <v>-1.0112197568008021</v>
      </c>
      <c r="H107" s="676">
        <f t="shared" si="52"/>
        <v>-9.6882566585956411</v>
      </c>
      <c r="I107" s="676">
        <f t="shared" si="52"/>
        <v>-1.0965041376149003</v>
      </c>
      <c r="J107" s="676">
        <f t="shared" si="52"/>
        <v>-17.518367346938774</v>
      </c>
      <c r="K107" s="676">
        <f t="shared" si="52"/>
        <v>15.201117318435756</v>
      </c>
      <c r="L107" s="676">
        <f t="shared" si="52"/>
        <v>-0.1406674562809169</v>
      </c>
      <c r="M107" s="676">
        <f t="shared" si="52"/>
        <v>3.7077499999999999</v>
      </c>
      <c r="N107" s="676">
        <f t="shared" si="52"/>
        <v>0.34733547483732813</v>
      </c>
      <c r="O107" s="676">
        <f t="shared" si="52"/>
        <v>-0.57241379310344831</v>
      </c>
      <c r="P107" s="676">
        <f t="shared" si="52"/>
        <v>-1.1195070536727745</v>
      </c>
      <c r="Q107" s="676">
        <f t="shared" si="52"/>
        <v>-0.83909510912856466</v>
      </c>
      <c r="R107" s="676">
        <f t="shared" si="52"/>
        <v>-0.88470473162978369</v>
      </c>
      <c r="S107" s="676">
        <f t="shared" si="52"/>
        <v>-14.279838709677417</v>
      </c>
      <c r="T107" s="676">
        <f t="shared" si="52"/>
        <v>1.4993215739484396</v>
      </c>
      <c r="U107" s="676">
        <f t="shared" si="52"/>
        <v>-1.8729372937293729</v>
      </c>
    </row>
    <row r="108" spans="1:28">
      <c r="A108" s="2572" t="s">
        <v>2453</v>
      </c>
      <c r="B108" s="2543"/>
      <c r="C108" s="2543"/>
      <c r="D108" s="2543"/>
      <c r="E108" s="2543"/>
      <c r="F108" s="2543"/>
      <c r="G108" s="2543"/>
      <c r="H108" s="2543"/>
      <c r="I108" s="2543"/>
      <c r="J108" s="676">
        <f t="shared" ref="J108:U108" si="53">J45/F45-1</f>
        <v>0.30453431372549011</v>
      </c>
      <c r="K108" s="676">
        <f t="shared" si="53"/>
        <v>0.29542790152403287</v>
      </c>
      <c r="L108" s="676">
        <f t="shared" si="53"/>
        <v>0.24959216965742259</v>
      </c>
      <c r="M108" s="676">
        <f t="shared" si="53"/>
        <v>0.18869778869778875</v>
      </c>
      <c r="N108" s="676">
        <f t="shared" si="53"/>
        <v>0.18083607327383744</v>
      </c>
      <c r="O108" s="676">
        <f t="shared" si="53"/>
        <v>0.17963800904977378</v>
      </c>
      <c r="P108" s="676">
        <f t="shared" si="53"/>
        <v>0.1296779808529156</v>
      </c>
      <c r="Q108" s="676">
        <f t="shared" si="53"/>
        <v>0.10624224886316669</v>
      </c>
      <c r="R108" s="676">
        <f t="shared" si="53"/>
        <v>5.4892601431980825E-2</v>
      </c>
      <c r="S108" s="676">
        <f t="shared" si="53"/>
        <v>-6.0989643268124283E-2</v>
      </c>
      <c r="T108" s="676">
        <f t="shared" si="53"/>
        <v>4.8921417565485292E-2</v>
      </c>
      <c r="U108" s="676">
        <f t="shared" si="53"/>
        <v>6.6890881913303391E-2</v>
      </c>
    </row>
    <row r="109" spans="1:28">
      <c r="A109" s="2572" t="s">
        <v>2419</v>
      </c>
      <c r="B109" s="2543"/>
      <c r="C109" s="2543"/>
      <c r="D109" s="2543"/>
      <c r="E109" s="2543"/>
      <c r="F109" s="2543"/>
      <c r="G109" s="2543"/>
      <c r="H109" s="2543"/>
      <c r="I109" s="2543"/>
      <c r="J109" s="676">
        <f t="shared" ref="J109:U109" si="54">J44/F44-1</f>
        <v>0.18111462374933951</v>
      </c>
      <c r="K109" s="676">
        <f t="shared" si="54"/>
        <v>8.42185339116861E-2</v>
      </c>
      <c r="L109" s="676">
        <f t="shared" si="54"/>
        <v>5.7101350458103051E-2</v>
      </c>
      <c r="M109" s="676">
        <f t="shared" si="54"/>
        <v>6.0198503574011797E-2</v>
      </c>
      <c r="N109" s="676">
        <f t="shared" si="54"/>
        <v>2.3354473538589993E-2</v>
      </c>
      <c r="O109" s="676">
        <f t="shared" si="54"/>
        <v>-5.374733829348588E-2</v>
      </c>
      <c r="P109" s="676">
        <f t="shared" si="54"/>
        <v>-0.13360783939348264</v>
      </c>
      <c r="Q109" s="676">
        <f t="shared" si="54"/>
        <v>-0.13281657837339877</v>
      </c>
      <c r="R109" s="676">
        <f t="shared" si="54"/>
        <v>-0.10899653060664261</v>
      </c>
      <c r="S109" s="676">
        <f t="shared" si="54"/>
        <v>5.3756611628021922E-3</v>
      </c>
      <c r="T109" s="676">
        <f t="shared" si="54"/>
        <v>2.7897448869963481E-2</v>
      </c>
      <c r="U109" s="676">
        <f t="shared" si="54"/>
        <v>-5.4743343790147891E-3</v>
      </c>
    </row>
    <row r="110" spans="1:28">
      <c r="B110" s="2543"/>
      <c r="C110" s="2543"/>
      <c r="D110" s="2543"/>
      <c r="E110" s="2543"/>
      <c r="F110" s="2543"/>
      <c r="G110" s="2543"/>
      <c r="H110" s="2543"/>
      <c r="I110" s="2543"/>
      <c r="J110" s="2543"/>
      <c r="K110" s="2543"/>
      <c r="L110" s="2543"/>
      <c r="M110" s="2543"/>
      <c r="N110" s="2543"/>
      <c r="O110" s="2543"/>
      <c r="P110" s="2543"/>
    </row>
    <row r="111" spans="1:28">
      <c r="A111" s="2541" t="s">
        <v>2454</v>
      </c>
      <c r="B111" s="2543"/>
      <c r="C111" s="2543"/>
      <c r="D111" s="2543"/>
      <c r="E111" s="2543"/>
      <c r="F111" s="2543"/>
      <c r="G111" s="2543"/>
      <c r="H111" s="2543"/>
      <c r="I111" s="2543"/>
      <c r="J111" s="2543"/>
      <c r="K111" s="2543"/>
      <c r="L111" s="2543"/>
      <c r="M111" s="676">
        <v>0.3</v>
      </c>
      <c r="N111" s="676">
        <v>0.31</v>
      </c>
      <c r="O111" s="676">
        <v>0.33</v>
      </c>
      <c r="P111" s="676">
        <v>0.35</v>
      </c>
      <c r="Q111" s="676">
        <v>0.36</v>
      </c>
      <c r="R111" s="676">
        <v>0.38</v>
      </c>
      <c r="S111" s="676">
        <v>0.38</v>
      </c>
      <c r="T111" s="676">
        <v>0.39</v>
      </c>
      <c r="U111" s="676">
        <v>0.41</v>
      </c>
    </row>
    <row r="112" spans="1:28">
      <c r="B112" s="2543"/>
      <c r="C112" s="2543"/>
      <c r="D112" s="2543"/>
      <c r="E112" s="2543"/>
      <c r="F112" s="2543"/>
      <c r="G112" s="2543"/>
      <c r="H112" s="2543"/>
      <c r="I112" s="2543"/>
      <c r="J112" s="2543"/>
      <c r="K112" s="2543"/>
      <c r="L112" s="2543"/>
      <c r="M112" s="2543"/>
      <c r="N112" s="2543"/>
      <c r="O112" s="2543"/>
      <c r="P112" s="2543"/>
    </row>
    <row r="113" spans="1:22">
      <c r="A113" s="2541" t="s">
        <v>2455</v>
      </c>
      <c r="B113" s="2543"/>
      <c r="C113" s="2543"/>
      <c r="D113" s="2543"/>
      <c r="E113" s="2543"/>
      <c r="F113" s="2543"/>
      <c r="G113" s="2543"/>
      <c r="H113" s="2543"/>
      <c r="I113" s="2543"/>
      <c r="J113" s="676"/>
      <c r="K113" s="676"/>
      <c r="L113" s="676"/>
      <c r="M113" s="676"/>
      <c r="N113" s="676"/>
      <c r="O113" s="676"/>
      <c r="P113" s="676">
        <v>0.12</v>
      </c>
      <c r="Q113" s="676">
        <v>0.08</v>
      </c>
      <c r="R113" s="676">
        <v>0.04</v>
      </c>
      <c r="S113" s="676">
        <v>-0.08</v>
      </c>
      <c r="T113" s="676">
        <v>0.05</v>
      </c>
      <c r="U113" s="676">
        <v>0.03</v>
      </c>
      <c r="V113" s="676"/>
    </row>
    <row r="114" spans="1:22">
      <c r="B114" s="2543"/>
      <c r="C114" s="2543"/>
      <c r="D114" s="2543"/>
      <c r="E114" s="2543"/>
      <c r="F114" s="2543"/>
      <c r="G114" s="2543"/>
      <c r="H114" s="2543"/>
      <c r="I114" s="2543"/>
      <c r="J114" s="2543"/>
      <c r="K114" s="2543"/>
      <c r="L114" s="2543"/>
      <c r="M114" s="2543"/>
      <c r="N114" s="2543"/>
      <c r="O114" s="2543"/>
      <c r="P114" s="2543"/>
    </row>
    <row r="115" spans="1:22">
      <c r="B115" s="2543"/>
      <c r="C115" s="2543"/>
      <c r="D115" s="2543"/>
      <c r="E115" s="2543"/>
      <c r="F115" s="2543"/>
      <c r="G115" s="2543"/>
      <c r="H115" s="2543"/>
      <c r="I115" s="2543"/>
      <c r="J115" s="2543"/>
      <c r="K115" s="2543"/>
      <c r="L115" s="2543"/>
      <c r="M115" s="2543"/>
      <c r="N115" s="2543"/>
      <c r="O115" s="2543"/>
      <c r="P115" s="2543"/>
    </row>
    <row r="116" spans="1:22">
      <c r="B116" s="2543"/>
      <c r="C116" s="2543"/>
      <c r="D116" s="2543"/>
      <c r="E116" s="2543"/>
      <c r="F116" s="2543"/>
      <c r="G116" s="2543"/>
      <c r="H116" s="2543"/>
      <c r="I116" s="2543"/>
      <c r="J116" s="2543"/>
      <c r="K116" s="2543"/>
      <c r="L116" s="2543"/>
      <c r="M116" s="2543"/>
      <c r="N116" s="2543"/>
      <c r="O116" s="2543"/>
      <c r="P116" s="2543"/>
    </row>
  </sheetData>
  <phoneticPr fontId="11" type="noConversion"/>
  <pageMargins left="0.69930555555555596" right="0.69930555555555596"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70"/>
  <sheetViews>
    <sheetView workbookViewId="0"/>
  </sheetViews>
  <sheetFormatPr defaultColWidth="9" defaultRowHeight="12.5"/>
  <cols>
    <col min="1" max="1" width="40.83203125" style="2541" customWidth="1"/>
    <col min="2" max="2" width="24.08203125" style="2541" hidden="1" customWidth="1"/>
    <col min="3" max="3" width="12.58203125" style="2541" customWidth="1"/>
    <col min="4" max="4" width="13.08203125" style="2541" customWidth="1"/>
    <col min="5" max="6" width="12.58203125" style="2541" customWidth="1"/>
    <col min="7" max="9" width="9" style="2541"/>
    <col min="10" max="10" width="9.25" style="2541" customWidth="1"/>
    <col min="11" max="13" width="9.58203125" style="2541" bestFit="1" customWidth="1"/>
    <col min="14" max="16384" width="9" style="2541"/>
  </cols>
  <sheetData>
    <row r="1" spans="1:11">
      <c r="B1" s="3529" t="s">
        <v>2456</v>
      </c>
      <c r="C1" s="3529"/>
      <c r="D1" s="3529"/>
      <c r="E1" s="2562"/>
      <c r="F1" s="2562"/>
    </row>
    <row r="2" spans="1:11" ht="13">
      <c r="A2" s="2537" t="s">
        <v>2377</v>
      </c>
      <c r="B2" s="2573">
        <v>2015</v>
      </c>
      <c r="C2" s="2573">
        <v>2016</v>
      </c>
      <c r="D2" s="2573">
        <v>2017</v>
      </c>
      <c r="E2" s="2573">
        <v>2018</v>
      </c>
      <c r="F2" s="2573">
        <v>2019</v>
      </c>
    </row>
    <row r="3" spans="1:11" ht="13">
      <c r="A3" s="2542" t="s">
        <v>1220</v>
      </c>
    </row>
    <row r="4" spans="1:11" ht="13">
      <c r="A4" s="2544" t="s">
        <v>1221</v>
      </c>
      <c r="B4" s="860">
        <v>3596.26</v>
      </c>
      <c r="C4" s="860">
        <v>3260.2339999999999</v>
      </c>
      <c r="D4" s="860">
        <v>4454.5479999999998</v>
      </c>
      <c r="E4" s="860">
        <v>4715.2349999999997</v>
      </c>
      <c r="F4" s="860">
        <f>SUM('DESP Quarterly'!R3:U3)</f>
        <v>4734.2000000000007</v>
      </c>
    </row>
    <row r="5" spans="1:11" ht="12.75" customHeight="1">
      <c r="A5" s="740" t="s">
        <v>2399</v>
      </c>
      <c r="B5" s="676"/>
      <c r="C5" s="676">
        <f>(C4-B4)/B4</f>
        <v>-9.3437626867912849E-2</v>
      </c>
      <c r="D5" s="676">
        <f>(D4-C4)/C4</f>
        <v>0.36632769304289198</v>
      </c>
      <c r="E5" s="676">
        <f>(E4-D4)/D4</f>
        <v>5.8521537987692558E-2</v>
      </c>
      <c r="F5" s="676">
        <f>(F4-E4)/E4</f>
        <v>4.0220688894617249E-3</v>
      </c>
    </row>
    <row r="6" spans="1:11" ht="13">
      <c r="A6" s="2545" t="s">
        <v>1637</v>
      </c>
      <c r="B6" s="860">
        <f>B7+B8</f>
        <v>425.53800000000001</v>
      </c>
      <c r="C6" s="860">
        <f>C7+C8</f>
        <v>407.33500000000004</v>
      </c>
      <c r="D6" s="860">
        <f>D7+D8</f>
        <v>523.94000000000005</v>
      </c>
      <c r="E6" s="860">
        <f>E7+E8</f>
        <v>530.61400000000003</v>
      </c>
      <c r="F6" s="860">
        <f>SUM('DESP Quarterly'!R5:U5)</f>
        <v>524.87599999999998</v>
      </c>
      <c r="G6" s="2574"/>
      <c r="H6" s="727"/>
      <c r="I6" s="727"/>
      <c r="J6" s="727"/>
      <c r="K6" s="727"/>
    </row>
    <row r="7" spans="1:11" ht="13">
      <c r="A7" s="2545" t="s">
        <v>2457</v>
      </c>
      <c r="B7" s="860">
        <v>219.81700000000001</v>
      </c>
      <c r="C7" s="860">
        <v>201.89400000000001</v>
      </c>
      <c r="D7" s="860">
        <v>241.01499999999999</v>
      </c>
      <c r="E7" s="860">
        <v>214.804</v>
      </c>
      <c r="F7" s="860">
        <v>201.6</v>
      </c>
    </row>
    <row r="8" spans="1:11" ht="13">
      <c r="A8" s="2545" t="s">
        <v>2458</v>
      </c>
      <c r="B8" s="860">
        <v>205.721</v>
      </c>
      <c r="C8" s="860">
        <v>205.441</v>
      </c>
      <c r="D8" s="860">
        <v>282.92500000000001</v>
      </c>
      <c r="E8" s="860">
        <v>315.81</v>
      </c>
      <c r="F8" s="860">
        <v>323.2</v>
      </c>
    </row>
    <row r="9" spans="1:11" ht="13">
      <c r="A9" s="2545" t="s">
        <v>1668</v>
      </c>
      <c r="B9" s="860">
        <v>154.21299999999999</v>
      </c>
      <c r="C9" s="860">
        <v>126.675</v>
      </c>
      <c r="D9" s="860">
        <v>142.47900000000001</v>
      </c>
      <c r="E9" s="860">
        <v>172.11</v>
      </c>
      <c r="F9" s="860">
        <f>SUM('DESP Quarterly'!R13:U13)</f>
        <v>-179.565</v>
      </c>
    </row>
    <row r="10" spans="1:11">
      <c r="A10" s="2549" t="s">
        <v>2459</v>
      </c>
      <c r="B10" s="2548">
        <v>-20.021000000000001</v>
      </c>
      <c r="C10" s="2548">
        <v>-5.5549999999999997</v>
      </c>
      <c r="D10" s="2548"/>
      <c r="E10" s="2548"/>
      <c r="F10" s="2548"/>
    </row>
    <row r="11" spans="1:11">
      <c r="A11" s="2549"/>
      <c r="B11" s="2548"/>
      <c r="C11" s="2548"/>
      <c r="D11" s="2548"/>
      <c r="E11" s="2548"/>
      <c r="F11" s="2548"/>
    </row>
    <row r="12" spans="1:11">
      <c r="A12" s="2549" t="s">
        <v>2460</v>
      </c>
      <c r="B12" s="676"/>
      <c r="C12" s="727">
        <v>9.5000000000000001E-2</v>
      </c>
      <c r="D12" s="727"/>
      <c r="E12" s="727"/>
      <c r="F12" s="727"/>
    </row>
    <row r="13" spans="1:11" ht="13">
      <c r="A13" s="2545"/>
      <c r="B13" s="860"/>
      <c r="C13" s="860"/>
      <c r="D13" s="860"/>
      <c r="E13" s="860"/>
      <c r="F13" s="860"/>
    </row>
    <row r="14" spans="1:11">
      <c r="A14" s="2549" t="s">
        <v>356</v>
      </c>
      <c r="B14" s="860">
        <v>267.49799999999999</v>
      </c>
      <c r="C14" s="860">
        <v>284.48700000000002</v>
      </c>
      <c r="D14" s="860">
        <v>381.46100000000001</v>
      </c>
      <c r="E14" s="860">
        <v>358.50400000000002</v>
      </c>
      <c r="F14" s="860">
        <f>SUM('DESP Quarterly'!R14:U14)</f>
        <v>345.31100000000004</v>
      </c>
    </row>
    <row r="15" spans="1:11">
      <c r="A15" s="2549" t="s">
        <v>2461</v>
      </c>
      <c r="B15" s="676">
        <f>B14/B6</f>
        <v>0.62861131085825472</v>
      </c>
      <c r="C15" s="676">
        <f>C14/C6</f>
        <v>0.69841039930278515</v>
      </c>
      <c r="D15" s="676">
        <f>D14/D6</f>
        <v>0.72806237355422376</v>
      </c>
      <c r="E15" s="676">
        <f>E14/E6</f>
        <v>0.67563991903719089</v>
      </c>
      <c r="F15" s="676">
        <f>F14/F6</f>
        <v>0.65789062559537881</v>
      </c>
    </row>
    <row r="16" spans="1:11">
      <c r="A16" s="2549"/>
      <c r="I16" s="2541" t="s">
        <v>2462</v>
      </c>
    </row>
    <row r="17" spans="1:6" ht="13">
      <c r="A17" s="2545" t="s">
        <v>1226</v>
      </c>
      <c r="B17" s="2548"/>
      <c r="C17" s="2548"/>
      <c r="D17" s="2548"/>
      <c r="E17" s="2548"/>
      <c r="F17" s="2548"/>
    </row>
    <row r="18" spans="1:6">
      <c r="A18" s="2550" t="s">
        <v>2406</v>
      </c>
      <c r="B18" s="2548">
        <v>-78.180999999999997</v>
      </c>
      <c r="C18" s="2548">
        <v>-64.683000000000007</v>
      </c>
      <c r="D18" s="2548">
        <v>-72.626000000000005</v>
      </c>
      <c r="E18" s="2548">
        <v>-67.239999999999995</v>
      </c>
      <c r="F18" s="2548">
        <f>SUM('DESP Quarterly'!R18:U18)</f>
        <v>-92.962000000000003</v>
      </c>
    </row>
    <row r="19" spans="1:6">
      <c r="A19" s="2550" t="s">
        <v>2408</v>
      </c>
      <c r="B19" s="2548">
        <v>-73.534999999999997</v>
      </c>
      <c r="C19" s="2548">
        <v>-63.250999999999998</v>
      </c>
      <c r="D19" s="2548">
        <v>-71.308000000000007</v>
      </c>
      <c r="E19" s="2548">
        <v>-71.153999999999996</v>
      </c>
      <c r="F19" s="2548">
        <f>SUM('DESP Quarterly'!R20:U20)</f>
        <v>-73.375</v>
      </c>
    </row>
    <row r="20" spans="1:6">
      <c r="A20" s="2550" t="s">
        <v>2410</v>
      </c>
      <c r="B20" s="2548">
        <v>-170.149</v>
      </c>
      <c r="C20" s="2548">
        <v>-121.46599999999999</v>
      </c>
      <c r="D20" s="2548">
        <v>-166.28800000000001</v>
      </c>
      <c r="E20" s="2548">
        <v>-174.357</v>
      </c>
      <c r="F20" s="2548">
        <f>SUM('DESP Quarterly'!R22:U22)</f>
        <v>-187.89400000000001</v>
      </c>
    </row>
    <row r="21" spans="1:6">
      <c r="A21" s="2550" t="s">
        <v>2412</v>
      </c>
      <c r="B21" s="676">
        <f>-B20/B4</f>
        <v>4.7312763815741905E-2</v>
      </c>
      <c r="C21" s="676">
        <f>-C20/C4</f>
        <v>3.7256834938841812E-2</v>
      </c>
      <c r="D21" s="676">
        <f>-D20/D4</f>
        <v>3.7329937852280413E-2</v>
      </c>
      <c r="E21" s="676">
        <f>-E20/E4</f>
        <v>3.6977372283671969E-2</v>
      </c>
      <c r="F21" s="676">
        <f>-F20/F4</f>
        <v>3.9688648557306402E-2</v>
      </c>
    </row>
    <row r="22" spans="1:6">
      <c r="A22" s="2549"/>
    </row>
    <row r="23" spans="1:6">
      <c r="A23" s="2549" t="s">
        <v>2414</v>
      </c>
      <c r="B23" s="2575">
        <v>-5.5119999999999996</v>
      </c>
      <c r="C23" s="2575">
        <v>-5.0890000000000004</v>
      </c>
      <c r="D23" s="2575">
        <f>-5.075-8.751</f>
        <v>-13.826000000000001</v>
      </c>
      <c r="E23" s="2575">
        <f>-5.348-10.14</f>
        <v>-15.488</v>
      </c>
      <c r="F23" s="2575">
        <f>SUM('DESP Quarterly'!R29:U29)</f>
        <v>-22.794</v>
      </c>
    </row>
    <row r="24" spans="1:6">
      <c r="A24" s="2550" t="s">
        <v>2415</v>
      </c>
      <c r="B24" s="2575">
        <v>-0.86099999999999999</v>
      </c>
      <c r="C24" s="2575">
        <v>-0.57399999999999995</v>
      </c>
      <c r="D24" s="2575">
        <v>-4.2889999999999997</v>
      </c>
      <c r="E24" s="2575">
        <v>-6.766</v>
      </c>
      <c r="F24" s="2575">
        <f>SUM('DESP Quarterly'!R30:U30)</f>
        <v>-11.705</v>
      </c>
    </row>
    <row r="25" spans="1:6">
      <c r="A25" s="2546" t="s">
        <v>1229</v>
      </c>
      <c r="B25" s="2548">
        <f>B18+B19+B20+B23</f>
        <v>-327.37700000000001</v>
      </c>
      <c r="C25" s="2548">
        <f>C18+C19+C20+C23</f>
        <v>-254.48899999999998</v>
      </c>
      <c r="D25" s="2548">
        <f>D18+D19+D20+D23</f>
        <v>-324.04800000000006</v>
      </c>
      <c r="E25" s="2548">
        <f>E18+E19+E20+E23</f>
        <v>-328.23899999999998</v>
      </c>
      <c r="F25" s="2548">
        <f>F18+F19+F20+F23</f>
        <v>-377.02499999999998</v>
      </c>
    </row>
    <row r="26" spans="1:6">
      <c r="A26" s="2549" t="s">
        <v>1230</v>
      </c>
      <c r="B26" s="2548">
        <f>B25+B24</f>
        <v>-328.238</v>
      </c>
      <c r="C26" s="2548">
        <f>C25+C24</f>
        <v>-255.06299999999999</v>
      </c>
      <c r="D26" s="2548">
        <f>D25+D24</f>
        <v>-328.33700000000005</v>
      </c>
      <c r="E26" s="2548">
        <f>E25+E24</f>
        <v>-335.005</v>
      </c>
      <c r="F26" s="2548">
        <f>F25+F24</f>
        <v>-388.72999999999996</v>
      </c>
    </row>
    <row r="27" spans="1:6">
      <c r="A27" s="2555"/>
    </row>
    <row r="28" spans="1:6">
      <c r="A28" s="2556" t="s">
        <v>1231</v>
      </c>
      <c r="B28" s="2575">
        <v>-54.366999999999997</v>
      </c>
      <c r="C28" s="2575">
        <v>35.087000000000003</v>
      </c>
      <c r="D28" s="2575">
        <v>71.239000000000004</v>
      </c>
      <c r="E28" s="2575">
        <v>45.39</v>
      </c>
      <c r="F28" s="2575">
        <f>SUM('DESP Quarterly'!R34:U34)</f>
        <v>-8.9199999999999982</v>
      </c>
    </row>
    <row r="29" spans="1:6" ht="13">
      <c r="A29" s="747" t="s">
        <v>2463</v>
      </c>
      <c r="B29" s="676">
        <f>B28/B6</f>
        <v>-0.12776062302309077</v>
      </c>
      <c r="C29" s="676">
        <f>C28/C6</f>
        <v>8.6137945425755216E-2</v>
      </c>
      <c r="D29" s="676">
        <f>D28/D6</f>
        <v>0.13596785891514296</v>
      </c>
      <c r="E29" s="676">
        <f>E28/E6</f>
        <v>8.5542409359722876E-2</v>
      </c>
      <c r="F29" s="676">
        <f>F28/F6</f>
        <v>-1.6994490127191942E-2</v>
      </c>
    </row>
    <row r="30" spans="1:6">
      <c r="A30" s="747"/>
    </row>
    <row r="31" spans="1:6">
      <c r="A31" s="2549" t="s">
        <v>1247</v>
      </c>
      <c r="B31" s="2548">
        <v>-85.275999999999996</v>
      </c>
      <c r="C31" s="2548">
        <v>17.797000000000001</v>
      </c>
      <c r="D31" s="2548">
        <v>42.366</v>
      </c>
      <c r="E31" s="2548">
        <v>19.154</v>
      </c>
      <c r="F31" s="2548">
        <f>SUM('DESP Quarterly'!R37:U37)</f>
        <v>-20.91</v>
      </c>
    </row>
    <row r="32" spans="1:6" ht="13">
      <c r="A32" s="749" t="s">
        <v>2464</v>
      </c>
      <c r="B32" s="676">
        <f>B31/B6</f>
        <v>-0.20039573434099892</v>
      </c>
      <c r="C32" s="676">
        <f>C31/C6</f>
        <v>4.3691310592018855E-2</v>
      </c>
      <c r="D32" s="676">
        <f>D31/D6</f>
        <v>8.086040386303775E-2</v>
      </c>
      <c r="E32" s="676">
        <f>E31/E6</f>
        <v>3.6097803676495531E-2</v>
      </c>
      <c r="F32" s="676">
        <f>F31/F6</f>
        <v>-3.9837980780222382E-2</v>
      </c>
    </row>
    <row r="33" spans="1:6">
      <c r="A33" s="2555"/>
      <c r="B33" s="2575"/>
      <c r="C33" s="2575"/>
      <c r="D33" s="2575"/>
      <c r="E33" s="2575"/>
      <c r="F33" s="2575"/>
    </row>
    <row r="34" spans="1:6" ht="13">
      <c r="A34" s="2557" t="s">
        <v>1236</v>
      </c>
      <c r="B34" s="2575">
        <v>-39.067</v>
      </c>
      <c r="C34" s="2575">
        <v>48.585000000000001</v>
      </c>
      <c r="D34" s="2575">
        <v>89.353999999999999</v>
      </c>
      <c r="E34" s="2575">
        <v>67.328999999999994</v>
      </c>
      <c r="F34" s="2575">
        <f>SUM('DESP Quarterly'!R40:U40)</f>
        <v>25.591999999999999</v>
      </c>
    </row>
    <row r="35" spans="1:6" ht="13">
      <c r="A35" s="749" t="s">
        <v>1237</v>
      </c>
      <c r="B35" s="676">
        <f>B34/B6</f>
        <v>-9.1806137172238442E-2</v>
      </c>
      <c r="C35" s="676">
        <f>C34/C6</f>
        <v>0.11927528938097634</v>
      </c>
      <c r="D35" s="676">
        <f>D34/D6</f>
        <v>0.17054242852234988</v>
      </c>
      <c r="E35" s="676">
        <f>E34/E6</f>
        <v>0.1268888495214977</v>
      </c>
      <c r="F35" s="676">
        <f>F34/F6</f>
        <v>4.8758182885100483E-2</v>
      </c>
    </row>
    <row r="36" spans="1:6">
      <c r="A36" s="750"/>
    </row>
    <row r="37" spans="1:6" ht="13">
      <c r="A37" s="2576" t="s">
        <v>2465</v>
      </c>
      <c r="B37" s="859">
        <v>57078</v>
      </c>
      <c r="C37" s="859">
        <v>58609</v>
      </c>
      <c r="D37" s="859">
        <v>61548</v>
      </c>
      <c r="E37" s="859">
        <v>71254</v>
      </c>
      <c r="F37" s="859">
        <v>70689</v>
      </c>
    </row>
    <row r="38" spans="1:6" ht="13">
      <c r="A38" s="2577" t="s">
        <v>1239</v>
      </c>
    </row>
    <row r="39" spans="1:6" ht="13">
      <c r="A39" s="749" t="s">
        <v>1240</v>
      </c>
      <c r="B39" s="2578">
        <v>-1.49</v>
      </c>
      <c r="C39" s="2578">
        <v>0.3</v>
      </c>
      <c r="D39" s="2578">
        <v>0.69</v>
      </c>
      <c r="E39" s="2578">
        <v>0.28000000000000003</v>
      </c>
      <c r="F39" s="2578">
        <v>-0.3</v>
      </c>
    </row>
    <row r="40" spans="1:6" ht="13">
      <c r="A40" s="749" t="s">
        <v>1241</v>
      </c>
      <c r="B40" s="2578">
        <v>-1.49</v>
      </c>
      <c r="C40" s="2578">
        <v>0.3</v>
      </c>
      <c r="D40" s="2578">
        <v>0.69</v>
      </c>
      <c r="E40" s="2578">
        <v>0.27</v>
      </c>
      <c r="F40" s="2578">
        <v>-0.3</v>
      </c>
    </row>
    <row r="41" spans="1:6" ht="13">
      <c r="A41" s="749"/>
    </row>
    <row r="42" spans="1:6">
      <c r="A42" s="2572"/>
    </row>
    <row r="43" spans="1:6">
      <c r="A43" s="2572"/>
    </row>
    <row r="44" spans="1:6">
      <c r="A44" s="2579"/>
    </row>
    <row r="45" spans="1:6" ht="13">
      <c r="A45" s="2580" t="s">
        <v>2466</v>
      </c>
      <c r="B45" s="2581"/>
      <c r="C45" s="2582">
        <v>2016</v>
      </c>
      <c r="D45" s="2582">
        <v>2017</v>
      </c>
      <c r="E45" s="2582">
        <v>2018</v>
      </c>
      <c r="F45" s="2582">
        <v>2019</v>
      </c>
    </row>
    <row r="46" spans="1:6" ht="13">
      <c r="A46" s="2583" t="s">
        <v>0</v>
      </c>
    </row>
    <row r="47" spans="1:6">
      <c r="A47" s="760" t="s">
        <v>1</v>
      </c>
    </row>
    <row r="48" spans="1:6">
      <c r="A48" s="761" t="s">
        <v>2</v>
      </c>
      <c r="B48" s="860">
        <v>102.116</v>
      </c>
      <c r="C48" s="860">
        <v>75.968000000000004</v>
      </c>
      <c r="D48" s="860">
        <v>371.01299999999998</v>
      </c>
      <c r="E48" s="860">
        <v>346.48</v>
      </c>
      <c r="F48" s="860">
        <v>309.18700000000001</v>
      </c>
    </row>
    <row r="49" spans="1:14">
      <c r="A49" s="761" t="s">
        <v>9</v>
      </c>
      <c r="B49" s="860">
        <v>19.074999999999999</v>
      </c>
      <c r="C49" s="860">
        <v>22.738</v>
      </c>
      <c r="D49" s="860">
        <v>29.763999999999999</v>
      </c>
      <c r="E49" s="860">
        <v>5.7089999999999996</v>
      </c>
      <c r="F49" s="860">
        <v>4.4569999999999999</v>
      </c>
    </row>
    <row r="50" spans="1:14">
      <c r="A50" s="761" t="s">
        <v>1249</v>
      </c>
      <c r="B50" s="860">
        <v>40.012999999999998</v>
      </c>
      <c r="C50" s="860">
        <v>0</v>
      </c>
      <c r="D50" s="860">
        <v>0</v>
      </c>
      <c r="E50" s="860">
        <v>0</v>
      </c>
      <c r="F50" s="860">
        <v>0</v>
      </c>
    </row>
    <row r="51" spans="1:14" ht="12.75" customHeight="1">
      <c r="A51" s="768" t="s">
        <v>2467</v>
      </c>
      <c r="B51" s="2584">
        <f>B50+B49+B48</f>
        <v>161.20400000000001</v>
      </c>
      <c r="C51" s="2584">
        <f>C50+C49+C48</f>
        <v>98.706000000000003</v>
      </c>
      <c r="D51" s="2584">
        <f>D50+D49+D48</f>
        <v>400.77699999999999</v>
      </c>
      <c r="E51" s="2584">
        <f>E50+E49+E48</f>
        <v>352.18900000000002</v>
      </c>
      <c r="F51" s="2584">
        <f>F50+F49+F48</f>
        <v>313.64400000000001</v>
      </c>
      <c r="K51" s="2582"/>
      <c r="L51" s="2582"/>
      <c r="M51" s="2582"/>
      <c r="N51" s="2582"/>
    </row>
    <row r="52" spans="1:14">
      <c r="A52" s="769" t="s">
        <v>2468</v>
      </c>
      <c r="B52" s="860"/>
      <c r="C52" s="860">
        <v>121.098</v>
      </c>
      <c r="D52" s="860">
        <v>198.273</v>
      </c>
      <c r="E52" s="860">
        <v>228.44800000000001</v>
      </c>
      <c r="F52" s="860">
        <v>213.55099999999999</v>
      </c>
      <c r="J52" s="2585"/>
      <c r="K52" s="861"/>
      <c r="L52" s="861"/>
      <c r="M52" s="861"/>
      <c r="N52" s="861"/>
    </row>
    <row r="53" spans="1:14">
      <c r="A53" s="2586" t="s">
        <v>2469</v>
      </c>
      <c r="B53" s="2587"/>
      <c r="C53" s="2587">
        <v>2.2400000000000002</v>
      </c>
      <c r="D53" s="2587">
        <v>5.2530000000000001</v>
      </c>
      <c r="E53" s="2587">
        <v>8.6530000000000005</v>
      </c>
      <c r="F53" s="2587">
        <v>19.555</v>
      </c>
      <c r="J53" s="2588"/>
      <c r="K53" s="861"/>
      <c r="L53" s="861"/>
      <c r="M53" s="861"/>
      <c r="N53" s="861"/>
    </row>
    <row r="54" spans="1:14">
      <c r="A54" s="769" t="s">
        <v>1250</v>
      </c>
      <c r="B54" s="860">
        <v>34.433999999999997</v>
      </c>
      <c r="C54" s="860">
        <v>23.587</v>
      </c>
      <c r="D54" s="860">
        <v>29.405000000000001</v>
      </c>
      <c r="E54" s="860">
        <v>68.471000000000004</v>
      </c>
      <c r="F54" s="860">
        <v>69.694000000000003</v>
      </c>
      <c r="J54" s="2588"/>
      <c r="K54" s="861"/>
      <c r="L54" s="861"/>
      <c r="M54" s="861"/>
      <c r="N54" s="861"/>
    </row>
    <row r="55" spans="1:14" ht="13">
      <c r="A55" s="2589" t="s">
        <v>2470</v>
      </c>
      <c r="B55" s="2584"/>
      <c r="C55" s="2584">
        <f>C51+C52+C53+C54</f>
        <v>245.631</v>
      </c>
      <c r="D55" s="2584">
        <f>D51+D52+D53+D54</f>
        <v>633.70799999999997</v>
      </c>
      <c r="E55" s="2584">
        <f>E51+E52+E53+E54</f>
        <v>657.76100000000008</v>
      </c>
      <c r="F55" s="2584">
        <f>F51+F52+F53+F54</f>
        <v>616.44399999999985</v>
      </c>
    </row>
    <row r="56" spans="1:14">
      <c r="A56" s="769" t="s">
        <v>2471</v>
      </c>
      <c r="B56" s="860"/>
      <c r="C56" s="860">
        <v>3.597</v>
      </c>
      <c r="D56" s="860">
        <v>4.6580000000000004</v>
      </c>
      <c r="E56" s="860">
        <v>12.750999999999999</v>
      </c>
      <c r="F56" s="860">
        <v>25.350999999999999</v>
      </c>
    </row>
    <row r="57" spans="1:14">
      <c r="A57" s="769" t="s">
        <v>2472</v>
      </c>
      <c r="B57" s="860"/>
      <c r="C57" s="860">
        <v>20.459</v>
      </c>
      <c r="D57" s="860">
        <v>10</v>
      </c>
      <c r="E57" s="860">
        <v>0</v>
      </c>
      <c r="F57" s="860">
        <v>0</v>
      </c>
    </row>
    <row r="58" spans="1:14">
      <c r="A58" s="769" t="s">
        <v>2473</v>
      </c>
      <c r="B58" s="860"/>
      <c r="C58" s="860">
        <v>0</v>
      </c>
      <c r="D58" s="860">
        <v>0</v>
      </c>
      <c r="E58" s="860">
        <v>0</v>
      </c>
      <c r="F58" s="860">
        <v>7.89</v>
      </c>
    </row>
    <row r="59" spans="1:14">
      <c r="A59" s="769" t="s">
        <v>2474</v>
      </c>
      <c r="B59" s="860"/>
      <c r="C59" s="860">
        <v>13.717000000000001</v>
      </c>
      <c r="D59" s="860">
        <v>16.170999999999999</v>
      </c>
      <c r="E59" s="860">
        <v>19.712</v>
      </c>
      <c r="F59" s="860">
        <v>21.204999999999998</v>
      </c>
    </row>
    <row r="60" spans="1:14">
      <c r="A60" s="769" t="s">
        <v>2475</v>
      </c>
      <c r="B60" s="860"/>
      <c r="C60" s="860">
        <v>31.411999999999999</v>
      </c>
      <c r="D60" s="860">
        <v>35.423999999999999</v>
      </c>
      <c r="E60" s="860">
        <v>37.512</v>
      </c>
      <c r="F60" s="860">
        <v>49.619</v>
      </c>
    </row>
    <row r="61" spans="1:14">
      <c r="A61" s="769" t="s">
        <v>2476</v>
      </c>
      <c r="B61" s="860"/>
      <c r="C61" s="860">
        <v>38.893999999999998</v>
      </c>
      <c r="D61" s="860">
        <v>38.732999999999997</v>
      </c>
      <c r="E61" s="860">
        <v>36.207000000000001</v>
      </c>
      <c r="F61" s="860">
        <v>47.326000000000001</v>
      </c>
    </row>
    <row r="62" spans="1:14" ht="13">
      <c r="A62" s="2589" t="s">
        <v>2477</v>
      </c>
      <c r="B62" s="2584"/>
      <c r="C62" s="2584">
        <f>C56+C57+C58+C59+C60+C61</f>
        <v>108.07900000000001</v>
      </c>
      <c r="D62" s="2584">
        <f>D56+D57+D58+D59+D60+D61</f>
        <v>104.98599999999999</v>
      </c>
      <c r="E62" s="2584">
        <f>E56+E57+E58+E59+E60+E61</f>
        <v>106.18199999999999</v>
      </c>
      <c r="F62" s="2584">
        <f>F56+F57+F58+F59+F60+F61</f>
        <v>151.39099999999999</v>
      </c>
    </row>
    <row r="63" spans="1:14" ht="13">
      <c r="A63" s="1104" t="s">
        <v>4</v>
      </c>
      <c r="B63" s="2584">
        <v>252.57</v>
      </c>
      <c r="C63" s="2584">
        <f>C62+C55</f>
        <v>353.71000000000004</v>
      </c>
      <c r="D63" s="2584">
        <f>D62+D55</f>
        <v>738.69399999999996</v>
      </c>
      <c r="E63" s="2584">
        <f>E62+E55</f>
        <v>763.9430000000001</v>
      </c>
      <c r="F63" s="2584">
        <f>F62+F55</f>
        <v>767.83499999999981</v>
      </c>
    </row>
    <row r="64" spans="1:14" ht="13">
      <c r="A64" s="1104"/>
      <c r="B64" s="2584"/>
      <c r="C64" s="2584"/>
      <c r="D64" s="2584"/>
      <c r="E64" s="2584"/>
      <c r="F64" s="2584"/>
    </row>
    <row r="65" spans="1:6" ht="13">
      <c r="A65" s="1104" t="s">
        <v>5</v>
      </c>
      <c r="B65" s="860"/>
      <c r="C65" s="860"/>
      <c r="D65" s="860"/>
      <c r="E65" s="860"/>
      <c r="F65" s="860"/>
    </row>
    <row r="66" spans="1:6">
      <c r="A66" s="761" t="s">
        <v>2478</v>
      </c>
      <c r="B66" s="860"/>
      <c r="C66" s="860"/>
      <c r="D66" s="860"/>
      <c r="E66" s="860"/>
      <c r="F66" s="860"/>
    </row>
    <row r="67" spans="1:6">
      <c r="A67" s="761" t="s">
        <v>2479</v>
      </c>
      <c r="B67" s="860"/>
      <c r="C67" s="860">
        <v>25.335000000000001</v>
      </c>
      <c r="D67" s="860">
        <v>45.609000000000002</v>
      </c>
      <c r="E67" s="860">
        <v>42.353000000000002</v>
      </c>
      <c r="F67" s="860">
        <v>54.494999999999997</v>
      </c>
    </row>
    <row r="68" spans="1:6">
      <c r="A68" s="761" t="s">
        <v>2480</v>
      </c>
      <c r="B68" s="860"/>
      <c r="C68" s="860">
        <v>102.23699999999999</v>
      </c>
      <c r="D68" s="860">
        <v>174.81700000000001</v>
      </c>
      <c r="E68" s="860">
        <v>185.45</v>
      </c>
      <c r="F68" s="860">
        <v>206.95400000000001</v>
      </c>
    </row>
    <row r="69" spans="1:6">
      <c r="A69" s="2590" t="s">
        <v>2481</v>
      </c>
      <c r="B69" s="2587"/>
      <c r="C69" s="2587">
        <v>71.006</v>
      </c>
      <c r="D69" s="2587">
        <v>84.364000000000004</v>
      </c>
      <c r="E69" s="2587">
        <v>83.903999999999996</v>
      </c>
      <c r="F69" s="2587">
        <v>86.602000000000004</v>
      </c>
    </row>
    <row r="70" spans="1:6">
      <c r="A70" s="761" t="s">
        <v>2482</v>
      </c>
      <c r="B70" s="860">
        <v>2.0190000000000001</v>
      </c>
      <c r="C70" s="860">
        <v>7.1790000000000003</v>
      </c>
      <c r="D70" s="860">
        <v>8.2200000000000006</v>
      </c>
      <c r="E70" s="860">
        <v>31.161999999999999</v>
      </c>
      <c r="F70" s="860">
        <v>19.209</v>
      </c>
    </row>
    <row r="71" spans="1:6">
      <c r="A71" s="761" t="s">
        <v>2483</v>
      </c>
      <c r="B71" s="860"/>
      <c r="C71" s="860">
        <v>29.094999999999999</v>
      </c>
      <c r="D71" s="860">
        <v>30.113</v>
      </c>
      <c r="E71" s="860">
        <v>8.2289999999999992</v>
      </c>
      <c r="F71" s="860">
        <v>8.8529999999999998</v>
      </c>
    </row>
    <row r="72" spans="1:6">
      <c r="A72" s="761" t="s">
        <v>2484</v>
      </c>
      <c r="B72" s="860"/>
      <c r="C72" s="860">
        <v>48.683999999999997</v>
      </c>
      <c r="D72" s="860">
        <v>39.750999999999998</v>
      </c>
      <c r="E72" s="860">
        <v>33.270000000000003</v>
      </c>
      <c r="F72" s="860">
        <v>57.119</v>
      </c>
    </row>
    <row r="73" spans="1:6">
      <c r="A73" s="761" t="s">
        <v>2485</v>
      </c>
      <c r="B73" s="860"/>
      <c r="C73" s="860">
        <v>3.613</v>
      </c>
      <c r="D73" s="860">
        <v>4.7320000000000002</v>
      </c>
      <c r="E73" s="860">
        <v>4.7939999999999996</v>
      </c>
      <c r="F73" s="860">
        <v>6.2969999999999997</v>
      </c>
    </row>
    <row r="74" spans="1:6">
      <c r="A74" s="761" t="s">
        <v>2486</v>
      </c>
      <c r="B74" s="860"/>
      <c r="C74" s="860">
        <v>0</v>
      </c>
      <c r="D74" s="860">
        <v>0</v>
      </c>
      <c r="E74" s="860">
        <v>0</v>
      </c>
      <c r="F74" s="860">
        <v>4.5549999999999997</v>
      </c>
    </row>
    <row r="75" spans="1:6" ht="13">
      <c r="A75" s="1104" t="s">
        <v>2487</v>
      </c>
      <c r="B75" s="2584"/>
      <c r="C75" s="2584">
        <f>SUM(C67,C68,C69,C70,C71,C72,C73,C74)</f>
        <v>287.149</v>
      </c>
      <c r="D75" s="2584">
        <f>SUM(D67,D68,D69,D70,D71,D72,D73,D74)</f>
        <v>387.60600000000005</v>
      </c>
      <c r="E75" s="2584">
        <f>SUM(E67,E68,E69,E70,E71,E72,E73,E74)</f>
        <v>389.16199999999992</v>
      </c>
      <c r="F75" s="2584">
        <f>SUM(F67,F68,F69,F70,F71,F72,F73,F74)</f>
        <v>444.08400000000012</v>
      </c>
    </row>
    <row r="76" spans="1:6">
      <c r="A76" s="761" t="s">
        <v>2488</v>
      </c>
      <c r="B76" s="860"/>
      <c r="C76" s="860">
        <v>1.411</v>
      </c>
      <c r="D76" s="860">
        <v>1.0149999999999999</v>
      </c>
      <c r="E76" s="860">
        <v>0.24299999999999999</v>
      </c>
      <c r="F76" s="860">
        <v>1.427</v>
      </c>
    </row>
    <row r="77" spans="1:6">
      <c r="A77" s="761" t="s">
        <v>2489</v>
      </c>
      <c r="B77" s="860"/>
      <c r="C77" s="860">
        <v>22.413</v>
      </c>
      <c r="D77" s="860">
        <v>7.1150000000000002</v>
      </c>
      <c r="E77" s="860">
        <v>1.968</v>
      </c>
      <c r="F77" s="860">
        <v>5.3999999999999999E-2</v>
      </c>
    </row>
    <row r="78" spans="1:6">
      <c r="A78" s="761" t="s">
        <v>2490</v>
      </c>
      <c r="B78" s="860"/>
      <c r="C78" s="860">
        <v>0</v>
      </c>
      <c r="D78" s="860">
        <v>0</v>
      </c>
      <c r="E78" s="860">
        <v>0</v>
      </c>
      <c r="F78" s="860">
        <v>3.0339999999999998</v>
      </c>
    </row>
    <row r="79" spans="1:6">
      <c r="A79" s="2590" t="s">
        <v>2491</v>
      </c>
      <c r="B79" s="2587"/>
      <c r="C79" s="2587">
        <v>125</v>
      </c>
      <c r="D79" s="2587">
        <v>125</v>
      </c>
      <c r="E79" s="2587">
        <v>125</v>
      </c>
      <c r="F79" s="2587">
        <v>125</v>
      </c>
    </row>
    <row r="80" spans="1:6" s="2553" customFormat="1" ht="13">
      <c r="A80" s="1104" t="s">
        <v>2492</v>
      </c>
      <c r="B80" s="2584"/>
      <c r="C80" s="2584">
        <f>SUM(C79,C78,C77,C76,)</f>
        <v>148.82400000000001</v>
      </c>
      <c r="D80" s="2584">
        <f>SUM(D79,D78,D77,D76,)</f>
        <v>133.13</v>
      </c>
      <c r="E80" s="2584">
        <f>SUM(E79,E78,E77,E76,)</f>
        <v>127.211</v>
      </c>
      <c r="F80" s="2584">
        <f>SUM(F79,F78,F77,F76,)</f>
        <v>129.51499999999999</v>
      </c>
    </row>
    <row r="81" spans="1:6" s="2553" customFormat="1" ht="13">
      <c r="A81" s="2591" t="s">
        <v>1253</v>
      </c>
      <c r="B81" s="2584">
        <v>431.34800000000001</v>
      </c>
      <c r="C81" s="2584">
        <v>435.97300000000001</v>
      </c>
      <c r="D81" s="2584">
        <f>D75+D80</f>
        <v>520.7360000000001</v>
      </c>
      <c r="E81" s="2584">
        <f>E75+E80</f>
        <v>516.37299999999993</v>
      </c>
      <c r="F81" s="2584">
        <f>F75+F80</f>
        <v>573.59900000000016</v>
      </c>
    </row>
    <row r="83" spans="1:6" ht="13">
      <c r="A83" s="2553" t="s">
        <v>2493</v>
      </c>
    </row>
    <row r="84" spans="1:6">
      <c r="A84" s="2541" t="s">
        <v>2494</v>
      </c>
      <c r="C84" s="860">
        <f>6/1000</f>
        <v>6.0000000000000001E-3</v>
      </c>
      <c r="D84" s="860">
        <v>253.535</v>
      </c>
      <c r="E84" s="860">
        <v>255.25399999999999</v>
      </c>
      <c r="F84" s="860">
        <v>261.608</v>
      </c>
    </row>
    <row r="85" spans="1:6">
      <c r="A85" s="2541" t="s">
        <v>2495</v>
      </c>
      <c r="C85" s="860">
        <v>312.15499999999997</v>
      </c>
      <c r="D85" s="860">
        <v>316.44400000000002</v>
      </c>
      <c r="E85" s="860">
        <v>321.62700000000001</v>
      </c>
      <c r="F85" s="860">
        <v>326.959</v>
      </c>
    </row>
    <row r="86" spans="1:6">
      <c r="A86" s="2541" t="s">
        <v>2496</v>
      </c>
      <c r="C86" s="2548">
        <v>-0.72799999999999998</v>
      </c>
      <c r="D86" s="2548">
        <v>-0.72799999999999998</v>
      </c>
      <c r="E86" s="2548">
        <v>-0.72799999999999998</v>
      </c>
      <c r="F86" s="2548">
        <v>-0.72799999999999998</v>
      </c>
    </row>
    <row r="87" spans="1:6">
      <c r="A87" s="2541" t="s">
        <v>2497</v>
      </c>
      <c r="C87" s="860">
        <v>16.286000000000001</v>
      </c>
      <c r="D87" s="860">
        <v>16.323</v>
      </c>
      <c r="E87" s="860">
        <v>3.0510000000000002</v>
      </c>
      <c r="F87" s="860">
        <v>1.175</v>
      </c>
    </row>
    <row r="88" spans="1:6">
      <c r="A88" s="2541" t="s">
        <v>2498</v>
      </c>
      <c r="C88" s="2548">
        <v>-409.98200000000003</v>
      </c>
      <c r="D88" s="2548">
        <v>-367.61599999999999</v>
      </c>
      <c r="E88" s="2548">
        <v>-305.60000000000002</v>
      </c>
      <c r="F88" s="2548">
        <v>-326.51100000000002</v>
      </c>
    </row>
    <row r="89" spans="1:6">
      <c r="A89" s="2541" t="s">
        <v>2499</v>
      </c>
      <c r="C89" s="860">
        <v>0</v>
      </c>
      <c r="D89" s="860">
        <v>0</v>
      </c>
      <c r="E89" s="2548">
        <v>-26.03</v>
      </c>
      <c r="F89" s="2548">
        <v>-68.266999999999996</v>
      </c>
    </row>
    <row r="90" spans="1:6">
      <c r="A90" s="2541" t="s">
        <v>2500</v>
      </c>
      <c r="B90" s="2541">
        <f>SUM(B84,B85,B86,B87,B88,B89)</f>
        <v>0</v>
      </c>
      <c r="C90" s="2548">
        <f>SUM(C84,C85,C86,C87,C88,C89)</f>
        <v>-82.26300000000009</v>
      </c>
      <c r="D90" s="860">
        <f>SUM(D84,D85,D86,D87,D88,D89)</f>
        <v>217.95800000000008</v>
      </c>
      <c r="E90" s="860">
        <f>SUM(E84,E85,E86,E87,E88,E89)</f>
        <v>247.57400000000004</v>
      </c>
      <c r="F90" s="860">
        <f>SUM(F84,F85,F86,F87,F88,F89)</f>
        <v>194.23599999999999</v>
      </c>
    </row>
    <row r="92" spans="1:6" ht="13">
      <c r="A92" s="2592" t="s">
        <v>1255</v>
      </c>
      <c r="B92" s="2584"/>
      <c r="C92" s="2584">
        <f>C90+C81</f>
        <v>353.70999999999992</v>
      </c>
      <c r="D92" s="2584">
        <f>D90+D81</f>
        <v>738.69400000000019</v>
      </c>
      <c r="E92" s="2584">
        <f>E90+E81</f>
        <v>763.947</v>
      </c>
      <c r="F92" s="2584">
        <f>F90+F81</f>
        <v>767.83500000000015</v>
      </c>
    </row>
    <row r="93" spans="1:6" ht="13">
      <c r="A93" s="2592"/>
      <c r="B93" s="2584"/>
      <c r="C93" s="2584"/>
      <c r="D93" s="2584"/>
      <c r="E93" s="2584"/>
      <c r="F93" s="2584"/>
    </row>
    <row r="94" spans="1:6" ht="13">
      <c r="A94" s="2592" t="s">
        <v>2501</v>
      </c>
      <c r="B94" s="2584"/>
      <c r="C94" s="2593">
        <f>C52+C53-C67-C68-C69</f>
        <v>-75.240000000000009</v>
      </c>
      <c r="D94" s="2593">
        <f>D52+D53-D67-D68-D69</f>
        <v>-101.26400000000001</v>
      </c>
      <c r="E94" s="2593">
        <f>E52+E53-E67-E68-E69</f>
        <v>-74.605999999999995</v>
      </c>
      <c r="F94" s="2593">
        <f>F52+F53-F67-F68-F69</f>
        <v>-114.94500000000002</v>
      </c>
    </row>
    <row r="95" spans="1:6" ht="13">
      <c r="A95" s="2592" t="s">
        <v>2502</v>
      </c>
      <c r="B95" s="2584"/>
      <c r="C95" s="2584"/>
      <c r="D95" s="2593">
        <f>D94-C94</f>
        <v>-26.024000000000001</v>
      </c>
      <c r="E95" s="2584">
        <f>E94-D94</f>
        <v>26.658000000000015</v>
      </c>
      <c r="F95" s="2593">
        <f>F94-E94</f>
        <v>-40.339000000000027</v>
      </c>
    </row>
    <row r="96" spans="1:6" ht="13">
      <c r="A96" s="2592"/>
      <c r="B96" s="2584"/>
      <c r="C96" s="2584"/>
      <c r="D96" s="2584"/>
      <c r="E96" s="2584"/>
      <c r="F96" s="2584"/>
    </row>
    <row r="97" spans="1:6" ht="13">
      <c r="A97" s="2583"/>
    </row>
    <row r="98" spans="1:6">
      <c r="A98" s="2594" t="s">
        <v>1257</v>
      </c>
    </row>
    <row r="99" spans="1:6" ht="13">
      <c r="A99" s="2595" t="s">
        <v>2503</v>
      </c>
    </row>
    <row r="100" spans="1:6">
      <c r="A100" s="2596" t="s">
        <v>1258</v>
      </c>
      <c r="B100" s="2575">
        <v>-24.248999999999999</v>
      </c>
      <c r="C100" s="2548">
        <v>-43.292000000000002</v>
      </c>
      <c r="D100" s="2548">
        <v>61.225999999999999</v>
      </c>
      <c r="E100" s="2548">
        <v>-17.62</v>
      </c>
      <c r="F100" s="2548">
        <v>51.564999999999998</v>
      </c>
    </row>
    <row r="101" spans="1:6">
      <c r="A101" s="2596" t="s">
        <v>1259</v>
      </c>
      <c r="B101" s="2575">
        <v>-80.986000000000004</v>
      </c>
      <c r="C101" s="2548">
        <v>14.38</v>
      </c>
      <c r="D101" s="2548">
        <v>-18.260999999999999</v>
      </c>
      <c r="E101" s="2548">
        <v>-26.579000000000001</v>
      </c>
      <c r="F101" s="2548">
        <v>-36.866999999999997</v>
      </c>
    </row>
    <row r="102" spans="1:6">
      <c r="A102" s="2596" t="s">
        <v>1260</v>
      </c>
      <c r="B102" s="2575">
        <v>198.79300000000001</v>
      </c>
      <c r="C102" s="2548">
        <v>5.1420000000000003</v>
      </c>
      <c r="D102" s="2548">
        <v>254.114</v>
      </c>
      <c r="E102" s="2548">
        <v>-1.2569999999999999</v>
      </c>
      <c r="F102" s="2548">
        <v>-54.24</v>
      </c>
    </row>
    <row r="103" spans="1:6">
      <c r="A103" s="2572"/>
    </row>
    <row r="104" spans="1:6">
      <c r="A104" s="2597"/>
    </row>
    <row r="105" spans="1:6" ht="13">
      <c r="A105" s="2595" t="s">
        <v>2504</v>
      </c>
    </row>
    <row r="106" spans="1:6">
      <c r="A106" s="2572" t="s">
        <v>2505</v>
      </c>
      <c r="B106" s="2543">
        <f>B107+B108+B109</f>
        <v>7.7050000000000001</v>
      </c>
      <c r="C106" s="2543">
        <f>C107+C108+C109</f>
        <v>7.2119999999999997</v>
      </c>
      <c r="D106" s="2543">
        <f>D107+D108+D109</f>
        <v>9.0560000000000009</v>
      </c>
      <c r="E106" s="2543">
        <f>E107+E108+E109</f>
        <v>10.393000000000001</v>
      </c>
      <c r="F106" s="2543">
        <f>F107+F108+F109</f>
        <v>10.677</v>
      </c>
    </row>
    <row r="107" spans="1:6">
      <c r="A107" s="2572" t="s">
        <v>2506</v>
      </c>
      <c r="B107" s="2543">
        <v>3.62</v>
      </c>
      <c r="C107" s="2543">
        <v>2.9239999999999999</v>
      </c>
      <c r="D107" s="2543">
        <v>3.7130000000000001</v>
      </c>
      <c r="E107" s="2543">
        <v>4.2300000000000004</v>
      </c>
      <c r="F107" s="2543">
        <f>SUM('DESP Quarterly'!R58:U58)/1000</f>
        <v>4.1680000000000001</v>
      </c>
    </row>
    <row r="108" spans="1:6">
      <c r="A108" s="2572" t="s">
        <v>2507</v>
      </c>
      <c r="B108" s="2543">
        <v>1.7869999999999999</v>
      </c>
      <c r="C108" s="2543">
        <v>1.798</v>
      </c>
      <c r="D108" s="2543">
        <v>2.2639999999999998</v>
      </c>
      <c r="E108" s="2543">
        <v>2.3780000000000001</v>
      </c>
      <c r="F108" s="2543">
        <f>SUM('DESP Quarterly'!R55:U55)/1000</f>
        <v>2.294</v>
      </c>
    </row>
    <row r="109" spans="1:6">
      <c r="A109" s="2572" t="s">
        <v>2508</v>
      </c>
      <c r="B109" s="2543">
        <v>2.298</v>
      </c>
      <c r="C109" s="2543">
        <v>2.4900000000000002</v>
      </c>
      <c r="D109" s="2543">
        <v>3.0790000000000002</v>
      </c>
      <c r="E109" s="2543">
        <v>3.7850000000000001</v>
      </c>
      <c r="F109" s="2543">
        <f>SUM('DESP Quarterly'!R61:U61)/1000</f>
        <v>4.2149999999999999</v>
      </c>
    </row>
    <row r="110" spans="1:6">
      <c r="A110" s="2572"/>
      <c r="B110" s="2543"/>
      <c r="C110" s="2543"/>
      <c r="D110" s="2543"/>
      <c r="E110" s="2543"/>
      <c r="F110" s="2543"/>
    </row>
    <row r="111" spans="1:6">
      <c r="A111" s="2572" t="s">
        <v>2509</v>
      </c>
      <c r="B111" s="676">
        <f>B107/B106</f>
        <v>0.4698247890979883</v>
      </c>
      <c r="C111" s="676">
        <f>C107/C106</f>
        <v>0.40543538546866337</v>
      </c>
      <c r="D111" s="676">
        <f>D107/D106</f>
        <v>0.41000441696113071</v>
      </c>
      <c r="E111" s="676">
        <f>E107/E106</f>
        <v>0.40700471471182526</v>
      </c>
      <c r="F111" s="676">
        <f>F107/F106</f>
        <v>0.39037182729231062</v>
      </c>
    </row>
    <row r="112" spans="1:6">
      <c r="A112" s="2572" t="s">
        <v>2510</v>
      </c>
      <c r="B112" s="676">
        <f>B108/B106</f>
        <v>0.23192731992212848</v>
      </c>
      <c r="C112" s="676">
        <f>C108/C106</f>
        <v>0.24930671103716032</v>
      </c>
      <c r="D112" s="676">
        <f>D108/D106</f>
        <v>0.24999999999999994</v>
      </c>
      <c r="E112" s="676">
        <f>E108/E106</f>
        <v>0.22880785143846818</v>
      </c>
      <c r="F112" s="676">
        <f>F108/F106</f>
        <v>0.21485435983890608</v>
      </c>
    </row>
    <row r="113" spans="1:13">
      <c r="A113" s="2572"/>
    </row>
    <row r="114" spans="1:13">
      <c r="A114" s="2572" t="s">
        <v>2511</v>
      </c>
    </row>
    <row r="115" spans="1:13">
      <c r="A115" s="2572" t="s">
        <v>2506</v>
      </c>
    </row>
    <row r="116" spans="1:13">
      <c r="A116" s="2572" t="s">
        <v>2507</v>
      </c>
    </row>
    <row r="117" spans="1:13">
      <c r="A117" s="2572" t="s">
        <v>2512</v>
      </c>
    </row>
    <row r="118" spans="1:13">
      <c r="A118" s="2572" t="s">
        <v>2513</v>
      </c>
    </row>
    <row r="119" spans="1:13">
      <c r="A119" s="2572" t="s">
        <v>2514</v>
      </c>
    </row>
    <row r="120" spans="1:13">
      <c r="A120" s="2572"/>
    </row>
    <row r="121" spans="1:13">
      <c r="A121" s="2572" t="s">
        <v>2515</v>
      </c>
    </row>
    <row r="122" spans="1:13">
      <c r="A122" s="2572" t="s">
        <v>2516</v>
      </c>
      <c r="K122" s="2598"/>
      <c r="L122" s="2598"/>
      <c r="M122" s="2598"/>
    </row>
    <row r="123" spans="1:13">
      <c r="A123" s="2572" t="s">
        <v>2517</v>
      </c>
      <c r="B123" s="676"/>
      <c r="C123" s="676"/>
      <c r="D123" s="676">
        <v>0.28000000000000003</v>
      </c>
      <c r="E123" s="676">
        <v>0.34</v>
      </c>
      <c r="F123" s="676">
        <v>0.39</v>
      </c>
      <c r="K123" s="676"/>
      <c r="L123" s="676"/>
      <c r="M123" s="676"/>
    </row>
    <row r="125" spans="1:13">
      <c r="A125" s="2541" t="s">
        <v>2518</v>
      </c>
      <c r="B125" s="727">
        <v>9.2999999999999999E-2</v>
      </c>
      <c r="C125" s="727">
        <v>9.2999999999999999E-2</v>
      </c>
      <c r="D125" s="727">
        <v>9.0999999999999998E-2</v>
      </c>
      <c r="E125" s="727">
        <v>9.1999999999999998E-2</v>
      </c>
    </row>
    <row r="126" spans="1:13">
      <c r="A126" s="2541" t="s">
        <v>2519</v>
      </c>
      <c r="B126" s="859">
        <f>B4*B125</f>
        <v>334.45218</v>
      </c>
      <c r="C126" s="859">
        <f>C4*C125</f>
        <v>303.20176199999997</v>
      </c>
      <c r="D126" s="859">
        <f>D4*D125</f>
        <v>405.36386799999997</v>
      </c>
      <c r="E126" s="859">
        <f>E4*E125</f>
        <v>433.80161999999996</v>
      </c>
    </row>
    <row r="127" spans="1:13">
      <c r="A127" s="2599" t="s">
        <v>2481</v>
      </c>
      <c r="B127" s="861"/>
      <c r="C127" s="959">
        <v>71.006</v>
      </c>
      <c r="D127" s="959">
        <v>84.364000000000004</v>
      </c>
      <c r="E127" s="959">
        <v>83.903999999999996</v>
      </c>
      <c r="F127" s="959">
        <v>86.602000000000004</v>
      </c>
    </row>
    <row r="128" spans="1:13">
      <c r="A128" s="2541" t="s">
        <v>2520</v>
      </c>
      <c r="C128" s="676">
        <f>C127/C126</f>
        <v>0.23418729341025402</v>
      </c>
      <c r="D128" s="676">
        <f>D127/D126</f>
        <v>0.20811919033691481</v>
      </c>
      <c r="E128" s="676">
        <f>E127/E126</f>
        <v>0.19341559858628468</v>
      </c>
    </row>
    <row r="130" spans="1:5" ht="13" thickBot="1"/>
    <row r="131" spans="1:5" ht="13">
      <c r="A131" s="2600" t="s">
        <v>1220</v>
      </c>
      <c r="B131" s="2601">
        <v>2015</v>
      </c>
      <c r="C131" s="2601">
        <v>2016</v>
      </c>
      <c r="D131" s="2601">
        <v>2017</v>
      </c>
      <c r="E131" s="2602">
        <v>2018</v>
      </c>
    </row>
    <row r="132" spans="1:5">
      <c r="A132" s="2603" t="s">
        <v>1221</v>
      </c>
      <c r="B132" s="2604">
        <v>3596.26</v>
      </c>
      <c r="C132" s="2604">
        <v>3260.2339999999999</v>
      </c>
      <c r="D132" s="2604">
        <v>4454.5479999999998</v>
      </c>
      <c r="E132" s="2605">
        <v>4715.2349999999997</v>
      </c>
    </row>
    <row r="133" spans="1:5" ht="13">
      <c r="A133" s="2606" t="s">
        <v>2521</v>
      </c>
      <c r="B133" s="818"/>
      <c r="C133" s="818">
        <f>(C132-B132)/B132</f>
        <v>-9.3437626867912849E-2</v>
      </c>
      <c r="D133" s="818">
        <f>(D132-C132)/C132</f>
        <v>0.36632769304289198</v>
      </c>
      <c r="E133" s="2607">
        <f>(E132-D132)/D132</f>
        <v>5.8521537987692558E-2</v>
      </c>
    </row>
    <row r="134" spans="1:5">
      <c r="A134" s="2608" t="s">
        <v>1637</v>
      </c>
      <c r="B134" s="2604">
        <f>B135+B136</f>
        <v>425.53800000000001</v>
      </c>
      <c r="C134" s="2604">
        <f>C135+C136</f>
        <v>407.33500000000004</v>
      </c>
      <c r="D134" s="2604">
        <f>D135+D136</f>
        <v>523.94000000000005</v>
      </c>
      <c r="E134" s="2605">
        <f>E135+E136</f>
        <v>530.61400000000003</v>
      </c>
    </row>
    <row r="135" spans="1:5" ht="13">
      <c r="A135" s="2609" t="s">
        <v>2457</v>
      </c>
      <c r="B135" s="2604">
        <v>219.81700000000001</v>
      </c>
      <c r="C135" s="2604">
        <v>201.89400000000001</v>
      </c>
      <c r="D135" s="2604">
        <v>241.01499999999999</v>
      </c>
      <c r="E135" s="2605">
        <v>214.804</v>
      </c>
    </row>
    <row r="136" spans="1:5" ht="13">
      <c r="A136" s="2609" t="s">
        <v>2522</v>
      </c>
      <c r="B136" s="2604">
        <v>205.721</v>
      </c>
      <c r="C136" s="2604">
        <v>205.441</v>
      </c>
      <c r="D136" s="2604">
        <v>282.92500000000001</v>
      </c>
      <c r="E136" s="2605">
        <v>315.81</v>
      </c>
    </row>
    <row r="137" spans="1:5">
      <c r="A137" s="2610" t="s">
        <v>2523</v>
      </c>
      <c r="B137" s="2611">
        <f>B134/B132</f>
        <v>0.11832792957127682</v>
      </c>
      <c r="C137" s="2611">
        <f>C134/C132</f>
        <v>0.12494041838714645</v>
      </c>
      <c r="D137" s="2611">
        <f>D134/D132</f>
        <v>0.11761911646254572</v>
      </c>
      <c r="E137" s="2612">
        <f>E134/E132</f>
        <v>0.11253182503098999</v>
      </c>
    </row>
    <row r="138" spans="1:5">
      <c r="A138" s="2610"/>
      <c r="B138" s="2611"/>
      <c r="C138" s="2611"/>
      <c r="D138" s="2611"/>
      <c r="E138" s="2612"/>
    </row>
    <row r="139" spans="1:5">
      <c r="A139" s="2608" t="s">
        <v>1668</v>
      </c>
      <c r="B139" s="2613">
        <v>154.21299999999999</v>
      </c>
      <c r="C139" s="2613">
        <v>126.675</v>
      </c>
      <c r="D139" s="2613">
        <v>142.47900000000001</v>
      </c>
      <c r="E139" s="2614">
        <v>172.11</v>
      </c>
    </row>
    <row r="140" spans="1:5">
      <c r="A140" s="2608" t="s">
        <v>356</v>
      </c>
      <c r="B140" s="2613">
        <v>267.49799999999999</v>
      </c>
      <c r="C140" s="2613">
        <v>284.48700000000002</v>
      </c>
      <c r="D140" s="2613">
        <v>381.46100000000001</v>
      </c>
      <c r="E140" s="2614">
        <v>358.50400000000002</v>
      </c>
    </row>
    <row r="141" spans="1:5">
      <c r="A141" s="2608" t="s">
        <v>2524</v>
      </c>
      <c r="B141" s="854">
        <f>B140/B134</f>
        <v>0.62861131085825472</v>
      </c>
      <c r="C141" s="854">
        <f>C140/C134</f>
        <v>0.69841039930278515</v>
      </c>
      <c r="D141" s="854">
        <f>D140/D134</f>
        <v>0.72806237355422376</v>
      </c>
      <c r="E141" s="2501">
        <f>E140/E134</f>
        <v>0.67563991903719089</v>
      </c>
    </row>
    <row r="142" spans="1:5">
      <c r="A142" s="2608" t="s">
        <v>1226</v>
      </c>
      <c r="B142" s="2615"/>
      <c r="C142" s="2615"/>
      <c r="D142" s="2615"/>
      <c r="E142" s="2616"/>
    </row>
    <row r="143" spans="1:5">
      <c r="A143" s="2617" t="s">
        <v>2525</v>
      </c>
      <c r="B143" s="2615">
        <v>-78.180999999999997</v>
      </c>
      <c r="C143" s="2615">
        <v>-64.683000000000007</v>
      </c>
      <c r="D143" s="2615">
        <v>-72.626000000000005</v>
      </c>
      <c r="E143" s="2616">
        <v>-67.239999999999995</v>
      </c>
    </row>
    <row r="144" spans="1:5">
      <c r="A144" s="2617" t="s">
        <v>2526</v>
      </c>
      <c r="B144" s="2615">
        <v>-73.534999999999997</v>
      </c>
      <c r="C144" s="2615">
        <v>-63.250999999999998</v>
      </c>
      <c r="D144" s="2615">
        <v>-71.308000000000007</v>
      </c>
      <c r="E144" s="2616">
        <v>-71.153999999999996</v>
      </c>
    </row>
    <row r="145" spans="1:5">
      <c r="A145" s="2617" t="s">
        <v>2527</v>
      </c>
      <c r="B145" s="2615">
        <v>-170.149</v>
      </c>
      <c r="C145" s="2615">
        <v>-121.46599999999999</v>
      </c>
      <c r="D145" s="2615">
        <v>-166.28800000000001</v>
      </c>
      <c r="E145" s="2616">
        <v>-174.357</v>
      </c>
    </row>
    <row r="146" spans="1:5">
      <c r="A146" s="2608" t="s">
        <v>2528</v>
      </c>
      <c r="B146" s="2618">
        <v>-5.5119999999999996</v>
      </c>
      <c r="C146" s="2618">
        <v>-5.0890000000000004</v>
      </c>
      <c r="D146" s="2618">
        <f>-5.075-8.751</f>
        <v>-13.826000000000001</v>
      </c>
      <c r="E146" s="2619">
        <f>-5.348-10.14</f>
        <v>-15.488</v>
      </c>
    </row>
    <row r="147" spans="1:5">
      <c r="A147" s="2617" t="s">
        <v>2529</v>
      </c>
      <c r="B147" s="2618">
        <v>-0.86099999999999999</v>
      </c>
      <c r="C147" s="2618">
        <v>-0.57399999999999995</v>
      </c>
      <c r="D147" s="2618">
        <v>-4.2889999999999997</v>
      </c>
      <c r="E147" s="2619">
        <v>-6.766</v>
      </c>
    </row>
    <row r="148" spans="1:5">
      <c r="A148" s="2620"/>
      <c r="B148" s="2565"/>
      <c r="C148" s="2565"/>
      <c r="D148" s="2565"/>
      <c r="E148" s="2621"/>
    </row>
    <row r="149" spans="1:5">
      <c r="A149" s="2622" t="s">
        <v>1231</v>
      </c>
      <c r="B149" s="2618">
        <v>-54.366999999999997</v>
      </c>
      <c r="C149" s="2618">
        <v>35.087000000000003</v>
      </c>
      <c r="D149" s="2618">
        <v>71.239000000000004</v>
      </c>
      <c r="E149" s="2619">
        <v>45.39</v>
      </c>
    </row>
    <row r="150" spans="1:5">
      <c r="A150" s="2623" t="s">
        <v>2530</v>
      </c>
      <c r="B150" s="854">
        <f>B149/B134</f>
        <v>-0.12776062302309077</v>
      </c>
      <c r="C150" s="854">
        <f>C149/C134</f>
        <v>8.6137945425755216E-2</v>
      </c>
      <c r="D150" s="854">
        <f>D149/D134</f>
        <v>0.13596785891514296</v>
      </c>
      <c r="E150" s="2501">
        <f>E149/E134</f>
        <v>8.5542409359722876E-2</v>
      </c>
    </row>
    <row r="151" spans="1:5">
      <c r="A151" s="2608" t="s">
        <v>1247</v>
      </c>
      <c r="B151" s="2615">
        <v>-85.275999999999996</v>
      </c>
      <c r="C151" s="2615">
        <v>17.797000000000001</v>
      </c>
      <c r="D151" s="2615">
        <v>42.366</v>
      </c>
      <c r="E151" s="2616">
        <v>19.154</v>
      </c>
    </row>
    <row r="152" spans="1:5">
      <c r="A152" s="2624" t="s">
        <v>2531</v>
      </c>
      <c r="B152" s="854">
        <f>B151/B134</f>
        <v>-0.20039573434099892</v>
      </c>
      <c r="C152" s="854">
        <f>C151/C134</f>
        <v>4.3691310592018855E-2</v>
      </c>
      <c r="D152" s="854">
        <f>D151/D134</f>
        <v>8.086040386303775E-2</v>
      </c>
      <c r="E152" s="2501">
        <f>E151/E134</f>
        <v>3.6097803676495531E-2</v>
      </c>
    </row>
    <row r="153" spans="1:5">
      <c r="A153" s="2625" t="s">
        <v>1236</v>
      </c>
      <c r="B153" s="2618">
        <v>-39.067</v>
      </c>
      <c r="C153" s="2618">
        <v>48.585000000000001</v>
      </c>
      <c r="D153" s="2618">
        <v>89.353999999999999</v>
      </c>
      <c r="E153" s="2619">
        <v>67.328999999999994</v>
      </c>
    </row>
    <row r="154" spans="1:5" ht="13" thickBot="1">
      <c r="A154" s="2626" t="s">
        <v>2532</v>
      </c>
      <c r="B154" s="2627">
        <f>B153/B134</f>
        <v>-9.1806137172238442E-2</v>
      </c>
      <c r="C154" s="2627">
        <f>C153/C134</f>
        <v>0.11927528938097634</v>
      </c>
      <c r="D154" s="2627">
        <f>D153/D134</f>
        <v>0.17054242852234988</v>
      </c>
      <c r="E154" s="2628">
        <f>E153/E134</f>
        <v>0.1268888495214977</v>
      </c>
    </row>
    <row r="157" spans="1:5" ht="13">
      <c r="A157" s="3530" t="s">
        <v>2533</v>
      </c>
      <c r="B157" s="3531"/>
    </row>
    <row r="158" spans="1:5">
      <c r="A158" s="2629" t="s">
        <v>2534</v>
      </c>
      <c r="B158" s="2630">
        <v>0.13850000000000001</v>
      </c>
    </row>
    <row r="159" spans="1:5">
      <c r="A159" s="2629" t="s">
        <v>2535</v>
      </c>
      <c r="B159" s="2630">
        <v>0.13370000000000001</v>
      </c>
    </row>
    <row r="160" spans="1:5">
      <c r="A160" s="2629" t="s">
        <v>2536</v>
      </c>
      <c r="B160" s="2630">
        <v>7.22E-2</v>
      </c>
    </row>
    <row r="161" spans="1:4">
      <c r="A161" s="2629" t="s">
        <v>2537</v>
      </c>
      <c r="B161" s="2630">
        <v>5.04E-2</v>
      </c>
    </row>
    <row r="162" spans="1:4">
      <c r="A162" s="2629" t="s">
        <v>2538</v>
      </c>
      <c r="B162" s="2630">
        <f>1-B158-B159-B160-B161</f>
        <v>0.60519999999999985</v>
      </c>
    </row>
    <row r="164" spans="1:4">
      <c r="A164" s="2631" t="s">
        <v>2539</v>
      </c>
      <c r="B164" s="2631" t="s">
        <v>2540</v>
      </c>
      <c r="C164" s="2631" t="s">
        <v>2541</v>
      </c>
      <c r="D164" s="2631"/>
    </row>
    <row r="165" spans="1:4">
      <c r="A165" s="2629" t="s">
        <v>2542</v>
      </c>
      <c r="B165" s="2629" t="s">
        <v>2543</v>
      </c>
      <c r="C165" s="2632" t="s">
        <v>2544</v>
      </c>
      <c r="D165" s="2629" t="s">
        <v>2545</v>
      </c>
    </row>
    <row r="166" spans="1:4">
      <c r="A166" s="2629" t="s">
        <v>2546</v>
      </c>
      <c r="B166" s="2629" t="s">
        <v>2547</v>
      </c>
      <c r="C166" s="2632" t="s">
        <v>2548</v>
      </c>
      <c r="D166" s="2629" t="s">
        <v>2549</v>
      </c>
    </row>
    <row r="167" spans="1:4">
      <c r="A167" s="2629" t="s">
        <v>2550</v>
      </c>
      <c r="B167" s="2629" t="s">
        <v>2551</v>
      </c>
      <c r="C167" s="2632" t="s">
        <v>2552</v>
      </c>
      <c r="D167" s="2629" t="s">
        <v>2553</v>
      </c>
    </row>
    <row r="168" spans="1:4">
      <c r="A168" s="2629" t="s">
        <v>2554</v>
      </c>
      <c r="B168" s="2629" t="s">
        <v>2555</v>
      </c>
      <c r="C168" s="2632" t="s">
        <v>2556</v>
      </c>
      <c r="D168" s="2629" t="s">
        <v>2545</v>
      </c>
    </row>
    <row r="169" spans="1:4">
      <c r="A169" s="2629" t="s">
        <v>2557</v>
      </c>
      <c r="B169" s="2629" t="s">
        <v>2551</v>
      </c>
      <c r="C169" s="2632" t="s">
        <v>2558</v>
      </c>
      <c r="D169" s="2629" t="s">
        <v>2549</v>
      </c>
    </row>
    <row r="170" spans="1:4">
      <c r="A170" s="2629" t="s">
        <v>2559</v>
      </c>
      <c r="B170" s="2629" t="s">
        <v>2560</v>
      </c>
      <c r="C170" s="2632" t="s">
        <v>2561</v>
      </c>
      <c r="D170" s="2629" t="s">
        <v>2562</v>
      </c>
    </row>
  </sheetData>
  <mergeCells count="2">
    <mergeCell ref="B1:D1"/>
    <mergeCell ref="A157:B157"/>
  </mergeCells>
  <phoneticPr fontId="11" type="noConversion"/>
  <pageMargins left="0.69930555555555596" right="0.69930555555555596"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61"/>
  <sheetViews>
    <sheetView workbookViewId="0"/>
  </sheetViews>
  <sheetFormatPr defaultColWidth="9" defaultRowHeight="15"/>
  <cols>
    <col min="1" max="1" width="31.83203125" style="2634" bestFit="1" customWidth="1"/>
    <col min="2" max="5" width="14.58203125" style="2634" bestFit="1" customWidth="1"/>
    <col min="6" max="6" width="11.08203125" style="2634" bestFit="1" customWidth="1"/>
    <col min="7" max="10" width="10" style="2634" bestFit="1" customWidth="1"/>
    <col min="11" max="16384" width="9" style="2634"/>
  </cols>
  <sheetData>
    <row r="1" spans="1:2">
      <c r="A1" s="2633"/>
    </row>
    <row r="2" spans="1:2">
      <c r="A2" s="2633"/>
    </row>
    <row r="4" spans="1:2">
      <c r="A4" s="2633"/>
    </row>
    <row r="5" spans="1:2">
      <c r="A5" s="2633"/>
    </row>
    <row r="9" spans="1:2">
      <c r="B9" s="2633"/>
    </row>
    <row r="99" spans="1:10">
      <c r="A99" s="2634" t="s">
        <v>2563</v>
      </c>
      <c r="B99" s="2561" t="s">
        <v>2389</v>
      </c>
      <c r="C99" s="2561" t="s">
        <v>2390</v>
      </c>
      <c r="D99" s="2561" t="s">
        <v>2391</v>
      </c>
      <c r="E99" s="2561" t="s">
        <v>2427</v>
      </c>
      <c r="F99" s="2562" t="s">
        <v>2428</v>
      </c>
      <c r="G99" s="2562" t="s">
        <v>2429</v>
      </c>
      <c r="H99" s="2562" t="s">
        <v>2430</v>
      </c>
      <c r="I99" s="2562" t="s">
        <v>2431</v>
      </c>
      <c r="J99" s="2562" t="s">
        <v>2448</v>
      </c>
    </row>
    <row r="100" spans="1:10">
      <c r="A100" s="2559" t="s">
        <v>2564</v>
      </c>
      <c r="B100" s="859">
        <v>451</v>
      </c>
      <c r="C100" s="859">
        <v>407</v>
      </c>
      <c r="D100" s="859">
        <v>312</v>
      </c>
      <c r="E100" s="859">
        <v>262</v>
      </c>
      <c r="F100" s="859">
        <v>269</v>
      </c>
      <c r="G100" s="859">
        <v>275</v>
      </c>
      <c r="H100" s="859">
        <v>216</v>
      </c>
      <c r="I100" s="859">
        <v>232</v>
      </c>
      <c r="J100" s="859">
        <v>304.60000000000002</v>
      </c>
    </row>
    <row r="101" spans="1:10">
      <c r="A101" s="2559" t="s">
        <v>2436</v>
      </c>
      <c r="B101" s="859">
        <v>441</v>
      </c>
      <c r="C101" s="859">
        <v>452</v>
      </c>
      <c r="D101" s="859">
        <v>435</v>
      </c>
      <c r="E101" s="859">
        <v>407.9</v>
      </c>
      <c r="F101" s="859">
        <v>496</v>
      </c>
      <c r="G101" s="859">
        <v>466</v>
      </c>
      <c r="H101" s="859">
        <v>452</v>
      </c>
      <c r="I101" s="859">
        <v>468</v>
      </c>
      <c r="J101" s="859">
        <v>492.5</v>
      </c>
    </row>
    <row r="102" spans="1:10">
      <c r="A102" s="2559" t="s">
        <v>2565</v>
      </c>
      <c r="B102" s="859">
        <v>367</v>
      </c>
      <c r="C102" s="859">
        <v>373</v>
      </c>
      <c r="D102" s="859">
        <v>437</v>
      </c>
      <c r="E102" s="859">
        <v>422.8</v>
      </c>
      <c r="F102" s="859">
        <v>443</v>
      </c>
      <c r="G102" s="859">
        <v>416</v>
      </c>
      <c r="H102" s="859">
        <v>450</v>
      </c>
      <c r="I102" s="859">
        <v>478</v>
      </c>
      <c r="J102" s="859">
        <v>483.4</v>
      </c>
    </row>
    <row r="103" spans="1:10">
      <c r="A103" s="2635"/>
      <c r="B103" s="859"/>
      <c r="C103" s="859"/>
      <c r="D103" s="859"/>
      <c r="E103" s="859"/>
      <c r="F103" s="859"/>
      <c r="G103" s="859"/>
      <c r="H103" s="859"/>
      <c r="I103" s="859"/>
      <c r="J103" s="859"/>
    </row>
    <row r="104" spans="1:10">
      <c r="B104" s="2561" t="s">
        <v>2389</v>
      </c>
      <c r="C104" s="2561" t="s">
        <v>2390</v>
      </c>
      <c r="D104" s="2561" t="s">
        <v>2391</v>
      </c>
      <c r="E104" s="2561" t="s">
        <v>2427</v>
      </c>
      <c r="F104" s="2562" t="s">
        <v>2428</v>
      </c>
      <c r="G104" s="2562" t="s">
        <v>2429</v>
      </c>
      <c r="H104" s="2562" t="s">
        <v>2430</v>
      </c>
      <c r="I104" s="2562" t="s">
        <v>2431</v>
      </c>
      <c r="J104" s="2562" t="s">
        <v>2448</v>
      </c>
    </row>
    <row r="105" spans="1:10">
      <c r="A105" s="2634" t="s">
        <v>2563</v>
      </c>
      <c r="B105" s="859">
        <v>1258.3979999999999</v>
      </c>
      <c r="C105" s="859">
        <v>1231.4970000000001</v>
      </c>
      <c r="D105" s="859">
        <v>1184.355</v>
      </c>
      <c r="E105" s="859">
        <v>1092.3</v>
      </c>
      <c r="F105" s="859">
        <v>1207.2</v>
      </c>
      <c r="G105" s="859">
        <v>1157.5</v>
      </c>
      <c r="H105" s="859">
        <v>1118.0999999999999</v>
      </c>
      <c r="I105" s="859">
        <v>1177.7</v>
      </c>
      <c r="J105" s="859">
        <v>1280.9000000000001</v>
      </c>
    </row>
    <row r="106" spans="1:10">
      <c r="A106" s="2634" t="s">
        <v>2566</v>
      </c>
      <c r="B106" s="859">
        <v>144.011</v>
      </c>
      <c r="C106" s="859">
        <v>148.59299999999999</v>
      </c>
      <c r="D106" s="859">
        <v>128.25899999999999</v>
      </c>
      <c r="E106" s="859">
        <v>121.2</v>
      </c>
      <c r="F106" s="859">
        <v>132.51499999999999</v>
      </c>
      <c r="G106" s="859">
        <v>133.114</v>
      </c>
      <c r="H106" s="859">
        <v>114.087</v>
      </c>
      <c r="I106" s="859">
        <v>132.048</v>
      </c>
      <c r="J106" s="859">
        <v>145.62700000000001</v>
      </c>
    </row>
    <row r="107" spans="1:10">
      <c r="A107" s="2634" t="s">
        <v>2567</v>
      </c>
      <c r="B107" s="2636"/>
      <c r="C107" s="2636">
        <f>'DESP Quarterly'!N4</f>
        <v>0.20841387810052389</v>
      </c>
      <c r="D107" s="2636">
        <f>'DESP Quarterly'!O4</f>
        <v>0.11623560591352139</v>
      </c>
      <c r="E107" s="2636">
        <f>'DESP Quarterly'!P4</f>
        <v>-2.1255853379234444E-2</v>
      </c>
      <c r="F107" s="2636">
        <f>F105/B105-1</f>
        <v>-4.0685061482932938E-2</v>
      </c>
      <c r="G107" s="2636">
        <f t="shared" ref="G107:J108" si="0">G105/C105-1</f>
        <v>-6.0087032286720965E-2</v>
      </c>
      <c r="H107" s="2636">
        <f t="shared" si="0"/>
        <v>-5.5941841761971811E-2</v>
      </c>
      <c r="I107" s="2636">
        <f t="shared" si="0"/>
        <v>7.8183649180628034E-2</v>
      </c>
      <c r="J107" s="2636">
        <f t="shared" si="0"/>
        <v>6.1050364479787955E-2</v>
      </c>
    </row>
    <row r="108" spans="1:10">
      <c r="A108" s="2634" t="s">
        <v>2568</v>
      </c>
      <c r="C108" s="2636">
        <f>'DESP Quarterly'!N7/'DESP Quarterly'!J7-1</f>
        <v>0.22119857328358439</v>
      </c>
      <c r="D108" s="2636">
        <f>'DESP Quarterly'!O7/'DESP Quarterly'!K7-1</f>
        <v>3.9350745119648423E-2</v>
      </c>
      <c r="E108" s="2636">
        <f>'DESP Quarterly'!P7/'DESP Quarterly'!L7-1</f>
        <v>-8.7198180421455329E-2</v>
      </c>
      <c r="F108" s="2636">
        <f>F106/B106-1</f>
        <v>-7.982723541951664E-2</v>
      </c>
      <c r="G108" s="2636">
        <f t="shared" si="0"/>
        <v>-0.1041704521747322</v>
      </c>
      <c r="H108" s="2636">
        <f t="shared" si="0"/>
        <v>-0.11049516992959552</v>
      </c>
      <c r="I108" s="2636">
        <f t="shared" si="0"/>
        <v>8.9504950495049584E-2</v>
      </c>
      <c r="J108" s="2636">
        <f t="shared" si="0"/>
        <v>9.8947288986152682E-2</v>
      </c>
    </row>
    <row r="109" spans="1:10">
      <c r="A109" s="2634" t="s">
        <v>2569</v>
      </c>
      <c r="B109" s="2636">
        <f>B106/B105</f>
        <v>0.11443994666234371</v>
      </c>
      <c r="C109" s="2636">
        <f t="shared" ref="C109:J109" si="1">C106/C105</f>
        <v>0.12066046445910951</v>
      </c>
      <c r="D109" s="2636">
        <f t="shared" si="1"/>
        <v>0.10829438808465366</v>
      </c>
      <c r="E109" s="2636">
        <f t="shared" si="1"/>
        <v>0.11095852787695688</v>
      </c>
      <c r="F109" s="2636">
        <f t="shared" si="1"/>
        <v>0.10977054340622927</v>
      </c>
      <c r="G109" s="2636">
        <f t="shared" si="1"/>
        <v>0.11500129589632829</v>
      </c>
      <c r="H109" s="2636">
        <f t="shared" si="1"/>
        <v>0.10203649047491281</v>
      </c>
      <c r="I109" s="2636">
        <f t="shared" si="1"/>
        <v>0.11212363080580792</v>
      </c>
      <c r="J109" s="2636">
        <f t="shared" si="1"/>
        <v>0.11369115465688188</v>
      </c>
    </row>
    <row r="110" spans="1:10">
      <c r="B110" s="2634" t="s">
        <v>2570</v>
      </c>
    </row>
    <row r="111" spans="1:10">
      <c r="A111" s="2634" t="s">
        <v>2571</v>
      </c>
      <c r="B111" s="358">
        <v>0.25</v>
      </c>
    </row>
    <row r="112" spans="1:10">
      <c r="A112" s="2634" t="s">
        <v>2572</v>
      </c>
      <c r="B112" s="358">
        <f>1-B111</f>
        <v>0.75</v>
      </c>
    </row>
    <row r="113" spans="1:10">
      <c r="B113" s="2561" t="s">
        <v>2389</v>
      </c>
      <c r="C113" s="2561" t="s">
        <v>2390</v>
      </c>
      <c r="D113" s="2561" t="s">
        <v>2391</v>
      </c>
      <c r="E113" s="2561" t="s">
        <v>2427</v>
      </c>
      <c r="F113" s="2562" t="s">
        <v>2428</v>
      </c>
      <c r="G113" s="2562" t="s">
        <v>2429</v>
      </c>
      <c r="H113" s="2562" t="s">
        <v>2430</v>
      </c>
      <c r="I113" s="2562" t="s">
        <v>2431</v>
      </c>
      <c r="J113" s="2562" t="s">
        <v>2448</v>
      </c>
    </row>
    <row r="114" spans="1:10">
      <c r="A114" s="2634" t="s">
        <v>2573</v>
      </c>
      <c r="B114" s="859">
        <v>451</v>
      </c>
      <c r="C114" s="859">
        <v>407</v>
      </c>
      <c r="D114" s="859">
        <v>312</v>
      </c>
      <c r="E114" s="859">
        <v>262</v>
      </c>
      <c r="F114" s="859">
        <v>269</v>
      </c>
      <c r="G114" s="859">
        <v>275</v>
      </c>
      <c r="H114" s="859">
        <v>216</v>
      </c>
      <c r="I114" s="859">
        <v>232</v>
      </c>
      <c r="J114" s="859">
        <v>304.60000000000002</v>
      </c>
    </row>
    <row r="115" spans="1:10">
      <c r="A115" s="2634" t="s">
        <v>2574</v>
      </c>
      <c r="F115" s="358"/>
      <c r="G115" s="358">
        <f>G114/C114-1</f>
        <v>-0.32432432432432434</v>
      </c>
      <c r="H115" s="358">
        <f>H114/D114-1</f>
        <v>-0.30769230769230771</v>
      </c>
      <c r="I115" s="358">
        <f>I114/E114-1</f>
        <v>-0.1145038167938931</v>
      </c>
      <c r="J115" s="358">
        <f>J114/F114-1</f>
        <v>0.1323420074349444</v>
      </c>
    </row>
    <row r="116" spans="1:10">
      <c r="A116" s="2634" t="s">
        <v>2575</v>
      </c>
      <c r="F116" s="358"/>
      <c r="G116" s="358">
        <f>G117/C117-1</f>
        <v>0.3390663390663391</v>
      </c>
      <c r="H116" s="358">
        <f>H117/D117-1</f>
        <v>0.29807692307692313</v>
      </c>
      <c r="I116" s="358">
        <f>I117/E117-1</f>
        <v>0.46564885496183206</v>
      </c>
      <c r="J116" s="358">
        <f>J117/F117-1</f>
        <v>0.81040892193308545</v>
      </c>
    </row>
    <row r="117" spans="1:10">
      <c r="A117" s="2634" t="s">
        <v>2576</v>
      </c>
      <c r="B117" s="859">
        <v>451</v>
      </c>
      <c r="C117" s="859">
        <v>407</v>
      </c>
      <c r="D117" s="859">
        <v>312</v>
      </c>
      <c r="E117" s="859">
        <v>262</v>
      </c>
      <c r="F117" s="859">
        <v>269</v>
      </c>
      <c r="G117" s="859">
        <v>545</v>
      </c>
      <c r="H117" s="859">
        <v>405</v>
      </c>
      <c r="I117" s="859">
        <v>384</v>
      </c>
      <c r="J117" s="859">
        <v>487</v>
      </c>
    </row>
    <row r="119" spans="1:10">
      <c r="B119" s="2561" t="s">
        <v>2389</v>
      </c>
      <c r="C119" s="2561" t="s">
        <v>2390</v>
      </c>
      <c r="D119" s="2561" t="s">
        <v>2391</v>
      </c>
      <c r="E119" s="2561" t="s">
        <v>2427</v>
      </c>
      <c r="F119" s="2562" t="s">
        <v>2428</v>
      </c>
      <c r="G119" s="2562" t="s">
        <v>2429</v>
      </c>
      <c r="H119" s="2562" t="s">
        <v>2430</v>
      </c>
      <c r="I119" s="2562" t="s">
        <v>2431</v>
      </c>
      <c r="J119" s="2562" t="s">
        <v>2448</v>
      </c>
    </row>
    <row r="120" spans="1:10">
      <c r="A120" s="2634" t="s">
        <v>2577</v>
      </c>
      <c r="B120" s="859">
        <v>441</v>
      </c>
      <c r="C120" s="859">
        <v>452</v>
      </c>
      <c r="D120" s="859">
        <v>435</v>
      </c>
      <c r="E120" s="859">
        <v>407.9</v>
      </c>
      <c r="F120" s="859">
        <v>496</v>
      </c>
      <c r="G120" s="859">
        <v>466</v>
      </c>
      <c r="H120" s="859">
        <v>452</v>
      </c>
      <c r="I120" s="859">
        <v>468</v>
      </c>
      <c r="J120" s="859">
        <v>492.5</v>
      </c>
    </row>
    <row r="121" spans="1:10">
      <c r="A121" s="2634" t="s">
        <v>2574</v>
      </c>
      <c r="F121" s="358"/>
      <c r="G121" s="358">
        <f>G120/C120-1</f>
        <v>3.0973451327433565E-2</v>
      </c>
      <c r="H121" s="358">
        <f>H120/D120-1</f>
        <v>3.9080459770114873E-2</v>
      </c>
      <c r="I121" s="358">
        <f>I120/E120-1</f>
        <v>0.14734003432213783</v>
      </c>
      <c r="J121" s="358">
        <f>J120/F120-1</f>
        <v>-7.0564516129032473E-3</v>
      </c>
    </row>
    <row r="122" spans="1:10">
      <c r="A122" s="2634" t="s">
        <v>2575</v>
      </c>
      <c r="F122" s="358"/>
      <c r="G122" s="358">
        <f>G123/C123-1</f>
        <v>0.19690265486725655</v>
      </c>
      <c r="H122" s="358">
        <f>H123/D123-1</f>
        <v>0.12643678160919536</v>
      </c>
      <c r="I122" s="358">
        <f>I123/E123-1</f>
        <v>0.19362745098039214</v>
      </c>
      <c r="J122" s="358">
        <f>J123/F123-1</f>
        <v>7.2580645161290258E-2</v>
      </c>
    </row>
    <row r="123" spans="1:10">
      <c r="A123" s="2634" t="s">
        <v>2578</v>
      </c>
      <c r="B123" s="859">
        <v>441</v>
      </c>
      <c r="C123" s="859">
        <v>452</v>
      </c>
      <c r="D123" s="859">
        <v>435</v>
      </c>
      <c r="E123" s="859">
        <v>408</v>
      </c>
      <c r="F123" s="859">
        <v>496</v>
      </c>
      <c r="G123" s="859">
        <v>541</v>
      </c>
      <c r="H123" s="859">
        <v>490</v>
      </c>
      <c r="I123" s="859">
        <v>487</v>
      </c>
      <c r="J123" s="859">
        <v>532</v>
      </c>
    </row>
    <row r="125" spans="1:10">
      <c r="B125" s="2561" t="s">
        <v>2389</v>
      </c>
      <c r="C125" s="2561" t="s">
        <v>2390</v>
      </c>
      <c r="D125" s="2561" t="s">
        <v>2391</v>
      </c>
      <c r="E125" s="2561" t="s">
        <v>2427</v>
      </c>
      <c r="F125" s="2562" t="s">
        <v>2428</v>
      </c>
      <c r="G125" s="2562" t="s">
        <v>2429</v>
      </c>
      <c r="H125" s="2562" t="s">
        <v>2430</v>
      </c>
      <c r="I125" s="2562" t="s">
        <v>2431</v>
      </c>
      <c r="J125" s="2562" t="s">
        <v>2448</v>
      </c>
    </row>
    <row r="126" spans="1:10">
      <c r="A126" s="2634" t="s">
        <v>2579</v>
      </c>
      <c r="B126" s="859">
        <v>367</v>
      </c>
      <c r="C126" s="859">
        <v>373</v>
      </c>
      <c r="D126" s="859">
        <v>437</v>
      </c>
      <c r="E126" s="859">
        <v>422.8</v>
      </c>
      <c r="F126" s="859">
        <v>443</v>
      </c>
      <c r="G126" s="859">
        <v>416</v>
      </c>
      <c r="H126" s="859">
        <v>450</v>
      </c>
      <c r="I126" s="859">
        <v>478</v>
      </c>
      <c r="J126" s="859">
        <v>483.4</v>
      </c>
    </row>
    <row r="127" spans="1:10">
      <c r="A127" s="2634" t="s">
        <v>2580</v>
      </c>
      <c r="F127" s="358"/>
      <c r="G127" s="358">
        <f>G126/C126-1</f>
        <v>0.11528150134048265</v>
      </c>
      <c r="H127" s="358">
        <f>H126/D126-1</f>
        <v>2.9748283752860427E-2</v>
      </c>
      <c r="I127" s="358">
        <f>I126/E126-1</f>
        <v>0.13055818353831605</v>
      </c>
      <c r="J127" s="358">
        <f>J126/F126-1</f>
        <v>9.1196388261850947E-2</v>
      </c>
    </row>
    <row r="128" spans="1:10">
      <c r="A128" s="2634" t="s">
        <v>2581</v>
      </c>
      <c r="F128" s="358"/>
      <c r="G128" s="358">
        <f>G129/C129-1</f>
        <v>0.17962466487935647</v>
      </c>
      <c r="H128" s="358">
        <f>H129/D129-1</f>
        <v>7.7803203661327203E-2</v>
      </c>
      <c r="I128" s="358">
        <f>I129/E129-1</f>
        <v>0.16071428571428581</v>
      </c>
      <c r="J128" s="358">
        <f>J129/F129-1</f>
        <v>0.12415349887133176</v>
      </c>
    </row>
    <row r="129" spans="1:10">
      <c r="A129" s="2634" t="s">
        <v>2582</v>
      </c>
      <c r="B129" s="859">
        <v>367</v>
      </c>
      <c r="C129" s="859">
        <v>373</v>
      </c>
      <c r="D129" s="859">
        <v>437</v>
      </c>
      <c r="E129" s="859">
        <v>392</v>
      </c>
      <c r="F129" s="859">
        <v>443</v>
      </c>
      <c r="G129" s="859">
        <v>440</v>
      </c>
      <c r="H129" s="859">
        <v>471</v>
      </c>
      <c r="I129" s="859">
        <v>455</v>
      </c>
      <c r="J129" s="859">
        <v>498</v>
      </c>
    </row>
    <row r="132" spans="1:10">
      <c r="B132" s="2637">
        <v>2017</v>
      </c>
      <c r="C132" s="2637">
        <v>2018</v>
      </c>
      <c r="D132" s="2637">
        <v>2019</v>
      </c>
    </row>
    <row r="133" spans="1:10">
      <c r="A133" s="2634" t="s">
        <v>2583</v>
      </c>
      <c r="B133" s="358">
        <v>0.35</v>
      </c>
      <c r="C133" s="358">
        <v>0.38</v>
      </c>
      <c r="D133" s="358">
        <v>0.31</v>
      </c>
    </row>
    <row r="134" spans="1:10">
      <c r="A134" s="2634" t="s">
        <v>2584</v>
      </c>
      <c r="B134" s="358">
        <f>1-B133</f>
        <v>0.65</v>
      </c>
      <c r="C134" s="358">
        <f>1-C133</f>
        <v>0.62</v>
      </c>
      <c r="D134" s="358">
        <f>1-D133</f>
        <v>0.69</v>
      </c>
    </row>
    <row r="136" spans="1:10">
      <c r="B136" s="2637">
        <v>2017</v>
      </c>
      <c r="C136" s="2637">
        <v>2018</v>
      </c>
      <c r="D136" s="2637">
        <v>2019</v>
      </c>
    </row>
    <row r="137" spans="1:10">
      <c r="A137" s="2634" t="s">
        <v>2585</v>
      </c>
      <c r="B137" s="358">
        <v>0.27</v>
      </c>
      <c r="C137" s="358">
        <v>0.34</v>
      </c>
      <c r="D137" s="358">
        <v>0.37</v>
      </c>
    </row>
    <row r="138" spans="1:10">
      <c r="A138" s="2634" t="s">
        <v>2586</v>
      </c>
      <c r="B138" s="358">
        <f>1-B137</f>
        <v>0.73</v>
      </c>
      <c r="C138" s="358">
        <f>1-C137</f>
        <v>0.65999999999999992</v>
      </c>
      <c r="D138" s="358">
        <f>1-D137</f>
        <v>0.63</v>
      </c>
    </row>
    <row r="140" spans="1:10">
      <c r="B140" s="2637">
        <v>2017</v>
      </c>
      <c r="C140" s="2637">
        <v>2018</v>
      </c>
      <c r="D140" s="2637">
        <v>2019</v>
      </c>
    </row>
    <row r="141" spans="1:10">
      <c r="A141" s="2634" t="s">
        <v>2587</v>
      </c>
      <c r="B141" s="358">
        <v>0.28000000000000003</v>
      </c>
      <c r="C141" s="358">
        <v>0.34</v>
      </c>
      <c r="D141" s="358">
        <v>0.39</v>
      </c>
    </row>
    <row r="142" spans="1:10">
      <c r="A142" s="2634" t="s">
        <v>2588</v>
      </c>
      <c r="B142" s="358">
        <f>1-B141</f>
        <v>0.72</v>
      </c>
      <c r="C142" s="358">
        <f>1-C141</f>
        <v>0.65999999999999992</v>
      </c>
      <c r="D142" s="358">
        <f>1-D141</f>
        <v>0.61</v>
      </c>
    </row>
    <row r="145" spans="1:10">
      <c r="A145" s="2634" t="s">
        <v>2446</v>
      </c>
      <c r="B145" s="2561" t="s">
        <v>2389</v>
      </c>
      <c r="C145" s="2561" t="s">
        <v>2390</v>
      </c>
      <c r="D145" s="2561" t="s">
        <v>2391</v>
      </c>
      <c r="E145" s="2561" t="s">
        <v>2427</v>
      </c>
      <c r="F145" s="2562" t="s">
        <v>2428</v>
      </c>
      <c r="G145" s="2562" t="s">
        <v>2429</v>
      </c>
      <c r="H145" s="2562" t="s">
        <v>2430</v>
      </c>
      <c r="I145" s="2562" t="s">
        <v>2431</v>
      </c>
      <c r="J145" s="2562" t="s">
        <v>2448</v>
      </c>
    </row>
    <row r="146" spans="1:10">
      <c r="A146" s="2634" t="s">
        <v>2589</v>
      </c>
      <c r="B146" s="2638">
        <f>'DESP Quarterly'!M55</f>
        <v>632</v>
      </c>
      <c r="C146" s="2638">
        <f>'DESP Quarterly'!N55</f>
        <v>675</v>
      </c>
      <c r="D146" s="2638">
        <f>'DESP Quarterly'!O55</f>
        <v>577</v>
      </c>
      <c r="E146" s="2638">
        <f>'DESP Quarterly'!P55</f>
        <v>572</v>
      </c>
      <c r="F146" s="2638">
        <f>'DESP Quarterly'!Q55</f>
        <v>558</v>
      </c>
      <c r="G146" s="2638">
        <f>'DESP Quarterly'!R55</f>
        <v>618</v>
      </c>
      <c r="H146" s="2638">
        <f>'DESP Quarterly'!S55</f>
        <v>496</v>
      </c>
      <c r="I146" s="2638">
        <f>'DESP Quarterly'!T55</f>
        <v>551</v>
      </c>
      <c r="J146" s="2638">
        <f>'DESP Quarterly'!U55</f>
        <v>629</v>
      </c>
    </row>
    <row r="147" spans="1:10">
      <c r="A147" s="2634" t="s">
        <v>2590</v>
      </c>
      <c r="B147" s="2638"/>
      <c r="C147" s="2638"/>
      <c r="D147" s="2638"/>
      <c r="E147" s="2638"/>
      <c r="F147" s="392"/>
      <c r="G147" s="392">
        <f>G146/C146-1</f>
        <v>-8.4444444444444433E-2</v>
      </c>
      <c r="H147" s="392">
        <f>H146/D146-1</f>
        <v>-0.14038128249566728</v>
      </c>
      <c r="I147" s="392">
        <f>I146/E146-1</f>
        <v>-3.6713286713286664E-2</v>
      </c>
      <c r="J147" s="392">
        <f>J146/F146-1</f>
        <v>0.12724014336917566</v>
      </c>
    </row>
    <row r="148" spans="1:10">
      <c r="A148" s="2634" t="s">
        <v>2591</v>
      </c>
      <c r="B148" s="2638">
        <f>'DESP Quarterly'!M80</f>
        <v>713.60759493670878</v>
      </c>
      <c r="C148" s="2638">
        <f>'DESP Quarterly'!N80</f>
        <v>602.96296296296293</v>
      </c>
      <c r="D148" s="2638">
        <f>'DESP Quarterly'!O80</f>
        <v>540.72790294627384</v>
      </c>
      <c r="E148" s="2638">
        <f>'DESP Quarterly'!P80</f>
        <v>458.04195804195803</v>
      </c>
      <c r="F148" s="2638">
        <f>'DESP Quarterly'!Q80</f>
        <v>482.07885304659499</v>
      </c>
      <c r="G148" s="2638">
        <f>'DESP Quarterly'!R80</f>
        <v>444.98381877022655</v>
      </c>
      <c r="H148" s="2638">
        <f>'DESP Quarterly'!S80</f>
        <v>435.48387096774195</v>
      </c>
      <c r="I148" s="2638">
        <f>'DESP Quarterly'!T80</f>
        <v>421.05263157894734</v>
      </c>
      <c r="J148" s="2638">
        <f>'DESP Quarterly'!U80</f>
        <v>484.26073131955485</v>
      </c>
    </row>
    <row r="149" spans="1:10">
      <c r="A149" s="2634" t="s">
        <v>2592</v>
      </c>
      <c r="B149" s="2638"/>
      <c r="C149" s="2638"/>
      <c r="D149" s="2638"/>
      <c r="E149" s="2638"/>
      <c r="F149" s="392"/>
      <c r="G149" s="392">
        <f>G148/C148-1</f>
        <v>-0.26200472316977164</v>
      </c>
      <c r="H149" s="392">
        <f>H148/D148-1</f>
        <v>-0.19463399503722079</v>
      </c>
      <c r="I149" s="392">
        <f>I148/E148-1</f>
        <v>-8.0755323423061465E-2</v>
      </c>
      <c r="J149" s="392">
        <f>J148/F148-1</f>
        <v>4.5259779788535681E-3</v>
      </c>
    </row>
    <row r="151" spans="1:10">
      <c r="A151" s="2634" t="s">
        <v>2436</v>
      </c>
      <c r="B151" s="2561" t="s">
        <v>2389</v>
      </c>
      <c r="C151" s="2561" t="s">
        <v>2390</v>
      </c>
      <c r="D151" s="2561" t="s">
        <v>2391</v>
      </c>
      <c r="E151" s="2561" t="s">
        <v>2427</v>
      </c>
      <c r="F151" s="2562" t="s">
        <v>2428</v>
      </c>
      <c r="G151" s="2562" t="s">
        <v>2429</v>
      </c>
      <c r="H151" s="2562" t="s">
        <v>2430</v>
      </c>
      <c r="I151" s="2562" t="s">
        <v>2431</v>
      </c>
      <c r="J151" s="2562" t="s">
        <v>2448</v>
      </c>
    </row>
    <row r="152" spans="1:10">
      <c r="A152" s="2634" t="s">
        <v>2589</v>
      </c>
      <c r="B152" s="2638">
        <f>'DESP Quarterly'!M58</f>
        <v>966</v>
      </c>
      <c r="C152" s="2638">
        <f>'DESP Quarterly'!N58</f>
        <v>1013</v>
      </c>
      <c r="D152" s="2638">
        <f>'DESP Quarterly'!O58</f>
        <v>1098</v>
      </c>
      <c r="E152" s="2638">
        <f>'DESP Quarterly'!P58</f>
        <v>1041</v>
      </c>
      <c r="F152" s="2638">
        <f>'DESP Quarterly'!Q58</f>
        <v>1085</v>
      </c>
      <c r="G152" s="2638">
        <f>'DESP Quarterly'!R58</f>
        <v>1045</v>
      </c>
      <c r="H152" s="2638">
        <f>'DESP Quarterly'!S58</f>
        <v>948</v>
      </c>
      <c r="I152" s="2638">
        <f>'DESP Quarterly'!T58</f>
        <v>1070</v>
      </c>
      <c r="J152" s="2638">
        <f>'DESP Quarterly'!U58</f>
        <v>1105</v>
      </c>
    </row>
    <row r="153" spans="1:10">
      <c r="A153" s="2634" t="s">
        <v>2590</v>
      </c>
      <c r="B153" s="2638"/>
      <c r="C153" s="2638"/>
      <c r="D153" s="2638"/>
      <c r="E153" s="2638"/>
      <c r="F153" s="392"/>
      <c r="G153" s="392">
        <f>G152/C152-1</f>
        <v>3.1589338598223105E-2</v>
      </c>
      <c r="H153" s="392">
        <f>H152/D152-1</f>
        <v>-0.13661202185792354</v>
      </c>
      <c r="I153" s="392">
        <f>I152/E152-1</f>
        <v>2.7857829010566659E-2</v>
      </c>
      <c r="J153" s="392">
        <f>J152/F152-1</f>
        <v>1.8433179723502224E-2</v>
      </c>
    </row>
    <row r="154" spans="1:10">
      <c r="A154" s="2634" t="s">
        <v>2591</v>
      </c>
      <c r="B154" s="2638">
        <f>'DESP Quarterly'!M81</f>
        <v>456.52173913043475</v>
      </c>
      <c r="C154" s="2638">
        <f>'DESP Quarterly'!N81</f>
        <v>446.19940769990126</v>
      </c>
      <c r="D154" s="2638">
        <f>'DESP Quarterly'!O81</f>
        <v>396.17486338797818</v>
      </c>
      <c r="E154" s="2638">
        <f>'DESP Quarterly'!P81</f>
        <v>391.83477425552354</v>
      </c>
      <c r="F154" s="2638">
        <f>'DESP Quarterly'!Q81</f>
        <v>457.14285714285717</v>
      </c>
      <c r="G154" s="2638">
        <f>'DESP Quarterly'!R81</f>
        <v>445.93301435406698</v>
      </c>
      <c r="H154" s="2638">
        <f>'DESP Quarterly'!S81</f>
        <v>476.7932489451477</v>
      </c>
      <c r="I154" s="2638">
        <f>'DESP Quarterly'!T81</f>
        <v>437.38317757009349</v>
      </c>
      <c r="J154" s="2638">
        <f>'DESP Quarterly'!U81</f>
        <v>445.70135746606337</v>
      </c>
    </row>
    <row r="155" spans="1:10">
      <c r="A155" s="2634" t="s">
        <v>2592</v>
      </c>
      <c r="B155" s="2638"/>
      <c r="C155" s="2638"/>
      <c r="D155" s="2638"/>
      <c r="E155" s="2638"/>
      <c r="F155" s="392"/>
      <c r="G155" s="392">
        <f>G154/C154-1</f>
        <v>-5.970275648896628E-4</v>
      </c>
      <c r="H155" s="392">
        <f>H154/D154-1</f>
        <v>0.20349192492361401</v>
      </c>
      <c r="I155" s="392">
        <f>I154/E154-1</f>
        <v>0.1162439025507902</v>
      </c>
      <c r="J155" s="392">
        <f>J154/F154-1</f>
        <v>-2.5028280542986447E-2</v>
      </c>
    </row>
    <row r="157" spans="1:10">
      <c r="A157" s="2634" t="s">
        <v>2593</v>
      </c>
      <c r="B157" s="2561" t="s">
        <v>2389</v>
      </c>
      <c r="C157" s="2561" t="s">
        <v>2390</v>
      </c>
      <c r="D157" s="2561" t="s">
        <v>2391</v>
      </c>
      <c r="E157" s="2561" t="s">
        <v>2427</v>
      </c>
      <c r="F157" s="2562" t="s">
        <v>2428</v>
      </c>
      <c r="G157" s="2562" t="s">
        <v>2429</v>
      </c>
      <c r="H157" s="2562" t="s">
        <v>2430</v>
      </c>
      <c r="I157" s="2562" t="s">
        <v>2431</v>
      </c>
      <c r="J157" s="2562" t="s">
        <v>2448</v>
      </c>
    </row>
    <row r="158" spans="1:10">
      <c r="A158" s="2634" t="s">
        <v>2589</v>
      </c>
      <c r="B158" s="2638">
        <f>'DESP Quarterly'!M61</f>
        <v>802</v>
      </c>
      <c r="C158" s="2638">
        <f>'DESP Quarterly'!N61</f>
        <v>826</v>
      </c>
      <c r="D158" s="2638">
        <f>'DESP Quarterly'!O61</f>
        <v>932</v>
      </c>
      <c r="E158" s="2638">
        <f>'DESP Quarterly'!P61</f>
        <v>984</v>
      </c>
      <c r="F158" s="2638">
        <f>'DESP Quarterly'!Q61</f>
        <v>1032</v>
      </c>
      <c r="G158" s="2638">
        <f>'DESP Quarterly'!R61</f>
        <v>989</v>
      </c>
      <c r="H158" s="2638">
        <f>'DESP Quarterly'!S61</f>
        <v>1004</v>
      </c>
      <c r="I158" s="2638">
        <f>'DESP Quarterly'!T61</f>
        <v>1102</v>
      </c>
      <c r="J158" s="2638">
        <f>'DESP Quarterly'!U61</f>
        <v>1120</v>
      </c>
    </row>
    <row r="159" spans="1:10">
      <c r="A159" s="2634" t="s">
        <v>2590</v>
      </c>
      <c r="B159" s="2638"/>
      <c r="C159" s="2638"/>
      <c r="D159" s="2638"/>
      <c r="E159" s="2638"/>
      <c r="F159" s="392"/>
      <c r="G159" s="392">
        <f>G158/C158-1</f>
        <v>0.19733656174334135</v>
      </c>
      <c r="H159" s="392">
        <f>H158/D158-1</f>
        <v>7.7253218884120178E-2</v>
      </c>
      <c r="I159" s="392">
        <f>I158/E158-1</f>
        <v>0.11991869918699183</v>
      </c>
      <c r="J159" s="392">
        <f>J158/F158-1</f>
        <v>8.5271317829457294E-2</v>
      </c>
    </row>
    <row r="160" spans="1:10">
      <c r="A160" s="2634" t="s">
        <v>2591</v>
      </c>
      <c r="B160" s="2638">
        <f>'DESP Quarterly'!M82</f>
        <v>457.60598503740653</v>
      </c>
      <c r="C160" s="2638">
        <f>'DESP Quarterly'!N82</f>
        <v>451.5738498789346</v>
      </c>
      <c r="D160" s="2638">
        <f>'DESP Quarterly'!O82</f>
        <v>468.88412017167383</v>
      </c>
      <c r="E160" s="2638">
        <f>'DESP Quarterly'!P82</f>
        <v>429.67479674796749</v>
      </c>
      <c r="F160" s="2638">
        <f>'DESP Quarterly'!Q82</f>
        <v>429.26356589147287</v>
      </c>
      <c r="G160" s="2638">
        <f>'DESP Quarterly'!R82</f>
        <v>420.62689585439836</v>
      </c>
      <c r="H160" s="2638">
        <f>'DESP Quarterly'!S82</f>
        <v>448.207171314741</v>
      </c>
      <c r="I160" s="2638">
        <f>'DESP Quarterly'!T82</f>
        <v>433.75680580762253</v>
      </c>
      <c r="J160" s="2638">
        <f>'DESP Quarterly'!U82</f>
        <v>431.60714285714283</v>
      </c>
    </row>
    <row r="161" spans="1:10">
      <c r="A161" s="2634" t="s">
        <v>2592</v>
      </c>
      <c r="F161" s="358"/>
      <c r="G161" s="358">
        <f>G160/C160-1</f>
        <v>-6.8531324461841625E-2</v>
      </c>
      <c r="H161" s="358">
        <f>H160/D160-1</f>
        <v>-4.4098206715472266E-2</v>
      </c>
      <c r="I161" s="358">
        <f>I160/E160-1</f>
        <v>9.5002292211461281E-3</v>
      </c>
      <c r="J161" s="358">
        <f>J160/F160-1</f>
        <v>5.4595291841341709E-3</v>
      </c>
    </row>
  </sheetData>
  <phoneticPr fontId="11" type="noConversion"/>
  <pageMargins left="0.69930555555555596" right="0.69930555555555596"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DZ306"/>
  <sheetViews>
    <sheetView workbookViewId="0"/>
  </sheetViews>
  <sheetFormatPr defaultColWidth="9" defaultRowHeight="11.5" outlineLevelRow="1" outlineLevelCol="1"/>
  <cols>
    <col min="1" max="1" width="33.33203125" style="2092" customWidth="1"/>
    <col min="2" max="4" width="12.33203125" style="2090" hidden="1" customWidth="1" outlineLevel="1"/>
    <col min="5" max="5" width="12.33203125" style="2091" hidden="1" customWidth="1" outlineLevel="1"/>
    <col min="6" max="8" width="12.33203125" style="2090" hidden="1" customWidth="1" outlineLevel="1"/>
    <col min="9" max="9" width="12.33203125" style="2091" hidden="1" customWidth="1" outlineLevel="1"/>
    <col min="10" max="12" width="11.25" style="2090" hidden="1" customWidth="1" outlineLevel="1"/>
    <col min="13" max="13" width="11.33203125" style="2091" hidden="1" customWidth="1" outlineLevel="1"/>
    <col min="14" max="14" width="10.33203125" style="2090" customWidth="1" collapsed="1"/>
    <col min="15" max="15" width="10.25" style="2090" customWidth="1"/>
    <col min="16" max="16" width="10.75" style="2090" customWidth="1"/>
    <col min="17" max="17" width="10.25" style="2091" customWidth="1"/>
    <col min="18" max="18" width="10.25" style="2090" customWidth="1"/>
    <col min="19" max="20" width="10.25" style="2090" bestFit="1" customWidth="1"/>
    <col min="21" max="21" width="10.25" style="2091" customWidth="1"/>
    <col min="22" max="22" width="10.25" style="2090" customWidth="1"/>
    <col min="23" max="24" width="11.58203125" style="2090" customWidth="1"/>
    <col min="25" max="25" width="11.58203125" style="2091" customWidth="1"/>
    <col min="26" max="28" width="10.25" style="2090" customWidth="1"/>
    <col min="29" max="29" width="3.25" style="2090" customWidth="1"/>
    <col min="30" max="30" width="25.58203125" style="2090" customWidth="1"/>
    <col min="31" max="35" width="9.83203125" style="2090" customWidth="1"/>
    <col min="36" max="39" width="10.25" style="2090" customWidth="1"/>
    <col min="40" max="42" width="9.83203125" style="2090" customWidth="1"/>
    <col min="43" max="43" width="11.58203125" style="2090" customWidth="1"/>
    <col min="44" max="56" width="9.83203125" style="2090" customWidth="1"/>
    <col min="57" max="58" width="10.25" style="2090" customWidth="1"/>
    <col min="59" max="59" width="10.25" style="2090" bestFit="1" customWidth="1"/>
    <col min="60" max="16384" width="9" style="2090"/>
  </cols>
  <sheetData>
    <row r="1" spans="1:59">
      <c r="A1" s="2087"/>
      <c r="B1" s="2088"/>
      <c r="C1" s="2088"/>
      <c r="D1" s="2088"/>
      <c r="E1" s="2089"/>
      <c r="F1" s="2088"/>
      <c r="G1" s="2088"/>
      <c r="H1" s="2088"/>
      <c r="I1" s="2089"/>
    </row>
    <row r="2" spans="1:59">
      <c r="A2" s="2092" t="s">
        <v>1186</v>
      </c>
      <c r="B2" s="2093"/>
      <c r="C2" s="2093"/>
      <c r="D2" s="2093"/>
      <c r="E2" s="2094"/>
      <c r="F2" s="2093"/>
      <c r="G2" s="2093"/>
      <c r="H2" s="2093"/>
      <c r="I2" s="2094"/>
    </row>
    <row r="3" spans="1:59">
      <c r="A3" s="2095"/>
      <c r="B3" s="2096" t="s">
        <v>843</v>
      </c>
      <c r="C3" s="2096" t="s">
        <v>843</v>
      </c>
      <c r="D3" s="2096" t="s">
        <v>843</v>
      </c>
      <c r="E3" s="2097" t="s">
        <v>843</v>
      </c>
      <c r="F3" s="2096" t="s">
        <v>843</v>
      </c>
      <c r="G3" s="2096" t="s">
        <v>843</v>
      </c>
      <c r="H3" s="2096" t="s">
        <v>843</v>
      </c>
      <c r="I3" s="2097" t="s">
        <v>843</v>
      </c>
      <c r="J3" s="2098" t="s">
        <v>843</v>
      </c>
      <c r="K3" s="2098" t="s">
        <v>843</v>
      </c>
      <c r="L3" s="2098" t="s">
        <v>843</v>
      </c>
      <c r="M3" s="2099" t="s">
        <v>843</v>
      </c>
      <c r="N3" s="2098" t="s">
        <v>843</v>
      </c>
      <c r="O3" s="2098" t="s">
        <v>843</v>
      </c>
      <c r="P3" s="2098" t="s">
        <v>843</v>
      </c>
      <c r="Q3" s="2099" t="s">
        <v>843</v>
      </c>
      <c r="R3" s="2098" t="s">
        <v>843</v>
      </c>
      <c r="S3" s="2100" t="s">
        <v>843</v>
      </c>
      <c r="T3" s="2100" t="s">
        <v>843</v>
      </c>
      <c r="U3" s="2099" t="s">
        <v>843</v>
      </c>
      <c r="V3" s="2098" t="s">
        <v>843</v>
      </c>
      <c r="W3" s="2098" t="s">
        <v>843</v>
      </c>
      <c r="X3" s="2098" t="s">
        <v>843</v>
      </c>
      <c r="Y3" s="2099" t="s">
        <v>843</v>
      </c>
      <c r="Z3" s="2098" t="s">
        <v>843</v>
      </c>
      <c r="AA3" s="2098" t="s">
        <v>843</v>
      </c>
      <c r="AB3" s="2098" t="s">
        <v>843</v>
      </c>
      <c r="AC3" s="2692"/>
      <c r="AD3" s="2692"/>
      <c r="AE3" s="2692"/>
      <c r="AF3" s="2692"/>
      <c r="AG3" s="2692"/>
      <c r="AH3" s="2692"/>
      <c r="AI3" s="2692"/>
      <c r="AJ3" s="2692"/>
      <c r="AK3" s="2692"/>
      <c r="AL3" s="2692"/>
      <c r="AM3" s="2692"/>
      <c r="AN3" s="2692"/>
      <c r="AO3" s="2692"/>
      <c r="AP3" s="2692"/>
      <c r="AQ3" s="2692"/>
      <c r="AR3" s="2692"/>
      <c r="AS3" s="2692"/>
      <c r="AT3" s="2692"/>
      <c r="AU3" s="2692"/>
      <c r="AV3" s="2692"/>
      <c r="AW3" s="2692"/>
      <c r="AX3" s="2692"/>
      <c r="AY3" s="2692"/>
      <c r="AZ3" s="2692"/>
      <c r="BA3" s="2692"/>
      <c r="BB3" s="2692"/>
      <c r="BC3" s="2692"/>
      <c r="BD3" s="2692"/>
      <c r="BE3" s="2098"/>
      <c r="BF3" s="2098"/>
    </row>
    <row r="4" spans="1:59" s="2105" customFormat="1">
      <c r="A4" s="2101" t="s">
        <v>42</v>
      </c>
      <c r="B4" s="2096" t="s">
        <v>1187</v>
      </c>
      <c r="C4" s="2096" t="s">
        <v>878</v>
      </c>
      <c r="D4" s="2096" t="s">
        <v>879</v>
      </c>
      <c r="E4" s="2097" t="s">
        <v>880</v>
      </c>
      <c r="F4" s="2096" t="s">
        <v>789</v>
      </c>
      <c r="G4" s="2096" t="s">
        <v>790</v>
      </c>
      <c r="H4" s="2096" t="s">
        <v>791</v>
      </c>
      <c r="I4" s="2097" t="s">
        <v>792</v>
      </c>
      <c r="J4" s="2098" t="s">
        <v>793</v>
      </c>
      <c r="K4" s="2098" t="s">
        <v>794</v>
      </c>
      <c r="L4" s="2098" t="s">
        <v>795</v>
      </c>
      <c r="M4" s="2099" t="s">
        <v>796</v>
      </c>
      <c r="N4" s="2098" t="s">
        <v>1188</v>
      </c>
      <c r="O4" s="2102" t="s">
        <v>1189</v>
      </c>
      <c r="P4" s="2102" t="s">
        <v>1190</v>
      </c>
      <c r="Q4" s="2103" t="s">
        <v>1191</v>
      </c>
      <c r="R4" s="2102" t="s">
        <v>1192</v>
      </c>
      <c r="S4" s="2104" t="s">
        <v>1193</v>
      </c>
      <c r="T4" s="2102" t="s">
        <v>1309</v>
      </c>
      <c r="U4" s="2103" t="s">
        <v>1430</v>
      </c>
      <c r="V4" s="2102" t="s">
        <v>1987</v>
      </c>
      <c r="W4" s="2102" t="s">
        <v>2051</v>
      </c>
      <c r="X4" s="2102" t="s">
        <v>2069</v>
      </c>
      <c r="Y4" s="2103" t="s">
        <v>2098</v>
      </c>
      <c r="Z4" s="2102" t="s">
        <v>2596</v>
      </c>
      <c r="AA4" s="2102" t="s">
        <v>2610</v>
      </c>
      <c r="AB4" s="2102" t="s">
        <v>2611</v>
      </c>
      <c r="AC4" s="2106"/>
      <c r="AD4" s="2693">
        <v>43555</v>
      </c>
      <c r="AE4" s="2693">
        <v>43585</v>
      </c>
      <c r="AF4" s="2693">
        <v>43616</v>
      </c>
      <c r="AG4" s="2693">
        <v>43646</v>
      </c>
      <c r="AH4" s="2693">
        <v>43677</v>
      </c>
      <c r="AI4" s="2693">
        <v>43708</v>
      </c>
      <c r="AJ4" s="2693">
        <v>43738</v>
      </c>
      <c r="AK4" s="2693">
        <v>43769</v>
      </c>
      <c r="AL4" s="2693">
        <v>43799</v>
      </c>
      <c r="AM4" s="2693">
        <v>43830</v>
      </c>
      <c r="AN4" s="2693">
        <v>43861</v>
      </c>
      <c r="AO4" s="2693">
        <v>43890</v>
      </c>
      <c r="AP4" s="2693">
        <v>43921</v>
      </c>
      <c r="AX4" s="2693"/>
      <c r="AY4" s="2693"/>
      <c r="AZ4" s="2693"/>
      <c r="BA4" s="2693"/>
      <c r="BB4" s="2693"/>
      <c r="BC4" s="2693"/>
      <c r="BD4" s="2106"/>
      <c r="BE4" s="2102"/>
      <c r="BF4" s="2102"/>
    </row>
    <row r="5" spans="1:59" s="2105" customFormat="1">
      <c r="A5" s="2098"/>
      <c r="B5" s="2104" t="s">
        <v>1195</v>
      </c>
      <c r="C5" s="2102" t="s">
        <v>1196</v>
      </c>
      <c r="D5" s="2102" t="s">
        <v>1197</v>
      </c>
      <c r="E5" s="2102" t="s">
        <v>1198</v>
      </c>
      <c r="F5" s="2104" t="s">
        <v>1199</v>
      </c>
      <c r="G5" s="2102" t="s">
        <v>1200</v>
      </c>
      <c r="H5" s="2102" t="s">
        <v>1201</v>
      </c>
      <c r="I5" s="2103" t="s">
        <v>1202</v>
      </c>
      <c r="J5" s="2102" t="s">
        <v>1203</v>
      </c>
      <c r="K5" s="2102" t="s">
        <v>1204</v>
      </c>
      <c r="L5" s="2102" t="s">
        <v>1205</v>
      </c>
      <c r="M5" s="2103" t="s">
        <v>1206</v>
      </c>
      <c r="N5" s="2102" t="s">
        <v>1207</v>
      </c>
      <c r="O5" s="2102" t="s">
        <v>1208</v>
      </c>
      <c r="P5" s="2102" t="s">
        <v>1209</v>
      </c>
      <c r="Q5" s="2103" t="s">
        <v>1210</v>
      </c>
      <c r="R5" s="2102" t="s">
        <v>1211</v>
      </c>
      <c r="S5" s="2102" t="s">
        <v>1212</v>
      </c>
      <c r="T5" s="2102" t="s">
        <v>1318</v>
      </c>
      <c r="U5" s="2103" t="s">
        <v>1477</v>
      </c>
      <c r="V5" s="2102" t="s">
        <v>1988</v>
      </c>
      <c r="W5" s="2102" t="s">
        <v>2052</v>
      </c>
      <c r="X5" s="2102" t="s">
        <v>2070</v>
      </c>
      <c r="Y5" s="2103" t="s">
        <v>2099</v>
      </c>
      <c r="Z5" s="2102" t="s">
        <v>2597</v>
      </c>
      <c r="AA5" s="2102" t="s">
        <v>2612</v>
      </c>
      <c r="AB5" s="2102" t="s">
        <v>2613</v>
      </c>
      <c r="AC5" s="2106"/>
      <c r="AD5" s="2106"/>
      <c r="AE5" s="2106"/>
      <c r="AF5" s="2106"/>
      <c r="AG5" s="2106"/>
      <c r="AH5" s="2106"/>
      <c r="AI5" s="2106"/>
      <c r="AJ5" s="2106"/>
      <c r="AK5" s="2106"/>
      <c r="AL5" s="2106"/>
      <c r="AM5" s="2106"/>
      <c r="AN5" s="2106"/>
      <c r="AO5" s="2106"/>
      <c r="AP5" s="2106"/>
      <c r="AQ5" s="2694">
        <v>43951</v>
      </c>
      <c r="AR5" s="2694">
        <v>43982</v>
      </c>
      <c r="AS5" s="2694">
        <v>44012</v>
      </c>
      <c r="AT5" s="2694">
        <v>44043</v>
      </c>
      <c r="AU5" s="2694">
        <v>44074</v>
      </c>
      <c r="AV5" s="2694">
        <v>44104</v>
      </c>
      <c r="AW5" s="2694">
        <v>44135</v>
      </c>
      <c r="AX5" s="2106"/>
      <c r="AY5" s="2106"/>
      <c r="AZ5" s="2106"/>
      <c r="BA5" s="2106"/>
      <c r="BB5" s="2106"/>
      <c r="BC5" s="2106"/>
      <c r="BD5" s="2106"/>
      <c r="BE5" s="2102"/>
      <c r="BF5" s="2102"/>
    </row>
    <row r="6" spans="1:59" ht="12">
      <c r="A6" s="2090"/>
      <c r="B6" s="2106"/>
      <c r="C6" s="2106"/>
      <c r="D6" s="2106"/>
      <c r="E6" s="2107"/>
      <c r="F6" s="2106"/>
      <c r="G6" s="2106"/>
      <c r="H6" s="2106"/>
      <c r="I6" s="2107"/>
      <c r="J6" s="2106"/>
      <c r="K6" s="2106"/>
      <c r="L6" s="2106"/>
      <c r="M6" s="2107"/>
      <c r="N6" s="2108" t="s">
        <v>1213</v>
      </c>
      <c r="O6" s="2106"/>
      <c r="P6" s="2106"/>
      <c r="Q6" s="2107"/>
      <c r="R6" s="2106"/>
      <c r="X6" s="2090" t="s">
        <v>2614</v>
      </c>
      <c r="AB6" s="2090" t="s">
        <v>2614</v>
      </c>
    </row>
    <row r="7" spans="1:59">
      <c r="A7" s="2109" t="s">
        <v>1214</v>
      </c>
      <c r="B7" s="2106"/>
      <c r="C7" s="2106"/>
      <c r="D7" s="2106"/>
      <c r="E7" s="2107"/>
      <c r="F7" s="2106"/>
      <c r="G7" s="2106"/>
      <c r="H7" s="2106"/>
      <c r="I7" s="2107"/>
      <c r="J7" s="2106"/>
      <c r="K7" s="2106"/>
      <c r="L7" s="2106"/>
      <c r="M7" s="2107"/>
      <c r="N7" s="2106"/>
      <c r="O7" s="2106"/>
      <c r="P7" s="2106"/>
      <c r="Q7" s="2107"/>
      <c r="R7" s="2106"/>
    </row>
    <row r="8" spans="1:59">
      <c r="A8" s="2090" t="s">
        <v>1215</v>
      </c>
      <c r="B8" s="2106"/>
      <c r="C8" s="2106"/>
      <c r="D8" s="2106"/>
      <c r="E8" s="2107"/>
      <c r="F8" s="2106"/>
      <c r="G8" s="2106"/>
      <c r="H8" s="2106"/>
      <c r="I8" s="2107"/>
      <c r="J8" s="2106"/>
      <c r="K8" s="2106"/>
      <c r="L8" s="2106"/>
      <c r="M8" s="2107"/>
      <c r="N8" s="2106"/>
      <c r="O8" s="2106"/>
      <c r="P8" s="2106"/>
      <c r="Q8" s="2107"/>
      <c r="R8" s="2106"/>
      <c r="Y8" s="2091">
        <v>67</v>
      </c>
    </row>
    <row r="9" spans="1:59">
      <c r="A9" s="2090" t="s">
        <v>1216</v>
      </c>
      <c r="B9" s="2106"/>
      <c r="C9" s="2106"/>
      <c r="D9" s="2106"/>
      <c r="E9" s="2107"/>
      <c r="F9" s="2106"/>
      <c r="G9" s="2106"/>
      <c r="H9" s="2106"/>
      <c r="I9" s="2107"/>
      <c r="J9" s="2106"/>
      <c r="K9" s="2106"/>
      <c r="L9" s="2106"/>
      <c r="M9" s="2107"/>
      <c r="N9" s="2106"/>
      <c r="O9" s="2106"/>
      <c r="P9" s="2106"/>
      <c r="Q9" s="2107"/>
      <c r="R9" s="2106"/>
      <c r="Y9" s="2091">
        <v>23</v>
      </c>
    </row>
    <row r="10" spans="1:59" ht="12">
      <c r="A10" s="2110" t="s">
        <v>1217</v>
      </c>
      <c r="B10" s="2106"/>
      <c r="C10" s="2106"/>
      <c r="D10" s="2106"/>
      <c r="E10" s="2107"/>
      <c r="F10" s="2106"/>
      <c r="G10" s="2106"/>
      <c r="H10" s="2106"/>
      <c r="I10" s="2107"/>
      <c r="J10" s="2106"/>
      <c r="K10" s="2106"/>
      <c r="L10" s="2106"/>
      <c r="M10" s="2107"/>
      <c r="N10" s="2106"/>
      <c r="O10" s="2106"/>
      <c r="P10" s="2106"/>
      <c r="Q10" s="2107"/>
      <c r="R10" s="820"/>
      <c r="W10" s="2090" t="s">
        <v>2615</v>
      </c>
      <c r="X10" s="1466">
        <f>+SUM(V18:X18)-AI17</f>
        <v>11553454</v>
      </c>
      <c r="Y10" s="2091">
        <f>Y9/Y8</f>
        <v>0.34328358208955223</v>
      </c>
      <c r="Z10" s="211"/>
      <c r="AA10" s="211" t="s">
        <v>2615</v>
      </c>
      <c r="AB10" s="1466">
        <f>+SUM(Z18:AB18)-AU17</f>
        <v>3943000</v>
      </c>
      <c r="AC10" s="211"/>
      <c r="AD10" s="211"/>
      <c r="AE10" s="211"/>
      <c r="AF10" s="211"/>
      <c r="AG10" s="211"/>
      <c r="AH10" s="211"/>
      <c r="AI10" s="211"/>
      <c r="AJ10" s="211"/>
      <c r="AK10" s="211"/>
      <c r="AL10" s="211"/>
      <c r="AM10" s="211"/>
      <c r="AN10" s="211"/>
      <c r="AO10" s="211"/>
      <c r="AP10" s="211"/>
      <c r="AQ10" s="211"/>
      <c r="AR10" s="211"/>
      <c r="AS10" s="211"/>
      <c r="AT10" s="211"/>
      <c r="AU10" s="211"/>
      <c r="AV10" s="211"/>
      <c r="AW10" s="211"/>
      <c r="AX10" s="211"/>
      <c r="AY10" s="211"/>
      <c r="AZ10" s="211"/>
      <c r="BA10" s="211"/>
      <c r="BB10" s="211"/>
      <c r="BC10" s="211"/>
      <c r="BD10" s="211"/>
      <c r="BE10" s="211"/>
      <c r="BF10" s="211"/>
    </row>
    <row r="11" spans="1:59">
      <c r="A11" s="2090"/>
      <c r="B11" s="2106"/>
      <c r="C11" s="2106"/>
      <c r="D11" s="2106"/>
      <c r="E11" s="2107"/>
      <c r="F11" s="2106"/>
      <c r="G11" s="2106"/>
      <c r="H11" s="2106"/>
      <c r="I11" s="2107"/>
      <c r="J11" s="2106"/>
      <c r="K11" s="2106"/>
      <c r="L11" s="2106"/>
      <c r="M11" s="2107"/>
      <c r="N11" s="2106"/>
      <c r="O11" s="2106"/>
      <c r="P11" s="2106"/>
      <c r="Q11" s="2107"/>
      <c r="R11" s="820"/>
      <c r="W11" s="211"/>
      <c r="X11" s="211"/>
      <c r="Y11" s="446"/>
      <c r="AA11" s="1466" t="s">
        <v>2616</v>
      </c>
      <c r="AB11" s="2663">
        <f>+AB10/X10</f>
        <v>0.34128322145048573</v>
      </c>
      <c r="AW11" s="1466"/>
    </row>
    <row r="12" spans="1:59">
      <c r="A12" s="2090"/>
      <c r="B12" s="2106"/>
      <c r="C12" s="2106"/>
      <c r="D12" s="2106"/>
      <c r="E12" s="2107"/>
      <c r="F12" s="2106"/>
      <c r="G12" s="2106"/>
      <c r="H12" s="2106"/>
      <c r="I12" s="2107"/>
      <c r="J12" s="2106"/>
      <c r="K12" s="2106"/>
      <c r="L12" s="2106"/>
      <c r="M12" s="2107"/>
      <c r="N12" s="2106"/>
      <c r="O12" s="2106"/>
      <c r="P12" s="2106"/>
      <c r="Q12" s="2107"/>
      <c r="R12" s="820"/>
      <c r="W12" s="211"/>
      <c r="X12" s="211"/>
      <c r="Y12" s="446"/>
      <c r="AA12" s="1466"/>
      <c r="AB12" s="2663"/>
      <c r="AW12" s="1466"/>
    </row>
    <row r="13" spans="1:59" ht="12">
      <c r="A13" s="2090" t="s">
        <v>2605</v>
      </c>
      <c r="B13" s="2106"/>
      <c r="C13" s="2106"/>
      <c r="D13" s="2106"/>
      <c r="E13" s="2107"/>
      <c r="F13" s="2106"/>
      <c r="G13" s="2106"/>
      <c r="H13" s="2106"/>
      <c r="I13" s="2107"/>
      <c r="J13" s="2106"/>
      <c r="K13" s="2106"/>
      <c r="L13" s="2106"/>
      <c r="M13" s="2107"/>
      <c r="N13" s="2106"/>
      <c r="O13" s="2106"/>
      <c r="P13" s="2106"/>
      <c r="Q13" s="2107"/>
      <c r="R13" s="820"/>
      <c r="W13" s="211"/>
      <c r="X13" s="211"/>
      <c r="Y13" s="446"/>
      <c r="AA13" s="1466"/>
      <c r="AB13" s="2663"/>
      <c r="AJ13" s="1466"/>
      <c r="AK13" s="1466"/>
      <c r="AL13" s="1466"/>
      <c r="AM13" s="1466"/>
      <c r="AN13" s="1466"/>
      <c r="AO13" s="1466"/>
      <c r="AP13" s="1466"/>
      <c r="AQ13" s="1466">
        <v>24640</v>
      </c>
      <c r="AR13" s="1466">
        <v>93359</v>
      </c>
      <c r="AS13" s="1466">
        <v>217663</v>
      </c>
      <c r="AT13" s="1466">
        <v>563031</v>
      </c>
      <c r="AU13" s="1466">
        <v>784017</v>
      </c>
      <c r="AV13" s="1466">
        <v>941599</v>
      </c>
      <c r="AW13" s="1466">
        <v>680087</v>
      </c>
    </row>
    <row r="14" spans="1:59" ht="12">
      <c r="A14" s="2090" t="s">
        <v>2606</v>
      </c>
      <c r="B14" s="2106"/>
      <c r="C14" s="2106"/>
      <c r="D14" s="2106"/>
      <c r="E14" s="2107"/>
      <c r="F14" s="2106"/>
      <c r="G14" s="2106"/>
      <c r="H14" s="2106"/>
      <c r="I14" s="2107"/>
      <c r="J14" s="2106"/>
      <c r="K14" s="2106"/>
      <c r="L14" s="2106"/>
      <c r="M14" s="2107"/>
      <c r="N14" s="2106"/>
      <c r="O14" s="2106"/>
      <c r="P14" s="2106"/>
      <c r="Q14" s="2107"/>
      <c r="R14" s="820"/>
      <c r="W14" s="211"/>
      <c r="X14" s="211"/>
      <c r="Y14" s="446"/>
      <c r="AA14" s="1466"/>
      <c r="AB14" s="2663"/>
      <c r="AJ14" s="1466"/>
      <c r="AK14" s="1466"/>
      <c r="AL14" s="1466"/>
      <c r="AM14" s="1466"/>
      <c r="AN14" s="1466"/>
      <c r="AO14" s="1466"/>
      <c r="AP14" s="1466"/>
      <c r="AQ14" s="1466">
        <v>34682</v>
      </c>
      <c r="AR14" s="1466">
        <v>189765</v>
      </c>
      <c r="AS14" s="1466">
        <v>574926</v>
      </c>
      <c r="AT14" s="1466">
        <v>1690546</v>
      </c>
      <c r="AU14" s="1466">
        <v>3649639</v>
      </c>
      <c r="AV14" s="1466">
        <v>6245404</v>
      </c>
      <c r="AW14" s="1466">
        <v>7829226</v>
      </c>
    </row>
    <row r="15" spans="1:59" ht="12">
      <c r="A15" s="2090" t="s">
        <v>2607</v>
      </c>
      <c r="B15" s="2106"/>
      <c r="C15" s="2106"/>
      <c r="D15" s="2106"/>
      <c r="E15" s="2107"/>
      <c r="F15" s="2106"/>
      <c r="G15" s="2106"/>
      <c r="H15" s="2106"/>
      <c r="I15" s="2107"/>
      <c r="J15" s="2106"/>
      <c r="K15" s="2106"/>
      <c r="L15" s="2106"/>
      <c r="M15" s="2107"/>
      <c r="N15" s="2106"/>
      <c r="O15" s="2106"/>
      <c r="P15" s="2106"/>
      <c r="Q15" s="2107"/>
      <c r="R15" s="820"/>
      <c r="W15" s="211"/>
      <c r="X15" s="211"/>
      <c r="Y15" s="446"/>
      <c r="AA15" s="1466"/>
      <c r="AB15" s="2663"/>
      <c r="AJ15" s="1466"/>
      <c r="AK15" s="1466"/>
      <c r="AL15" s="1466"/>
      <c r="AM15" s="1466"/>
      <c r="AN15" s="1466"/>
      <c r="AO15" s="1466"/>
      <c r="AP15" s="1466"/>
      <c r="AQ15" s="1466"/>
      <c r="AR15" s="1466">
        <f t="shared" ref="AR15:AW15" si="0">+AR14-AQ14</f>
        <v>155083</v>
      </c>
      <c r="AS15" s="1466">
        <f t="shared" si="0"/>
        <v>385161</v>
      </c>
      <c r="AT15" s="1466">
        <f t="shared" si="0"/>
        <v>1115620</v>
      </c>
      <c r="AU15" s="1466">
        <f t="shared" si="0"/>
        <v>1959093</v>
      </c>
      <c r="AV15" s="1466">
        <f t="shared" si="0"/>
        <v>2595765</v>
      </c>
      <c r="AW15" s="1466">
        <f t="shared" si="0"/>
        <v>1583822</v>
      </c>
    </row>
    <row r="16" spans="1:59">
      <c r="A16" s="2687"/>
      <c r="B16" s="2706"/>
      <c r="C16" s="2706"/>
      <c r="D16" s="2706"/>
      <c r="E16" s="2707"/>
      <c r="F16" s="2706"/>
      <c r="G16" s="2706"/>
      <c r="H16" s="2706"/>
      <c r="I16" s="2707"/>
      <c r="J16" s="2706"/>
      <c r="K16" s="2706"/>
      <c r="L16" s="2706"/>
      <c r="M16" s="2707"/>
      <c r="N16" s="2706"/>
      <c r="O16" s="2706"/>
      <c r="P16" s="2706"/>
      <c r="Q16" s="2707"/>
      <c r="R16" s="2708"/>
      <c r="S16" s="2687"/>
      <c r="T16" s="2687"/>
      <c r="U16" s="2709"/>
      <c r="V16" s="2687"/>
      <c r="W16" s="2710"/>
      <c r="X16" s="2710"/>
      <c r="Y16" s="2711"/>
      <c r="Z16" s="2687"/>
      <c r="AA16" s="2665"/>
      <c r="AB16" s="2666"/>
      <c r="AC16" s="2687"/>
      <c r="AD16" s="2665"/>
      <c r="AE16" s="2665">
        <v>464.47</v>
      </c>
      <c r="AF16" s="2665">
        <v>586.34</v>
      </c>
      <c r="AG16" s="2665"/>
      <c r="AH16" s="2665">
        <v>825.64</v>
      </c>
      <c r="AI16" s="2665">
        <v>943.58</v>
      </c>
      <c r="AJ16" s="2665"/>
      <c r="AK16" s="2665">
        <v>1182.06</v>
      </c>
      <c r="AL16" s="2665">
        <v>1311.54</v>
      </c>
      <c r="AM16" s="2665"/>
      <c r="AN16" s="2665">
        <v>127.83</v>
      </c>
      <c r="AO16" s="2665">
        <v>251.5</v>
      </c>
      <c r="AP16" s="2665"/>
      <c r="AQ16" s="2665"/>
      <c r="AR16" s="2665">
        <v>331.94</v>
      </c>
      <c r="AS16" s="2665"/>
      <c r="AT16" s="2665">
        <v>372.85</v>
      </c>
      <c r="AU16" s="2665">
        <v>401.17</v>
      </c>
      <c r="AV16" s="2665"/>
      <c r="AW16" s="2665"/>
      <c r="AX16" s="2687"/>
      <c r="AY16" s="2687"/>
      <c r="AZ16" s="2687"/>
      <c r="BA16" s="2687"/>
      <c r="BB16" s="2687"/>
      <c r="BC16" s="2687"/>
      <c r="BD16" s="2687"/>
      <c r="BE16" s="2687"/>
      <c r="BF16" s="2687"/>
      <c r="BG16" s="2687"/>
    </row>
    <row r="17" spans="1:130" ht="12" outlineLevel="1">
      <c r="A17" s="2664" t="s">
        <v>2608</v>
      </c>
      <c r="B17" s="2106"/>
      <c r="C17" s="2106"/>
      <c r="D17" s="2106"/>
      <c r="E17" s="2107"/>
      <c r="F17" s="2106"/>
      <c r="G17" s="2106"/>
      <c r="H17" s="2106"/>
      <c r="I17" s="2107"/>
      <c r="J17" s="2106"/>
      <c r="K17" s="2106"/>
      <c r="L17" s="2106"/>
      <c r="M17" s="2107"/>
      <c r="N17" s="2106"/>
      <c r="O17" s="2106"/>
      <c r="P17" s="2106"/>
      <c r="Q17" s="2107"/>
      <c r="R17" s="820"/>
      <c r="W17" s="211"/>
      <c r="X17" s="211"/>
      <c r="Y17" s="446"/>
      <c r="AA17" s="1466"/>
      <c r="AB17" s="2663"/>
      <c r="AD17" s="1466">
        <f>+V18</f>
        <v>35453454</v>
      </c>
      <c r="AE17" s="1466">
        <f>+AE16*100000</f>
        <v>46447000</v>
      </c>
      <c r="AF17" s="1466">
        <f>+AF16*100000</f>
        <v>58634000</v>
      </c>
      <c r="AG17" s="1466">
        <f>+V18+W18</f>
        <v>70680454</v>
      </c>
      <c r="AH17" s="1466">
        <f>+AH16*100000</f>
        <v>82564000</v>
      </c>
      <c r="AI17" s="1466">
        <f>+AI16*100000</f>
        <v>94358000</v>
      </c>
      <c r="AJ17" s="1466">
        <f>+V18+W18+X18</f>
        <v>105911454</v>
      </c>
      <c r="AK17" s="1466">
        <f>+AK16*100000</f>
        <v>118206000</v>
      </c>
      <c r="AL17" s="1466">
        <f>+AL16*100000</f>
        <v>131154000</v>
      </c>
      <c r="AM17" s="1466">
        <f>+V18+W18+X18+Y18</f>
        <v>144100000</v>
      </c>
      <c r="AN17" s="1466">
        <f>+AN16*100000</f>
        <v>12783000</v>
      </c>
      <c r="AO17" s="1466">
        <f>+AO16*100000</f>
        <v>25150000</v>
      </c>
      <c r="AP17" s="1466">
        <f>+Z18</f>
        <v>32912000</v>
      </c>
      <c r="AQ17" s="1466" t="s">
        <v>2609</v>
      </c>
      <c r="AR17" s="1466">
        <f>+AR16*100000</f>
        <v>33194000</v>
      </c>
      <c r="AS17" s="1466">
        <f>+Z18+AA18</f>
        <v>35178000</v>
      </c>
      <c r="AT17" s="1466">
        <f>+AT16*100000</f>
        <v>37285000</v>
      </c>
      <c r="AU17" s="1466">
        <f>+AU16*100000</f>
        <v>40117000</v>
      </c>
      <c r="AV17" s="1466">
        <f>+Z18+AA18+AB18</f>
        <v>44060000</v>
      </c>
      <c r="AW17" s="1466"/>
    </row>
    <row r="18" spans="1:130" s="1466" customFormat="1">
      <c r="A18" s="376" t="s">
        <v>2622</v>
      </c>
      <c r="B18" s="1492">
        <f>5062143+4874364+5208065</f>
        <v>15144572</v>
      </c>
      <c r="C18" s="1492">
        <f>5247143+5936825+5594898</f>
        <v>16778866</v>
      </c>
      <c r="D18" s="1492">
        <f>5172742+5648739+5745441</f>
        <v>16566922</v>
      </c>
      <c r="E18" s="1623">
        <f>5830052+5782353+6339272</f>
        <v>17951677</v>
      </c>
      <c r="F18" s="1492">
        <v>18547627</v>
      </c>
      <c r="G18" s="1492">
        <v>20291493</v>
      </c>
      <c r="H18" s="1492">
        <v>20198401</v>
      </c>
      <c r="I18" s="1623">
        <v>22070502</v>
      </c>
      <c r="J18" s="1492">
        <v>23005883</v>
      </c>
      <c r="K18" s="1492">
        <v>24570663</v>
      </c>
      <c r="L18" s="1492">
        <v>25118743</v>
      </c>
      <c r="M18" s="1623">
        <v>27190531</v>
      </c>
      <c r="N18" s="1492">
        <v>27279358</v>
      </c>
      <c r="O18" s="1492">
        <v>28876367</v>
      </c>
      <c r="P18" s="1492">
        <f>9533226+9663380+9550493+32174+27747+32108</f>
        <v>28839128</v>
      </c>
      <c r="Q18" s="1623">
        <f>10418436+10453411+11206075+32114+36059+36884</f>
        <v>32182979</v>
      </c>
      <c r="R18" s="1492">
        <v>33790317</v>
      </c>
      <c r="S18" s="1466">
        <v>34693820</v>
      </c>
      <c r="T18" s="1466">
        <v>34447828</v>
      </c>
      <c r="U18" s="1478">
        <v>36188079</v>
      </c>
      <c r="V18" s="1466">
        <v>35453454</v>
      </c>
      <c r="W18" s="1466">
        <v>35227000</v>
      </c>
      <c r="X18" s="1466">
        <v>35231000</v>
      </c>
      <c r="Y18" s="1478">
        <f>144100000-V18-W18-X18</f>
        <v>38188546</v>
      </c>
      <c r="Z18" s="1466">
        <v>32912000</v>
      </c>
      <c r="AA18" s="1466">
        <f>35178000-Z18</f>
        <v>2266000</v>
      </c>
      <c r="AB18" s="1466">
        <f>44060000-Z18-AA18</f>
        <v>8882000</v>
      </c>
      <c r="AE18" s="1466">
        <f>+AE17-AD17</f>
        <v>10993546</v>
      </c>
      <c r="AF18" s="1466">
        <f t="shared" ref="AF18:AP18" si="1">+AF17-AE17</f>
        <v>12187000</v>
      </c>
      <c r="AG18" s="1466">
        <f t="shared" si="1"/>
        <v>12046454</v>
      </c>
      <c r="AH18" s="1466">
        <f t="shared" si="1"/>
        <v>11883546</v>
      </c>
      <c r="AI18" s="1466">
        <f t="shared" si="1"/>
        <v>11794000</v>
      </c>
      <c r="AJ18" s="1466">
        <f t="shared" si="1"/>
        <v>11553454</v>
      </c>
      <c r="AK18" s="1466">
        <f t="shared" si="1"/>
        <v>12294546</v>
      </c>
      <c r="AL18" s="1466">
        <f t="shared" si="1"/>
        <v>12948000</v>
      </c>
      <c r="AM18" s="1466">
        <f t="shared" si="1"/>
        <v>12946000</v>
      </c>
      <c r="AN18" s="1466">
        <f>+AN17</f>
        <v>12783000</v>
      </c>
      <c r="AO18" s="1466">
        <f t="shared" si="1"/>
        <v>12367000</v>
      </c>
      <c r="AP18" s="1466">
        <f t="shared" si="1"/>
        <v>7762000</v>
      </c>
      <c r="AR18" s="1466">
        <f>+AR17-AP17</f>
        <v>282000</v>
      </c>
      <c r="AS18" s="1466">
        <f>+AS17-AR17</f>
        <v>1984000</v>
      </c>
      <c r="AT18" s="1466">
        <f>+AT17-AS17</f>
        <v>2107000</v>
      </c>
      <c r="AU18" s="1466">
        <f>+AU17-AT17</f>
        <v>2832000</v>
      </c>
      <c r="AV18" s="1466">
        <f>+AV17-AU17</f>
        <v>3943000</v>
      </c>
    </row>
    <row r="19" spans="1:130" s="1605" customFormat="1" ht="12">
      <c r="A19" s="2110" t="s">
        <v>1885</v>
      </c>
      <c r="B19" s="1603"/>
      <c r="C19" s="1603"/>
      <c r="D19" s="1603"/>
      <c r="E19" s="1604"/>
      <c r="F19" s="1019">
        <f>F18/B18-1</f>
        <v>0.22470460043373963</v>
      </c>
      <c r="G19" s="1019">
        <f t="shared" ref="G19:M19" si="2">G18/C18-1</f>
        <v>0.20934829564763202</v>
      </c>
      <c r="H19" s="1019">
        <f t="shared" si="2"/>
        <v>0.21920058535918741</v>
      </c>
      <c r="I19" s="993">
        <f t="shared" si="2"/>
        <v>0.22943956712233615</v>
      </c>
      <c r="J19" s="1019">
        <f t="shared" si="2"/>
        <v>0.24036799963682687</v>
      </c>
      <c r="K19" s="1019">
        <f t="shared" si="2"/>
        <v>0.2108849260130834</v>
      </c>
      <c r="L19" s="1019">
        <f t="shared" si="2"/>
        <v>0.24360057016394521</v>
      </c>
      <c r="M19" s="993">
        <f t="shared" si="2"/>
        <v>0.23198516282049231</v>
      </c>
      <c r="N19" s="1019">
        <f t="shared" ref="N19:AB19" si="3">N18/J18-1</f>
        <v>0.18575574777981796</v>
      </c>
      <c r="O19" s="1019">
        <f t="shared" si="3"/>
        <v>0.17523759940869321</v>
      </c>
      <c r="P19" s="1019">
        <f t="shared" si="3"/>
        <v>0.14811190989931311</v>
      </c>
      <c r="Q19" s="993">
        <f t="shared" si="3"/>
        <v>0.18360980151509354</v>
      </c>
      <c r="R19" s="1019">
        <f t="shared" si="3"/>
        <v>0.23867713455719897</v>
      </c>
      <c r="S19" s="1019">
        <f t="shared" si="3"/>
        <v>0.20146069621569773</v>
      </c>
      <c r="T19" s="1019">
        <f t="shared" si="3"/>
        <v>0.19448230196141858</v>
      </c>
      <c r="U19" s="993">
        <f t="shared" si="3"/>
        <v>0.12444777097856607</v>
      </c>
      <c r="V19" s="1019">
        <f t="shared" si="3"/>
        <v>4.9219337007107677E-2</v>
      </c>
      <c r="W19" s="1019">
        <f t="shared" si="3"/>
        <v>1.5368154904821685E-2</v>
      </c>
      <c r="X19" s="1019">
        <f t="shared" si="3"/>
        <v>2.2735018300718446E-2</v>
      </c>
      <c r="Y19" s="993">
        <f t="shared" si="3"/>
        <v>5.5279723469156883E-2</v>
      </c>
      <c r="Z19" s="1019">
        <f t="shared" si="3"/>
        <v>-7.1684242669275644E-2</v>
      </c>
      <c r="AA19" s="1019">
        <f t="shared" si="3"/>
        <v>-0.93567434070457323</v>
      </c>
      <c r="AB19" s="1019">
        <f t="shared" si="3"/>
        <v>-0.74789248105361761</v>
      </c>
      <c r="AC19" s="1019"/>
      <c r="AD19" s="1019"/>
      <c r="AE19" s="1019"/>
      <c r="AF19" s="1019"/>
      <c r="AG19" s="1019"/>
      <c r="AH19" s="1019"/>
      <c r="AI19" s="1019"/>
      <c r="AJ19" s="1019"/>
      <c r="AK19" s="1019"/>
      <c r="AL19" s="1019"/>
      <c r="AM19" s="1019"/>
      <c r="AN19" s="1019"/>
      <c r="AO19" s="1019"/>
      <c r="AP19" s="1019"/>
      <c r="AQ19" s="2695" t="s">
        <v>2617</v>
      </c>
      <c r="AR19" s="2695">
        <f>+AR18/AF18</f>
        <v>2.3139410847624518E-2</v>
      </c>
      <c r="AS19" s="2695">
        <f>+AS18/AG18</f>
        <v>0.16469576856392762</v>
      </c>
      <c r="AT19" s="2695">
        <f>+AT18/AH18</f>
        <v>0.17730397980535439</v>
      </c>
      <c r="AU19" s="2695">
        <f>+AU18/AI18</f>
        <v>0.24012209598100728</v>
      </c>
      <c r="AV19" s="2695">
        <f>+AV18/AJ18</f>
        <v>0.34128322145048573</v>
      </c>
      <c r="AW19" s="1466"/>
      <c r="AX19" s="1019"/>
      <c r="AY19" s="1019"/>
      <c r="AZ19" s="1019"/>
      <c r="BA19" s="1019"/>
      <c r="BB19" s="1019"/>
      <c r="BC19" s="1019"/>
      <c r="BD19" s="1019"/>
      <c r="BE19" s="1019"/>
      <c r="BF19" s="1019"/>
      <c r="BG19" s="1606"/>
      <c r="BH19" s="1606"/>
      <c r="BI19" s="1606"/>
      <c r="BJ19" s="1606"/>
      <c r="BK19" s="1606"/>
      <c r="BL19" s="1606"/>
      <c r="BM19" s="1606"/>
      <c r="BN19" s="1606"/>
      <c r="BO19" s="1606"/>
      <c r="BP19" s="1606"/>
      <c r="BQ19" s="1606"/>
      <c r="BR19" s="1606"/>
      <c r="BS19" s="1606"/>
      <c r="BT19" s="1606"/>
      <c r="BU19" s="1606"/>
      <c r="BV19" s="1606"/>
      <c r="BW19" s="1606"/>
      <c r="BX19" s="1606"/>
      <c r="BY19" s="1606"/>
      <c r="BZ19" s="1606"/>
      <c r="CA19" s="1606"/>
      <c r="CB19" s="1606"/>
      <c r="CC19" s="1606"/>
      <c r="CD19" s="1606"/>
      <c r="CE19" s="1606"/>
      <c r="CF19" s="1606"/>
      <c r="CG19" s="1606"/>
      <c r="CH19" s="1606"/>
      <c r="CI19" s="1606"/>
      <c r="CJ19" s="1606"/>
      <c r="CK19" s="1606"/>
      <c r="CL19" s="1606"/>
      <c r="CM19" s="1606"/>
      <c r="CN19" s="1606"/>
      <c r="CO19" s="1606"/>
      <c r="CP19" s="1606"/>
      <c r="CQ19" s="1606"/>
      <c r="CR19" s="1606"/>
      <c r="CS19" s="1606"/>
      <c r="CT19" s="1606"/>
      <c r="CU19" s="1606"/>
      <c r="CV19" s="1606"/>
      <c r="CW19" s="1606"/>
      <c r="CX19" s="1606"/>
      <c r="CY19" s="1606"/>
      <c r="CZ19" s="1606"/>
      <c r="DA19" s="1606"/>
      <c r="DB19" s="1606"/>
      <c r="DC19" s="1606"/>
      <c r="DD19" s="1606"/>
      <c r="DE19" s="1606"/>
      <c r="DF19" s="1606"/>
      <c r="DG19" s="1606"/>
      <c r="DH19" s="1606"/>
      <c r="DI19" s="1606"/>
      <c r="DJ19" s="1606"/>
      <c r="DK19" s="1606"/>
      <c r="DL19" s="1606"/>
      <c r="DM19" s="1606"/>
      <c r="DN19" s="1606"/>
      <c r="DO19" s="1606"/>
      <c r="DP19" s="1606"/>
      <c r="DQ19" s="1606"/>
      <c r="DR19" s="1606"/>
      <c r="DS19" s="1606"/>
      <c r="DT19" s="1606"/>
      <c r="DU19" s="1606"/>
      <c r="DV19" s="1606"/>
      <c r="DW19" s="1606"/>
      <c r="DX19" s="1606"/>
      <c r="DY19" s="1606"/>
      <c r="DZ19" s="1606"/>
    </row>
    <row r="20" spans="1:130" s="1466" customFormat="1">
      <c r="A20" s="2111" t="s">
        <v>1992</v>
      </c>
      <c r="B20" s="1492"/>
      <c r="C20" s="1492"/>
      <c r="D20" s="1492"/>
      <c r="E20" s="1623"/>
      <c r="F20" s="1551"/>
      <c r="G20" s="1551"/>
      <c r="H20" s="1551"/>
      <c r="I20" s="1554"/>
      <c r="J20" s="1551"/>
      <c r="K20" s="1551"/>
      <c r="L20" s="1551"/>
      <c r="M20" s="1623">
        <v>7170031</v>
      </c>
      <c r="N20" s="1492">
        <v>6778304</v>
      </c>
      <c r="O20" s="1492">
        <v>7357808</v>
      </c>
      <c r="P20" s="1492">
        <v>7091845</v>
      </c>
      <c r="Q20" s="1623">
        <v>8029759</v>
      </c>
      <c r="R20" s="1492">
        <v>7635602</v>
      </c>
      <c r="S20" s="1492">
        <v>7828650</v>
      </c>
      <c r="T20" s="1492">
        <v>7396880</v>
      </c>
      <c r="U20" s="1623">
        <v>8503427</v>
      </c>
      <c r="V20" s="1492">
        <v>7844578</v>
      </c>
      <c r="W20" s="1492">
        <v>7750138</v>
      </c>
      <c r="X20" s="1492">
        <v>7603221</v>
      </c>
      <c r="Y20" s="1623">
        <v>8464724</v>
      </c>
      <c r="Z20" s="1466">
        <v>6044021</v>
      </c>
    </row>
    <row r="21" spans="1:130" s="1605" customFormat="1" ht="12">
      <c r="A21" s="2110" t="s">
        <v>1218</v>
      </c>
      <c r="B21" s="1603"/>
      <c r="C21" s="1603"/>
      <c r="D21" s="1603"/>
      <c r="E21" s="1604"/>
      <c r="F21" s="1019"/>
      <c r="G21" s="1019"/>
      <c r="H21" s="1019"/>
      <c r="I21" s="993"/>
      <c r="J21" s="1019"/>
      <c r="K21" s="1019"/>
      <c r="L21" s="1019"/>
      <c r="M21" s="1604"/>
      <c r="N21" s="1603"/>
      <c r="O21" s="1603"/>
      <c r="P21" s="1603"/>
      <c r="Q21" s="478">
        <f t="shared" ref="Q21:Z21" si="4">Q20/M20-1</f>
        <v>0.11990575772963874</v>
      </c>
      <c r="R21" s="1474">
        <f t="shared" si="4"/>
        <v>0.1264767705904013</v>
      </c>
      <c r="S21" s="1474">
        <f t="shared" si="4"/>
        <v>6.3992156359611529E-2</v>
      </c>
      <c r="T21" s="1474">
        <f t="shared" si="4"/>
        <v>4.3012079367216849E-2</v>
      </c>
      <c r="U21" s="478">
        <f t="shared" si="4"/>
        <v>5.898906804052273E-2</v>
      </c>
      <c r="V21" s="478">
        <f t="shared" si="4"/>
        <v>2.7368634457374919E-2</v>
      </c>
      <c r="W21" s="1474">
        <f t="shared" si="4"/>
        <v>-1.0028804455429752E-2</v>
      </c>
      <c r="X21" s="1474">
        <f t="shared" si="4"/>
        <v>2.7895680340900508E-2</v>
      </c>
      <c r="Y21" s="478">
        <f t="shared" si="4"/>
        <v>-4.5514590764406115E-3</v>
      </c>
      <c r="Z21" s="1474">
        <f t="shared" si="4"/>
        <v>-0.22952885419712821</v>
      </c>
      <c r="AA21" s="1606"/>
      <c r="AB21" s="1606"/>
      <c r="AC21" s="1606"/>
      <c r="AD21" s="1606"/>
      <c r="AE21" s="1606"/>
      <c r="AF21" s="1606"/>
      <c r="AG21" s="1606"/>
      <c r="AH21" s="1606"/>
      <c r="AI21" s="1606"/>
      <c r="AJ21" s="1606"/>
      <c r="AK21" s="1606"/>
      <c r="AL21" s="1606"/>
      <c r="AM21" s="1606"/>
      <c r="AN21" s="1606"/>
      <c r="AO21" s="1606"/>
      <c r="AP21" s="1606"/>
      <c r="AQ21" s="1606"/>
      <c r="AR21" s="1606"/>
      <c r="AS21" s="1606"/>
      <c r="AT21" s="1606"/>
      <c r="AU21" s="1606"/>
      <c r="AV21" s="1606"/>
      <c r="AW21" s="1606"/>
      <c r="AX21" s="1606"/>
      <c r="AY21" s="1606"/>
      <c r="AZ21" s="1606"/>
      <c r="BA21" s="1606"/>
      <c r="BB21" s="1606"/>
      <c r="BC21" s="1606"/>
      <c r="BD21" s="1606"/>
      <c r="BE21" s="1606"/>
      <c r="BF21" s="1606"/>
      <c r="BG21" s="1606"/>
      <c r="BH21" s="1606"/>
      <c r="BI21" s="1606"/>
      <c r="BJ21" s="1606"/>
      <c r="BK21" s="1606"/>
      <c r="BL21" s="1606"/>
      <c r="BM21" s="1606"/>
      <c r="BN21" s="1606"/>
      <c r="BO21" s="1606"/>
      <c r="BP21" s="1606"/>
      <c r="BQ21" s="1606"/>
      <c r="BR21" s="1606"/>
      <c r="BS21" s="1606"/>
      <c r="BT21" s="1606"/>
      <c r="BU21" s="1606"/>
      <c r="BV21" s="1606"/>
      <c r="BW21" s="1606"/>
      <c r="BX21" s="1606"/>
      <c r="BY21" s="1606"/>
      <c r="BZ21" s="1606"/>
      <c r="CA21" s="1606"/>
      <c r="CB21" s="1606"/>
      <c r="CC21" s="1606"/>
      <c r="CD21" s="1606"/>
      <c r="CE21" s="1606"/>
      <c r="CF21" s="1606"/>
      <c r="CG21" s="1606"/>
      <c r="CH21" s="1606"/>
      <c r="CI21" s="1606"/>
      <c r="CJ21" s="1606"/>
      <c r="CK21" s="1606"/>
      <c r="CL21" s="1606"/>
      <c r="CM21" s="1606"/>
      <c r="CN21" s="1606"/>
      <c r="CO21" s="1606"/>
      <c r="CP21" s="1606"/>
      <c r="CQ21" s="1606"/>
      <c r="CR21" s="1606"/>
      <c r="CS21" s="1606"/>
      <c r="CT21" s="1606"/>
      <c r="CU21" s="1606"/>
      <c r="CV21" s="1606"/>
      <c r="CW21" s="1606"/>
      <c r="CX21" s="1606"/>
      <c r="CY21" s="1606"/>
      <c r="CZ21" s="1606"/>
      <c r="DA21" s="1606"/>
      <c r="DB21" s="1606"/>
      <c r="DC21" s="1606"/>
      <c r="DD21" s="1606"/>
      <c r="DE21" s="1606"/>
      <c r="DF21" s="1606"/>
      <c r="DG21" s="1606"/>
      <c r="DH21" s="1606"/>
      <c r="DI21" s="1606"/>
      <c r="DJ21" s="1606"/>
      <c r="DK21" s="1606"/>
      <c r="DL21" s="1606"/>
      <c r="DM21" s="1606"/>
      <c r="DN21" s="1606"/>
      <c r="DO21" s="1606"/>
      <c r="DP21" s="1606"/>
      <c r="DQ21" s="1606"/>
      <c r="DR21" s="1606"/>
      <c r="DS21" s="1606"/>
      <c r="DT21" s="1606"/>
      <c r="DU21" s="1606"/>
      <c r="DV21" s="1606"/>
      <c r="DW21" s="1606"/>
      <c r="DX21" s="1606"/>
      <c r="DY21" s="1606"/>
      <c r="DZ21" s="1606"/>
    </row>
    <row r="22" spans="1:130" s="1466" customFormat="1">
      <c r="A22" s="2111" t="s">
        <v>1991</v>
      </c>
      <c r="B22" s="1492"/>
      <c r="C22" s="1492"/>
      <c r="D22" s="1492"/>
      <c r="E22" s="1623"/>
      <c r="F22" s="1551"/>
      <c r="G22" s="1551"/>
      <c r="H22" s="1551"/>
      <c r="I22" s="1554"/>
      <c r="J22" s="1551"/>
      <c r="K22" s="1551"/>
      <c r="L22" s="1551"/>
      <c r="M22" s="1623">
        <v>6672921</v>
      </c>
      <c r="N22" s="1492">
        <v>7424671</v>
      </c>
      <c r="O22" s="1492">
        <v>7252972</v>
      </c>
      <c r="P22" s="1492">
        <v>7507393</v>
      </c>
      <c r="Q22" s="1623">
        <v>7498821</v>
      </c>
      <c r="R22" s="1492">
        <v>8209584</v>
      </c>
      <c r="S22" s="1492">
        <v>7901884</v>
      </c>
      <c r="T22" s="1492">
        <v>7901701</v>
      </c>
      <c r="U22" s="1623">
        <v>7833113</v>
      </c>
      <c r="V22" s="1492">
        <v>8548440</v>
      </c>
      <c r="W22" s="1492">
        <v>7809958</v>
      </c>
      <c r="X22" s="1492">
        <v>8133436</v>
      </c>
      <c r="Y22" s="1623">
        <v>8023714</v>
      </c>
      <c r="Z22" s="1466">
        <v>6523668</v>
      </c>
    </row>
    <row r="23" spans="1:130" s="1605" customFormat="1" ht="12">
      <c r="A23" s="2110" t="s">
        <v>1885</v>
      </c>
      <c r="B23" s="1603"/>
      <c r="C23" s="1603"/>
      <c r="D23" s="1603"/>
      <c r="E23" s="1604"/>
      <c r="F23" s="1019"/>
      <c r="G23" s="1019"/>
      <c r="H23" s="1019"/>
      <c r="I23" s="993"/>
      <c r="J23" s="1019"/>
      <c r="K23" s="1019"/>
      <c r="L23" s="1019"/>
      <c r="M23" s="1604"/>
      <c r="N23" s="1603"/>
      <c r="O23" s="1603"/>
      <c r="P23" s="1603"/>
      <c r="Q23" s="478">
        <f t="shared" ref="Q23:Z23" si="5">Q22/M22-1</f>
        <v>0.1237688862193933</v>
      </c>
      <c r="R23" s="1474">
        <f t="shared" si="5"/>
        <v>0.10571687284190778</v>
      </c>
      <c r="S23" s="1474">
        <f t="shared" si="5"/>
        <v>8.9468427563211383E-2</v>
      </c>
      <c r="T23" s="1474">
        <f t="shared" si="5"/>
        <v>5.2522626696111407E-2</v>
      </c>
      <c r="U23" s="478">
        <f t="shared" si="5"/>
        <v>4.4579274528622648E-2</v>
      </c>
      <c r="V23" s="478">
        <f t="shared" si="5"/>
        <v>4.1275660252699797E-2</v>
      </c>
      <c r="W23" s="1474">
        <f t="shared" si="5"/>
        <v>-1.1633428179912531E-2</v>
      </c>
      <c r="X23" s="1474">
        <f t="shared" si="5"/>
        <v>2.9327229668649757E-2</v>
      </c>
      <c r="Y23" s="478">
        <f t="shared" si="5"/>
        <v>2.4332726975852426E-2</v>
      </c>
      <c r="Z23" s="1474">
        <f t="shared" si="5"/>
        <v>-0.23685865491247526</v>
      </c>
      <c r="AA23" s="1606"/>
      <c r="AB23" s="1606"/>
      <c r="AC23" s="1606"/>
      <c r="AD23" s="1606"/>
      <c r="AE23" s="1606"/>
      <c r="AF23" s="1606"/>
      <c r="AG23" s="1606"/>
      <c r="AH23" s="1606"/>
      <c r="AI23" s="1606"/>
      <c r="AJ23" s="1606"/>
      <c r="AK23" s="1606"/>
      <c r="AL23" s="1606"/>
      <c r="AM23" s="1606"/>
      <c r="AN23" s="1606"/>
      <c r="AO23" s="1606"/>
      <c r="AP23" s="1606"/>
      <c r="AQ23" s="1606"/>
      <c r="AR23" s="1606"/>
      <c r="AS23" s="1606"/>
      <c r="AT23" s="1606"/>
      <c r="AU23" s="1606"/>
      <c r="AV23" s="1606"/>
      <c r="AW23" s="1606"/>
      <c r="AX23" s="1606"/>
      <c r="AY23" s="1606"/>
      <c r="AZ23" s="1606"/>
      <c r="BA23" s="1606"/>
      <c r="BB23" s="1606"/>
      <c r="BC23" s="1606"/>
      <c r="BD23" s="1606"/>
      <c r="BE23" s="1606"/>
      <c r="BF23" s="1606"/>
      <c r="BG23" s="1606"/>
      <c r="BH23" s="1606"/>
      <c r="BI23" s="1606"/>
      <c r="BJ23" s="1606"/>
      <c r="BK23" s="1606"/>
      <c r="BL23" s="1606"/>
      <c r="BM23" s="1606"/>
      <c r="BN23" s="1606"/>
      <c r="BO23" s="1606"/>
      <c r="BP23" s="1606"/>
      <c r="BQ23" s="1606"/>
      <c r="BR23" s="1606"/>
      <c r="BS23" s="1606"/>
      <c r="BT23" s="1606"/>
      <c r="BU23" s="1606"/>
      <c r="BV23" s="1606"/>
      <c r="BW23" s="1606"/>
      <c r="BX23" s="1606"/>
      <c r="BY23" s="1606"/>
      <c r="BZ23" s="1606"/>
      <c r="CA23" s="1606"/>
      <c r="CB23" s="1606"/>
      <c r="CC23" s="1606"/>
      <c r="CD23" s="1606"/>
      <c r="CE23" s="1606"/>
      <c r="CF23" s="1606"/>
      <c r="CG23" s="1606"/>
      <c r="CH23" s="1606"/>
      <c r="CI23" s="1606"/>
      <c r="CJ23" s="1606"/>
      <c r="CK23" s="1606"/>
      <c r="CL23" s="1606"/>
      <c r="CM23" s="1606"/>
      <c r="CN23" s="1606"/>
      <c r="CO23" s="1606"/>
      <c r="CP23" s="1606"/>
      <c r="CQ23" s="1606"/>
      <c r="CR23" s="1606"/>
      <c r="CS23" s="1606"/>
      <c r="CT23" s="1606"/>
      <c r="CU23" s="1606"/>
      <c r="CV23" s="1606"/>
      <c r="CW23" s="1606"/>
      <c r="CX23" s="1606"/>
      <c r="CY23" s="1606"/>
      <c r="CZ23" s="1606"/>
      <c r="DA23" s="1606"/>
      <c r="DB23" s="1606"/>
      <c r="DC23" s="1606"/>
      <c r="DD23" s="1606"/>
      <c r="DE23" s="1606"/>
      <c r="DF23" s="1606"/>
      <c r="DG23" s="1606"/>
      <c r="DH23" s="1606"/>
      <c r="DI23" s="1606"/>
      <c r="DJ23" s="1606"/>
      <c r="DK23" s="1606"/>
      <c r="DL23" s="1606"/>
      <c r="DM23" s="1606"/>
      <c r="DN23" s="1606"/>
      <c r="DO23" s="1606"/>
      <c r="DP23" s="1606"/>
      <c r="DQ23" s="1606"/>
      <c r="DR23" s="1606"/>
      <c r="DS23" s="1606"/>
      <c r="DT23" s="1606"/>
      <c r="DU23" s="1606"/>
      <c r="DV23" s="1606"/>
      <c r="DW23" s="1606"/>
      <c r="DX23" s="1606"/>
      <c r="DY23" s="1606"/>
      <c r="DZ23" s="1606"/>
    </row>
    <row r="24" spans="1:130" s="1051" customFormat="1">
      <c r="A24" s="2111" t="s">
        <v>1431</v>
      </c>
      <c r="B24" s="820"/>
      <c r="C24" s="820"/>
      <c r="D24" s="820"/>
      <c r="E24" s="821"/>
      <c r="F24" s="59"/>
      <c r="G24" s="59"/>
      <c r="H24" s="59"/>
      <c r="I24" s="517"/>
      <c r="J24" s="59"/>
      <c r="K24" s="59"/>
      <c r="L24" s="59"/>
      <c r="M24" s="821">
        <f>M20+M22</f>
        <v>13842952</v>
      </c>
      <c r="N24" s="820">
        <f t="shared" ref="N24:Z24" si="6">N20+N22</f>
        <v>14202975</v>
      </c>
      <c r="O24" s="820">
        <f t="shared" si="6"/>
        <v>14610780</v>
      </c>
      <c r="P24" s="820">
        <f t="shared" si="6"/>
        <v>14599238</v>
      </c>
      <c r="Q24" s="821">
        <f t="shared" si="6"/>
        <v>15528580</v>
      </c>
      <c r="R24" s="820">
        <f t="shared" si="6"/>
        <v>15845186</v>
      </c>
      <c r="S24" s="820">
        <f t="shared" si="6"/>
        <v>15730534</v>
      </c>
      <c r="T24" s="820">
        <f t="shared" si="6"/>
        <v>15298581</v>
      </c>
      <c r="U24" s="821">
        <f t="shared" si="6"/>
        <v>16336540</v>
      </c>
      <c r="V24" s="820">
        <f t="shared" si="6"/>
        <v>16393018</v>
      </c>
      <c r="W24" s="820">
        <f t="shared" si="6"/>
        <v>15560096</v>
      </c>
      <c r="X24" s="820">
        <f t="shared" si="6"/>
        <v>15736657</v>
      </c>
      <c r="Y24" s="821">
        <f t="shared" si="6"/>
        <v>16488438</v>
      </c>
      <c r="Z24" s="820">
        <f t="shared" si="6"/>
        <v>12567689</v>
      </c>
      <c r="AA24" s="376"/>
      <c r="AB24" s="376"/>
      <c r="AC24" s="376"/>
      <c r="AD24" s="376"/>
      <c r="AE24" s="376"/>
      <c r="AF24" s="376"/>
      <c r="AG24" s="376"/>
      <c r="AH24" s="376"/>
      <c r="AI24" s="376"/>
      <c r="AJ24" s="376"/>
      <c r="AK24" s="376"/>
      <c r="AL24" s="376"/>
      <c r="AM24" s="376"/>
      <c r="AN24" s="376"/>
      <c r="AO24" s="376"/>
      <c r="AP24" s="376"/>
      <c r="AQ24" s="376"/>
      <c r="AR24" s="376"/>
      <c r="AS24" s="376"/>
      <c r="AT24" s="376"/>
      <c r="AU24" s="376"/>
      <c r="AV24" s="376"/>
      <c r="AW24" s="376"/>
      <c r="AX24" s="376"/>
      <c r="AY24" s="376"/>
      <c r="AZ24" s="376"/>
      <c r="BA24" s="376"/>
      <c r="BB24" s="376"/>
      <c r="BC24" s="376"/>
      <c r="BD24" s="376"/>
      <c r="BE24" s="376"/>
      <c r="BF24" s="376"/>
      <c r="BG24" s="376"/>
      <c r="BH24" s="376"/>
      <c r="BI24" s="376"/>
      <c r="BJ24" s="376"/>
      <c r="BK24" s="376"/>
      <c r="BL24" s="376"/>
      <c r="BM24" s="376"/>
      <c r="BN24" s="376"/>
      <c r="BO24" s="376"/>
      <c r="BP24" s="376"/>
      <c r="BQ24" s="376"/>
      <c r="BR24" s="376"/>
      <c r="BS24" s="376"/>
      <c r="BT24" s="376"/>
      <c r="BU24" s="376"/>
      <c r="BV24" s="376"/>
      <c r="BW24" s="376"/>
      <c r="BX24" s="376"/>
      <c r="BY24" s="376"/>
      <c r="BZ24" s="376"/>
      <c r="CA24" s="376"/>
      <c r="CB24" s="376"/>
      <c r="CC24" s="376"/>
      <c r="CD24" s="376"/>
      <c r="CE24" s="376"/>
      <c r="CF24" s="376"/>
      <c r="CG24" s="376"/>
      <c r="CH24" s="376"/>
      <c r="CI24" s="376"/>
      <c r="CJ24" s="376"/>
      <c r="CK24" s="376"/>
      <c r="CL24" s="376"/>
      <c r="CM24" s="376"/>
      <c r="CN24" s="376"/>
      <c r="CO24" s="376"/>
      <c r="CP24" s="376"/>
      <c r="CQ24" s="376"/>
      <c r="CR24" s="376"/>
      <c r="CS24" s="376"/>
      <c r="CT24" s="376"/>
      <c r="CU24" s="376"/>
      <c r="CV24" s="376"/>
      <c r="CW24" s="376"/>
      <c r="CX24" s="376"/>
      <c r="CY24" s="376"/>
      <c r="CZ24" s="376"/>
      <c r="DA24" s="376"/>
      <c r="DB24" s="376"/>
      <c r="DC24" s="376"/>
      <c r="DD24" s="376"/>
      <c r="DE24" s="376"/>
      <c r="DF24" s="376"/>
      <c r="DG24" s="376"/>
      <c r="DH24" s="376"/>
      <c r="DI24" s="376"/>
      <c r="DJ24" s="376"/>
      <c r="DK24" s="376"/>
      <c r="DL24" s="376"/>
      <c r="DM24" s="376"/>
      <c r="DN24" s="376"/>
      <c r="DO24" s="376"/>
      <c r="DP24" s="376"/>
      <c r="DQ24" s="376"/>
      <c r="DR24" s="376"/>
      <c r="DS24" s="376"/>
      <c r="DT24" s="376"/>
      <c r="DU24" s="376"/>
      <c r="DV24" s="376"/>
      <c r="DW24" s="376"/>
      <c r="DX24" s="376"/>
      <c r="DY24" s="376"/>
      <c r="DZ24" s="376"/>
    </row>
    <row r="25" spans="1:130" s="1051" customFormat="1" ht="12" thickBot="1">
      <c r="A25" s="2111"/>
      <c r="B25" s="820"/>
      <c r="C25" s="820"/>
      <c r="D25" s="820"/>
      <c r="E25" s="821"/>
      <c r="F25" s="59"/>
      <c r="G25" s="59"/>
      <c r="H25" s="59"/>
      <c r="I25" s="517"/>
      <c r="J25" s="59"/>
      <c r="K25" s="59"/>
      <c r="L25" s="59"/>
      <c r="M25" s="821"/>
      <c r="N25" s="820"/>
      <c r="O25" s="820"/>
      <c r="P25" s="820"/>
      <c r="Q25" s="821"/>
      <c r="R25" s="820"/>
      <c r="S25" s="820"/>
      <c r="T25" s="820"/>
      <c r="U25" s="821"/>
      <c r="V25" s="820"/>
      <c r="Y25" s="2642"/>
      <c r="Z25" s="376"/>
      <c r="AA25" s="376"/>
      <c r="AB25" s="376"/>
      <c r="AC25" s="376"/>
      <c r="AD25" s="376">
        <v>1000000</v>
      </c>
      <c r="AE25" s="376"/>
      <c r="AF25" s="376"/>
      <c r="AG25" s="376"/>
      <c r="AH25" s="376"/>
      <c r="AI25" s="376"/>
      <c r="AJ25" s="376"/>
      <c r="AK25" s="376"/>
      <c r="AL25" s="376"/>
      <c r="AM25" s="376"/>
      <c r="AN25" s="376"/>
      <c r="AO25" s="376"/>
      <c r="AP25" s="376"/>
      <c r="AQ25" s="376"/>
      <c r="AR25" s="376"/>
      <c r="AS25" s="376"/>
      <c r="AT25" s="376"/>
      <c r="AU25" s="376"/>
      <c r="AV25" s="376"/>
      <c r="AW25" s="376"/>
      <c r="AX25" s="376"/>
      <c r="AY25" s="376"/>
      <c r="AZ25" s="376"/>
      <c r="BA25" s="376"/>
      <c r="BB25" s="376"/>
      <c r="BC25" s="376"/>
      <c r="BD25" s="376"/>
      <c r="BE25" s="376"/>
      <c r="BF25" s="376"/>
      <c r="BG25" s="376"/>
      <c r="BH25" s="376"/>
      <c r="BI25" s="376"/>
      <c r="BJ25" s="376"/>
      <c r="BK25" s="376"/>
      <c r="BL25" s="376"/>
      <c r="BM25" s="376"/>
      <c r="BN25" s="376"/>
      <c r="BO25" s="376"/>
      <c r="BP25" s="376"/>
      <c r="BQ25" s="376"/>
      <c r="BR25" s="376"/>
      <c r="BS25" s="376"/>
      <c r="BT25" s="376"/>
      <c r="BU25" s="376"/>
      <c r="BV25" s="376"/>
      <c r="BW25" s="376"/>
      <c r="BX25" s="376"/>
      <c r="BY25" s="376"/>
      <c r="BZ25" s="376"/>
      <c r="CA25" s="376"/>
      <c r="CB25" s="376"/>
      <c r="CC25" s="376"/>
      <c r="CD25" s="376"/>
      <c r="CE25" s="376"/>
      <c r="CF25" s="376"/>
      <c r="CG25" s="376"/>
      <c r="CH25" s="376"/>
      <c r="CI25" s="376"/>
      <c r="CJ25" s="376"/>
      <c r="CK25" s="376"/>
      <c r="CL25" s="376"/>
      <c r="CM25" s="376"/>
      <c r="CN25" s="376"/>
      <c r="CO25" s="376"/>
      <c r="CP25" s="376"/>
      <c r="CQ25" s="376"/>
      <c r="CR25" s="376"/>
      <c r="CS25" s="376"/>
      <c r="CT25" s="376"/>
      <c r="CU25" s="376"/>
      <c r="CV25" s="376"/>
      <c r="CW25" s="376"/>
      <c r="CX25" s="376"/>
      <c r="CY25" s="376"/>
      <c r="CZ25" s="376"/>
      <c r="DA25" s="376"/>
      <c r="DB25" s="376"/>
      <c r="DC25" s="376"/>
      <c r="DD25" s="376"/>
      <c r="DE25" s="376"/>
      <c r="DF25" s="376"/>
      <c r="DG25" s="376"/>
      <c r="DH25" s="376"/>
      <c r="DI25" s="376"/>
      <c r="DJ25" s="376"/>
      <c r="DK25" s="376"/>
      <c r="DL25" s="376"/>
      <c r="DM25" s="376"/>
      <c r="DN25" s="376"/>
      <c r="DO25" s="376"/>
      <c r="DP25" s="376"/>
      <c r="DQ25" s="376"/>
      <c r="DR25" s="376"/>
      <c r="DS25" s="376"/>
      <c r="DT25" s="376"/>
      <c r="DU25" s="376"/>
      <c r="DV25" s="376"/>
      <c r="DW25" s="376"/>
      <c r="DX25" s="376"/>
      <c r="DY25" s="376"/>
      <c r="DZ25" s="376"/>
    </row>
    <row r="26" spans="1:130" s="1466" customFormat="1">
      <c r="A26" s="376" t="s">
        <v>1316</v>
      </c>
      <c r="B26" s="1492"/>
      <c r="C26" s="1492"/>
      <c r="D26" s="1492"/>
      <c r="E26" s="1623"/>
      <c r="F26" s="1492">
        <v>12088595</v>
      </c>
      <c r="G26" s="1492">
        <v>12153343</v>
      </c>
      <c r="H26" s="1492">
        <v>11775585</v>
      </c>
      <c r="I26" s="1623">
        <v>12623073</v>
      </c>
      <c r="J26" s="1492">
        <v>13214818</v>
      </c>
      <c r="K26" s="1492">
        <v>13296993</v>
      </c>
      <c r="L26" s="1492">
        <v>13318377</v>
      </c>
      <c r="M26" s="1623">
        <v>13842952</v>
      </c>
      <c r="N26" s="1492">
        <v>14202975</v>
      </c>
      <c r="O26" s="1492">
        <f>7351315+7245837</f>
        <v>14597152</v>
      </c>
      <c r="P26" s="1492">
        <f>7101550+7513721</f>
        <v>14615271</v>
      </c>
      <c r="Q26" s="1623">
        <f>8007419+7481372</f>
        <v>15488791</v>
      </c>
      <c r="R26" s="1492">
        <f>7615097+8188071</f>
        <v>15803168</v>
      </c>
      <c r="S26" s="1466">
        <f>7828650+7901884</f>
        <v>15730534</v>
      </c>
      <c r="T26" s="1466">
        <v>15298581</v>
      </c>
      <c r="U26" s="1478">
        <v>16336540</v>
      </c>
      <c r="V26" s="1466">
        <v>16393018</v>
      </c>
      <c r="W26" s="1466">
        <v>15560096</v>
      </c>
      <c r="X26" s="1466">
        <v>15736657</v>
      </c>
      <c r="Y26" s="1478">
        <v>16488438</v>
      </c>
      <c r="Z26" s="1466">
        <v>12567689</v>
      </c>
      <c r="AD26" s="2696" t="s">
        <v>2618</v>
      </c>
      <c r="AE26" s="2697" t="s">
        <v>2069</v>
      </c>
      <c r="AF26" s="2697" t="s">
        <v>2098</v>
      </c>
      <c r="AG26" s="2697" t="s">
        <v>2596</v>
      </c>
      <c r="AH26" s="2697" t="s">
        <v>2610</v>
      </c>
      <c r="AI26" s="2698" t="s">
        <v>2611</v>
      </c>
    </row>
    <row r="27" spans="1:130" s="1606" customFormat="1" ht="12">
      <c r="A27" s="2110" t="s">
        <v>1885</v>
      </c>
      <c r="B27" s="1603"/>
      <c r="C27" s="1603"/>
      <c r="D27" s="1603"/>
      <c r="E27" s="1604"/>
      <c r="F27" s="1019"/>
      <c r="G27" s="1019"/>
      <c r="H27" s="1019"/>
      <c r="I27" s="993"/>
      <c r="J27" s="1019">
        <f>J26/F26-1</f>
        <v>9.3164093924893665E-2</v>
      </c>
      <c r="K27" s="1019">
        <f>K26/G26-1</f>
        <v>9.4101680500583207E-2</v>
      </c>
      <c r="L27" s="1019">
        <f>L26/H26-1</f>
        <v>0.13101616607582556</v>
      </c>
      <c r="M27" s="993">
        <f>M26/I26-1</f>
        <v>9.663882954649794E-2</v>
      </c>
      <c r="N27" s="1019">
        <f t="shared" ref="N27:T27" si="7">N26/J26-1</f>
        <v>7.4776436572944194E-2</v>
      </c>
      <c r="O27" s="1019">
        <f t="shared" si="7"/>
        <v>9.7778422535079956E-2</v>
      </c>
      <c r="P27" s="1019">
        <f t="shared" si="7"/>
        <v>9.7376279407017874E-2</v>
      </c>
      <c r="Q27" s="993">
        <f t="shared" si="7"/>
        <v>0.11889364349453779</v>
      </c>
      <c r="R27" s="1019">
        <f t="shared" si="7"/>
        <v>0.11266604355777576</v>
      </c>
      <c r="S27" s="1019">
        <f t="shared" si="7"/>
        <v>7.7644050017428023E-2</v>
      </c>
      <c r="T27" s="1019">
        <f t="shared" si="7"/>
        <v>4.6753152917930807E-2</v>
      </c>
      <c r="U27" s="993">
        <f t="shared" ref="U27:Z27" si="8">U26/Q26-1</f>
        <v>5.4733064704662882E-2</v>
      </c>
      <c r="V27" s="993">
        <f t="shared" si="8"/>
        <v>3.7324794623457835E-2</v>
      </c>
      <c r="W27" s="1019">
        <f t="shared" si="8"/>
        <v>-1.0834851505994614E-2</v>
      </c>
      <c r="X27" s="1019">
        <f t="shared" si="8"/>
        <v>2.8635074063404931E-2</v>
      </c>
      <c r="Y27" s="993">
        <f t="shared" si="8"/>
        <v>9.2980520967107516E-3</v>
      </c>
      <c r="Z27" s="1019">
        <f t="shared" si="8"/>
        <v>-0.2333511132605357</v>
      </c>
      <c r="AD27" s="2699" t="s">
        <v>2619</v>
      </c>
      <c r="AE27" s="376">
        <f>(+X18)/1000000</f>
        <v>35.231000000000002</v>
      </c>
      <c r="AF27" s="376">
        <f>(+Y18)/1000000</f>
        <v>38.188546000000002</v>
      </c>
      <c r="AG27" s="376">
        <f>(+Z18)/1000000</f>
        <v>32.911999999999999</v>
      </c>
      <c r="AH27" s="376">
        <f>(+AA18)/1000000</f>
        <v>2.266</v>
      </c>
      <c r="AI27" s="2700">
        <f>(+AB18)/1000000</f>
        <v>8.8819999999999997</v>
      </c>
    </row>
    <row r="28" spans="1:130" s="1051" customFormat="1">
      <c r="A28" s="2111"/>
      <c r="B28" s="820"/>
      <c r="C28" s="820"/>
      <c r="D28" s="820"/>
      <c r="E28" s="821"/>
      <c r="F28" s="59"/>
      <c r="G28" s="59"/>
      <c r="H28" s="59"/>
      <c r="I28" s="517"/>
      <c r="J28" s="59"/>
      <c r="K28" s="59"/>
      <c r="L28" s="59"/>
      <c r="M28" s="1046">
        <f t="shared" ref="M28:Z28" si="9">M18+M22</f>
        <v>33863452</v>
      </c>
      <c r="N28" s="1033">
        <f t="shared" si="9"/>
        <v>34704029</v>
      </c>
      <c r="O28" s="1033">
        <f t="shared" si="9"/>
        <v>36129339</v>
      </c>
      <c r="P28" s="1033">
        <f t="shared" si="9"/>
        <v>36346521</v>
      </c>
      <c r="Q28" s="1046">
        <f t="shared" si="9"/>
        <v>39681800</v>
      </c>
      <c r="R28" s="1033">
        <f t="shared" si="9"/>
        <v>41999901</v>
      </c>
      <c r="S28" s="1033">
        <f t="shared" si="9"/>
        <v>42595704</v>
      </c>
      <c r="T28" s="1033">
        <f t="shared" si="9"/>
        <v>42349529</v>
      </c>
      <c r="U28" s="1046">
        <f t="shared" si="9"/>
        <v>44021192</v>
      </c>
      <c r="V28" s="1033">
        <f t="shared" si="9"/>
        <v>44001894</v>
      </c>
      <c r="W28" s="1033">
        <f t="shared" si="9"/>
        <v>43036958</v>
      </c>
      <c r="X28" s="1033">
        <f t="shared" si="9"/>
        <v>43364436</v>
      </c>
      <c r="Y28" s="1046">
        <f t="shared" si="9"/>
        <v>46212260</v>
      </c>
      <c r="Z28" s="1033">
        <f t="shared" si="9"/>
        <v>39435668</v>
      </c>
      <c r="AA28" s="376"/>
      <c r="AB28" s="376"/>
      <c r="AC28" s="376"/>
      <c r="AD28" s="2699" t="s">
        <v>2620</v>
      </c>
      <c r="AE28" s="376">
        <f>(+X40)/1000000</f>
        <v>9.1600599999999996</v>
      </c>
      <c r="AF28" s="376">
        <f>(+Y40)/1000000</f>
        <v>10.310907419999999</v>
      </c>
      <c r="AG28" s="376">
        <f>(+Z40)/1000000</f>
        <v>9.0178879999999992</v>
      </c>
      <c r="AH28" s="376"/>
      <c r="AI28" s="2700">
        <f>(+AB40)/1000000</f>
        <v>2.5307443365695792</v>
      </c>
      <c r="AJ28" s="376"/>
      <c r="AK28" s="376"/>
      <c r="AL28" s="376"/>
      <c r="AM28" s="376"/>
      <c r="AN28" s="376"/>
      <c r="AO28" s="376"/>
      <c r="AP28" s="376"/>
      <c r="AQ28" s="376"/>
      <c r="AR28" s="376"/>
      <c r="AS28" s="376"/>
      <c r="AT28" s="376"/>
      <c r="AU28" s="376"/>
      <c r="AV28" s="376"/>
      <c r="AW28" s="376"/>
      <c r="AX28" s="376"/>
      <c r="AY28" s="376"/>
      <c r="AZ28" s="376"/>
      <c r="BA28" s="376"/>
      <c r="BB28" s="376"/>
      <c r="BC28" s="376"/>
      <c r="BD28" s="376"/>
      <c r="BE28" s="376"/>
      <c r="BF28" s="376"/>
      <c r="BG28" s="376"/>
      <c r="BH28" s="376"/>
      <c r="BI28" s="376"/>
      <c r="BJ28" s="376"/>
      <c r="BK28" s="376"/>
      <c r="BL28" s="376"/>
      <c r="BM28" s="376"/>
      <c r="BN28" s="376"/>
      <c r="BO28" s="376"/>
      <c r="BP28" s="376"/>
      <c r="BQ28" s="376"/>
      <c r="BR28" s="376"/>
      <c r="BS28" s="376"/>
      <c r="BT28" s="376"/>
      <c r="BU28" s="376"/>
      <c r="BV28" s="376"/>
      <c r="BW28" s="376"/>
      <c r="BX28" s="376"/>
      <c r="BY28" s="376"/>
      <c r="BZ28" s="376"/>
      <c r="CA28" s="376"/>
      <c r="CB28" s="376"/>
      <c r="CC28" s="376"/>
      <c r="CD28" s="376"/>
      <c r="CE28" s="376"/>
      <c r="CF28" s="376"/>
      <c r="CG28" s="376"/>
      <c r="CH28" s="376"/>
      <c r="CI28" s="376"/>
      <c r="CJ28" s="376"/>
      <c r="CK28" s="376"/>
      <c r="CL28" s="376"/>
      <c r="CM28" s="376"/>
      <c r="CN28" s="376"/>
      <c r="CO28" s="376"/>
      <c r="CP28" s="376"/>
      <c r="CQ28" s="376"/>
      <c r="CR28" s="376"/>
      <c r="CS28" s="376"/>
      <c r="CT28" s="376"/>
      <c r="CU28" s="376"/>
      <c r="CV28" s="376"/>
      <c r="CW28" s="376"/>
      <c r="CX28" s="376"/>
      <c r="CY28" s="376"/>
      <c r="CZ28" s="376"/>
      <c r="DA28" s="376"/>
      <c r="DB28" s="376"/>
      <c r="DC28" s="376"/>
      <c r="DD28" s="376"/>
      <c r="DE28" s="376"/>
      <c r="DF28" s="376"/>
      <c r="DG28" s="376"/>
      <c r="DH28" s="376"/>
      <c r="DI28" s="376"/>
      <c r="DJ28" s="376"/>
      <c r="DK28" s="376"/>
      <c r="DL28" s="376"/>
      <c r="DM28" s="376"/>
      <c r="DN28" s="376"/>
      <c r="DO28" s="376"/>
      <c r="DP28" s="376"/>
      <c r="DQ28" s="376"/>
      <c r="DR28" s="376"/>
      <c r="DS28" s="376"/>
      <c r="DT28" s="376"/>
      <c r="DU28" s="376"/>
      <c r="DV28" s="376"/>
      <c r="DW28" s="376"/>
      <c r="DX28" s="376"/>
      <c r="DY28" s="376"/>
      <c r="DZ28" s="376"/>
    </row>
    <row r="29" spans="1:130" ht="12.5" thickBot="1">
      <c r="AD29" s="2701" t="s">
        <v>2621</v>
      </c>
      <c r="AE29" s="2702">
        <f>AE28/AE27</f>
        <v>0.25999999999999995</v>
      </c>
      <c r="AF29" s="2702">
        <f>AF28/AF27</f>
        <v>0.26999999999999996</v>
      </c>
      <c r="AG29" s="2702">
        <f>AG28/AG27</f>
        <v>0.27399999999999997</v>
      </c>
      <c r="AH29" s="2702"/>
      <c r="AI29" s="2703">
        <f>AI28/AI27</f>
        <v>0.28492955827173827</v>
      </c>
    </row>
    <row r="30" spans="1:130">
      <c r="A30" s="2090" t="s">
        <v>1871</v>
      </c>
      <c r="B30" s="2112"/>
      <c r="C30" s="2112"/>
      <c r="D30" s="2112"/>
      <c r="E30" s="2113"/>
      <c r="F30" s="2114">
        <f t="shared" ref="F30:M30" si="10">F18+F26</f>
        <v>30636222</v>
      </c>
      <c r="G30" s="2114">
        <f t="shared" si="10"/>
        <v>32444836</v>
      </c>
      <c r="H30" s="2114">
        <f t="shared" si="10"/>
        <v>31973986</v>
      </c>
      <c r="I30" s="821">
        <f t="shared" si="10"/>
        <v>34693575</v>
      </c>
      <c r="J30" s="2114">
        <f t="shared" si="10"/>
        <v>36220701</v>
      </c>
      <c r="K30" s="2114">
        <f t="shared" si="10"/>
        <v>37867656</v>
      </c>
      <c r="L30" s="2114">
        <f t="shared" si="10"/>
        <v>38437120</v>
      </c>
      <c r="M30" s="2115">
        <f t="shared" si="10"/>
        <v>41033483</v>
      </c>
      <c r="N30" s="2114">
        <f t="shared" ref="N30:Z30" si="11">N18+N26</f>
        <v>41482333</v>
      </c>
      <c r="O30" s="2114">
        <f t="shared" si="11"/>
        <v>43473519</v>
      </c>
      <c r="P30" s="2114">
        <f t="shared" si="11"/>
        <v>43454399</v>
      </c>
      <c r="Q30" s="2115">
        <f t="shared" si="11"/>
        <v>47671770</v>
      </c>
      <c r="R30" s="2114">
        <f t="shared" si="11"/>
        <v>49593485</v>
      </c>
      <c r="S30" s="2114">
        <f t="shared" si="11"/>
        <v>50424354</v>
      </c>
      <c r="T30" s="2114">
        <f t="shared" si="11"/>
        <v>49746409</v>
      </c>
      <c r="U30" s="2115">
        <f t="shared" si="11"/>
        <v>52524619</v>
      </c>
      <c r="V30" s="2114">
        <f t="shared" si="11"/>
        <v>51846472</v>
      </c>
      <c r="W30" s="2114">
        <f t="shared" si="11"/>
        <v>50787096</v>
      </c>
      <c r="X30" s="2114">
        <f t="shared" si="11"/>
        <v>50967657</v>
      </c>
      <c r="Y30" s="2115">
        <f t="shared" si="11"/>
        <v>54676984</v>
      </c>
      <c r="Z30" s="2114">
        <f t="shared" si="11"/>
        <v>45479689</v>
      </c>
    </row>
    <row r="31" spans="1:130" s="2118" customFormat="1" ht="12">
      <c r="A31" s="2110" t="s">
        <v>1218</v>
      </c>
      <c r="B31" s="2116"/>
      <c r="C31" s="2116"/>
      <c r="D31" s="2116"/>
      <c r="E31" s="2117"/>
      <c r="F31" s="2116"/>
      <c r="G31" s="2116"/>
      <c r="H31" s="2116"/>
      <c r="I31" s="2117"/>
      <c r="J31" s="1019">
        <f>J30/F30-1</f>
        <v>0.18228354005268654</v>
      </c>
      <c r="K31" s="1019">
        <f>K30/G30-1</f>
        <v>0.16713969520450034</v>
      </c>
      <c r="L31" s="1019">
        <f>L30/H30-1</f>
        <v>0.20213726246080177</v>
      </c>
      <c r="M31" s="993">
        <f>M30/I30-1</f>
        <v>0.18274011830720815</v>
      </c>
      <c r="N31" s="1019">
        <f t="shared" ref="N31:Z31" si="12">N30/J30-1</f>
        <v>0.14526587986245776</v>
      </c>
      <c r="O31" s="1019">
        <f t="shared" si="12"/>
        <v>0.14803828892921178</v>
      </c>
      <c r="P31" s="1019">
        <f t="shared" si="12"/>
        <v>0.13053212623630484</v>
      </c>
      <c r="Q31" s="993">
        <f t="shared" si="12"/>
        <v>0.16177732219319529</v>
      </c>
      <c r="R31" s="1019">
        <f t="shared" si="12"/>
        <v>0.19553268616786812</v>
      </c>
      <c r="S31" s="1019">
        <f t="shared" si="12"/>
        <v>0.15988664271691455</v>
      </c>
      <c r="T31" s="1019">
        <f t="shared" si="12"/>
        <v>0.14479569720892926</v>
      </c>
      <c r="U31" s="993">
        <f t="shared" si="12"/>
        <v>0.10179712228012505</v>
      </c>
      <c r="V31" s="1019">
        <f t="shared" si="12"/>
        <v>4.5429092147889927E-2</v>
      </c>
      <c r="W31" s="1019">
        <f t="shared" si="12"/>
        <v>7.1937857647119685E-3</v>
      </c>
      <c r="X31" s="1019">
        <f t="shared" si="12"/>
        <v>2.4549470495448311E-2</v>
      </c>
      <c r="Y31" s="993">
        <f t="shared" si="12"/>
        <v>4.0978212521636692E-2</v>
      </c>
      <c r="Z31" s="1019">
        <f t="shared" si="12"/>
        <v>-0.12280069895594825</v>
      </c>
      <c r="AA31" s="2119"/>
      <c r="AB31" s="2119"/>
      <c r="AC31" s="2119"/>
      <c r="AD31" s="2119"/>
      <c r="AE31" s="2119"/>
      <c r="AF31" s="2119"/>
      <c r="AG31" s="2119"/>
      <c r="AH31" s="2119"/>
      <c r="AI31" s="2119"/>
      <c r="AJ31" s="2119"/>
      <c r="AK31" s="2119"/>
      <c r="AL31" s="2119"/>
      <c r="AM31" s="2119"/>
      <c r="AN31" s="2119"/>
      <c r="AO31" s="2119"/>
      <c r="AP31" s="2119"/>
      <c r="AQ31" s="2119"/>
      <c r="AR31" s="2119"/>
      <c r="AS31" s="2119"/>
      <c r="AT31" s="2119"/>
      <c r="AU31" s="2119"/>
      <c r="AV31" s="2119"/>
      <c r="AW31" s="2119"/>
      <c r="AX31" s="2119"/>
      <c r="AY31" s="2119"/>
      <c r="AZ31" s="2119"/>
      <c r="BA31" s="2119"/>
      <c r="BB31" s="2119"/>
      <c r="BC31" s="2119"/>
      <c r="BD31" s="2119"/>
      <c r="BE31" s="2119"/>
      <c r="BF31" s="2119"/>
      <c r="BG31" s="2119">
        <v>1000</v>
      </c>
      <c r="BH31" s="2119"/>
      <c r="BI31" s="2119"/>
      <c r="BJ31" s="2119"/>
      <c r="BK31" s="2119"/>
      <c r="BL31" s="2119"/>
      <c r="BM31" s="2119"/>
      <c r="BN31" s="2119"/>
      <c r="BO31" s="2119"/>
      <c r="BP31" s="2119"/>
      <c r="BQ31" s="2119"/>
      <c r="BR31" s="2119"/>
      <c r="BS31" s="2119"/>
      <c r="BT31" s="2119"/>
      <c r="BU31" s="2119"/>
      <c r="BV31" s="2119"/>
      <c r="BW31" s="2119"/>
      <c r="BX31" s="2119"/>
      <c r="BY31" s="2119"/>
      <c r="BZ31" s="2119"/>
      <c r="CA31" s="2119"/>
      <c r="CB31" s="2119"/>
      <c r="CC31" s="2119"/>
      <c r="CD31" s="2119"/>
      <c r="CE31" s="2119"/>
      <c r="CF31" s="2119"/>
      <c r="CG31" s="2119"/>
      <c r="CH31" s="2119"/>
      <c r="CI31" s="2119"/>
      <c r="CJ31" s="2119"/>
      <c r="CK31" s="2119"/>
      <c r="CL31" s="2119"/>
      <c r="CM31" s="2119"/>
      <c r="CN31" s="2119"/>
      <c r="CO31" s="2119"/>
      <c r="CP31" s="2119"/>
      <c r="CQ31" s="2119"/>
      <c r="CR31" s="2119"/>
      <c r="CS31" s="2119"/>
      <c r="CT31" s="2119"/>
      <c r="CU31" s="2119"/>
      <c r="CV31" s="2119"/>
      <c r="CW31" s="2119"/>
      <c r="CX31" s="2119"/>
      <c r="CY31" s="2119"/>
      <c r="CZ31" s="2119"/>
      <c r="DA31" s="2119"/>
      <c r="DB31" s="2119"/>
      <c r="DC31" s="2119"/>
      <c r="DD31" s="2119"/>
      <c r="DE31" s="2119"/>
      <c r="DF31" s="2119"/>
      <c r="DG31" s="2119"/>
      <c r="DH31" s="2119"/>
      <c r="DI31" s="2119"/>
      <c r="DJ31" s="2119"/>
      <c r="DK31" s="2119"/>
      <c r="DL31" s="2119"/>
      <c r="DM31" s="2119"/>
      <c r="DN31" s="2119"/>
      <c r="DO31" s="2119"/>
      <c r="DP31" s="2119"/>
      <c r="DQ31" s="2119"/>
      <c r="DR31" s="2119"/>
      <c r="DS31" s="2119"/>
      <c r="DT31" s="2119"/>
      <c r="DU31" s="2119"/>
      <c r="DV31" s="2119"/>
      <c r="DW31" s="2119"/>
      <c r="DX31" s="2119"/>
      <c r="DY31" s="2119"/>
      <c r="DZ31" s="2119"/>
    </row>
    <row r="32" spans="1:130">
      <c r="A32" s="2090" t="s">
        <v>1219</v>
      </c>
      <c r="B32" s="2106"/>
      <c r="C32" s="2106"/>
      <c r="D32" s="2106"/>
      <c r="E32" s="2107"/>
      <c r="F32" s="2106"/>
      <c r="G32" s="2106"/>
      <c r="H32" s="2106"/>
      <c r="I32" s="2107"/>
      <c r="J32" s="2106"/>
      <c r="K32" s="2106"/>
      <c r="L32" s="2106"/>
      <c r="M32" s="2107"/>
      <c r="N32" s="2106"/>
      <c r="O32" s="2106"/>
      <c r="P32" s="2106"/>
      <c r="Q32" s="2107"/>
      <c r="R32" s="2106"/>
    </row>
    <row r="33" spans="1:130">
      <c r="A33" s="2090"/>
      <c r="B33" s="2106"/>
      <c r="C33" s="2106"/>
      <c r="D33" s="2106"/>
      <c r="E33" s="2107"/>
      <c r="F33" s="2106"/>
      <c r="G33" s="2106"/>
      <c r="H33" s="2106"/>
      <c r="I33" s="2107"/>
      <c r="J33" s="2106"/>
      <c r="K33" s="2106"/>
      <c r="L33" s="2106"/>
      <c r="M33" s="2107"/>
      <c r="N33" s="2106"/>
      <c r="O33" s="2106"/>
      <c r="P33" s="2106"/>
      <c r="Q33" s="2107"/>
      <c r="R33" s="2106"/>
      <c r="BE33" s="2090">
        <v>1000</v>
      </c>
    </row>
    <row r="34" spans="1:130">
      <c r="A34" s="2230" t="s">
        <v>1899</v>
      </c>
      <c r="B34" s="2227"/>
      <c r="C34" s="2227"/>
      <c r="D34" s="2227"/>
      <c r="E34" s="2228"/>
      <c r="F34" s="2227"/>
      <c r="G34" s="2227"/>
      <c r="H34" s="2227"/>
      <c r="I34" s="2228"/>
      <c r="J34" s="2227"/>
      <c r="K34" s="2227"/>
      <c r="L34" s="2227"/>
      <c r="M34" s="2228"/>
      <c r="N34" s="2227"/>
      <c r="O34" s="2229"/>
      <c r="P34" s="2229"/>
      <c r="Q34" s="2171"/>
      <c r="R34" s="2170"/>
      <c r="S34" s="2170"/>
      <c r="T34" s="2170"/>
      <c r="U34" s="2171"/>
      <c r="V34" s="2170"/>
      <c r="W34" s="2170"/>
      <c r="X34" s="2170"/>
      <c r="Y34" s="2171"/>
      <c r="Z34" s="2170"/>
      <c r="AA34" s="2170"/>
      <c r="AB34" s="2170"/>
      <c r="AC34" s="2170"/>
      <c r="AD34" s="2170"/>
      <c r="AE34" s="2170"/>
      <c r="AF34" s="2170"/>
      <c r="AG34" s="2170"/>
      <c r="AH34" s="2170"/>
      <c r="AI34" s="2170"/>
      <c r="AJ34" s="2170"/>
      <c r="AK34" s="2170"/>
      <c r="AL34" s="2170"/>
      <c r="AM34" s="2170"/>
      <c r="AN34" s="2170"/>
      <c r="AO34" s="2170"/>
      <c r="AP34" s="2170"/>
      <c r="AQ34" s="2170"/>
      <c r="AR34" s="2170"/>
      <c r="AS34" s="2170"/>
      <c r="AT34" s="2170"/>
      <c r="AU34" s="2170"/>
      <c r="AV34" s="2170"/>
      <c r="AW34" s="2170"/>
      <c r="AX34" s="2170"/>
      <c r="AY34" s="2170"/>
      <c r="AZ34" s="2170"/>
      <c r="BA34" s="2170"/>
      <c r="BB34" s="2170"/>
      <c r="BC34" s="2170"/>
      <c r="BD34" s="2170"/>
      <c r="BE34" s="2170"/>
      <c r="BF34" s="2170"/>
      <c r="BG34" s="2170"/>
    </row>
    <row r="35" spans="1:130" s="1979" customFormat="1">
      <c r="A35" s="2092" t="s">
        <v>1900</v>
      </c>
      <c r="B35" s="2215">
        <v>0.12</v>
      </c>
      <c r="C35" s="2215">
        <v>0.13</v>
      </c>
      <c r="D35" s="2215">
        <v>0.13</v>
      </c>
      <c r="E35" s="2216">
        <v>0.15</v>
      </c>
      <c r="F35" s="2215">
        <v>0.15</v>
      </c>
      <c r="G35" s="2215">
        <v>0.15</v>
      </c>
      <c r="H35" s="2215">
        <v>0.15</v>
      </c>
      <c r="I35" s="2216">
        <v>0.15</v>
      </c>
      <c r="J35" s="2215">
        <v>0.158</v>
      </c>
      <c r="K35" s="2215">
        <v>0.16200000000000001</v>
      </c>
      <c r="L35" s="2215"/>
      <c r="M35" s="2216">
        <v>0.17</v>
      </c>
      <c r="N35" s="2215"/>
      <c r="O35" s="2215">
        <v>0.23</v>
      </c>
      <c r="P35" s="2215">
        <v>0.23</v>
      </c>
      <c r="Q35" s="2231">
        <v>0.24</v>
      </c>
      <c r="R35" s="2232"/>
      <c r="S35" s="1551">
        <v>0.24</v>
      </c>
      <c r="T35" s="1551">
        <v>0.25</v>
      </c>
      <c r="U35" s="1554"/>
      <c r="V35" s="1551"/>
      <c r="W35" s="2170"/>
      <c r="X35" s="1551">
        <v>0.26</v>
      </c>
      <c r="Y35" s="1554">
        <v>0.27</v>
      </c>
      <c r="Z35" s="1551">
        <v>0.27400000000000002</v>
      </c>
      <c r="AA35" s="2667"/>
      <c r="AB35" s="2668">
        <f>+AB40/AB18</f>
        <v>0.28492955827173827</v>
      </c>
      <c r="AC35" s="2170"/>
      <c r="AD35" s="2170"/>
      <c r="AE35" s="2170"/>
      <c r="AF35" s="2170"/>
      <c r="AG35" s="2170"/>
      <c r="AH35" s="2170"/>
      <c r="AI35" s="2170"/>
      <c r="AJ35" s="2170"/>
      <c r="AK35" s="2170"/>
      <c r="AL35" s="2170"/>
      <c r="AM35" s="2170"/>
      <c r="AN35" s="2170"/>
      <c r="AO35" s="2170"/>
      <c r="AP35" s="2170"/>
      <c r="AQ35" s="2170"/>
      <c r="AR35" s="2170"/>
      <c r="AS35" s="2170"/>
      <c r="AT35" s="2170"/>
      <c r="AU35" s="2170"/>
      <c r="AV35" s="2170"/>
      <c r="AW35" s="2170"/>
      <c r="AX35" s="2170"/>
      <c r="AY35" s="2170"/>
      <c r="AZ35" s="2170"/>
      <c r="BA35" s="2170"/>
      <c r="BB35" s="2170"/>
      <c r="BC35" s="2170"/>
      <c r="BD35" s="2170"/>
      <c r="BE35" s="2170"/>
      <c r="BF35" s="2170"/>
      <c r="BG35" s="2170"/>
    </row>
    <row r="36" spans="1:130" s="1613" customFormat="1" ht="12">
      <c r="A36" s="2092" t="s">
        <v>1901</v>
      </c>
      <c r="B36" s="2215"/>
      <c r="C36" s="2215"/>
      <c r="D36" s="2215"/>
      <c r="E36" s="2216"/>
      <c r="F36" s="2215"/>
      <c r="G36" s="2215"/>
      <c r="H36" s="2215"/>
      <c r="I36" s="2216"/>
      <c r="J36" s="2215"/>
      <c r="K36" s="2215">
        <v>0.5</v>
      </c>
      <c r="L36" s="2215"/>
      <c r="M36" s="2216"/>
      <c r="N36" s="2215"/>
      <c r="O36" s="2215"/>
      <c r="P36" s="2215"/>
      <c r="Q36" s="2171"/>
      <c r="R36" s="2170"/>
      <c r="S36" s="2170"/>
      <c r="T36" s="2170"/>
      <c r="U36" s="2171"/>
      <c r="V36" s="2170"/>
      <c r="W36" s="2170"/>
      <c r="X36" s="2170"/>
      <c r="Y36" s="2171"/>
      <c r="Z36" s="2170"/>
      <c r="AA36" s="2170"/>
      <c r="AB36" s="2170"/>
      <c r="AC36" s="2170"/>
      <c r="AD36" s="2170"/>
      <c r="AE36" s="2170"/>
      <c r="AF36" s="2170"/>
      <c r="AG36" s="2170"/>
      <c r="AH36" s="2170"/>
      <c r="AI36" s="2170"/>
      <c r="AJ36" s="2170"/>
      <c r="AK36" s="2170"/>
      <c r="AL36" s="2170"/>
      <c r="AM36" s="2170"/>
      <c r="AN36" s="2170"/>
      <c r="AO36" s="2170"/>
      <c r="AP36" s="2170"/>
      <c r="AQ36" s="2170"/>
      <c r="AR36" s="2170"/>
      <c r="AS36" s="2170"/>
      <c r="AT36" s="2170"/>
      <c r="AU36" s="2170"/>
      <c r="AV36" s="2170"/>
      <c r="AW36" s="2170"/>
      <c r="AX36" s="2170"/>
      <c r="AY36" s="2170"/>
      <c r="AZ36" s="2170"/>
      <c r="BA36" s="2170"/>
      <c r="BB36" s="2170"/>
      <c r="BC36" s="2170"/>
      <c r="BD36" s="2170"/>
      <c r="BE36" s="2170"/>
      <c r="BF36" s="2170"/>
      <c r="BG36" s="2170"/>
    </row>
    <row r="37" spans="1:130" s="1630" customFormat="1" ht="12">
      <c r="A37" s="2092" t="s">
        <v>1902</v>
      </c>
      <c r="B37" s="2215"/>
      <c r="C37" s="2215"/>
      <c r="D37" s="2215"/>
      <c r="E37" s="2216"/>
      <c r="F37" s="2215">
        <v>0.22600000000000001</v>
      </c>
      <c r="G37" s="2215"/>
      <c r="H37" s="2215"/>
      <c r="I37" s="2216">
        <v>0.25</v>
      </c>
      <c r="J37" s="2215">
        <v>0.28999999999999998</v>
      </c>
      <c r="K37" s="2215">
        <v>0.28000000000000003</v>
      </c>
      <c r="L37" s="2215">
        <v>0.27</v>
      </c>
      <c r="M37" s="2216"/>
      <c r="N37" s="2215"/>
      <c r="O37" s="2215"/>
      <c r="P37" s="2215"/>
      <c r="Q37" s="2171"/>
      <c r="R37" s="2170"/>
      <c r="S37" s="2170"/>
      <c r="T37" s="2170" t="s">
        <v>1314</v>
      </c>
      <c r="U37" s="2171"/>
      <c r="V37" s="2170"/>
      <c r="W37" s="2170"/>
      <c r="X37" s="2170"/>
      <c r="Y37" s="2171"/>
      <c r="Z37" s="2170"/>
      <c r="AA37" s="2170"/>
      <c r="AB37" s="2170"/>
      <c r="AC37" s="2170"/>
      <c r="AD37" s="2170"/>
      <c r="AE37" s="2170"/>
      <c r="AF37" s="2170"/>
      <c r="AG37" s="2170"/>
      <c r="AH37" s="2170"/>
      <c r="AI37" s="2170"/>
      <c r="AJ37" s="2170"/>
      <c r="AK37" s="2170"/>
      <c r="AL37" s="2170"/>
      <c r="AM37" s="2170"/>
      <c r="AN37" s="2170"/>
      <c r="AO37" s="2170"/>
      <c r="AP37" s="2170"/>
      <c r="AQ37" s="2170"/>
      <c r="AR37" s="2170"/>
      <c r="AS37" s="2170"/>
      <c r="AT37" s="2170"/>
      <c r="AU37" s="2170"/>
      <c r="AV37" s="2170"/>
      <c r="AW37" s="2170"/>
      <c r="AX37" s="2170"/>
      <c r="AY37" s="2170"/>
      <c r="AZ37" s="2170"/>
      <c r="BA37" s="2170"/>
      <c r="BB37" s="2170"/>
      <c r="BC37" s="2170"/>
      <c r="BD37" s="2170"/>
      <c r="BE37" s="2170"/>
      <c r="BF37" s="2170"/>
      <c r="BG37" s="2170"/>
    </row>
    <row r="38" spans="1:130" s="708" customFormat="1">
      <c r="A38" s="2092" t="s">
        <v>1903</v>
      </c>
      <c r="B38" s="2215"/>
      <c r="C38" s="2215"/>
      <c r="D38" s="2215"/>
      <c r="E38" s="2216"/>
      <c r="F38" s="2215"/>
      <c r="G38" s="2215"/>
      <c r="H38" s="2215"/>
      <c r="I38" s="2216">
        <v>2.3E-2</v>
      </c>
      <c r="J38" s="2215"/>
      <c r="K38" s="2215"/>
      <c r="L38" s="2215"/>
      <c r="M38" s="2216">
        <v>0.05</v>
      </c>
      <c r="N38" s="2215"/>
      <c r="O38" s="2215"/>
      <c r="P38" s="2215"/>
      <c r="Q38" s="2216"/>
      <c r="R38" s="2170"/>
      <c r="S38" s="2170"/>
      <c r="T38" s="2170"/>
      <c r="U38" s="2171"/>
      <c r="V38" s="2170"/>
      <c r="W38" s="2170"/>
      <c r="X38" s="2170"/>
      <c r="Y38" s="2171"/>
      <c r="Z38" s="2170"/>
      <c r="AA38" s="2170"/>
      <c r="AB38" s="2170"/>
      <c r="AC38" s="2170"/>
      <c r="AD38" s="2170"/>
      <c r="AE38" s="2170"/>
      <c r="AF38" s="2170"/>
      <c r="AG38" s="2170"/>
      <c r="AH38" s="2170"/>
      <c r="AI38" s="2170"/>
      <c r="AJ38" s="2170"/>
      <c r="AK38" s="2170"/>
      <c r="AL38" s="2170"/>
      <c r="AM38" s="2170"/>
      <c r="AN38" s="2170"/>
      <c r="AO38" s="2170"/>
      <c r="AP38" s="2170"/>
      <c r="AQ38" s="2170"/>
      <c r="AR38" s="2170"/>
      <c r="AS38" s="2170"/>
      <c r="AT38" s="2170"/>
      <c r="AU38" s="2170"/>
      <c r="AV38" s="2170"/>
      <c r="AW38" s="2170"/>
      <c r="AX38" s="2170"/>
      <c r="AY38" s="2170"/>
      <c r="AZ38" s="2170"/>
      <c r="BA38" s="2170"/>
      <c r="BB38" s="2170"/>
      <c r="BC38" s="2170"/>
      <c r="BD38" s="2170"/>
      <c r="BE38" s="2170"/>
      <c r="BF38" s="2170"/>
      <c r="BG38" s="2170"/>
    </row>
    <row r="39" spans="1:130" s="1635" customFormat="1">
      <c r="A39" s="2092" t="s">
        <v>1904</v>
      </c>
      <c r="B39" s="2215"/>
      <c r="C39" s="2215"/>
      <c r="D39" s="2215"/>
      <c r="E39" s="2216"/>
      <c r="F39" s="2215"/>
      <c r="G39" s="2215">
        <v>0.4</v>
      </c>
      <c r="H39" s="2215"/>
      <c r="I39" s="2216"/>
      <c r="J39" s="2215"/>
      <c r="K39" s="2215"/>
      <c r="L39" s="2215"/>
      <c r="M39" s="2216"/>
      <c r="N39" s="2215"/>
      <c r="O39" s="2215"/>
      <c r="P39" s="2215"/>
      <c r="Q39" s="2216"/>
      <c r="R39" s="2170"/>
      <c r="S39" s="2170"/>
      <c r="T39" s="2170"/>
      <c r="U39" s="2171"/>
      <c r="V39" s="2170"/>
      <c r="W39" s="2170"/>
      <c r="X39" s="2170"/>
      <c r="Y39" s="2171"/>
      <c r="Z39" s="2170"/>
      <c r="AA39" s="2170"/>
      <c r="AB39" s="2170"/>
      <c r="AC39" s="2170"/>
      <c r="AD39" s="2170"/>
      <c r="AE39" s="2170"/>
      <c r="AF39" s="2170"/>
      <c r="AG39" s="2170"/>
      <c r="AH39" s="2170"/>
      <c r="AI39" s="2170"/>
      <c r="AJ39" s="2170"/>
      <c r="AK39" s="2170"/>
      <c r="AL39" s="2170"/>
      <c r="AM39" s="2170"/>
      <c r="AN39" s="2170"/>
      <c r="AO39" s="2170"/>
      <c r="AP39" s="2170"/>
      <c r="AQ39" s="2170"/>
      <c r="AR39" s="2170"/>
      <c r="AS39" s="2170"/>
      <c r="AT39" s="2170"/>
      <c r="AU39" s="2170"/>
      <c r="AV39" s="2170"/>
      <c r="AW39" s="2170"/>
      <c r="AX39" s="2170"/>
      <c r="AY39" s="2170"/>
      <c r="AZ39" s="2170"/>
      <c r="BA39" s="2170"/>
      <c r="BB39" s="2170"/>
      <c r="BC39" s="2170"/>
      <c r="BD39" s="2170"/>
      <c r="BE39" s="2170"/>
      <c r="BF39" s="2170"/>
      <c r="BG39" s="2170"/>
    </row>
    <row r="40" spans="1:130" s="1052" customFormat="1">
      <c r="A40" s="2282" t="s">
        <v>2623</v>
      </c>
      <c r="B40" s="2215"/>
      <c r="C40" s="2215"/>
      <c r="D40" s="2215"/>
      <c r="E40" s="2216"/>
      <c r="F40" s="2215"/>
      <c r="G40" s="2215"/>
      <c r="H40" s="2215"/>
      <c r="I40" s="2216"/>
      <c r="J40" s="2215"/>
      <c r="K40" s="2215"/>
      <c r="L40" s="2215"/>
      <c r="M40" s="2216"/>
      <c r="N40" s="2215"/>
      <c r="O40" s="2114">
        <f>O35*O18</f>
        <v>6641564.4100000001</v>
      </c>
      <c r="P40" s="2114">
        <f>P35*P18</f>
        <v>6632999.4400000004</v>
      </c>
      <c r="Q40" s="2114">
        <f>Q35*Q18</f>
        <v>7723914.96</v>
      </c>
      <c r="R40" s="2170"/>
      <c r="S40" s="2114">
        <f>S35*S18</f>
        <v>8326516.7999999998</v>
      </c>
      <c r="T40" s="2114">
        <f>T35*T18</f>
        <v>8611957</v>
      </c>
      <c r="U40" s="2171"/>
      <c r="V40" s="2170"/>
      <c r="W40" s="2170"/>
      <c r="X40" s="2114">
        <f>X35*X18</f>
        <v>9160060</v>
      </c>
      <c r="Y40" s="2114">
        <f>Y35*Y18</f>
        <v>10310907.42</v>
      </c>
      <c r="Z40" s="2114">
        <f>Z35*Z18</f>
        <v>9017888</v>
      </c>
      <c r="AA40" s="2114">
        <f>+AA55/AA41*1000000</f>
        <v>746980.7892747079</v>
      </c>
      <c r="AB40" s="2114">
        <f>+AB55/AB41*1000000</f>
        <v>2530744.3365695793</v>
      </c>
      <c r="AC40" s="2170"/>
      <c r="AD40" s="2170"/>
      <c r="AE40" s="2170"/>
      <c r="AF40" s="2170"/>
      <c r="AG40" s="2170"/>
      <c r="AH40" s="2170"/>
      <c r="AI40" s="2170"/>
      <c r="AJ40" s="2170"/>
      <c r="AK40" s="2170"/>
      <c r="AL40" s="2170"/>
      <c r="AM40" s="2170"/>
      <c r="AN40" s="2170"/>
      <c r="AO40" s="2170"/>
      <c r="AP40" s="2170"/>
      <c r="AQ40" s="2170"/>
      <c r="AR40" s="2170"/>
      <c r="AS40" s="2170"/>
      <c r="AT40" s="2170"/>
      <c r="AU40" s="2170"/>
      <c r="AV40" s="2170"/>
      <c r="AW40" s="2170"/>
      <c r="AX40" s="2170"/>
      <c r="AY40" s="2170"/>
      <c r="AZ40" s="2170"/>
      <c r="BA40" s="2170"/>
      <c r="BB40" s="2170"/>
      <c r="BC40" s="2170"/>
      <c r="BD40" s="2170"/>
      <c r="BE40" s="2170"/>
      <c r="BF40" s="2170"/>
      <c r="BG40" s="2170"/>
      <c r="BH40" s="708"/>
      <c r="BI40" s="708"/>
      <c r="BJ40" s="708"/>
      <c r="BK40" s="708"/>
      <c r="BL40" s="708"/>
      <c r="BM40" s="708"/>
      <c r="BN40" s="708"/>
      <c r="BO40" s="708"/>
      <c r="BP40" s="708"/>
      <c r="BQ40" s="708"/>
      <c r="BR40" s="708"/>
      <c r="BS40" s="708"/>
      <c r="BT40" s="708"/>
      <c r="BU40" s="708"/>
      <c r="BV40" s="708"/>
      <c r="BW40" s="708"/>
      <c r="BX40" s="708"/>
      <c r="BY40" s="708"/>
      <c r="BZ40" s="708"/>
      <c r="CA40" s="708"/>
      <c r="CB40" s="708"/>
      <c r="CC40" s="708"/>
      <c r="CD40" s="708"/>
      <c r="CE40" s="708"/>
      <c r="CF40" s="708"/>
      <c r="CG40" s="708"/>
      <c r="CH40" s="708"/>
      <c r="CI40" s="708"/>
      <c r="CJ40" s="708"/>
      <c r="CK40" s="708"/>
      <c r="CL40" s="708"/>
      <c r="CM40" s="708"/>
      <c r="CN40" s="708"/>
      <c r="CO40" s="708"/>
      <c r="CP40" s="708"/>
      <c r="CQ40" s="708"/>
      <c r="CR40" s="708"/>
      <c r="CS40" s="708"/>
      <c r="CT40" s="708"/>
      <c r="CU40" s="708"/>
      <c r="CV40" s="708"/>
      <c r="CW40" s="708"/>
      <c r="CX40" s="708"/>
      <c r="CY40" s="708"/>
      <c r="CZ40" s="708"/>
      <c r="DA40" s="708"/>
      <c r="DB40" s="708"/>
      <c r="DC40" s="708"/>
      <c r="DD40" s="708"/>
      <c r="DE40" s="708"/>
      <c r="DF40" s="708"/>
      <c r="DG40" s="708"/>
      <c r="DH40" s="708"/>
      <c r="DI40" s="708"/>
      <c r="DJ40" s="708"/>
      <c r="DK40" s="708"/>
      <c r="DL40" s="708"/>
      <c r="DM40" s="708"/>
      <c r="DN40" s="708"/>
      <c r="DO40" s="708"/>
      <c r="DP40" s="708"/>
      <c r="DQ40" s="708"/>
      <c r="DR40" s="708"/>
      <c r="DS40" s="708"/>
      <c r="DT40" s="708"/>
      <c r="DU40" s="708"/>
      <c r="DV40" s="708"/>
      <c r="DW40" s="708"/>
      <c r="DX40" s="708"/>
      <c r="DY40" s="708"/>
      <c r="DZ40" s="708"/>
    </row>
    <row r="41" spans="1:130" s="1635" customFormat="1" ht="12.75" customHeight="1">
      <c r="A41" s="2282" t="s">
        <v>2624</v>
      </c>
      <c r="B41" s="2215"/>
      <c r="C41" s="2215"/>
      <c r="D41" s="2215"/>
      <c r="E41" s="2216"/>
      <c r="F41" s="2215"/>
      <c r="G41" s="2215"/>
      <c r="H41" s="2215"/>
      <c r="I41" s="2216"/>
      <c r="J41" s="2215"/>
      <c r="K41" s="2215"/>
      <c r="L41" s="2215"/>
      <c r="M41" s="2216"/>
      <c r="N41" s="2215"/>
      <c r="O41" s="2688">
        <f>O55/O40*1000000</f>
        <v>1.1796768827843078</v>
      </c>
      <c r="P41" s="2688">
        <f>P55/P40*1000000</f>
        <v>1.1643299641225358</v>
      </c>
      <c r="Q41" s="2688">
        <f>Q55/Q40*1000000</f>
        <v>1.0956878789872122</v>
      </c>
      <c r="R41" s="2170"/>
      <c r="S41" s="2688">
        <f>S55/S40*1000000</f>
        <v>1.1014209447100376</v>
      </c>
      <c r="T41" s="2688">
        <f>T55/T40*1000000</f>
        <v>1.1617568457436562</v>
      </c>
      <c r="U41" s="2171"/>
      <c r="V41" s="2170"/>
      <c r="W41" s="2170"/>
      <c r="X41" s="2688">
        <f>X55/X40*1000000</f>
        <v>1.2184418005995594</v>
      </c>
      <c r="Y41" s="2688">
        <f>Y55/Y40*1000000</f>
        <v>1.1296774886569585</v>
      </c>
      <c r="Z41" s="2688">
        <f>Z55/Z40*1000000</f>
        <v>0.95776305937709583</v>
      </c>
      <c r="AA41" s="2669">
        <f>+AVERAGE(X41:Y41)</f>
        <v>1.174059644628259</v>
      </c>
      <c r="AB41" s="2669">
        <v>0.92700000000000005</v>
      </c>
      <c r="AC41" s="2170"/>
      <c r="AD41" s="2170"/>
      <c r="AE41" s="2170"/>
      <c r="AF41" s="2170"/>
      <c r="AG41" s="2170"/>
      <c r="AH41" s="2170"/>
      <c r="AI41" s="2170"/>
      <c r="AJ41" s="2170"/>
      <c r="AK41" s="2170"/>
      <c r="AL41" s="2170"/>
      <c r="AM41" s="2170"/>
      <c r="AN41" s="2170"/>
      <c r="AO41" s="2170"/>
      <c r="AP41" s="2170"/>
      <c r="AQ41" s="2170"/>
      <c r="AR41" s="2170"/>
      <c r="AS41" s="2170"/>
      <c r="AT41" s="2170"/>
      <c r="AU41" s="2170"/>
      <c r="AV41" s="2170"/>
      <c r="AW41" s="2170"/>
      <c r="AX41" s="2170"/>
      <c r="AY41" s="2170"/>
      <c r="AZ41" s="2170"/>
      <c r="BA41" s="2170"/>
      <c r="BB41" s="2170"/>
      <c r="BC41" s="2170"/>
      <c r="BD41" s="2170"/>
      <c r="BE41" s="2170"/>
      <c r="BF41" s="2170"/>
      <c r="BG41" s="2170"/>
    </row>
    <row r="42" spans="1:130" s="708" customFormat="1" ht="12.75" customHeight="1">
      <c r="A42" s="2092"/>
      <c r="B42" s="2233"/>
      <c r="C42" s="2233"/>
      <c r="D42" s="2233"/>
      <c r="E42" s="2234"/>
      <c r="F42" s="2233"/>
      <c r="G42" s="2233"/>
      <c r="H42" s="2233"/>
      <c r="I42" s="2234"/>
      <c r="J42" s="2233"/>
      <c r="K42" s="2233"/>
      <c r="L42" s="2233"/>
      <c r="M42" s="2234"/>
      <c r="N42" s="2233"/>
      <c r="O42" s="2233"/>
      <c r="P42" s="2233"/>
      <c r="Q42" s="2234"/>
      <c r="R42" s="2090"/>
      <c r="S42" s="2090"/>
      <c r="T42" s="2090"/>
      <c r="U42" s="2091"/>
      <c r="V42" s="2090"/>
      <c r="W42" s="2090"/>
      <c r="X42" s="2090"/>
      <c r="Y42" s="2091"/>
      <c r="Z42" s="2090"/>
      <c r="AA42" s="2090"/>
      <c r="AB42" s="2090"/>
      <c r="AC42" s="2090"/>
      <c r="AD42" s="2090"/>
      <c r="AE42" s="2090"/>
      <c r="AF42" s="2090"/>
      <c r="AG42" s="2090"/>
      <c r="AH42" s="2090"/>
      <c r="AI42" s="2090"/>
      <c r="AJ42" s="2090"/>
      <c r="AK42" s="2090"/>
      <c r="AL42" s="2090"/>
      <c r="AM42" s="2090"/>
      <c r="AN42" s="2090"/>
      <c r="AO42" s="2090"/>
      <c r="AP42" s="2090"/>
      <c r="AQ42" s="2090"/>
      <c r="AR42" s="2090"/>
      <c r="AS42" s="2090"/>
      <c r="AT42" s="2090"/>
      <c r="AU42" s="2090"/>
      <c r="AV42" s="2090"/>
      <c r="AW42" s="2090"/>
      <c r="AX42" s="2090"/>
      <c r="AY42" s="2090"/>
      <c r="AZ42" s="2090"/>
      <c r="BA42" s="2090"/>
      <c r="BB42" s="2090"/>
      <c r="BC42" s="2090"/>
      <c r="BD42" s="2090"/>
      <c r="BE42" s="2090"/>
      <c r="BF42" s="2090"/>
      <c r="BG42" s="2090"/>
    </row>
    <row r="43" spans="1:130" s="1635" customFormat="1" ht="12.75" customHeight="1">
      <c r="A43" s="2090" t="s">
        <v>2625</v>
      </c>
      <c r="B43" s="2233"/>
      <c r="C43" s="2233"/>
      <c r="D43" s="2233"/>
      <c r="E43" s="2234"/>
      <c r="F43" s="2233"/>
      <c r="G43" s="2233"/>
      <c r="H43" s="2233"/>
      <c r="I43" s="2234"/>
      <c r="J43" s="2233"/>
      <c r="K43" s="2233"/>
      <c r="L43" s="2233"/>
      <c r="M43" s="2234"/>
      <c r="N43" s="2233"/>
      <c r="O43" s="2233"/>
      <c r="P43" s="2233"/>
      <c r="Q43" s="2234"/>
      <c r="R43" s="376">
        <f>SUM(R44:R45)</f>
        <v>33.300000000000004</v>
      </c>
      <c r="S43" s="2090"/>
      <c r="T43" s="2090"/>
      <c r="U43" s="2091"/>
      <c r="V43" s="376">
        <f>SUM(V44:V45)</f>
        <v>39.5</v>
      </c>
      <c r="W43" s="2090"/>
      <c r="X43" s="2090"/>
      <c r="Y43" s="2091"/>
      <c r="Z43" s="376">
        <f>SUM(Z44:Z45)</f>
        <v>42.199999999999996</v>
      </c>
      <c r="AA43" s="2090"/>
      <c r="AB43" s="2090"/>
      <c r="AC43" s="2090"/>
      <c r="AD43" s="2090"/>
      <c r="AE43" s="2090"/>
      <c r="AF43" s="2090"/>
      <c r="AG43" s="2090"/>
      <c r="AH43" s="2090"/>
      <c r="AI43" s="2090"/>
      <c r="AJ43" s="2090"/>
      <c r="AK43" s="2090"/>
      <c r="AL43" s="2090"/>
      <c r="AM43" s="2090"/>
      <c r="AN43" s="2090"/>
      <c r="AO43" s="2090"/>
      <c r="AP43" s="2090"/>
      <c r="AQ43" s="2090"/>
      <c r="AR43" s="2090"/>
      <c r="AS43" s="2090"/>
      <c r="AT43" s="2090"/>
      <c r="AU43" s="2090"/>
      <c r="AV43" s="2090"/>
      <c r="AW43" s="2090"/>
      <c r="AX43" s="2090"/>
      <c r="AY43" s="2090"/>
      <c r="AZ43" s="2090"/>
      <c r="BA43" s="2090"/>
      <c r="BB43" s="2090"/>
      <c r="BC43" s="2090"/>
      <c r="BD43" s="2090"/>
      <c r="BE43" s="2090"/>
      <c r="BF43" s="2090"/>
      <c r="BG43" s="2090"/>
    </row>
    <row r="44" spans="1:130" s="1052" customFormat="1">
      <c r="A44" s="2110" t="s">
        <v>2626</v>
      </c>
      <c r="B44" s="2233"/>
      <c r="C44" s="2233"/>
      <c r="D44" s="2233"/>
      <c r="E44" s="2234"/>
      <c r="F44" s="2233"/>
      <c r="G44" s="2233"/>
      <c r="H44" s="2233"/>
      <c r="I44" s="2234"/>
      <c r="J44" s="2233"/>
      <c r="K44" s="2233"/>
      <c r="L44" s="2233"/>
      <c r="M44" s="2234"/>
      <c r="N44" s="2233"/>
      <c r="O44" s="2233"/>
      <c r="P44" s="2233"/>
      <c r="Q44" s="2234"/>
      <c r="R44" s="1466">
        <v>28.6</v>
      </c>
      <c r="S44" s="2090"/>
      <c r="T44" s="2090"/>
      <c r="U44" s="2091"/>
      <c r="V44" s="1466">
        <v>33.5</v>
      </c>
      <c r="W44" s="2090"/>
      <c r="X44" s="2090"/>
      <c r="Y44" s="2091"/>
      <c r="Z44" s="1466">
        <v>35.4</v>
      </c>
      <c r="AA44" s="2090"/>
      <c r="AB44" s="2090"/>
      <c r="AC44" s="2090"/>
      <c r="AD44" s="2090"/>
      <c r="AE44" s="2090"/>
      <c r="AF44" s="2090"/>
      <c r="AG44" s="2090"/>
      <c r="AH44" s="2090"/>
      <c r="AI44" s="2090"/>
      <c r="AJ44" s="2090"/>
      <c r="AK44" s="2090"/>
      <c r="AL44" s="2090"/>
      <c r="AM44" s="2090"/>
      <c r="AN44" s="2090"/>
      <c r="AO44" s="2090"/>
      <c r="AP44" s="2090"/>
      <c r="AQ44" s="2090"/>
      <c r="AR44" s="2090"/>
      <c r="AS44" s="2090"/>
      <c r="AT44" s="2090"/>
      <c r="AU44" s="2090"/>
      <c r="AV44" s="2090"/>
      <c r="AW44" s="2090"/>
      <c r="AX44" s="2090"/>
      <c r="AY44" s="2090"/>
      <c r="AZ44" s="2090"/>
      <c r="BA44" s="2090"/>
      <c r="BB44" s="2090"/>
      <c r="BC44" s="2090"/>
      <c r="BD44" s="2090"/>
      <c r="BE44" s="2090"/>
      <c r="BF44" s="2090"/>
      <c r="BG44" s="2090"/>
      <c r="BH44" s="708"/>
      <c r="BI44" s="708"/>
      <c r="BJ44" s="708"/>
      <c r="BK44" s="708"/>
      <c r="BL44" s="708"/>
      <c r="BM44" s="708"/>
      <c r="BN44" s="708"/>
      <c r="BO44" s="708"/>
      <c r="BP44" s="708"/>
      <c r="BQ44" s="708"/>
      <c r="BR44" s="708"/>
      <c r="BS44" s="708"/>
      <c r="BT44" s="708"/>
      <c r="BU44" s="708"/>
      <c r="BV44" s="708"/>
      <c r="BW44" s="708"/>
      <c r="BX44" s="708"/>
      <c r="BY44" s="708"/>
      <c r="BZ44" s="708"/>
      <c r="CA44" s="708"/>
      <c r="CB44" s="708"/>
      <c r="CC44" s="708"/>
      <c r="CD44" s="708"/>
      <c r="CE44" s="708"/>
      <c r="CF44" s="708"/>
      <c r="CG44" s="708"/>
      <c r="CH44" s="708"/>
      <c r="CI44" s="708"/>
      <c r="CJ44" s="708"/>
      <c r="CK44" s="708"/>
      <c r="CL44" s="708"/>
      <c r="CM44" s="708"/>
      <c r="CN44" s="708"/>
      <c r="CO44" s="708"/>
      <c r="CP44" s="708"/>
      <c r="CQ44" s="708"/>
      <c r="CR44" s="708"/>
      <c r="CS44" s="708"/>
      <c r="CT44" s="708"/>
      <c r="CU44" s="708"/>
      <c r="CV44" s="708"/>
      <c r="CW44" s="708"/>
      <c r="CX44" s="708"/>
      <c r="CY44" s="708"/>
      <c r="CZ44" s="708"/>
      <c r="DA44" s="708"/>
      <c r="DB44" s="708"/>
      <c r="DC44" s="708"/>
      <c r="DD44" s="708"/>
      <c r="DE44" s="708"/>
      <c r="DF44" s="708"/>
      <c r="DG44" s="708"/>
      <c r="DH44" s="708"/>
      <c r="DI44" s="708"/>
      <c r="DJ44" s="708"/>
      <c r="DK44" s="708"/>
      <c r="DL44" s="708"/>
      <c r="DM44" s="708"/>
      <c r="DN44" s="708"/>
      <c r="DO44" s="708"/>
      <c r="DP44" s="708"/>
      <c r="DQ44" s="708"/>
      <c r="DR44" s="708"/>
      <c r="DS44" s="708"/>
      <c r="DT44" s="708"/>
      <c r="DU44" s="708"/>
      <c r="DV44" s="708"/>
      <c r="DW44" s="708"/>
      <c r="DX44" s="708"/>
      <c r="DY44" s="708"/>
      <c r="DZ44" s="708"/>
    </row>
    <row r="45" spans="1:130" s="1630" customFormat="1" ht="12">
      <c r="A45" s="2110" t="s">
        <v>2627</v>
      </c>
      <c r="B45" s="2233"/>
      <c r="C45" s="2233"/>
      <c r="D45" s="2233"/>
      <c r="E45" s="2234"/>
      <c r="F45" s="2233"/>
      <c r="G45" s="2233"/>
      <c r="H45" s="2233"/>
      <c r="I45" s="2234"/>
      <c r="J45" s="2233"/>
      <c r="K45" s="2233"/>
      <c r="L45" s="2233"/>
      <c r="M45" s="2234"/>
      <c r="N45" s="2233"/>
      <c r="O45" s="2233"/>
      <c r="P45" s="2233"/>
      <c r="Q45" s="2234"/>
      <c r="R45" s="1466">
        <v>4.7</v>
      </c>
      <c r="S45" s="2090"/>
      <c r="T45" s="2090"/>
      <c r="U45" s="2091"/>
      <c r="V45" s="1466">
        <v>6</v>
      </c>
      <c r="W45" s="2090"/>
      <c r="X45" s="2090"/>
      <c r="Y45" s="2091"/>
      <c r="Z45" s="1466">
        <v>6.8</v>
      </c>
      <c r="AA45" s="2090"/>
      <c r="AB45" s="2090"/>
      <c r="AC45" s="2090"/>
      <c r="AD45" s="2090"/>
      <c r="AE45" s="2090"/>
      <c r="AF45" s="2090"/>
      <c r="AG45" s="2090"/>
      <c r="AH45" s="2090"/>
      <c r="AI45" s="2090"/>
      <c r="AJ45" s="2090"/>
      <c r="AK45" s="2090"/>
      <c r="AL45" s="2090"/>
      <c r="AM45" s="2090"/>
      <c r="AN45" s="2090"/>
      <c r="AO45" s="2090"/>
      <c r="AP45" s="2090"/>
      <c r="AQ45" s="2090"/>
      <c r="AR45" s="2090"/>
      <c r="AS45" s="2090"/>
      <c r="AT45" s="2090"/>
      <c r="AU45" s="2090"/>
      <c r="AV45" s="2090"/>
      <c r="AW45" s="2090"/>
      <c r="AX45" s="2090"/>
      <c r="AY45" s="2090"/>
      <c r="AZ45" s="2090"/>
      <c r="BA45" s="2090"/>
      <c r="BB45" s="2090"/>
      <c r="BC45" s="2090"/>
      <c r="BD45" s="2090"/>
      <c r="BE45" s="2090"/>
      <c r="BF45" s="2090"/>
      <c r="BG45" s="2090"/>
    </row>
    <row r="46" spans="1:130" s="708" customFormat="1">
      <c r="A46" s="2110" t="s">
        <v>2628</v>
      </c>
      <c r="B46" s="2233"/>
      <c r="C46" s="2233"/>
      <c r="D46" s="2233"/>
      <c r="E46" s="2234"/>
      <c r="F46" s="2233"/>
      <c r="G46" s="2233"/>
      <c r="H46" s="2233"/>
      <c r="I46" s="2234"/>
      <c r="J46" s="2233"/>
      <c r="K46" s="2233"/>
      <c r="L46" s="2233"/>
      <c r="M46" s="2234"/>
      <c r="N46" s="2233"/>
      <c r="O46" s="2233"/>
      <c r="P46" s="2233"/>
      <c r="Q46" s="2234"/>
      <c r="R46" s="2689">
        <f>R44/R43</f>
        <v>0.85885885885885882</v>
      </c>
      <c r="S46" s="2090"/>
      <c r="T46" s="2090"/>
      <c r="U46" s="2091"/>
      <c r="V46" s="2689">
        <f>V44/V43</f>
        <v>0.84810126582278478</v>
      </c>
      <c r="W46" s="2090"/>
      <c r="X46" s="2090"/>
      <c r="Y46" s="2091"/>
      <c r="Z46" s="2689">
        <f>Z44/Z43</f>
        <v>0.83886255924170616</v>
      </c>
      <c r="AA46" s="2670">
        <v>1</v>
      </c>
      <c r="AB46" s="2670">
        <v>1</v>
      </c>
      <c r="AC46" s="2090"/>
      <c r="AD46" s="2090"/>
      <c r="AE46" s="2090"/>
      <c r="AF46" s="2090"/>
      <c r="AG46" s="2090"/>
      <c r="AH46" s="2090"/>
      <c r="AI46" s="2090"/>
      <c r="AJ46" s="2090"/>
      <c r="AK46" s="2090"/>
      <c r="AL46" s="2090"/>
      <c r="AM46" s="2090"/>
      <c r="AN46" s="2090"/>
      <c r="AO46" s="2090"/>
      <c r="AP46" s="2090"/>
      <c r="AQ46" s="2090"/>
      <c r="AR46" s="2090"/>
      <c r="AS46" s="2090"/>
      <c r="AT46" s="2090"/>
      <c r="AU46" s="2090"/>
      <c r="AV46" s="2090"/>
      <c r="AW46" s="2090"/>
      <c r="AX46" s="2090"/>
      <c r="AY46" s="2090"/>
      <c r="AZ46" s="2090"/>
      <c r="BA46" s="2090"/>
      <c r="BB46" s="2090"/>
      <c r="BC46" s="2090"/>
      <c r="BD46" s="2090"/>
      <c r="BE46" s="2090"/>
      <c r="BF46" s="2090"/>
      <c r="BG46" s="2090"/>
    </row>
    <row r="47" spans="1:130" s="1635" customFormat="1" ht="14">
      <c r="A47" s="2723"/>
      <c r="B47" s="2233"/>
      <c r="C47" s="2233"/>
      <c r="D47" s="2233"/>
      <c r="E47" s="2234"/>
      <c r="F47" s="2233"/>
      <c r="G47" s="2233"/>
      <c r="H47" s="2233"/>
      <c r="I47" s="2234"/>
      <c r="J47" s="2233"/>
      <c r="K47" s="2233"/>
      <c r="L47" s="2233"/>
      <c r="M47" s="2234"/>
      <c r="N47" s="2233"/>
      <c r="O47" s="2233"/>
      <c r="P47" s="2233"/>
      <c r="Q47" s="2234"/>
      <c r="R47" s="1466"/>
      <c r="S47" s="2090"/>
      <c r="T47" s="2090"/>
      <c r="U47" s="2091"/>
      <c r="V47" s="1466"/>
      <c r="W47" s="2090"/>
      <c r="X47" s="2090"/>
      <c r="Y47" s="2091"/>
      <c r="Z47" s="1466"/>
      <c r="AA47" s="2090"/>
      <c r="AB47" s="2090"/>
      <c r="AC47" s="2090"/>
      <c r="AD47" s="2090"/>
      <c r="AE47" s="2090"/>
      <c r="AF47" s="2090"/>
      <c r="AG47" s="2090"/>
      <c r="AH47" s="2090"/>
      <c r="AI47" s="2090"/>
      <c r="AJ47" s="2090"/>
      <c r="AK47" s="2090"/>
      <c r="AL47" s="2090"/>
      <c r="AM47" s="2090"/>
      <c r="AN47" s="2090"/>
      <c r="AO47" s="2090"/>
      <c r="AP47" s="2090"/>
      <c r="AQ47" s="2090"/>
      <c r="AR47" s="2090"/>
      <c r="AS47" s="2090"/>
      <c r="AT47" s="2090"/>
      <c r="AU47" s="2090"/>
      <c r="AV47" s="2090"/>
      <c r="AW47" s="2090"/>
      <c r="AX47" s="2090"/>
      <c r="AY47" s="2090"/>
      <c r="AZ47" s="2090"/>
      <c r="BA47" s="2090"/>
      <c r="BB47" s="2090"/>
      <c r="BC47" s="2090"/>
      <c r="BD47" s="2090"/>
      <c r="BE47" s="2090"/>
      <c r="BF47" s="2090"/>
      <c r="BG47" s="2090"/>
    </row>
    <row r="48" spans="1:130" s="708" customFormat="1">
      <c r="A48" s="2090" t="s">
        <v>2629</v>
      </c>
      <c r="B48" s="2233"/>
      <c r="C48" s="2233"/>
      <c r="D48" s="2233"/>
      <c r="E48" s="2234"/>
      <c r="F48" s="2233"/>
      <c r="G48" s="2233"/>
      <c r="H48" s="2233"/>
      <c r="I48" s="2234"/>
      <c r="J48" s="2233"/>
      <c r="K48" s="2233"/>
      <c r="L48" s="2233"/>
      <c r="M48" s="2234"/>
      <c r="N48" s="2233"/>
      <c r="O48" s="2252">
        <f>O55</f>
        <v>7.8349000000000002</v>
      </c>
      <c r="P48" s="2252">
        <f>P55</f>
        <v>7.7229999999999999</v>
      </c>
      <c r="Q48" s="2253">
        <f>Q55</f>
        <v>8.4629999999999992</v>
      </c>
      <c r="R48" s="2252">
        <f>R55</f>
        <v>9.3179999999999996</v>
      </c>
      <c r="S48" s="2252">
        <f>S55</f>
        <v>9.1709999999999994</v>
      </c>
      <c r="T48" s="2252">
        <f t="shared" ref="T48:Z48" si="13">T55</f>
        <v>10.005000000000001</v>
      </c>
      <c r="U48" s="2253">
        <f t="shared" si="13"/>
        <v>10.103999999999999</v>
      </c>
      <c r="V48" s="2252">
        <f t="shared" si="13"/>
        <v>10.205</v>
      </c>
      <c r="W48" s="2252">
        <f t="shared" si="13"/>
        <v>10.609</v>
      </c>
      <c r="X48" s="2252">
        <f t="shared" si="13"/>
        <v>11.161</v>
      </c>
      <c r="Y48" s="2252">
        <f t="shared" si="13"/>
        <v>11.648</v>
      </c>
      <c r="Z48" s="2252">
        <f t="shared" si="13"/>
        <v>8.6370000000000005</v>
      </c>
      <c r="AA48" s="2252">
        <f>AA55</f>
        <v>0.877</v>
      </c>
      <c r="AB48" s="2252">
        <f>AB55</f>
        <v>2.3460000000000001</v>
      </c>
      <c r="AC48" s="2090"/>
      <c r="AD48" s="2090"/>
      <c r="AE48" s="2090"/>
      <c r="AF48" s="2090"/>
      <c r="AG48" s="2090"/>
      <c r="AH48" s="2090"/>
      <c r="AI48" s="2090"/>
      <c r="AJ48" s="2090"/>
      <c r="AK48" s="2090"/>
      <c r="AL48" s="2090"/>
      <c r="AM48" s="2090"/>
      <c r="AN48" s="2090"/>
      <c r="AO48" s="2090"/>
      <c r="AP48" s="2090"/>
      <c r="AQ48" s="2090"/>
      <c r="AR48" s="2090"/>
      <c r="AS48" s="2090"/>
      <c r="AT48" s="2090"/>
      <c r="AU48" s="2090"/>
      <c r="AV48" s="2090"/>
      <c r="AW48" s="2090"/>
      <c r="AX48" s="2090"/>
      <c r="AY48" s="2090"/>
      <c r="AZ48" s="2090"/>
      <c r="BA48" s="2090"/>
      <c r="BB48" s="2090"/>
      <c r="BC48" s="2090"/>
      <c r="BD48" s="2090"/>
      <c r="BE48" s="2090"/>
      <c r="BF48" s="2090"/>
      <c r="BG48" s="2090"/>
    </row>
    <row r="49" spans="1:130" s="1630" customFormat="1" ht="12">
      <c r="A49" s="2110" t="s">
        <v>2626</v>
      </c>
      <c r="B49" s="2233"/>
      <c r="C49" s="2233"/>
      <c r="D49" s="2233"/>
      <c r="E49" s="2234"/>
      <c r="F49" s="2233"/>
      <c r="G49" s="2233"/>
      <c r="H49" s="2233"/>
      <c r="I49" s="2234"/>
      <c r="J49" s="2233"/>
      <c r="K49" s="2233"/>
      <c r="L49" s="2233"/>
      <c r="M49" s="2234"/>
      <c r="N49" s="2233"/>
      <c r="O49" s="2252">
        <f>O48*O51</f>
        <v>6.729073273273273</v>
      </c>
      <c r="P49" s="2252">
        <f>P48*P51</f>
        <v>6.6329669669669666</v>
      </c>
      <c r="Q49" s="2252">
        <f>Q48*Q51</f>
        <v>7.2685225225225212</v>
      </c>
      <c r="R49" s="2252">
        <f>R48*R51</f>
        <v>8.0028468468468468</v>
      </c>
      <c r="S49" s="2252">
        <f>S48*S51</f>
        <v>7.7779367088607589</v>
      </c>
      <c r="T49" s="2252">
        <f t="shared" ref="T49:Z49" si="14">T48*T51</f>
        <v>8.485253164556962</v>
      </c>
      <c r="U49" s="2252">
        <f t="shared" si="14"/>
        <v>8.5692151898734163</v>
      </c>
      <c r="V49" s="2252">
        <f t="shared" si="14"/>
        <v>8.6548734177215181</v>
      </c>
      <c r="W49" s="2252">
        <f t="shared" si="14"/>
        <v>8.8994928909952602</v>
      </c>
      <c r="X49" s="2252">
        <f t="shared" si="14"/>
        <v>9.3625450236966827</v>
      </c>
      <c r="Y49" s="2252">
        <f t="shared" si="14"/>
        <v>9.7710710900473927</v>
      </c>
      <c r="Z49" s="2252">
        <f t="shared" si="14"/>
        <v>7.2452559241706167</v>
      </c>
      <c r="AA49" s="2252">
        <f>AA48*AA51</f>
        <v>0.877</v>
      </c>
      <c r="AB49" s="2252">
        <f>AB48*AB51</f>
        <v>2.3460000000000001</v>
      </c>
      <c r="AC49" s="2090"/>
      <c r="AD49" s="2090"/>
      <c r="AE49" s="2090"/>
      <c r="AF49" s="2090"/>
      <c r="AG49" s="2090"/>
      <c r="AH49" s="2090"/>
      <c r="AI49" s="2090"/>
      <c r="AJ49" s="2090"/>
      <c r="AK49" s="2090"/>
      <c r="AL49" s="2090"/>
      <c r="AM49" s="2090"/>
      <c r="AN49" s="2090"/>
      <c r="AO49" s="2090"/>
      <c r="AP49" s="2090"/>
      <c r="AQ49" s="2090"/>
      <c r="AR49" s="2090"/>
      <c r="AS49" s="2090"/>
      <c r="AT49" s="2090"/>
      <c r="AU49" s="2090"/>
      <c r="AV49" s="2090"/>
      <c r="AW49" s="2090"/>
      <c r="AX49" s="2090"/>
      <c r="AY49" s="2090"/>
      <c r="AZ49" s="2090"/>
      <c r="BA49" s="2090"/>
      <c r="BB49" s="2090"/>
      <c r="BC49" s="2090"/>
      <c r="BD49" s="2090"/>
      <c r="BE49" s="2090"/>
      <c r="BF49" s="2090"/>
      <c r="BG49" s="2090"/>
    </row>
    <row r="50" spans="1:130" s="27" customFormat="1">
      <c r="A50" s="2110" t="s">
        <v>2627</v>
      </c>
      <c r="B50" s="2233"/>
      <c r="C50" s="2233"/>
      <c r="D50" s="2233"/>
      <c r="E50" s="2234"/>
      <c r="F50" s="2233"/>
      <c r="G50" s="2233"/>
      <c r="H50" s="2233"/>
      <c r="I50" s="2234"/>
      <c r="J50" s="2233"/>
      <c r="K50" s="2233"/>
      <c r="L50" s="2233"/>
      <c r="M50" s="2234"/>
      <c r="N50" s="2233"/>
      <c r="O50" s="2252">
        <f>O48-O49</f>
        <v>1.1058267267267272</v>
      </c>
      <c r="P50" s="2252">
        <f>P48-P49</f>
        <v>1.0900330330330332</v>
      </c>
      <c r="Q50" s="2252">
        <f>Q48-Q49</f>
        <v>1.194477477477478</v>
      </c>
      <c r="R50" s="2252">
        <f>R48-R49</f>
        <v>1.3151531531531528</v>
      </c>
      <c r="S50" s="2252">
        <f>S48-S49</f>
        <v>1.3930632911392404</v>
      </c>
      <c r="T50" s="2252">
        <f t="shared" ref="T50:Z50" si="15">T48-T49</f>
        <v>1.5197468354430388</v>
      </c>
      <c r="U50" s="2252">
        <f t="shared" si="15"/>
        <v>1.5347848101265829</v>
      </c>
      <c r="V50" s="2252">
        <f t="shared" si="15"/>
        <v>1.550126582278482</v>
      </c>
      <c r="W50" s="2252">
        <f t="shared" si="15"/>
        <v>1.7095071090047398</v>
      </c>
      <c r="X50" s="2252">
        <f t="shared" si="15"/>
        <v>1.7984549763033169</v>
      </c>
      <c r="Y50" s="2252">
        <f t="shared" si="15"/>
        <v>1.876928909952607</v>
      </c>
      <c r="Z50" s="2252">
        <f t="shared" si="15"/>
        <v>1.3917440758293838</v>
      </c>
      <c r="AA50" s="2252">
        <f>AA48-AA49</f>
        <v>0</v>
      </c>
      <c r="AB50" s="2252">
        <f>AB48-AB49</f>
        <v>0</v>
      </c>
      <c r="AC50" s="2090"/>
      <c r="AD50" s="2090"/>
      <c r="AE50" s="2090"/>
      <c r="AF50" s="2090"/>
      <c r="AG50" s="2090"/>
      <c r="AH50" s="2090"/>
      <c r="AI50" s="2090"/>
      <c r="AJ50" s="2090"/>
      <c r="AK50" s="2090"/>
      <c r="AL50" s="2090"/>
      <c r="AM50" s="2090"/>
      <c r="AN50" s="2090"/>
      <c r="AO50" s="2090"/>
      <c r="AP50" s="2090"/>
      <c r="AQ50" s="2090"/>
      <c r="AR50" s="2090"/>
      <c r="AS50" s="2090"/>
      <c r="AT50" s="2090"/>
      <c r="AU50" s="2090"/>
      <c r="AV50" s="2090"/>
      <c r="AW50" s="2090"/>
      <c r="AX50" s="2090"/>
      <c r="AY50" s="2090"/>
      <c r="AZ50" s="2090"/>
      <c r="BA50" s="2090"/>
      <c r="BB50" s="2090"/>
      <c r="BC50" s="2090"/>
      <c r="BD50" s="2090"/>
      <c r="BE50" s="2090"/>
      <c r="BF50" s="2090"/>
      <c r="BG50" s="2090"/>
    </row>
    <row r="51" spans="1:130" s="27" customFormat="1">
      <c r="A51" s="2110" t="s">
        <v>2628</v>
      </c>
      <c r="B51" s="2233"/>
      <c r="C51" s="2233"/>
      <c r="D51" s="2233"/>
      <c r="E51" s="2234"/>
      <c r="F51" s="2233"/>
      <c r="G51" s="2233"/>
      <c r="H51" s="2233"/>
      <c r="I51" s="2234"/>
      <c r="J51" s="2233"/>
      <c r="K51" s="2233"/>
      <c r="L51" s="2233"/>
      <c r="M51" s="2234"/>
      <c r="N51" s="2233"/>
      <c r="O51" s="2233">
        <f>P51</f>
        <v>0.85885885885885882</v>
      </c>
      <c r="P51" s="2233">
        <f>Q51</f>
        <v>0.85885885885885882</v>
      </c>
      <c r="Q51" s="2234">
        <f>R51</f>
        <v>0.85885885885885882</v>
      </c>
      <c r="R51" s="2689">
        <f>R46</f>
        <v>0.85885885885885882</v>
      </c>
      <c r="S51" s="2233">
        <f>T51</f>
        <v>0.84810126582278478</v>
      </c>
      <c r="T51" s="2233">
        <f>U51</f>
        <v>0.84810126582278478</v>
      </c>
      <c r="U51" s="2234">
        <f>V51</f>
        <v>0.84810126582278478</v>
      </c>
      <c r="V51" s="2689">
        <f>V46</f>
        <v>0.84810126582278478</v>
      </c>
      <c r="W51" s="2233">
        <f>X51</f>
        <v>0.83886255924170616</v>
      </c>
      <c r="X51" s="2233">
        <f>Y51</f>
        <v>0.83886255924170616</v>
      </c>
      <c r="Y51" s="2234">
        <f>Z51</f>
        <v>0.83886255924170616</v>
      </c>
      <c r="Z51" s="2689">
        <f>Z46</f>
        <v>0.83886255924170616</v>
      </c>
      <c r="AA51" s="2670">
        <v>1</v>
      </c>
      <c r="AB51" s="2670">
        <v>1</v>
      </c>
      <c r="AC51" s="2090"/>
      <c r="AD51" s="2090"/>
      <c r="AE51" s="2090"/>
      <c r="AF51" s="2090"/>
      <c r="AG51" s="2090"/>
      <c r="AH51" s="2090"/>
      <c r="AI51" s="2090"/>
      <c r="AJ51" s="2090"/>
      <c r="AK51" s="2090"/>
      <c r="AL51" s="2090"/>
      <c r="AM51" s="2090"/>
      <c r="AN51" s="2090"/>
      <c r="AO51" s="2090"/>
      <c r="AP51" s="2090"/>
      <c r="AQ51" s="2090"/>
      <c r="AR51" s="2090"/>
      <c r="AS51" s="2090"/>
      <c r="AT51" s="2090"/>
      <c r="AU51" s="2090"/>
      <c r="AV51" s="2090"/>
      <c r="AW51" s="2090"/>
      <c r="AX51" s="2090"/>
      <c r="AY51" s="2090"/>
      <c r="AZ51" s="2090"/>
      <c r="BA51" s="2090"/>
      <c r="BB51" s="2090"/>
      <c r="BC51" s="2090"/>
      <c r="BD51" s="2090"/>
      <c r="BE51" s="2090"/>
      <c r="BF51" s="2090"/>
      <c r="BG51" s="2090"/>
    </row>
    <row r="52" spans="1:130" s="27" customFormat="1" ht="14">
      <c r="A52" s="2723"/>
      <c r="B52" s="2233"/>
      <c r="C52" s="2233"/>
      <c r="D52" s="2233"/>
      <c r="E52" s="2234"/>
      <c r="F52" s="2233"/>
      <c r="G52" s="2233"/>
      <c r="H52" s="2233"/>
      <c r="I52" s="2234"/>
      <c r="J52" s="2233"/>
      <c r="K52" s="2233"/>
      <c r="L52" s="2233"/>
      <c r="M52" s="2234"/>
      <c r="N52" s="2233"/>
      <c r="O52" s="2233"/>
      <c r="P52" s="2233"/>
      <c r="Q52" s="2234"/>
      <c r="R52" s="1466"/>
      <c r="S52" s="2090"/>
      <c r="T52" s="2090"/>
      <c r="U52" s="2091"/>
      <c r="V52" s="1466"/>
      <c r="W52" s="2090"/>
      <c r="X52" s="2090"/>
      <c r="Y52" s="2091"/>
      <c r="Z52" s="1466"/>
      <c r="AA52" s="2090"/>
      <c r="AB52" s="2090"/>
      <c r="AC52" s="2090"/>
      <c r="AD52" s="2090"/>
      <c r="AE52" s="2090"/>
      <c r="AF52" s="2090"/>
      <c r="AG52" s="2090"/>
      <c r="AH52" s="2090"/>
      <c r="AI52" s="2090"/>
      <c r="AJ52" s="2090"/>
      <c r="AK52" s="2090"/>
      <c r="AL52" s="2090"/>
      <c r="AM52" s="2090"/>
      <c r="AN52" s="2090"/>
      <c r="AO52" s="2090"/>
      <c r="AP52" s="2090"/>
      <c r="AQ52" s="2090"/>
      <c r="AR52" s="2090"/>
      <c r="AS52" s="2090"/>
      <c r="AT52" s="2090"/>
      <c r="AU52" s="2090"/>
      <c r="AV52" s="2090"/>
      <c r="AW52" s="2090"/>
      <c r="AX52" s="2090"/>
      <c r="AY52" s="2090"/>
      <c r="AZ52" s="2090"/>
      <c r="BA52" s="2090"/>
      <c r="BB52" s="2090"/>
      <c r="BC52" s="2090"/>
      <c r="BD52" s="2090"/>
      <c r="BE52" s="2090"/>
      <c r="BF52" s="2090"/>
      <c r="BG52" s="2090"/>
    </row>
    <row r="53" spans="1:130" s="2125" customFormat="1">
      <c r="A53" s="2090"/>
      <c r="B53" s="2233"/>
      <c r="C53" s="2233"/>
      <c r="D53" s="2233"/>
      <c r="E53" s="2234"/>
      <c r="F53" s="2233"/>
      <c r="G53" s="2233"/>
      <c r="H53" s="2233"/>
      <c r="I53" s="2234"/>
      <c r="J53" s="2233"/>
      <c r="K53" s="2233"/>
      <c r="L53" s="2233"/>
      <c r="M53" s="2234"/>
      <c r="N53" s="2233"/>
      <c r="O53" s="2233"/>
      <c r="P53" s="2233"/>
      <c r="Q53" s="2234"/>
      <c r="R53" s="2090"/>
      <c r="S53" s="2090"/>
      <c r="T53" s="2090"/>
      <c r="U53" s="2091"/>
      <c r="V53" s="2090"/>
      <c r="W53" s="2090"/>
      <c r="X53" s="2090"/>
      <c r="Y53" s="2091"/>
      <c r="Z53" s="2090"/>
      <c r="AA53" s="2090"/>
      <c r="AB53" s="2090"/>
      <c r="AC53" s="2090"/>
      <c r="AD53" s="2090"/>
      <c r="AE53" s="2090"/>
      <c r="AF53" s="2090"/>
      <c r="AG53" s="2090"/>
      <c r="AH53" s="2090"/>
      <c r="AI53" s="2090"/>
      <c r="AJ53" s="2090"/>
      <c r="AK53" s="2090"/>
      <c r="AL53" s="2090"/>
      <c r="AM53" s="2090"/>
      <c r="AN53" s="2090"/>
      <c r="AO53" s="2090"/>
      <c r="AP53" s="2090"/>
      <c r="AQ53" s="2090"/>
      <c r="AR53" s="2090"/>
      <c r="AS53" s="2090"/>
      <c r="AT53" s="2090"/>
      <c r="AU53" s="2090"/>
      <c r="AV53" s="2090"/>
      <c r="AW53" s="2090"/>
      <c r="AX53" s="2090"/>
      <c r="AY53" s="2090"/>
      <c r="AZ53" s="2090"/>
      <c r="BA53" s="2090"/>
      <c r="BB53" s="2090"/>
      <c r="BC53" s="2090"/>
      <c r="BD53" s="2090"/>
      <c r="BE53" s="2090"/>
      <c r="BF53" s="2090"/>
      <c r="BG53" s="2090"/>
    </row>
    <row r="54" spans="1:130" s="2130" customFormat="1">
      <c r="A54" s="2263" t="s">
        <v>2045</v>
      </c>
      <c r="B54" s="2264"/>
      <c r="C54" s="2264"/>
      <c r="D54" s="2264"/>
      <c r="E54" s="2265"/>
      <c r="F54" s="2264"/>
      <c r="G54" s="2264"/>
      <c r="H54" s="2264"/>
      <c r="I54" s="2265"/>
      <c r="J54" s="2264"/>
      <c r="K54" s="2264"/>
      <c r="L54" s="2264"/>
      <c r="M54" s="2265"/>
      <c r="N54" s="2264"/>
      <c r="O54" s="2264"/>
      <c r="P54" s="2264"/>
      <c r="Q54" s="2265"/>
      <c r="R54" s="2264"/>
      <c r="S54" s="2266"/>
      <c r="T54" s="2264"/>
      <c r="U54" s="2265"/>
      <c r="V54" s="2264"/>
      <c r="W54" s="2264"/>
      <c r="X54" s="2264"/>
      <c r="Y54" s="2265"/>
      <c r="Z54" s="2264"/>
      <c r="AA54" s="2264"/>
      <c r="AB54" s="2264"/>
      <c r="AC54" s="2252"/>
      <c r="AD54" s="2252"/>
      <c r="AE54" s="2252"/>
      <c r="AF54" s="2252"/>
      <c r="AG54" s="2252"/>
      <c r="AH54" s="2252"/>
      <c r="AI54" s="2252"/>
      <c r="AJ54" s="2252"/>
      <c r="AK54" s="2252"/>
      <c r="AL54" s="2252"/>
      <c r="AM54" s="2252"/>
      <c r="AN54" s="2252"/>
      <c r="AO54" s="2252"/>
      <c r="AP54" s="2252"/>
      <c r="AQ54" s="2252"/>
      <c r="AR54" s="2252"/>
      <c r="AS54" s="2252"/>
      <c r="AT54" s="2252"/>
      <c r="AU54" s="2252"/>
      <c r="AV54" s="2252"/>
      <c r="AW54" s="2252"/>
      <c r="AX54" s="2252"/>
      <c r="AY54" s="2252"/>
      <c r="AZ54" s="2252"/>
      <c r="BA54" s="2252"/>
      <c r="BB54" s="2252"/>
      <c r="BC54" s="2252"/>
      <c r="BD54" s="2252"/>
      <c r="BE54" s="2264"/>
      <c r="BF54" s="2264"/>
      <c r="BG54" s="2264"/>
    </row>
    <row r="55" spans="1:130" s="2130" customFormat="1">
      <c r="A55" s="2247" t="s">
        <v>1458</v>
      </c>
      <c r="B55" s="2248"/>
      <c r="C55" s="2248"/>
      <c r="D55" s="2248"/>
      <c r="E55" s="2249"/>
      <c r="F55" s="2248"/>
      <c r="G55" s="2248"/>
      <c r="H55" s="2248"/>
      <c r="I55" s="2249"/>
      <c r="J55" s="2248"/>
      <c r="K55" s="2248">
        <v>4.7275</v>
      </c>
      <c r="L55" s="2248">
        <v>4.6920000000000002</v>
      </c>
      <c r="M55" s="2249"/>
      <c r="N55" s="2248"/>
      <c r="O55" s="2248">
        <v>7.8349000000000002</v>
      </c>
      <c r="P55" s="2248">
        <v>7.7229999999999999</v>
      </c>
      <c r="Q55" s="2249">
        <v>8.4629999999999992</v>
      </c>
      <c r="R55" s="2248">
        <v>9.3179999999999996</v>
      </c>
      <c r="S55" s="2250">
        <v>9.1709999999999994</v>
      </c>
      <c r="T55" s="2248">
        <v>10.005000000000001</v>
      </c>
      <c r="U55" s="2249">
        <v>10.103999999999999</v>
      </c>
      <c r="V55" s="2248">
        <v>10.205</v>
      </c>
      <c r="W55" s="2248">
        <v>10.609</v>
      </c>
      <c r="X55" s="2248">
        <v>11.161</v>
      </c>
      <c r="Y55" s="2249">
        <v>11.648</v>
      </c>
      <c r="Z55" s="2248">
        <v>8.6370000000000005</v>
      </c>
      <c r="AA55" s="2259">
        <v>0.877</v>
      </c>
      <c r="AB55" s="2259">
        <v>2.3460000000000001</v>
      </c>
      <c r="AC55" s="2259"/>
      <c r="AD55" s="2259"/>
      <c r="AE55" s="2259"/>
      <c r="AF55" s="2259"/>
      <c r="AG55" s="2259"/>
      <c r="AH55" s="2259"/>
      <c r="AI55" s="2259"/>
      <c r="AJ55" s="2259"/>
      <c r="AK55" s="2259"/>
      <c r="AL55" s="2259"/>
      <c r="AM55" s="2259"/>
      <c r="AN55" s="2259"/>
      <c r="AO55" s="2259"/>
      <c r="AP55" s="2259"/>
      <c r="AQ55" s="2259"/>
      <c r="AR55" s="2259"/>
      <c r="AS55" s="2259"/>
      <c r="AT55" s="2259"/>
      <c r="AU55" s="2259"/>
      <c r="AV55" s="2259"/>
      <c r="AW55" s="2259"/>
      <c r="AX55" s="2259"/>
      <c r="AY55" s="2259"/>
      <c r="AZ55" s="2259"/>
      <c r="BA55" s="2259"/>
      <c r="BB55" s="2259"/>
      <c r="BC55" s="2259"/>
      <c r="BD55" s="2259"/>
      <c r="BE55" s="2248"/>
      <c r="BF55" s="2248"/>
      <c r="BG55" s="2248"/>
    </row>
    <row r="56" spans="1:130" s="2130" customFormat="1" ht="12">
      <c r="A56" s="2110" t="s">
        <v>1311</v>
      </c>
      <c r="B56" s="1618"/>
      <c r="C56" s="1618"/>
      <c r="D56" s="1618"/>
      <c r="E56" s="234"/>
      <c r="F56" s="1618"/>
      <c r="G56" s="1618"/>
      <c r="H56" s="1618"/>
      <c r="I56" s="234"/>
      <c r="J56" s="2267"/>
      <c r="K56" s="2267"/>
      <c r="L56" s="2267"/>
      <c r="M56" s="2268"/>
      <c r="N56" s="2267"/>
      <c r="O56" s="987">
        <f>O55/K55-1</f>
        <v>0.65730301427815974</v>
      </c>
      <c r="P56" s="987">
        <v>0.64600000000000002</v>
      </c>
      <c r="Q56" s="468">
        <v>0.64900000000000002</v>
      </c>
      <c r="R56" s="987">
        <v>0.55100000000000005</v>
      </c>
      <c r="S56" s="987">
        <f t="shared" ref="S56:AB56" si="16">S55/O55-1</f>
        <v>0.17053185107659319</v>
      </c>
      <c r="T56" s="987">
        <f t="shared" si="16"/>
        <v>0.29548103068755682</v>
      </c>
      <c r="U56" s="468">
        <f t="shared" si="16"/>
        <v>0.19390287132222617</v>
      </c>
      <c r="V56" s="987">
        <f t="shared" si="16"/>
        <v>9.5192101309293786E-2</v>
      </c>
      <c r="W56" s="987">
        <f t="shared" si="16"/>
        <v>0.15679860429615089</v>
      </c>
      <c r="X56" s="987">
        <f t="shared" si="16"/>
        <v>0.11554222888555699</v>
      </c>
      <c r="Y56" s="468">
        <f t="shared" si="16"/>
        <v>0.15281076801266824</v>
      </c>
      <c r="Z56" s="987">
        <f t="shared" si="16"/>
        <v>-0.15365017148456639</v>
      </c>
      <c r="AA56" s="987">
        <f t="shared" si="16"/>
        <v>-0.91733433876896975</v>
      </c>
      <c r="AB56" s="987">
        <f t="shared" si="16"/>
        <v>-0.78980378102320581</v>
      </c>
      <c r="AC56" s="987"/>
      <c r="AD56" s="987"/>
      <c r="AE56" s="987"/>
      <c r="AF56" s="987"/>
      <c r="AG56" s="987"/>
      <c r="AH56" s="987"/>
      <c r="AI56" s="987"/>
      <c r="AJ56" s="987"/>
      <c r="AK56" s="987"/>
      <c r="AL56" s="987"/>
      <c r="AM56" s="987"/>
      <c r="AN56" s="987"/>
      <c r="AO56" s="987"/>
      <c r="AP56" s="987"/>
      <c r="AQ56" s="987"/>
      <c r="AR56" s="987"/>
      <c r="AS56" s="987"/>
      <c r="AT56" s="987"/>
      <c r="AU56" s="987"/>
      <c r="AV56" s="987"/>
      <c r="AW56" s="987"/>
      <c r="AX56" s="987"/>
      <c r="AY56" s="987"/>
      <c r="AZ56" s="987"/>
      <c r="BA56" s="987"/>
      <c r="BB56" s="987"/>
      <c r="BC56" s="987"/>
      <c r="BD56" s="987"/>
      <c r="BE56" s="2119"/>
      <c r="BF56" s="2119"/>
      <c r="BG56" s="2119"/>
    </row>
    <row r="57" spans="1:130" s="2130" customFormat="1" ht="12">
      <c r="A57" s="2269" t="s">
        <v>1459</v>
      </c>
      <c r="B57" s="2270"/>
      <c r="C57" s="2270"/>
      <c r="D57" s="2270"/>
      <c r="E57" s="2271"/>
      <c r="F57" s="2270"/>
      <c r="G57" s="2270"/>
      <c r="H57" s="2270"/>
      <c r="I57" s="2271"/>
      <c r="J57" s="2270"/>
      <c r="K57" s="2270"/>
      <c r="L57" s="2270"/>
      <c r="M57" s="2271"/>
      <c r="N57" s="2270"/>
      <c r="O57" s="987">
        <v>0.222</v>
      </c>
      <c r="P57" s="987">
        <v>0.15</v>
      </c>
      <c r="Q57" s="468">
        <v>0.16</v>
      </c>
      <c r="R57" s="987">
        <v>0.4</v>
      </c>
      <c r="S57" s="987">
        <f t="shared" ref="S57:AB57" si="17">S55/O55-1</f>
        <v>0.17053185107659319</v>
      </c>
      <c r="T57" s="987">
        <f t="shared" si="17"/>
        <v>0.29548103068755682</v>
      </c>
      <c r="U57" s="468">
        <f t="shared" si="17"/>
        <v>0.19390287132222617</v>
      </c>
      <c r="V57" s="987">
        <f t="shared" si="17"/>
        <v>9.5192101309293786E-2</v>
      </c>
      <c r="W57" s="987">
        <f t="shared" si="17"/>
        <v>0.15679860429615089</v>
      </c>
      <c r="X57" s="987">
        <f t="shared" si="17"/>
        <v>0.11554222888555699</v>
      </c>
      <c r="Y57" s="468">
        <f t="shared" si="17"/>
        <v>0.15281076801266824</v>
      </c>
      <c r="Z57" s="987">
        <f t="shared" si="17"/>
        <v>-0.15365017148456639</v>
      </c>
      <c r="AA57" s="987">
        <f t="shared" si="17"/>
        <v>-0.91733433876896975</v>
      </c>
      <c r="AB57" s="987">
        <f t="shared" si="17"/>
        <v>-0.78980378102320581</v>
      </c>
      <c r="AC57" s="987"/>
      <c r="AD57" s="987"/>
      <c r="AE57" s="987"/>
      <c r="AF57" s="987"/>
      <c r="AG57" s="987"/>
      <c r="AH57" s="987"/>
      <c r="AI57" s="987"/>
      <c r="AJ57" s="987"/>
      <c r="AK57" s="987"/>
      <c r="AL57" s="987"/>
      <c r="AM57" s="987"/>
      <c r="AN57" s="987"/>
      <c r="AO57" s="987"/>
      <c r="AP57" s="987"/>
      <c r="AQ57" s="987"/>
      <c r="AR57" s="987"/>
      <c r="AS57" s="987"/>
      <c r="AT57" s="987"/>
      <c r="AU57" s="987"/>
      <c r="AV57" s="987"/>
      <c r="AW57" s="987"/>
      <c r="AX57" s="987"/>
      <c r="AY57" s="987"/>
      <c r="AZ57" s="987"/>
      <c r="BA57" s="987"/>
      <c r="BB57" s="987"/>
      <c r="BC57" s="987"/>
      <c r="BD57" s="987"/>
      <c r="BE57" s="2270"/>
      <c r="BF57" s="2270"/>
      <c r="BG57" s="2270"/>
    </row>
    <row r="58" spans="1:130" s="2130" customFormat="1">
      <c r="A58" s="2252"/>
      <c r="B58" s="2252"/>
      <c r="C58" s="2252"/>
      <c r="D58" s="2252"/>
      <c r="E58" s="2253"/>
      <c r="F58" s="2252"/>
      <c r="G58" s="2252"/>
      <c r="H58" s="2252"/>
      <c r="I58" s="2253"/>
      <c r="J58" s="2252"/>
      <c r="K58" s="2252"/>
      <c r="L58" s="2252"/>
      <c r="M58" s="2253"/>
      <c r="N58" s="2252"/>
      <c r="O58" s="2252"/>
      <c r="P58" s="2252"/>
      <c r="Q58" s="2253"/>
      <c r="R58" s="2252"/>
      <c r="S58" s="2272"/>
      <c r="T58" s="2252"/>
      <c r="U58" s="2253"/>
      <c r="V58" s="2252"/>
      <c r="W58" s="2252"/>
      <c r="X58" s="2252"/>
      <c r="Y58" s="2253"/>
      <c r="Z58" s="2252"/>
      <c r="AA58" s="2252"/>
      <c r="AB58" s="2252"/>
      <c r="AC58" s="2252"/>
      <c r="AD58" s="2252"/>
      <c r="AE58" s="2252"/>
      <c r="AF58" s="2252"/>
      <c r="AG58" s="2252"/>
      <c r="AH58" s="2252"/>
      <c r="AI58" s="2252"/>
      <c r="AJ58" s="2252"/>
      <c r="AK58" s="2252"/>
      <c r="AL58" s="2252"/>
      <c r="AM58" s="2252"/>
      <c r="AN58" s="2252"/>
      <c r="AO58" s="2252"/>
      <c r="AP58" s="2252"/>
      <c r="AQ58" s="2252"/>
      <c r="AR58" s="2252"/>
      <c r="AS58" s="2252"/>
      <c r="AT58" s="2252"/>
      <c r="AU58" s="2252"/>
      <c r="AV58" s="2252"/>
      <c r="AW58" s="2252"/>
      <c r="AX58" s="2252"/>
      <c r="AY58" s="2252"/>
      <c r="AZ58" s="2252"/>
      <c r="BA58" s="2252"/>
      <c r="BB58" s="2252"/>
      <c r="BC58" s="2252"/>
      <c r="BD58" s="2252"/>
      <c r="BE58" s="2252"/>
      <c r="BF58" s="2252"/>
      <c r="BG58" s="2252"/>
    </row>
    <row r="59" spans="1:130" s="2135" customFormat="1" ht="12">
      <c r="A59" s="2247" t="s">
        <v>1271</v>
      </c>
      <c r="B59" s="2248"/>
      <c r="C59" s="2248"/>
      <c r="D59" s="2248"/>
      <c r="E59" s="2249"/>
      <c r="F59" s="2248"/>
      <c r="G59" s="2248"/>
      <c r="H59" s="2248"/>
      <c r="I59" s="2249"/>
      <c r="J59" s="2248"/>
      <c r="K59" s="2248">
        <v>2.3451</v>
      </c>
      <c r="L59" s="2248">
        <v>2.2109999999999999</v>
      </c>
      <c r="M59" s="2249"/>
      <c r="N59" s="2248"/>
      <c r="O59" s="2248">
        <v>5.7998000000000003</v>
      </c>
      <c r="P59" s="2248">
        <v>5.6319999999999997</v>
      </c>
      <c r="Q59" s="2249">
        <v>5.5919999999999996</v>
      </c>
      <c r="R59" s="2248">
        <v>4.8869999999999996</v>
      </c>
      <c r="S59" s="2250">
        <v>6.7460000000000004</v>
      </c>
      <c r="T59" s="2248">
        <v>6.7060000000000004</v>
      </c>
      <c r="U59" s="2249">
        <v>7.0179999999999998</v>
      </c>
      <c r="V59" s="2248">
        <v>6.141</v>
      </c>
      <c r="W59" s="2248">
        <v>7.5579999999999998</v>
      </c>
      <c r="X59" s="2248">
        <v>7.51</v>
      </c>
      <c r="Y59" s="2249">
        <v>8.4719999999999995</v>
      </c>
      <c r="Z59" s="2248">
        <v>6.1070000000000002</v>
      </c>
      <c r="AA59" s="2259">
        <v>0.13300000000000001</v>
      </c>
      <c r="AB59" s="2259">
        <v>0.85499999999999998</v>
      </c>
      <c r="AC59" s="2259"/>
      <c r="AD59" s="2259"/>
      <c r="AE59" s="2259"/>
      <c r="AF59" s="2259"/>
      <c r="AG59" s="2259"/>
      <c r="AH59" s="2259"/>
      <c r="AI59" s="2259"/>
      <c r="AJ59" s="2259"/>
      <c r="AK59" s="2259"/>
      <c r="AL59" s="2259"/>
      <c r="AM59" s="2259"/>
      <c r="AN59" s="2259"/>
      <c r="AO59" s="2259"/>
      <c r="AP59" s="2259"/>
      <c r="AQ59" s="2259"/>
      <c r="AR59" s="2259"/>
      <c r="AS59" s="2259"/>
      <c r="AT59" s="2259"/>
      <c r="AU59" s="2259"/>
      <c r="AV59" s="2259"/>
      <c r="AW59" s="2259"/>
      <c r="AX59" s="2259"/>
      <c r="AY59" s="2259"/>
      <c r="AZ59" s="2259"/>
      <c r="BA59" s="2259"/>
      <c r="BB59" s="2259"/>
      <c r="BC59" s="2259"/>
      <c r="BD59" s="2259"/>
      <c r="BE59" s="2119"/>
      <c r="BF59" s="2119"/>
      <c r="BG59" s="2248"/>
      <c r="BH59" s="2133"/>
      <c r="BI59" s="2133"/>
      <c r="BJ59" s="2133"/>
      <c r="BK59" s="2133"/>
      <c r="BL59" s="2133"/>
      <c r="BM59" s="2133"/>
      <c r="BN59" s="2133"/>
      <c r="BO59" s="2133"/>
      <c r="BP59" s="2133"/>
      <c r="BQ59" s="2133"/>
      <c r="BR59" s="2133"/>
      <c r="BS59" s="2133"/>
      <c r="BT59" s="2133"/>
      <c r="BU59" s="2133"/>
      <c r="BV59" s="2133"/>
      <c r="BW59" s="2133"/>
      <c r="BX59" s="2133"/>
      <c r="BY59" s="2133"/>
      <c r="BZ59" s="2133"/>
      <c r="CA59" s="2133"/>
      <c r="CB59" s="2133"/>
      <c r="CC59" s="2133"/>
      <c r="CD59" s="2133"/>
      <c r="CE59" s="2133"/>
      <c r="CF59" s="2133"/>
      <c r="CG59" s="2133"/>
      <c r="CH59" s="2133"/>
      <c r="CI59" s="2133"/>
      <c r="CJ59" s="2133"/>
      <c r="CK59" s="2133"/>
      <c r="CL59" s="2133"/>
      <c r="CM59" s="2133"/>
      <c r="CN59" s="2133"/>
      <c r="CO59" s="2133"/>
      <c r="CP59" s="2133"/>
      <c r="CQ59" s="2133"/>
      <c r="CR59" s="2133"/>
      <c r="CS59" s="2133"/>
      <c r="CT59" s="2133"/>
      <c r="CU59" s="2133"/>
      <c r="CV59" s="2133"/>
      <c r="CW59" s="2133"/>
      <c r="CX59" s="2133"/>
      <c r="CY59" s="2133"/>
      <c r="CZ59" s="2133"/>
      <c r="DA59" s="2133"/>
      <c r="DB59" s="2133"/>
      <c r="DC59" s="2133"/>
      <c r="DD59" s="2133"/>
      <c r="DE59" s="2133"/>
      <c r="DF59" s="2133"/>
      <c r="DG59" s="2133"/>
      <c r="DH59" s="2133"/>
      <c r="DI59" s="2133"/>
      <c r="DJ59" s="2133"/>
      <c r="DK59" s="2133"/>
      <c r="DL59" s="2133"/>
      <c r="DM59" s="2133"/>
      <c r="DN59" s="2133"/>
      <c r="DO59" s="2133"/>
      <c r="DP59" s="2133"/>
      <c r="DQ59" s="2133"/>
      <c r="DR59" s="2133"/>
      <c r="DS59" s="2133"/>
      <c r="DT59" s="2133"/>
      <c r="DU59" s="2133"/>
      <c r="DV59" s="2133"/>
      <c r="DW59" s="2133"/>
      <c r="DX59" s="2133"/>
      <c r="DY59" s="2133"/>
      <c r="DZ59" s="2133"/>
    </row>
    <row r="60" spans="1:130" s="2130" customFormat="1" ht="12">
      <c r="A60" s="2110" t="s">
        <v>1272</v>
      </c>
      <c r="B60" s="2270"/>
      <c r="C60" s="2270"/>
      <c r="D60" s="2270"/>
      <c r="E60" s="2271"/>
      <c r="F60" s="2270"/>
      <c r="G60" s="2270"/>
      <c r="H60" s="2270"/>
      <c r="I60" s="2271"/>
      <c r="J60" s="2270"/>
      <c r="K60" s="2270"/>
      <c r="L60" s="2270"/>
      <c r="M60" s="2271"/>
      <c r="N60" s="2270"/>
      <c r="O60" s="987">
        <f>O59/K59-1</f>
        <v>1.4731567950194022</v>
      </c>
      <c r="P60" s="987">
        <v>1.548</v>
      </c>
      <c r="Q60" s="468">
        <v>1.319</v>
      </c>
      <c r="R60" s="987">
        <v>0.37</v>
      </c>
      <c r="S60" s="987">
        <f t="shared" ref="S60:AB60" si="18">S59/O59-1</f>
        <v>0.1631435566743682</v>
      </c>
      <c r="T60" s="987">
        <f t="shared" si="18"/>
        <v>0.19069602272727293</v>
      </c>
      <c r="U60" s="468">
        <f t="shared" si="18"/>
        <v>0.25500715307582267</v>
      </c>
      <c r="V60" s="987">
        <f t="shared" si="18"/>
        <v>0.25659914057704114</v>
      </c>
      <c r="W60" s="987">
        <f t="shared" si="18"/>
        <v>0.1203676252594128</v>
      </c>
      <c r="X60" s="987">
        <f t="shared" si="18"/>
        <v>0.11989263346257073</v>
      </c>
      <c r="Y60" s="468">
        <f t="shared" si="18"/>
        <v>0.20718153320034194</v>
      </c>
      <c r="Z60" s="987">
        <f t="shared" si="18"/>
        <v>-5.5365575639146902E-3</v>
      </c>
      <c r="AA60" s="987">
        <f t="shared" si="18"/>
        <v>-0.98240275205080707</v>
      </c>
      <c r="AB60" s="987">
        <f t="shared" si="18"/>
        <v>-0.88615179760319573</v>
      </c>
      <c r="AC60" s="987"/>
      <c r="AD60" s="987"/>
      <c r="AE60" s="987"/>
      <c r="AF60" s="987"/>
      <c r="AG60" s="987"/>
      <c r="AH60" s="987"/>
      <c r="AI60" s="987"/>
      <c r="AJ60" s="987"/>
      <c r="AK60" s="987"/>
      <c r="AL60" s="987"/>
      <c r="AM60" s="987"/>
      <c r="AN60" s="987"/>
      <c r="AO60" s="987"/>
      <c r="AP60" s="987"/>
      <c r="AQ60" s="987"/>
      <c r="AR60" s="987"/>
      <c r="AS60" s="987"/>
      <c r="AT60" s="987"/>
      <c r="AU60" s="987"/>
      <c r="AV60" s="987"/>
      <c r="AW60" s="987"/>
      <c r="AX60" s="987"/>
      <c r="AY60" s="987"/>
      <c r="AZ60" s="987"/>
      <c r="BA60" s="987"/>
      <c r="BB60" s="987"/>
      <c r="BC60" s="987"/>
      <c r="BD60" s="987"/>
      <c r="BE60" s="2270"/>
      <c r="BF60" s="2270"/>
      <c r="BG60" s="2270"/>
    </row>
    <row r="61" spans="1:130" s="2133" customFormat="1" ht="12">
      <c r="A61" s="2247" t="s">
        <v>1273</v>
      </c>
      <c r="B61" s="2248"/>
      <c r="C61" s="2248"/>
      <c r="D61" s="2248"/>
      <c r="E61" s="2249"/>
      <c r="F61" s="2248"/>
      <c r="G61" s="2248"/>
      <c r="H61" s="2248"/>
      <c r="I61" s="2249"/>
      <c r="J61" s="2248"/>
      <c r="K61" s="2248">
        <v>1.8814</v>
      </c>
      <c r="L61" s="2248">
        <v>1.8879999999999999</v>
      </c>
      <c r="M61" s="2249"/>
      <c r="N61" s="2248"/>
      <c r="O61" s="2248">
        <v>5.4973000000000001</v>
      </c>
      <c r="P61" s="2248">
        <v>5.3979999999999997</v>
      </c>
      <c r="Q61" s="2249">
        <v>5.3920000000000003</v>
      </c>
      <c r="R61" s="2248">
        <v>4.7119999999999997</v>
      </c>
      <c r="S61" s="2250">
        <v>6.4939999999999998</v>
      </c>
      <c r="T61" s="2248">
        <v>6.5739999999999998</v>
      </c>
      <c r="U61" s="2249">
        <v>6.851</v>
      </c>
      <c r="V61" s="2248">
        <v>5.9930000000000003</v>
      </c>
      <c r="W61" s="2248">
        <v>7.38</v>
      </c>
      <c r="X61" s="2248">
        <v>7.3849999999999998</v>
      </c>
      <c r="Y61" s="2249">
        <v>8.2949999999999999</v>
      </c>
      <c r="Z61" s="2248">
        <v>5.9829999999999997</v>
      </c>
      <c r="AA61" s="2259">
        <v>0.13300000000000001</v>
      </c>
      <c r="AB61" s="2259">
        <v>0.85399999999999998</v>
      </c>
      <c r="AC61" s="2259"/>
      <c r="AD61" s="2259"/>
      <c r="AE61" s="2259"/>
      <c r="AF61" s="2259"/>
      <c r="AG61" s="2259"/>
      <c r="AH61" s="2259"/>
      <c r="AI61" s="2259"/>
      <c r="AJ61" s="2259"/>
      <c r="AK61" s="2259"/>
      <c r="AL61" s="2259"/>
      <c r="AM61" s="2259"/>
      <c r="AN61" s="2259"/>
      <c r="AO61" s="2259"/>
      <c r="AP61" s="2259"/>
      <c r="AQ61" s="2259"/>
      <c r="AR61" s="2259"/>
      <c r="AS61" s="2259"/>
      <c r="AT61" s="2259"/>
      <c r="AU61" s="2259"/>
      <c r="AV61" s="2259"/>
      <c r="AW61" s="2259"/>
      <c r="AX61" s="2259"/>
      <c r="AY61" s="2259"/>
      <c r="AZ61" s="2259"/>
      <c r="BA61" s="2259"/>
      <c r="BB61" s="2259"/>
      <c r="BC61" s="2259"/>
      <c r="BD61" s="2259"/>
      <c r="BE61" s="2270"/>
      <c r="BF61" s="2270"/>
      <c r="BG61" s="2248"/>
    </row>
    <row r="62" spans="1:130" s="2130" customFormat="1" ht="12">
      <c r="A62" s="2110" t="s">
        <v>1274</v>
      </c>
      <c r="B62" s="2270"/>
      <c r="C62" s="2270"/>
      <c r="D62" s="2270"/>
      <c r="E62" s="2271"/>
      <c r="F62" s="2270"/>
      <c r="G62" s="2270"/>
      <c r="H62" s="2270"/>
      <c r="I62" s="2271"/>
      <c r="J62" s="2270"/>
      <c r="K62" s="2270"/>
      <c r="L62" s="2270"/>
      <c r="M62" s="2271"/>
      <c r="N62" s="2270"/>
      <c r="O62" s="987">
        <v>1.9219999999999999</v>
      </c>
      <c r="P62" s="987">
        <v>1.859</v>
      </c>
      <c r="Q62" s="468">
        <v>1.663</v>
      </c>
      <c r="R62" s="987">
        <v>1.327</v>
      </c>
      <c r="S62" s="987">
        <f t="shared" ref="S62:AB62" si="19">S61/O61-1</f>
        <v>0.18130718716460792</v>
      </c>
      <c r="T62" s="987">
        <f t="shared" si="19"/>
        <v>0.21785846609855497</v>
      </c>
      <c r="U62" s="468">
        <f t="shared" si="19"/>
        <v>0.27058605341246289</v>
      </c>
      <c r="V62" s="987">
        <f t="shared" si="19"/>
        <v>0.27185908319185081</v>
      </c>
      <c r="W62" s="987">
        <f t="shared" si="19"/>
        <v>0.1364336310440406</v>
      </c>
      <c r="X62" s="987">
        <f t="shared" si="19"/>
        <v>0.12336477030727111</v>
      </c>
      <c r="Y62" s="468">
        <f t="shared" si="19"/>
        <v>0.21077215005108751</v>
      </c>
      <c r="Z62" s="987">
        <f t="shared" si="19"/>
        <v>-1.6686133822794158E-3</v>
      </c>
      <c r="AA62" s="987">
        <f t="shared" si="19"/>
        <v>-0.98197831978319783</v>
      </c>
      <c r="AB62" s="987">
        <f t="shared" si="19"/>
        <v>-0.88436018957345974</v>
      </c>
      <c r="AC62" s="987"/>
      <c r="AD62" s="987"/>
      <c r="AE62" s="987"/>
      <c r="AF62" s="987"/>
      <c r="AG62" s="987"/>
      <c r="AH62" s="987"/>
      <c r="AI62" s="987"/>
      <c r="AJ62" s="987"/>
      <c r="AK62" s="987"/>
      <c r="AL62" s="987"/>
      <c r="AM62" s="987"/>
      <c r="AN62" s="987"/>
      <c r="AO62" s="987"/>
      <c r="AP62" s="987"/>
      <c r="AQ62" s="987"/>
      <c r="AR62" s="987"/>
      <c r="AS62" s="987"/>
      <c r="AT62" s="987"/>
      <c r="AU62" s="987"/>
      <c r="AV62" s="987"/>
      <c r="AW62" s="987"/>
      <c r="AX62" s="987"/>
      <c r="AY62" s="987"/>
      <c r="AZ62" s="987"/>
      <c r="BA62" s="987"/>
      <c r="BB62" s="987"/>
      <c r="BC62" s="987"/>
      <c r="BD62" s="987"/>
      <c r="BE62" s="2270"/>
      <c r="BF62" s="2270"/>
      <c r="BG62" s="2270"/>
    </row>
    <row r="63" spans="1:130" s="2130" customFormat="1" ht="12">
      <c r="A63" s="2269" t="s">
        <v>1275</v>
      </c>
      <c r="B63" s="2273"/>
      <c r="C63" s="2273"/>
      <c r="D63" s="2273"/>
      <c r="E63" s="2274"/>
      <c r="F63" s="2275"/>
      <c r="G63" s="2275"/>
      <c r="H63" s="2275"/>
      <c r="I63" s="2276"/>
      <c r="J63" s="2275"/>
      <c r="K63" s="2275"/>
      <c r="L63" s="2275"/>
      <c r="M63" s="2276"/>
      <c r="N63" s="2275"/>
      <c r="O63" s="987">
        <v>0.36</v>
      </c>
      <c r="P63" s="987">
        <v>0.28999999999999998</v>
      </c>
      <c r="Q63" s="468">
        <v>0.28000000000000003</v>
      </c>
      <c r="R63" s="987">
        <v>0.19</v>
      </c>
      <c r="S63" s="987">
        <f t="shared" ref="S63:AB63" si="20">S61/O61-1</f>
        <v>0.18130718716460792</v>
      </c>
      <c r="T63" s="987">
        <f t="shared" si="20"/>
        <v>0.21785846609855497</v>
      </c>
      <c r="U63" s="468">
        <f t="shared" si="20"/>
        <v>0.27058605341246289</v>
      </c>
      <c r="V63" s="987">
        <f t="shared" si="20"/>
        <v>0.27185908319185081</v>
      </c>
      <c r="W63" s="987">
        <f t="shared" si="20"/>
        <v>0.1364336310440406</v>
      </c>
      <c r="X63" s="987">
        <f t="shared" si="20"/>
        <v>0.12336477030727111</v>
      </c>
      <c r="Y63" s="468">
        <f t="shared" si="20"/>
        <v>0.21077215005108751</v>
      </c>
      <c r="Z63" s="987">
        <f t="shared" si="20"/>
        <v>-1.6686133822794158E-3</v>
      </c>
      <c r="AA63" s="987">
        <f t="shared" si="20"/>
        <v>-0.98197831978319783</v>
      </c>
      <c r="AB63" s="987">
        <f t="shared" si="20"/>
        <v>-0.88436018957345974</v>
      </c>
      <c r="AC63" s="987"/>
      <c r="AD63" s="987"/>
      <c r="AE63" s="987"/>
      <c r="AF63" s="987"/>
      <c r="AG63" s="987"/>
      <c r="AH63" s="987"/>
      <c r="AI63" s="987"/>
      <c r="AJ63" s="987"/>
      <c r="AK63" s="987"/>
      <c r="AL63" s="987"/>
      <c r="AM63" s="987"/>
      <c r="AN63" s="987"/>
      <c r="AO63" s="987"/>
      <c r="AP63" s="987"/>
      <c r="AQ63" s="987"/>
      <c r="AR63" s="987"/>
      <c r="AS63" s="987"/>
      <c r="AT63" s="987"/>
      <c r="AU63" s="987"/>
      <c r="AV63" s="987"/>
      <c r="AW63" s="987"/>
      <c r="AX63" s="987"/>
      <c r="AY63" s="987"/>
      <c r="AZ63" s="987"/>
      <c r="BA63" s="987"/>
      <c r="BB63" s="987"/>
      <c r="BC63" s="987"/>
      <c r="BD63" s="987"/>
      <c r="BE63" s="2277"/>
      <c r="BF63" s="2277"/>
      <c r="BG63" s="2277"/>
    </row>
    <row r="64" spans="1:130" s="2130" customFormat="1">
      <c r="A64" s="2254" t="s">
        <v>1276</v>
      </c>
      <c r="B64" s="1721"/>
      <c r="C64" s="1721"/>
      <c r="D64" s="1721"/>
      <c r="E64" s="1722"/>
      <c r="F64" s="1723"/>
      <c r="G64" s="1723"/>
      <c r="H64" s="1723"/>
      <c r="I64" s="1724"/>
      <c r="J64" s="1723"/>
      <c r="K64" s="1723"/>
      <c r="L64" s="1723"/>
      <c r="M64" s="1724"/>
      <c r="N64" s="1723"/>
      <c r="O64" s="1715">
        <v>9.6709999999999994</v>
      </c>
      <c r="P64" s="1715">
        <v>8.6379999999999999</v>
      </c>
      <c r="Q64" s="1725">
        <v>10.247999999999999</v>
      </c>
      <c r="R64" s="1715">
        <v>11.013</v>
      </c>
      <c r="S64" s="2239">
        <v>14.894</v>
      </c>
      <c r="T64" s="1715">
        <v>13.24</v>
      </c>
      <c r="U64" s="1725">
        <v>16.219000000000001</v>
      </c>
      <c r="V64" s="1715">
        <v>17.111000000000001</v>
      </c>
      <c r="W64" s="1715">
        <v>20.98</v>
      </c>
      <c r="X64" s="2248">
        <v>17.681999999999999</v>
      </c>
      <c r="Y64" s="2249">
        <v>21.338000000000001</v>
      </c>
      <c r="Z64" s="2248">
        <v>18.582000000000001</v>
      </c>
      <c r="AA64" s="2259">
        <v>0.42899999999999999</v>
      </c>
      <c r="AB64" s="2259">
        <v>2.972</v>
      </c>
      <c r="AC64" s="2259"/>
      <c r="AD64" s="2259"/>
      <c r="AE64" s="2259"/>
      <c r="AF64" s="2259"/>
      <c r="AG64" s="2259"/>
      <c r="AH64" s="2259"/>
      <c r="AI64" s="2259"/>
      <c r="AJ64" s="2259"/>
      <c r="AK64" s="2259"/>
      <c r="AL64" s="2259"/>
      <c r="AM64" s="2259"/>
      <c r="AN64" s="2259"/>
      <c r="AO64" s="2259"/>
      <c r="AP64" s="2259"/>
      <c r="AQ64" s="2259"/>
      <c r="AR64" s="2259"/>
      <c r="AS64" s="2259"/>
      <c r="AT64" s="2259"/>
      <c r="AU64" s="2259"/>
      <c r="AV64" s="2259"/>
      <c r="AW64" s="2259"/>
      <c r="AX64" s="2259"/>
      <c r="AY64" s="2259"/>
      <c r="AZ64" s="2259"/>
      <c r="BA64" s="2259"/>
      <c r="BB64" s="2259"/>
      <c r="BC64" s="2259"/>
      <c r="BD64" s="2259"/>
      <c r="BE64" s="2252"/>
      <c r="BF64" s="2252"/>
      <c r="BG64" s="1715"/>
    </row>
    <row r="65" spans="1:130" s="2130" customFormat="1">
      <c r="A65" s="2110" t="s">
        <v>1218</v>
      </c>
      <c r="B65" s="823"/>
      <c r="C65" s="823"/>
      <c r="D65" s="823"/>
      <c r="E65" s="824"/>
      <c r="F65" s="825"/>
      <c r="G65" s="825"/>
      <c r="H65" s="825"/>
      <c r="I65" s="826"/>
      <c r="J65" s="825"/>
      <c r="K65" s="825"/>
      <c r="L65" s="825"/>
      <c r="M65" s="826"/>
      <c r="N65" s="825"/>
      <c r="O65" s="822"/>
      <c r="P65" s="822"/>
      <c r="Q65" s="1047"/>
      <c r="R65" s="27"/>
      <c r="S65" s="27">
        <f t="shared" ref="S65:AB65" si="21">S64/O64-1</f>
        <v>0.54006824526936215</v>
      </c>
      <c r="T65" s="27">
        <f t="shared" si="21"/>
        <v>0.53276221347534158</v>
      </c>
      <c r="U65" s="97">
        <f t="shared" si="21"/>
        <v>0.58265027322404395</v>
      </c>
      <c r="V65" s="27">
        <f t="shared" si="21"/>
        <v>0.55370925270135296</v>
      </c>
      <c r="W65" s="27">
        <f t="shared" si="21"/>
        <v>0.40862092117631255</v>
      </c>
      <c r="X65" s="27">
        <f t="shared" si="21"/>
        <v>0.33549848942598182</v>
      </c>
      <c r="Y65" s="97">
        <f t="shared" si="21"/>
        <v>0.31561748566496073</v>
      </c>
      <c r="Z65" s="27">
        <f t="shared" si="21"/>
        <v>8.5968090701887601E-2</v>
      </c>
      <c r="AA65" s="27">
        <f t="shared" si="21"/>
        <v>-0.97955195424213537</v>
      </c>
      <c r="AB65" s="27">
        <f t="shared" si="21"/>
        <v>-0.83191946612374168</v>
      </c>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822"/>
      <c r="BF65" s="822"/>
      <c r="BG65" s="822"/>
    </row>
    <row r="66" spans="1:130" s="2141" customFormat="1">
      <c r="A66" s="2269" t="s">
        <v>1277</v>
      </c>
      <c r="B66" s="823"/>
      <c r="C66" s="823"/>
      <c r="D66" s="823"/>
      <c r="E66" s="824"/>
      <c r="F66" s="825"/>
      <c r="G66" s="825"/>
      <c r="H66" s="825"/>
      <c r="I66" s="826"/>
      <c r="J66" s="825"/>
      <c r="K66" s="825"/>
      <c r="L66" s="825"/>
      <c r="M66" s="826"/>
      <c r="N66" s="825"/>
      <c r="O66" s="822"/>
      <c r="P66" s="211">
        <v>0.45</v>
      </c>
      <c r="Q66" s="446">
        <v>0.34</v>
      </c>
      <c r="R66" s="27">
        <v>0.55000000000000004</v>
      </c>
      <c r="S66" s="27">
        <f t="shared" ref="S66:AB66" si="22">S64/O64-1</f>
        <v>0.54006824526936215</v>
      </c>
      <c r="T66" s="27">
        <f t="shared" si="22"/>
        <v>0.53276221347534158</v>
      </c>
      <c r="U66" s="97">
        <f t="shared" si="22"/>
        <v>0.58265027322404395</v>
      </c>
      <c r="V66" s="27">
        <f t="shared" si="22"/>
        <v>0.55370925270135296</v>
      </c>
      <c r="W66" s="27">
        <f t="shared" si="22"/>
        <v>0.40862092117631255</v>
      </c>
      <c r="X66" s="27">
        <f t="shared" si="22"/>
        <v>0.33549848942598182</v>
      </c>
      <c r="Y66" s="97">
        <f t="shared" si="22"/>
        <v>0.31561748566496073</v>
      </c>
      <c r="Z66" s="27">
        <f t="shared" si="22"/>
        <v>8.5968090701887601E-2</v>
      </c>
      <c r="AA66" s="27">
        <f t="shared" si="22"/>
        <v>-0.97955195424213537</v>
      </c>
      <c r="AB66" s="27">
        <f t="shared" si="22"/>
        <v>-0.83191946612374168</v>
      </c>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822"/>
      <c r="BF66" s="822"/>
      <c r="BG66" s="822"/>
      <c r="BH66" s="2139"/>
      <c r="BI66" s="2139"/>
      <c r="BJ66" s="2139"/>
      <c r="BK66" s="2139"/>
      <c r="BL66" s="2139"/>
      <c r="BM66" s="2139"/>
      <c r="BN66" s="2139"/>
      <c r="BO66" s="2139"/>
      <c r="BP66" s="2139"/>
      <c r="BQ66" s="2139"/>
      <c r="BR66" s="2139"/>
      <c r="BS66" s="2139"/>
      <c r="BT66" s="2139"/>
      <c r="BU66" s="2139"/>
      <c r="BV66" s="2139"/>
      <c r="BW66" s="2139"/>
      <c r="BX66" s="2139"/>
      <c r="BY66" s="2139"/>
      <c r="BZ66" s="2139"/>
      <c r="CA66" s="2139"/>
      <c r="CB66" s="2139"/>
      <c r="CC66" s="2139"/>
      <c r="CD66" s="2139"/>
      <c r="CE66" s="2139"/>
      <c r="CF66" s="2139"/>
      <c r="CG66" s="2139"/>
      <c r="CH66" s="2139"/>
      <c r="CI66" s="2139"/>
      <c r="CJ66" s="2139"/>
      <c r="CK66" s="2139"/>
      <c r="CL66" s="2139"/>
      <c r="CM66" s="2139"/>
      <c r="CN66" s="2139"/>
      <c r="CO66" s="2139"/>
      <c r="CP66" s="2139"/>
      <c r="CQ66" s="2139"/>
      <c r="CR66" s="2139"/>
      <c r="CS66" s="2139"/>
      <c r="CT66" s="2139"/>
      <c r="CU66" s="2139"/>
      <c r="CV66" s="2139"/>
      <c r="CW66" s="2139"/>
      <c r="CX66" s="2139"/>
      <c r="CY66" s="2139"/>
      <c r="CZ66" s="2139"/>
      <c r="DA66" s="2139"/>
      <c r="DB66" s="2139"/>
      <c r="DC66" s="2139"/>
      <c r="DD66" s="2139"/>
      <c r="DE66" s="2139"/>
      <c r="DF66" s="2139"/>
      <c r="DG66" s="2139"/>
      <c r="DH66" s="2139"/>
      <c r="DI66" s="2139"/>
      <c r="DJ66" s="2139"/>
      <c r="DK66" s="2139"/>
      <c r="DL66" s="2139"/>
      <c r="DM66" s="2139"/>
      <c r="DN66" s="2139"/>
      <c r="DO66" s="2139"/>
      <c r="DP66" s="2139"/>
      <c r="DQ66" s="2139"/>
      <c r="DR66" s="2139"/>
      <c r="DS66" s="2139"/>
      <c r="DT66" s="2139"/>
      <c r="DU66" s="2139"/>
      <c r="DV66" s="2139"/>
      <c r="DW66" s="2139"/>
      <c r="DX66" s="2139"/>
      <c r="DY66" s="2139"/>
      <c r="DZ66" s="2139"/>
    </row>
    <row r="67" spans="1:130" s="2133" customFormat="1">
      <c r="A67" s="2254"/>
      <c r="B67" s="823"/>
      <c r="C67" s="823"/>
      <c r="D67" s="823"/>
      <c r="E67" s="824"/>
      <c r="F67" s="825"/>
      <c r="G67" s="825"/>
      <c r="H67" s="825"/>
      <c r="I67" s="826"/>
      <c r="J67" s="825"/>
      <c r="K67" s="825"/>
      <c r="L67" s="825"/>
      <c r="M67" s="826"/>
      <c r="N67" s="967"/>
      <c r="O67" s="967"/>
      <c r="P67" s="967"/>
      <c r="Q67" s="1048"/>
      <c r="R67" s="967"/>
      <c r="S67" s="967"/>
      <c r="T67" s="822"/>
      <c r="U67" s="1047"/>
      <c r="V67" s="822"/>
      <c r="W67" s="822"/>
      <c r="X67" s="822"/>
      <c r="Y67" s="1047"/>
      <c r="Z67" s="822"/>
      <c r="AA67" s="822"/>
      <c r="AB67" s="822"/>
      <c r="AC67" s="822"/>
      <c r="AD67" s="822"/>
      <c r="AE67" s="822"/>
      <c r="AF67" s="822"/>
      <c r="AG67" s="822"/>
      <c r="AH67" s="822"/>
      <c r="AI67" s="822"/>
      <c r="AJ67" s="822"/>
      <c r="AK67" s="822"/>
      <c r="AL67" s="822"/>
      <c r="AM67" s="822"/>
      <c r="AN67" s="822"/>
      <c r="AO67" s="822"/>
      <c r="AP67" s="822"/>
      <c r="AQ67" s="822"/>
      <c r="AR67" s="822"/>
      <c r="AS67" s="822"/>
      <c r="AT67" s="822"/>
      <c r="AU67" s="822"/>
      <c r="AV67" s="822"/>
      <c r="AW67" s="822"/>
      <c r="AX67" s="822"/>
      <c r="AY67" s="822"/>
      <c r="AZ67" s="822"/>
      <c r="BA67" s="822"/>
      <c r="BB67" s="822"/>
      <c r="BC67" s="822"/>
      <c r="BD67" s="822"/>
      <c r="BE67" s="822"/>
      <c r="BF67" s="822"/>
      <c r="BG67" s="822"/>
    </row>
    <row r="68" spans="1:130" s="2133" customFormat="1">
      <c r="A68" s="2278" t="s">
        <v>1460</v>
      </c>
      <c r="B68" s="1721"/>
      <c r="C68" s="1721"/>
      <c r="D68" s="1721"/>
      <c r="E68" s="1722"/>
      <c r="F68" s="1723"/>
      <c r="G68" s="1723"/>
      <c r="H68" s="1723"/>
      <c r="I68" s="1724">
        <v>0.89500000000000002</v>
      </c>
      <c r="J68" s="1723">
        <v>0.98399999999999999</v>
      </c>
      <c r="K68" s="1723">
        <v>1.1279999999999999</v>
      </c>
      <c r="L68" s="1723">
        <v>1.1890000000000001</v>
      </c>
      <c r="M68" s="1724">
        <v>1.327</v>
      </c>
      <c r="N68" s="1723">
        <v>1.4390000000000001</v>
      </c>
      <c r="O68" s="1715">
        <v>1.86</v>
      </c>
      <c r="P68" s="1715">
        <v>2.0190000000000001</v>
      </c>
      <c r="Q68" s="1725">
        <v>2.7890000000000001</v>
      </c>
      <c r="R68" s="1715">
        <v>3.488</v>
      </c>
      <c r="S68" s="1715">
        <f>61530*30*(1+1/1.2+1/1.2/1.2)/1000000</f>
        <v>4.6660250000000012</v>
      </c>
      <c r="T68" s="1715">
        <f>66519*90/1000000</f>
        <v>5.9867100000000004</v>
      </c>
      <c r="U68" s="1725"/>
      <c r="V68" s="1715"/>
      <c r="W68" s="1715"/>
      <c r="X68" s="1715"/>
      <c r="Y68" s="1725"/>
      <c r="Z68" s="1715"/>
      <c r="AA68" s="1715"/>
      <c r="AB68" s="1715"/>
      <c r="AC68" s="1715"/>
      <c r="AD68" s="1715"/>
      <c r="AE68" s="1715"/>
      <c r="AF68" s="1715"/>
      <c r="AG68" s="1715"/>
      <c r="AH68" s="1715"/>
      <c r="AI68" s="1715"/>
      <c r="AJ68" s="1715"/>
      <c r="AK68" s="1715"/>
      <c r="AL68" s="1715"/>
      <c r="AM68" s="1715"/>
      <c r="AN68" s="1715"/>
      <c r="AO68" s="1715"/>
      <c r="AP68" s="1715"/>
      <c r="AQ68" s="1715"/>
      <c r="AR68" s="1715"/>
      <c r="AS68" s="1715"/>
      <c r="AT68" s="1715"/>
      <c r="AU68" s="1715"/>
      <c r="AV68" s="1715"/>
      <c r="AW68" s="1715"/>
      <c r="AX68" s="1715"/>
      <c r="AY68" s="1715"/>
      <c r="AZ68" s="1715"/>
      <c r="BA68" s="1715"/>
      <c r="BB68" s="1715"/>
      <c r="BC68" s="1715"/>
      <c r="BD68" s="1715"/>
      <c r="BE68" s="1715"/>
      <c r="BF68" s="1715"/>
      <c r="BG68" s="1715"/>
    </row>
    <row r="69" spans="1:130" s="2130" customFormat="1">
      <c r="A69" s="2269" t="s">
        <v>1461</v>
      </c>
      <c r="B69" s="823"/>
      <c r="C69" s="823"/>
      <c r="D69" s="823"/>
      <c r="E69" s="824"/>
      <c r="F69" s="825"/>
      <c r="G69" s="825"/>
      <c r="H69" s="825"/>
      <c r="I69" s="826"/>
      <c r="J69" s="825"/>
      <c r="K69" s="211">
        <f>K68/K61</f>
        <v>0.59955352397151052</v>
      </c>
      <c r="L69" s="211">
        <f>L68/L61</f>
        <v>0.62976694915254239</v>
      </c>
      <c r="M69" s="826"/>
      <c r="N69" s="825"/>
      <c r="O69" s="211">
        <f t="shared" ref="O69:T69" si="23">O68/O61</f>
        <v>0.33834791624979538</v>
      </c>
      <c r="P69" s="211">
        <f t="shared" si="23"/>
        <v>0.37402741756206009</v>
      </c>
      <c r="Q69" s="446">
        <f t="shared" si="23"/>
        <v>0.51724777448071213</v>
      </c>
      <c r="R69" s="211">
        <f t="shared" si="23"/>
        <v>0.74023769100169778</v>
      </c>
      <c r="S69" s="211">
        <f t="shared" si="23"/>
        <v>0.7185132429935327</v>
      </c>
      <c r="T69" s="211">
        <f t="shared" si="23"/>
        <v>0.91066473988439312</v>
      </c>
      <c r="U69" s="446"/>
      <c r="V69" s="211"/>
      <c r="W69" s="822"/>
      <c r="X69" s="822"/>
      <c r="Y69" s="1047"/>
      <c r="Z69" s="822"/>
      <c r="AA69" s="822"/>
      <c r="AB69" s="822"/>
      <c r="AC69" s="822"/>
      <c r="AD69" s="822"/>
      <c r="AE69" s="822"/>
      <c r="AF69" s="822"/>
      <c r="AG69" s="822"/>
      <c r="AH69" s="822"/>
      <c r="AI69" s="822"/>
      <c r="AJ69" s="822"/>
      <c r="AK69" s="822"/>
      <c r="AL69" s="822"/>
      <c r="AM69" s="822"/>
      <c r="AN69" s="822"/>
      <c r="AO69" s="822"/>
      <c r="AP69" s="822"/>
      <c r="AQ69" s="822"/>
      <c r="AR69" s="822"/>
      <c r="AS69" s="822"/>
      <c r="AT69" s="822"/>
      <c r="AU69" s="822"/>
      <c r="AV69" s="822"/>
      <c r="AW69" s="822"/>
      <c r="AX69" s="822"/>
      <c r="AY69" s="822"/>
      <c r="AZ69" s="822"/>
      <c r="BA69" s="822"/>
      <c r="BB69" s="822"/>
      <c r="BC69" s="822"/>
      <c r="BD69" s="822"/>
      <c r="BE69" s="822"/>
      <c r="BF69" s="822"/>
      <c r="BG69" s="822"/>
    </row>
    <row r="70" spans="1:130" s="2130" customFormat="1" ht="12.75" customHeight="1">
      <c r="A70" s="2269"/>
      <c r="B70" s="823"/>
      <c r="C70" s="823"/>
      <c r="D70" s="823"/>
      <c r="E70" s="824"/>
      <c r="F70" s="825"/>
      <c r="G70" s="825"/>
      <c r="H70" s="825"/>
      <c r="I70" s="826"/>
      <c r="J70" s="825"/>
      <c r="K70" s="211"/>
      <c r="L70" s="211"/>
      <c r="M70" s="826"/>
      <c r="N70" s="825"/>
      <c r="O70" s="822"/>
      <c r="P70" s="822"/>
      <c r="Q70" s="1047"/>
      <c r="R70" s="822"/>
      <c r="S70" s="822"/>
      <c r="T70" s="822"/>
      <c r="U70" s="1047"/>
      <c r="V70" s="822"/>
      <c r="W70" s="822"/>
      <c r="X70" s="822"/>
      <c r="Y70" s="1047"/>
      <c r="Z70" s="822"/>
      <c r="AA70" s="822"/>
      <c r="AB70" s="822"/>
      <c r="AC70" s="822"/>
      <c r="AD70" s="822"/>
      <c r="AE70" s="822"/>
      <c r="AF70" s="822"/>
      <c r="AG70" s="822"/>
      <c r="AH70" s="822"/>
      <c r="AI70" s="822"/>
      <c r="AJ70" s="822"/>
      <c r="AK70" s="822"/>
      <c r="AL70" s="822"/>
      <c r="AM70" s="822"/>
      <c r="AN70" s="822"/>
      <c r="AO70" s="822"/>
      <c r="AP70" s="822"/>
      <c r="AQ70" s="822"/>
      <c r="AR70" s="822"/>
      <c r="AS70" s="822"/>
      <c r="AT70" s="822"/>
      <c r="AU70" s="822"/>
      <c r="AV70" s="822"/>
      <c r="AW70" s="822"/>
      <c r="AX70" s="822"/>
      <c r="AY70" s="822"/>
      <c r="AZ70" s="822"/>
      <c r="BA70" s="822"/>
      <c r="BB70" s="822"/>
      <c r="BC70" s="822"/>
      <c r="BD70" s="822"/>
      <c r="BE70" s="822"/>
      <c r="BF70" s="822">
        <v>1000</v>
      </c>
      <c r="BG70" s="822"/>
    </row>
    <row r="71" spans="1:130" s="2144" customFormat="1" ht="12.75" customHeight="1">
      <c r="A71" s="2269"/>
      <c r="B71" s="823"/>
      <c r="C71" s="823"/>
      <c r="D71" s="823"/>
      <c r="E71" s="824"/>
      <c r="F71" s="825"/>
      <c r="G71" s="825"/>
      <c r="H71" s="825"/>
      <c r="I71" s="826"/>
      <c r="J71" s="825"/>
      <c r="K71" s="825"/>
      <c r="L71" s="825"/>
      <c r="M71" s="826"/>
      <c r="N71" s="825"/>
      <c r="O71" s="822"/>
      <c r="P71" s="211"/>
      <c r="Q71" s="1047"/>
      <c r="R71" s="822"/>
      <c r="S71" s="822"/>
      <c r="T71" s="822"/>
      <c r="U71" s="1047"/>
      <c r="V71" s="822"/>
      <c r="W71" s="822"/>
      <c r="X71" s="822"/>
      <c r="Y71" s="1047"/>
      <c r="Z71" s="822"/>
      <c r="AA71" s="822"/>
      <c r="AB71" s="822"/>
      <c r="AC71" s="822"/>
      <c r="AD71" s="822"/>
      <c r="AE71" s="822"/>
      <c r="AF71" s="822"/>
      <c r="AG71" s="822"/>
      <c r="AH71" s="822"/>
      <c r="AI71" s="822"/>
      <c r="AJ71" s="822"/>
      <c r="AK71" s="822"/>
      <c r="AL71" s="822"/>
      <c r="AM71" s="822"/>
      <c r="AN71" s="822"/>
      <c r="AO71" s="822"/>
      <c r="AP71" s="822"/>
      <c r="AQ71" s="822"/>
      <c r="AR71" s="822"/>
      <c r="AS71" s="822"/>
      <c r="AT71" s="822"/>
      <c r="AU71" s="822"/>
      <c r="AV71" s="822"/>
      <c r="AW71" s="822"/>
      <c r="AX71" s="822"/>
      <c r="AY71" s="822"/>
      <c r="AZ71" s="822"/>
      <c r="BA71" s="822"/>
      <c r="BB71" s="822"/>
      <c r="BC71" s="822"/>
      <c r="BD71" s="822"/>
      <c r="BE71" s="822"/>
      <c r="BF71" s="822"/>
      <c r="BG71" s="822"/>
      <c r="BH71" s="2125"/>
      <c r="BI71" s="2125"/>
      <c r="BJ71" s="2125"/>
      <c r="BK71" s="2125"/>
      <c r="BL71" s="2125"/>
      <c r="BM71" s="2125"/>
      <c r="BN71" s="2125"/>
      <c r="BO71" s="2125"/>
      <c r="BP71" s="2125"/>
      <c r="BQ71" s="2125"/>
      <c r="BR71" s="2125"/>
      <c r="BS71" s="2125"/>
      <c r="BT71" s="2125"/>
      <c r="BU71" s="2125"/>
      <c r="BV71" s="2125"/>
      <c r="BW71" s="2125"/>
      <c r="BX71" s="2125"/>
      <c r="BY71" s="2125"/>
      <c r="BZ71" s="2125"/>
      <c r="CA71" s="2125"/>
      <c r="CB71" s="2125"/>
      <c r="CC71" s="2125"/>
      <c r="CD71" s="2125"/>
      <c r="CE71" s="2125"/>
      <c r="CF71" s="2125"/>
      <c r="CG71" s="2125"/>
      <c r="CH71" s="2125"/>
      <c r="CI71" s="2125"/>
      <c r="CJ71" s="2125"/>
      <c r="CK71" s="2125"/>
      <c r="CL71" s="2125"/>
      <c r="CM71" s="2125"/>
      <c r="CN71" s="2125"/>
      <c r="CO71" s="2125"/>
      <c r="CP71" s="2125"/>
      <c r="CQ71" s="2125"/>
      <c r="CR71" s="2125"/>
      <c r="CS71" s="2125"/>
      <c r="CT71" s="2125"/>
      <c r="CU71" s="2125"/>
      <c r="CV71" s="2125"/>
      <c r="CW71" s="2125"/>
      <c r="CX71" s="2125"/>
      <c r="CY71" s="2125"/>
      <c r="CZ71" s="2125"/>
      <c r="DA71" s="2125"/>
      <c r="DB71" s="2125"/>
      <c r="DC71" s="2125"/>
      <c r="DD71" s="2125"/>
      <c r="DE71" s="2125"/>
      <c r="DF71" s="2125"/>
      <c r="DG71" s="2125"/>
      <c r="DH71" s="2125"/>
      <c r="DI71" s="2125"/>
      <c r="DJ71" s="2125"/>
      <c r="DK71" s="2125"/>
      <c r="DL71" s="2125"/>
      <c r="DM71" s="2125"/>
      <c r="DN71" s="2125"/>
      <c r="DO71" s="2125"/>
      <c r="DP71" s="2125"/>
      <c r="DQ71" s="2125"/>
      <c r="DR71" s="2125"/>
      <c r="DS71" s="2125"/>
      <c r="DT71" s="2125"/>
      <c r="DU71" s="2125"/>
      <c r="DV71" s="2125"/>
      <c r="DW71" s="2125"/>
      <c r="DX71" s="2125"/>
      <c r="DY71" s="2125"/>
      <c r="DZ71" s="2125"/>
    </row>
    <row r="72" spans="1:130" s="2125" customFormat="1" ht="12.75" customHeight="1">
      <c r="A72" s="2279" t="s">
        <v>1870</v>
      </c>
      <c r="B72" s="2055"/>
      <c r="C72" s="2055"/>
      <c r="D72" s="2055"/>
      <c r="E72" s="2056"/>
      <c r="F72" s="2055"/>
      <c r="G72" s="2055"/>
      <c r="H72" s="2055"/>
      <c r="I72" s="2056"/>
      <c r="J72" s="2055"/>
      <c r="K72" s="2055"/>
      <c r="L72" s="2055"/>
      <c r="M72" s="2056"/>
      <c r="N72" s="2055"/>
      <c r="O72" s="2055"/>
      <c r="P72" s="2055"/>
      <c r="Q72" s="2056"/>
      <c r="R72" s="2055"/>
      <c r="S72" s="2055"/>
      <c r="T72" s="2055"/>
      <c r="U72" s="2056"/>
      <c r="V72" s="2055"/>
      <c r="W72" s="2055"/>
      <c r="X72" s="2055"/>
      <c r="Y72" s="2056"/>
      <c r="Z72" s="2055"/>
      <c r="AA72" s="2055"/>
      <c r="AB72" s="2055"/>
      <c r="AC72" s="376"/>
      <c r="AD72" s="376"/>
      <c r="AE72" s="376"/>
      <c r="AF72" s="376"/>
      <c r="AG72" s="376"/>
      <c r="AH72" s="376"/>
      <c r="AI72" s="376"/>
      <c r="AJ72" s="376"/>
      <c r="AK72" s="376"/>
      <c r="AL72" s="376"/>
      <c r="AM72" s="376"/>
      <c r="AN72" s="376"/>
      <c r="AO72" s="376"/>
      <c r="AP72" s="376"/>
      <c r="AQ72" s="376"/>
      <c r="AR72" s="376"/>
      <c r="AS72" s="376"/>
      <c r="AT72" s="376"/>
      <c r="AU72" s="376"/>
      <c r="AV72" s="376"/>
      <c r="AW72" s="376"/>
      <c r="AX72" s="376"/>
      <c r="AY72" s="376"/>
      <c r="AZ72" s="376"/>
      <c r="BA72" s="376"/>
      <c r="BB72" s="376"/>
      <c r="BC72" s="376"/>
      <c r="BD72" s="376"/>
      <c r="BE72" s="2055"/>
      <c r="BF72" s="2055"/>
      <c r="BG72" s="2055"/>
    </row>
    <row r="73" spans="1:130" s="2141" customFormat="1" ht="12.75" customHeight="1">
      <c r="A73" s="2092" t="s">
        <v>1457</v>
      </c>
      <c r="B73" s="1489">
        <v>16.094000000000001</v>
      </c>
      <c r="C73" s="1489">
        <v>16.475200000000001</v>
      </c>
      <c r="D73" s="1489">
        <v>18.231300000000001</v>
      </c>
      <c r="E73" s="1490">
        <v>18.126999999999999</v>
      </c>
      <c r="F73" s="1489">
        <v>18.675699999999999</v>
      </c>
      <c r="G73" s="1489">
        <v>18.262</v>
      </c>
      <c r="H73" s="1489">
        <v>18.163699999999999</v>
      </c>
      <c r="I73" s="1490">
        <v>16.988199999999999</v>
      </c>
      <c r="J73" s="2280">
        <v>22.195399999999999</v>
      </c>
      <c r="K73" s="2280">
        <v>23.88</v>
      </c>
      <c r="L73" s="2280">
        <v>23.556000000000001</v>
      </c>
      <c r="M73" s="2281">
        <v>38.216000000000001</v>
      </c>
      <c r="N73" s="2280">
        <v>32.862000000000002</v>
      </c>
      <c r="O73" s="1466">
        <v>45.613</v>
      </c>
      <c r="P73" s="2218">
        <v>47.052999999999997</v>
      </c>
      <c r="Q73" s="2219">
        <v>50.923999999999999</v>
      </c>
      <c r="R73" s="2130">
        <v>58.5</v>
      </c>
      <c r="S73" s="2136">
        <v>54.398000000000003</v>
      </c>
      <c r="T73" s="2136">
        <v>56.517000000000003</v>
      </c>
      <c r="U73" s="2131">
        <v>60.764000000000003</v>
      </c>
      <c r="V73" s="2130">
        <v>62.473999999999997</v>
      </c>
      <c r="W73" s="2218">
        <v>65.033000000000001</v>
      </c>
      <c r="X73" s="2218">
        <v>65.951999999999998</v>
      </c>
      <c r="Y73" s="2219">
        <v>70.94</v>
      </c>
      <c r="Z73" s="2218">
        <v>47.795000000000002</v>
      </c>
      <c r="AA73" s="2218">
        <v>4.0650000000000004</v>
      </c>
      <c r="AB73" s="2218">
        <v>11.917999999999999</v>
      </c>
      <c r="AC73" s="2218"/>
      <c r="AD73" s="2218"/>
      <c r="AE73" s="2218"/>
      <c r="AF73" s="2218"/>
      <c r="AG73" s="2218"/>
      <c r="AH73" s="2218"/>
      <c r="AI73" s="2218"/>
      <c r="AJ73" s="2218"/>
      <c r="AK73" s="2218"/>
      <c r="AL73" s="2218"/>
      <c r="AM73" s="2218"/>
      <c r="AN73" s="2218"/>
      <c r="AO73" s="2218"/>
      <c r="AP73" s="2218"/>
      <c r="AQ73" s="2218"/>
      <c r="AR73" s="2218"/>
      <c r="AS73" s="2218"/>
      <c r="AT73" s="2218"/>
      <c r="AU73" s="2218"/>
      <c r="AV73" s="2218"/>
      <c r="AW73" s="2218"/>
      <c r="AX73" s="2218"/>
      <c r="AY73" s="2218"/>
      <c r="AZ73" s="2218"/>
      <c r="BA73" s="2218"/>
      <c r="BB73" s="2218"/>
      <c r="BC73" s="2218"/>
      <c r="BD73" s="2218"/>
      <c r="BE73" s="2170"/>
      <c r="BF73" s="2170"/>
      <c r="BG73" s="2170"/>
      <c r="BH73" s="2139"/>
      <c r="BI73" s="2139"/>
      <c r="BJ73" s="2139"/>
      <c r="BK73" s="2139"/>
      <c r="BL73" s="2139"/>
      <c r="BM73" s="2139"/>
      <c r="BN73" s="2139"/>
      <c r="BO73" s="2139"/>
      <c r="BP73" s="2139"/>
      <c r="BQ73" s="2139"/>
      <c r="BR73" s="2139"/>
      <c r="BS73" s="2139"/>
      <c r="BT73" s="2139"/>
      <c r="BU73" s="2139"/>
      <c r="BV73" s="2139"/>
      <c r="BW73" s="2139"/>
      <c r="BX73" s="2139"/>
      <c r="BY73" s="2139"/>
      <c r="BZ73" s="2139"/>
      <c r="CA73" s="2139"/>
      <c r="CB73" s="2139"/>
      <c r="CC73" s="2139"/>
      <c r="CD73" s="2139"/>
      <c r="CE73" s="2139"/>
      <c r="CF73" s="2139"/>
      <c r="CG73" s="2139"/>
      <c r="CH73" s="2139"/>
      <c r="CI73" s="2139"/>
      <c r="CJ73" s="2139"/>
      <c r="CK73" s="2139"/>
      <c r="CL73" s="2139"/>
      <c r="CM73" s="2139"/>
      <c r="CN73" s="2139"/>
      <c r="CO73" s="2139"/>
      <c r="CP73" s="2139"/>
      <c r="CQ73" s="2139"/>
      <c r="CR73" s="2139"/>
      <c r="CS73" s="2139"/>
      <c r="CT73" s="2139"/>
      <c r="CU73" s="2139"/>
      <c r="CV73" s="2139"/>
      <c r="CW73" s="2139"/>
      <c r="CX73" s="2139"/>
      <c r="CY73" s="2139"/>
      <c r="CZ73" s="2139"/>
      <c r="DA73" s="2139"/>
      <c r="DB73" s="2139"/>
      <c r="DC73" s="2139"/>
      <c r="DD73" s="2139"/>
      <c r="DE73" s="2139"/>
      <c r="DF73" s="2139"/>
      <c r="DG73" s="2139"/>
      <c r="DH73" s="2139"/>
      <c r="DI73" s="2139"/>
      <c r="DJ73" s="2139"/>
      <c r="DK73" s="2139"/>
      <c r="DL73" s="2139"/>
      <c r="DM73" s="2139"/>
      <c r="DN73" s="2139"/>
      <c r="DO73" s="2139"/>
      <c r="DP73" s="2139"/>
      <c r="DQ73" s="2139"/>
      <c r="DR73" s="2139"/>
      <c r="DS73" s="2139"/>
      <c r="DT73" s="2139"/>
      <c r="DU73" s="2139"/>
      <c r="DV73" s="2139"/>
      <c r="DW73" s="2139"/>
      <c r="DX73" s="2139"/>
      <c r="DY73" s="2139"/>
      <c r="DZ73" s="2139"/>
    </row>
    <row r="74" spans="1:130" s="2653" customFormat="1" ht="12.75" customHeight="1">
      <c r="A74" s="2110" t="s">
        <v>1218</v>
      </c>
      <c r="B74" s="1618"/>
      <c r="C74" s="1618"/>
      <c r="D74" s="1618"/>
      <c r="E74" s="234"/>
      <c r="F74" s="987">
        <f t="shared" ref="F74:M74" si="24">F73/B73-1</f>
        <v>0.16041381881446481</v>
      </c>
      <c r="G74" s="987">
        <f t="shared" si="24"/>
        <v>0.10845391861707299</v>
      </c>
      <c r="H74" s="987">
        <f t="shared" si="24"/>
        <v>-3.707908925858372E-3</v>
      </c>
      <c r="I74" s="468">
        <f t="shared" si="24"/>
        <v>-6.282341258895574E-2</v>
      </c>
      <c r="J74" s="987">
        <f t="shared" si="24"/>
        <v>0.18846415395406857</v>
      </c>
      <c r="K74" s="987">
        <f t="shared" si="24"/>
        <v>0.30763333698390083</v>
      </c>
      <c r="L74" s="987">
        <f t="shared" si="24"/>
        <v>0.29687233328011375</v>
      </c>
      <c r="M74" s="468">
        <f t="shared" si="24"/>
        <v>1.2495614603077434</v>
      </c>
      <c r="N74" s="987">
        <f t="shared" ref="N74:AB74" si="25">N73/J73-1</f>
        <v>0.48057705650720428</v>
      </c>
      <c r="O74" s="987">
        <f t="shared" si="25"/>
        <v>0.91009212730318256</v>
      </c>
      <c r="P74" s="987">
        <f t="shared" si="25"/>
        <v>0.99749533027678705</v>
      </c>
      <c r="Q74" s="468">
        <f t="shared" si="25"/>
        <v>0.332530877119531</v>
      </c>
      <c r="R74" s="987">
        <f t="shared" si="25"/>
        <v>0.78017162680299434</v>
      </c>
      <c r="S74" s="987">
        <f t="shared" si="25"/>
        <v>0.19259860127595219</v>
      </c>
      <c r="T74" s="987">
        <f t="shared" si="25"/>
        <v>0.20113489044269239</v>
      </c>
      <c r="U74" s="468">
        <f t="shared" si="25"/>
        <v>0.19322912575602857</v>
      </c>
      <c r="V74" s="987">
        <f t="shared" si="25"/>
        <v>6.7931623931623886E-2</v>
      </c>
      <c r="W74" s="987">
        <f t="shared" si="25"/>
        <v>0.1955035111584984</v>
      </c>
      <c r="X74" s="987">
        <f t="shared" si="25"/>
        <v>0.1669409204310206</v>
      </c>
      <c r="Y74" s="468">
        <f t="shared" si="25"/>
        <v>0.16746757948785462</v>
      </c>
      <c r="Z74" s="987">
        <f t="shared" si="25"/>
        <v>-0.23496174408553949</v>
      </c>
      <c r="AA74" s="987">
        <f t="shared" si="25"/>
        <v>-0.93749327264619498</v>
      </c>
      <c r="AB74" s="987">
        <f t="shared" si="25"/>
        <v>-0.81929281901989326</v>
      </c>
      <c r="AC74" s="2119"/>
      <c r="AD74" s="2119"/>
      <c r="AE74" s="2119"/>
      <c r="AF74" s="2119"/>
      <c r="AG74" s="2119"/>
      <c r="AH74" s="2119"/>
      <c r="AI74" s="2119"/>
      <c r="AJ74" s="2119"/>
      <c r="AK74" s="2119"/>
      <c r="AL74" s="2119"/>
      <c r="AM74" s="2119"/>
      <c r="AN74" s="2119"/>
      <c r="AO74" s="2119"/>
      <c r="AP74" s="2119"/>
      <c r="AQ74" s="2119"/>
      <c r="AR74" s="2119"/>
      <c r="AS74" s="2119"/>
      <c r="AT74" s="2119"/>
      <c r="AU74" s="2119"/>
      <c r="AV74" s="2119"/>
      <c r="AW74" s="2119"/>
      <c r="AX74" s="2119"/>
      <c r="AY74" s="2119"/>
      <c r="AZ74" s="2119"/>
      <c r="BA74" s="2119"/>
      <c r="BB74" s="2119"/>
      <c r="BC74" s="2119"/>
      <c r="BD74" s="2119"/>
      <c r="BE74" s="2119"/>
      <c r="BF74" s="2119"/>
      <c r="BG74" s="2119"/>
      <c r="BH74" s="2121"/>
      <c r="BI74" s="2121"/>
      <c r="BJ74" s="2121"/>
      <c r="BK74" s="2121"/>
      <c r="BL74" s="2121"/>
      <c r="BM74" s="2121"/>
      <c r="BN74" s="2121"/>
      <c r="BO74" s="2121"/>
      <c r="BP74" s="2121"/>
      <c r="BQ74" s="2121"/>
      <c r="BR74" s="2121"/>
      <c r="BS74" s="2121"/>
      <c r="BT74" s="2121"/>
      <c r="BU74" s="2121"/>
      <c r="BV74" s="2121"/>
      <c r="BW74" s="2121"/>
      <c r="BX74" s="2121"/>
      <c r="BY74" s="2121"/>
      <c r="BZ74" s="2121"/>
      <c r="CA74" s="2121"/>
      <c r="CB74" s="2121"/>
      <c r="CC74" s="2121"/>
      <c r="CD74" s="2121"/>
      <c r="CE74" s="2121"/>
      <c r="CF74" s="2121"/>
      <c r="CG74" s="2121"/>
      <c r="CH74" s="2121"/>
      <c r="CI74" s="2121"/>
      <c r="CJ74" s="2121"/>
      <c r="CK74" s="2121"/>
      <c r="CL74" s="2121"/>
      <c r="CM74" s="2121"/>
      <c r="CN74" s="2121"/>
      <c r="CO74" s="2121"/>
      <c r="CP74" s="2121"/>
      <c r="CQ74" s="2121"/>
      <c r="CR74" s="2121"/>
      <c r="CS74" s="2121"/>
      <c r="CT74" s="2121"/>
      <c r="CU74" s="2121"/>
      <c r="CV74" s="2121"/>
      <c r="CW74" s="2121"/>
      <c r="CX74" s="2121"/>
      <c r="CY74" s="2121"/>
      <c r="CZ74" s="2121"/>
      <c r="DA74" s="2121"/>
      <c r="DB74" s="2121"/>
      <c r="DC74" s="2121"/>
      <c r="DD74" s="2121"/>
      <c r="DE74" s="2121"/>
      <c r="DF74" s="2121"/>
      <c r="DG74" s="2121"/>
      <c r="DH74" s="2121"/>
      <c r="DI74" s="2121"/>
      <c r="DJ74" s="2121"/>
      <c r="DK74" s="2121"/>
      <c r="DL74" s="2121"/>
      <c r="DM74" s="2121"/>
      <c r="DN74" s="2121"/>
      <c r="DO74" s="2121"/>
      <c r="DP74" s="2121"/>
      <c r="DQ74" s="2121"/>
      <c r="DR74" s="2121"/>
      <c r="DS74" s="2121"/>
      <c r="DT74" s="2121"/>
      <c r="DU74" s="2121"/>
      <c r="DV74" s="2121"/>
      <c r="DW74" s="2121"/>
      <c r="DX74" s="2121"/>
      <c r="DY74" s="2121"/>
      <c r="DZ74" s="2121"/>
    </row>
    <row r="75" spans="1:130" s="2144" customFormat="1" ht="12">
      <c r="A75" s="2282" t="s">
        <v>1994</v>
      </c>
      <c r="B75" s="1508">
        <v>0.39100000000000001</v>
      </c>
      <c r="C75" s="1508">
        <v>0.23899999999999999</v>
      </c>
      <c r="D75" s="1508">
        <v>0.16400000000000001</v>
      </c>
      <c r="E75" s="1737">
        <v>0.10199999999999999</v>
      </c>
      <c r="F75" s="1508">
        <v>0.17</v>
      </c>
      <c r="G75" s="1508">
        <v>0.17599999999999999</v>
      </c>
      <c r="H75" s="1508">
        <v>6.9000000000000006E-2</v>
      </c>
      <c r="I75" s="1737">
        <v>-1E-3</v>
      </c>
      <c r="J75" s="2283">
        <v>0.28199999999999997</v>
      </c>
      <c r="K75" s="2283">
        <v>0.38100000000000001</v>
      </c>
      <c r="L75" s="2283">
        <v>0.33200000000000002</v>
      </c>
      <c r="M75" s="2284">
        <v>0.10199999999999999</v>
      </c>
      <c r="N75" s="2283">
        <v>0.47199999999999998</v>
      </c>
      <c r="O75" s="2283">
        <v>0.86099999999999999</v>
      </c>
      <c r="P75" s="2283">
        <v>0.94699999999999995</v>
      </c>
      <c r="Q75" s="2284">
        <v>0.30199999999999999</v>
      </c>
      <c r="R75" s="2283">
        <v>0.73799999999999999</v>
      </c>
      <c r="S75" s="1473">
        <v>0.23899999999999999</v>
      </c>
      <c r="T75" s="1473">
        <v>0.307</v>
      </c>
      <c r="U75" s="1971">
        <v>0.32200000000000001</v>
      </c>
      <c r="V75" s="1473">
        <v>0.16800000000000001</v>
      </c>
      <c r="W75" s="1473">
        <v>0.24199999999999999</v>
      </c>
      <c r="X75" s="1473">
        <v>0.17199999999999999</v>
      </c>
      <c r="Y75" s="1971">
        <v>0.153</v>
      </c>
      <c r="Z75" s="1473">
        <v>-0.20699999999999999</v>
      </c>
      <c r="AA75" s="2671"/>
      <c r="AB75" s="2671"/>
      <c r="AC75" s="2285"/>
      <c r="AD75" s="2285"/>
      <c r="AE75" s="2285"/>
      <c r="AF75" s="2285"/>
      <c r="AG75" s="2285"/>
      <c r="AH75" s="2285"/>
      <c r="AI75" s="2285"/>
      <c r="AJ75" s="2285"/>
      <c r="AK75" s="2285"/>
      <c r="AL75" s="2285"/>
      <c r="AM75" s="2285"/>
      <c r="AN75" s="2285"/>
      <c r="AO75" s="2285"/>
      <c r="AP75" s="2285"/>
      <c r="AQ75" s="2285"/>
      <c r="AR75" s="2285"/>
      <c r="AS75" s="2285"/>
      <c r="AT75" s="2285"/>
      <c r="AU75" s="2285"/>
      <c r="AV75" s="2285"/>
      <c r="AW75" s="2285"/>
      <c r="AX75" s="2285"/>
      <c r="AY75" s="2285"/>
      <c r="AZ75" s="2285"/>
      <c r="BA75" s="2285"/>
      <c r="BB75" s="2285"/>
      <c r="BC75" s="2285"/>
      <c r="BD75" s="2285"/>
      <c r="BE75" s="2285"/>
      <c r="BF75" s="2285"/>
      <c r="BG75" s="2285"/>
      <c r="BH75" s="2125"/>
      <c r="BI75" s="2125"/>
      <c r="BJ75" s="2125"/>
      <c r="BK75" s="2125"/>
      <c r="BL75" s="2125"/>
      <c r="BM75" s="2125"/>
      <c r="BN75" s="2125"/>
      <c r="BO75" s="2125"/>
      <c r="BP75" s="2125"/>
      <c r="BQ75" s="2125"/>
      <c r="BR75" s="2125"/>
      <c r="BS75" s="2125"/>
      <c r="BT75" s="2125"/>
      <c r="BU75" s="2125"/>
      <c r="BV75" s="2125"/>
      <c r="BW75" s="2125"/>
      <c r="BX75" s="2125"/>
      <c r="BY75" s="2125"/>
      <c r="BZ75" s="2125"/>
      <c r="CA75" s="2125"/>
      <c r="CB75" s="2125"/>
      <c r="CC75" s="2125"/>
      <c r="CD75" s="2125"/>
      <c r="CE75" s="2125"/>
      <c r="CF75" s="2125"/>
      <c r="CG75" s="2125"/>
      <c r="CH75" s="2125"/>
      <c r="CI75" s="2125"/>
      <c r="CJ75" s="2125"/>
      <c r="CK75" s="2125"/>
      <c r="CL75" s="2125"/>
      <c r="CM75" s="2125"/>
      <c r="CN75" s="2125"/>
      <c r="CO75" s="2125"/>
      <c r="CP75" s="2125"/>
      <c r="CQ75" s="2125"/>
      <c r="CR75" s="2125"/>
      <c r="CS75" s="2125"/>
      <c r="CT75" s="2125"/>
      <c r="CU75" s="2125"/>
      <c r="CV75" s="2125"/>
      <c r="CW75" s="2125"/>
      <c r="CX75" s="2125"/>
      <c r="CY75" s="2125"/>
      <c r="CZ75" s="2125"/>
      <c r="DA75" s="2125"/>
      <c r="DB75" s="2125"/>
      <c r="DC75" s="2125"/>
      <c r="DD75" s="2125"/>
      <c r="DE75" s="2125"/>
      <c r="DF75" s="2125"/>
      <c r="DG75" s="2125"/>
      <c r="DH75" s="2125"/>
      <c r="DI75" s="2125"/>
      <c r="DJ75" s="2125"/>
      <c r="DK75" s="2125"/>
      <c r="DL75" s="2125"/>
      <c r="DM75" s="2125"/>
      <c r="DN75" s="2125"/>
      <c r="DO75" s="2125"/>
      <c r="DP75" s="2125"/>
      <c r="DQ75" s="2125"/>
      <c r="DR75" s="2125"/>
      <c r="DS75" s="2125"/>
      <c r="DT75" s="2125"/>
      <c r="DU75" s="2125"/>
      <c r="DV75" s="2125"/>
      <c r="DW75" s="2125"/>
      <c r="DX75" s="2125"/>
      <c r="DY75" s="2125"/>
      <c r="DZ75" s="2125"/>
    </row>
    <row r="76" spans="1:130" s="2144" customFormat="1" ht="12.75" customHeight="1">
      <c r="A76" s="2286" t="s">
        <v>1267</v>
      </c>
      <c r="B76" s="1735">
        <v>11.060700000000001</v>
      </c>
      <c r="C76" s="1735">
        <v>17.872900000000001</v>
      </c>
      <c r="D76" s="1735">
        <v>12.511699999999999</v>
      </c>
      <c r="E76" s="1736">
        <v>15.776999999999999</v>
      </c>
      <c r="F76" s="1735">
        <v>16.453199999999999</v>
      </c>
      <c r="G76" s="1735">
        <v>18.368099999999998</v>
      </c>
      <c r="H76" s="1735">
        <v>13.4254</v>
      </c>
      <c r="I76" s="1736">
        <v>17.698599999999999</v>
      </c>
      <c r="J76" s="2227">
        <v>27.821999999999999</v>
      </c>
      <c r="K76" s="2227">
        <v>33.213299999999997</v>
      </c>
      <c r="L76" s="2227">
        <v>27.715</v>
      </c>
      <c r="M76" s="2228">
        <v>35.472000000000001</v>
      </c>
      <c r="N76" s="2227">
        <v>43.935000000000002</v>
      </c>
      <c r="O76" s="2218">
        <v>81.263000000000005</v>
      </c>
      <c r="P76" s="2218">
        <v>79.194000000000003</v>
      </c>
      <c r="Q76" s="2219">
        <v>83.861000000000004</v>
      </c>
      <c r="R76" s="2218">
        <v>69.400000000000006</v>
      </c>
      <c r="S76" s="2218">
        <v>93.838999999999999</v>
      </c>
      <c r="T76" s="2218">
        <v>85.47</v>
      </c>
      <c r="U76" s="2219">
        <v>95.45</v>
      </c>
      <c r="V76" s="2218">
        <v>76.855999999999995</v>
      </c>
      <c r="W76" s="2218">
        <v>101.375</v>
      </c>
      <c r="X76" s="2218">
        <v>87.07</v>
      </c>
      <c r="Y76" s="2219">
        <v>106.294</v>
      </c>
      <c r="Z76" s="2218">
        <v>65.376999999999995</v>
      </c>
      <c r="AA76" s="2218">
        <v>1.216</v>
      </c>
      <c r="AB76" s="2218">
        <v>5.54</v>
      </c>
      <c r="AC76" s="2218"/>
      <c r="AD76" s="2218"/>
      <c r="AE76" s="2218"/>
      <c r="AF76" s="2218"/>
      <c r="AG76" s="2218"/>
      <c r="AH76" s="2218"/>
      <c r="AI76" s="2218"/>
      <c r="AJ76" s="2218"/>
      <c r="AK76" s="2218"/>
      <c r="AL76" s="2218"/>
      <c r="AM76" s="2218"/>
      <c r="AN76" s="2218"/>
      <c r="AO76" s="2218"/>
      <c r="AP76" s="2218"/>
      <c r="AQ76" s="2218"/>
      <c r="AR76" s="2218"/>
      <c r="AS76" s="2218"/>
      <c r="AT76" s="2218"/>
      <c r="AU76" s="2218"/>
      <c r="AV76" s="2218"/>
      <c r="AW76" s="2218"/>
      <c r="AX76" s="2218"/>
      <c r="AY76" s="2218"/>
      <c r="AZ76" s="2218"/>
      <c r="BA76" s="2218"/>
      <c r="BB76" s="2218"/>
      <c r="BC76" s="2218"/>
      <c r="BD76" s="2218"/>
      <c r="BE76" s="2218"/>
      <c r="BF76" s="2119"/>
      <c r="BG76" s="2287">
        <f>X76/T76-1</f>
        <v>1.8720018720018716E-2</v>
      </c>
      <c r="BH76" s="2125"/>
      <c r="BI76" s="2125"/>
      <c r="BJ76" s="2125"/>
      <c r="BK76" s="2125"/>
      <c r="BL76" s="2125"/>
      <c r="BM76" s="2125"/>
      <c r="BN76" s="2125"/>
      <c r="BO76" s="2125"/>
      <c r="BP76" s="2125"/>
      <c r="BQ76" s="2125"/>
      <c r="BR76" s="2125"/>
      <c r="BS76" s="2125"/>
      <c r="BT76" s="2125"/>
      <c r="BU76" s="2125"/>
      <c r="BV76" s="2125"/>
      <c r="BW76" s="2125"/>
      <c r="BX76" s="2125"/>
      <c r="BY76" s="2125"/>
      <c r="BZ76" s="2125"/>
      <c r="CA76" s="2125"/>
      <c r="CB76" s="2125"/>
      <c r="CC76" s="2125"/>
      <c r="CD76" s="2125"/>
      <c r="CE76" s="2125"/>
      <c r="CF76" s="2125"/>
      <c r="CG76" s="2125"/>
      <c r="CH76" s="2125"/>
      <c r="CI76" s="2125"/>
      <c r="CJ76" s="2125"/>
      <c r="CK76" s="2125"/>
      <c r="CL76" s="2125"/>
      <c r="CM76" s="2125"/>
      <c r="CN76" s="2125"/>
      <c r="CO76" s="2125"/>
      <c r="CP76" s="2125"/>
      <c r="CQ76" s="2125"/>
      <c r="CR76" s="2125"/>
      <c r="CS76" s="2125"/>
      <c r="CT76" s="2125"/>
      <c r="CU76" s="2125"/>
      <c r="CV76" s="2125"/>
      <c r="CW76" s="2125"/>
      <c r="CX76" s="2125"/>
      <c r="CY76" s="2125"/>
      <c r="CZ76" s="2125"/>
      <c r="DA76" s="2125"/>
      <c r="DB76" s="2125"/>
      <c r="DC76" s="2125"/>
      <c r="DD76" s="2125"/>
      <c r="DE76" s="2125"/>
      <c r="DF76" s="2125"/>
      <c r="DG76" s="2125"/>
      <c r="DH76" s="2125"/>
      <c r="DI76" s="2125"/>
      <c r="DJ76" s="2125"/>
      <c r="DK76" s="2125"/>
      <c r="DL76" s="2125"/>
      <c r="DM76" s="2125"/>
      <c r="DN76" s="2125"/>
      <c r="DO76" s="2125"/>
      <c r="DP76" s="2125"/>
      <c r="DQ76" s="2125"/>
      <c r="DR76" s="2125"/>
      <c r="DS76" s="2125"/>
      <c r="DT76" s="2125"/>
      <c r="DU76" s="2125"/>
      <c r="DV76" s="2125"/>
      <c r="DW76" s="2125"/>
      <c r="DX76" s="2125"/>
      <c r="DY76" s="2125"/>
      <c r="DZ76" s="2125"/>
    </row>
    <row r="77" spans="1:130" s="2125" customFormat="1" ht="12.75" customHeight="1">
      <c r="A77" s="2110" t="s">
        <v>1218</v>
      </c>
      <c r="B77" s="1618"/>
      <c r="C77" s="1618"/>
      <c r="D77" s="1618"/>
      <c r="E77" s="234"/>
      <c r="F77" s="987">
        <f t="shared" ref="F77:M77" si="26">F76/B76-1</f>
        <v>0.48753695516558615</v>
      </c>
      <c r="G77" s="987">
        <f t="shared" si="26"/>
        <v>2.7706751562421195E-2</v>
      </c>
      <c r="H77" s="987">
        <f t="shared" si="26"/>
        <v>7.3027646123228651E-2</v>
      </c>
      <c r="I77" s="468">
        <f t="shared" si="26"/>
        <v>0.12179755340051979</v>
      </c>
      <c r="J77" s="987">
        <f t="shared" si="26"/>
        <v>0.69097804682371833</v>
      </c>
      <c r="K77" s="987">
        <f t="shared" si="26"/>
        <v>0.80820553023992692</v>
      </c>
      <c r="L77" s="987">
        <f t="shared" si="26"/>
        <v>1.0643705215487063</v>
      </c>
      <c r="M77" s="468">
        <f t="shared" si="26"/>
        <v>1.0042263229859989</v>
      </c>
      <c r="N77" s="987">
        <f t="shared" ref="N77:AB77" si="27">N76/J76-1</f>
        <v>0.57914599956868673</v>
      </c>
      <c r="O77" s="987">
        <f t="shared" si="27"/>
        <v>1.4467005687480623</v>
      </c>
      <c r="P77" s="987">
        <f t="shared" si="27"/>
        <v>1.8574418185098325</v>
      </c>
      <c r="Q77" s="468">
        <f t="shared" si="27"/>
        <v>1.3641463689670728</v>
      </c>
      <c r="R77" s="987">
        <f t="shared" si="27"/>
        <v>0.57960623648571752</v>
      </c>
      <c r="S77" s="987">
        <f t="shared" si="27"/>
        <v>0.15475677737715809</v>
      </c>
      <c r="T77" s="987">
        <f t="shared" si="27"/>
        <v>7.9248427911205344E-2</v>
      </c>
      <c r="U77" s="468">
        <f t="shared" si="27"/>
        <v>0.13819296216358024</v>
      </c>
      <c r="V77" s="987">
        <f t="shared" si="27"/>
        <v>0.10743515850144081</v>
      </c>
      <c r="W77" s="987">
        <f t="shared" si="27"/>
        <v>8.0307761165400393E-2</v>
      </c>
      <c r="X77" s="987">
        <f t="shared" si="27"/>
        <v>1.8720018720018716E-2</v>
      </c>
      <c r="Y77" s="468">
        <f t="shared" si="27"/>
        <v>0.11360921948664227</v>
      </c>
      <c r="Z77" s="987">
        <f t="shared" si="27"/>
        <v>-0.14935723951285518</v>
      </c>
      <c r="AA77" s="987">
        <f t="shared" si="27"/>
        <v>-0.98800493218249075</v>
      </c>
      <c r="AB77" s="987">
        <f t="shared" si="27"/>
        <v>-0.93637303319168486</v>
      </c>
      <c r="AC77" s="2119"/>
      <c r="AD77" s="2119"/>
      <c r="AE77" s="2119"/>
      <c r="AF77" s="2119"/>
      <c r="AG77" s="2119"/>
      <c r="AH77" s="2119"/>
      <c r="AI77" s="2119"/>
      <c r="AJ77" s="2119"/>
      <c r="AK77" s="2119"/>
      <c r="AL77" s="2119"/>
      <c r="AM77" s="2119"/>
      <c r="AN77" s="2119"/>
      <c r="AO77" s="2119"/>
      <c r="AP77" s="2119"/>
      <c r="AQ77" s="2119"/>
      <c r="AR77" s="2119"/>
      <c r="AS77" s="2119"/>
      <c r="AT77" s="2119"/>
      <c r="AU77" s="2119"/>
      <c r="AV77" s="2119"/>
      <c r="AW77" s="2119"/>
      <c r="AX77" s="2119"/>
      <c r="AY77" s="2119"/>
      <c r="AZ77" s="2119"/>
      <c r="BA77" s="2119"/>
      <c r="BB77" s="2119"/>
      <c r="BC77" s="2119"/>
      <c r="BD77" s="2119"/>
      <c r="BE77" s="2119"/>
      <c r="BF77" s="2119"/>
      <c r="BG77" s="2119"/>
    </row>
    <row r="78" spans="1:130" s="2130" customFormat="1" ht="12">
      <c r="A78" s="2282" t="s">
        <v>1994</v>
      </c>
      <c r="B78" s="1508">
        <v>0.54600000000000004</v>
      </c>
      <c r="C78" s="1508">
        <v>0.70899999999999996</v>
      </c>
      <c r="D78" s="1508">
        <v>0.752</v>
      </c>
      <c r="E78" s="1737">
        <v>0.435</v>
      </c>
      <c r="F78" s="1508">
        <v>0.495</v>
      </c>
      <c r="G78" s="1508">
        <v>0.104</v>
      </c>
      <c r="H78" s="1508">
        <v>0.159</v>
      </c>
      <c r="I78" s="1737">
        <v>0.183</v>
      </c>
      <c r="J78" s="2283">
        <v>0.79100000000000004</v>
      </c>
      <c r="K78" s="2283">
        <v>0.89800000000000002</v>
      </c>
      <c r="L78" s="2283">
        <v>0.73399999999999999</v>
      </c>
      <c r="M78" s="2284">
        <v>0.435</v>
      </c>
      <c r="N78" s="2283">
        <v>0.57199999999999995</v>
      </c>
      <c r="O78" s="2283">
        <v>1.397</v>
      </c>
      <c r="P78" s="2283">
        <v>1.804</v>
      </c>
      <c r="Q78" s="2284">
        <v>1.3149999999999999</v>
      </c>
      <c r="R78" s="2283">
        <v>0.54500000000000004</v>
      </c>
      <c r="S78" s="1473">
        <v>0.19800000000000001</v>
      </c>
      <c r="T78" s="1473">
        <v>0.17699999999999999</v>
      </c>
      <c r="U78" s="1971">
        <v>0.26</v>
      </c>
      <c r="V78" s="1473">
        <v>0.21199999999999999</v>
      </c>
      <c r="W78" s="1473">
        <v>0.121</v>
      </c>
      <c r="X78" s="1473">
        <v>2.4E-2</v>
      </c>
      <c r="Y78" s="1971">
        <v>9.8000000000000004E-2</v>
      </c>
      <c r="Z78" s="1473">
        <v>-0.11799999999999999</v>
      </c>
      <c r="AA78" s="2671"/>
      <c r="AB78" s="2671"/>
      <c r="AC78" s="2285"/>
      <c r="AD78" s="2285"/>
      <c r="AE78" s="2285"/>
      <c r="AF78" s="2285"/>
      <c r="AG78" s="2285"/>
      <c r="AH78" s="2285"/>
      <c r="AI78" s="2285"/>
      <c r="AJ78" s="2285"/>
      <c r="AK78" s="2285"/>
      <c r="AL78" s="2285"/>
      <c r="AM78" s="2285"/>
      <c r="AN78" s="2285"/>
      <c r="AO78" s="2285"/>
      <c r="AP78" s="2285"/>
      <c r="AQ78" s="2285"/>
      <c r="AR78" s="2285"/>
      <c r="AS78" s="2285"/>
      <c r="AT78" s="2285"/>
      <c r="AU78" s="2285"/>
      <c r="AV78" s="2285"/>
      <c r="AW78" s="2285"/>
      <c r="AX78" s="2285"/>
      <c r="AY78" s="2285"/>
      <c r="AZ78" s="2285"/>
      <c r="BA78" s="2285"/>
      <c r="BB78" s="2285"/>
      <c r="BC78" s="2285"/>
      <c r="BD78" s="2285"/>
      <c r="BE78" s="2285"/>
      <c r="BF78" s="2285"/>
      <c r="BG78" s="2285"/>
    </row>
    <row r="79" spans="1:130" s="2130" customFormat="1" ht="12">
      <c r="A79" s="2092" t="s">
        <v>1997</v>
      </c>
      <c r="B79" s="1489"/>
      <c r="C79" s="1489"/>
      <c r="D79" s="1489"/>
      <c r="E79" s="1490"/>
      <c r="F79" s="1489"/>
      <c r="G79" s="1489"/>
      <c r="H79" s="1489"/>
      <c r="I79" s="1490"/>
      <c r="J79" s="2280"/>
      <c r="K79" s="2280"/>
      <c r="L79" s="2280"/>
      <c r="M79" s="2281"/>
      <c r="N79" s="2280"/>
      <c r="O79" s="2218">
        <v>11.182</v>
      </c>
      <c r="P79" s="2218">
        <v>9.6259999999999994</v>
      </c>
      <c r="Q79" s="2219">
        <v>11.584</v>
      </c>
      <c r="R79" s="2218">
        <v>12.01</v>
      </c>
      <c r="S79" s="2218">
        <v>16.056000000000001</v>
      </c>
      <c r="T79" s="2218">
        <v>12.12</v>
      </c>
      <c r="U79" s="2219">
        <v>15.073</v>
      </c>
      <c r="V79" s="2218">
        <v>15.576000000000001</v>
      </c>
      <c r="W79" s="2218">
        <v>21.350999999999999</v>
      </c>
      <c r="X79" s="2218">
        <v>16.646999999999998</v>
      </c>
      <c r="Y79" s="2219">
        <v>20.817</v>
      </c>
      <c r="Z79" s="2218">
        <v>16.821999999999999</v>
      </c>
      <c r="AA79" s="2218">
        <v>0.33200000000000002</v>
      </c>
      <c r="AB79" s="2218">
        <v>2.5019999999999998</v>
      </c>
      <c r="AC79" s="2218"/>
      <c r="AD79" s="2218"/>
      <c r="AE79" s="2218"/>
      <c r="AF79" s="2218"/>
      <c r="AG79" s="2218"/>
      <c r="AH79" s="2218"/>
      <c r="AI79" s="2218"/>
      <c r="AJ79" s="2218"/>
      <c r="AK79" s="2218"/>
      <c r="AL79" s="2218"/>
      <c r="AM79" s="2218"/>
      <c r="AN79" s="2218"/>
      <c r="AO79" s="2218"/>
      <c r="AP79" s="2218"/>
      <c r="AQ79" s="2218"/>
      <c r="AR79" s="2218"/>
      <c r="AS79" s="2218"/>
      <c r="AT79" s="2218"/>
      <c r="AU79" s="2218"/>
      <c r="AV79" s="2218"/>
      <c r="AW79" s="2218"/>
      <c r="AX79" s="2218"/>
      <c r="AY79" s="2218"/>
      <c r="AZ79" s="2218"/>
      <c r="BA79" s="2218"/>
      <c r="BB79" s="2218"/>
      <c r="BC79" s="2218"/>
      <c r="BD79" s="2218"/>
      <c r="BE79" s="2285"/>
      <c r="BF79" s="2170"/>
      <c r="BG79" s="2170"/>
    </row>
    <row r="80" spans="1:130" s="2130" customFormat="1" ht="12">
      <c r="A80" s="2110" t="s">
        <v>1218</v>
      </c>
      <c r="B80" s="1618"/>
      <c r="C80" s="1618"/>
      <c r="D80" s="1618"/>
      <c r="E80" s="234"/>
      <c r="F80" s="1618"/>
      <c r="G80" s="1618"/>
      <c r="H80" s="1618"/>
      <c r="I80" s="234"/>
      <c r="J80" s="2267"/>
      <c r="K80" s="2267"/>
      <c r="L80" s="2267"/>
      <c r="M80" s="2268"/>
      <c r="N80" s="2267"/>
      <c r="O80" s="987"/>
      <c r="P80" s="987"/>
      <c r="Q80" s="468"/>
      <c r="R80" s="987"/>
      <c r="S80" s="987">
        <f t="shared" ref="S80:AA80" si="28">S79/O79-1</f>
        <v>0.43587909139688796</v>
      </c>
      <c r="T80" s="987">
        <f t="shared" si="28"/>
        <v>0.25908996467899437</v>
      </c>
      <c r="U80" s="468">
        <f t="shared" si="28"/>
        <v>0.30119129834254155</v>
      </c>
      <c r="V80" s="987">
        <f t="shared" si="28"/>
        <v>0.2969192339716904</v>
      </c>
      <c r="W80" s="987">
        <f t="shared" si="28"/>
        <v>0.32978325859491764</v>
      </c>
      <c r="X80" s="987">
        <f t="shared" si="28"/>
        <v>0.37351485148514851</v>
      </c>
      <c r="Y80" s="468">
        <f t="shared" si="28"/>
        <v>0.3810787500829298</v>
      </c>
      <c r="Z80" s="987">
        <f t="shared" si="28"/>
        <v>7.9994863893168899E-2</v>
      </c>
      <c r="AA80" s="987">
        <f t="shared" si="28"/>
        <v>-0.98445037703152072</v>
      </c>
      <c r="AB80" s="987"/>
      <c r="AC80" s="2119"/>
      <c r="AD80" s="2119"/>
      <c r="AE80" s="2119"/>
      <c r="AF80" s="2119"/>
      <c r="AG80" s="2119"/>
      <c r="AH80" s="2119"/>
      <c r="AI80" s="2119"/>
      <c r="AJ80" s="2119"/>
      <c r="AK80" s="2119"/>
      <c r="AL80" s="2119"/>
      <c r="AM80" s="2119"/>
      <c r="AN80" s="2119"/>
      <c r="AO80" s="2119"/>
      <c r="AP80" s="2119"/>
      <c r="AQ80" s="2119"/>
      <c r="AR80" s="2119"/>
      <c r="AS80" s="2119"/>
      <c r="AT80" s="2119"/>
      <c r="AU80" s="2119"/>
      <c r="AV80" s="2119"/>
      <c r="AW80" s="2119"/>
      <c r="AX80" s="2119"/>
      <c r="AY80" s="2119"/>
      <c r="AZ80" s="2119"/>
      <c r="BA80" s="2119"/>
      <c r="BB80" s="2119"/>
      <c r="BC80" s="2119"/>
      <c r="BD80" s="2119"/>
      <c r="BE80" s="2119"/>
      <c r="BF80" s="2119"/>
      <c r="BG80" s="2119"/>
    </row>
    <row r="81" spans="1:130" s="2130" customFormat="1" ht="12">
      <c r="A81" s="2282" t="s">
        <v>1995</v>
      </c>
      <c r="B81" s="1508"/>
      <c r="C81" s="1508"/>
      <c r="D81" s="1508"/>
      <c r="E81" s="1737"/>
      <c r="F81" s="1508"/>
      <c r="G81" s="1508"/>
      <c r="H81" s="1508"/>
      <c r="I81" s="1737"/>
      <c r="J81" s="2283"/>
      <c r="K81" s="2283"/>
      <c r="L81" s="2283"/>
      <c r="M81" s="2284"/>
      <c r="N81" s="2283"/>
      <c r="O81" s="2283"/>
      <c r="P81" s="2283"/>
      <c r="Q81" s="2284"/>
      <c r="R81" s="2283"/>
      <c r="S81" s="1473">
        <v>0.48899999999999999</v>
      </c>
      <c r="T81" s="1473">
        <v>0.374</v>
      </c>
      <c r="U81" s="1971">
        <v>0.434</v>
      </c>
      <c r="V81" s="1473">
        <v>0.40799999999999997</v>
      </c>
      <c r="W81" s="1473">
        <v>0.37</v>
      </c>
      <c r="X81" s="1473">
        <v>0.38300000000000001</v>
      </c>
      <c r="Y81" s="1971">
        <v>0.36399999999999999</v>
      </c>
      <c r="Z81" s="1473">
        <v>0.115</v>
      </c>
      <c r="AA81" s="2672"/>
      <c r="AB81" s="2672"/>
      <c r="AC81" s="1473"/>
      <c r="AD81" s="1473"/>
      <c r="AE81" s="1473"/>
      <c r="AF81" s="1473"/>
      <c r="AG81" s="1473"/>
      <c r="AH81" s="1473"/>
      <c r="AI81" s="1473"/>
      <c r="AJ81" s="1473"/>
      <c r="AK81" s="1473"/>
      <c r="AL81" s="1473"/>
      <c r="AM81" s="1473"/>
      <c r="AN81" s="1473"/>
      <c r="AO81" s="1473"/>
      <c r="AP81" s="1473"/>
      <c r="AQ81" s="1473"/>
      <c r="AR81" s="1473"/>
      <c r="AS81" s="1473"/>
      <c r="AT81" s="1473"/>
      <c r="AU81" s="1473"/>
      <c r="AV81" s="1473"/>
      <c r="AW81" s="1473"/>
      <c r="AX81" s="1473"/>
      <c r="AY81" s="1473"/>
      <c r="AZ81" s="1473"/>
      <c r="BA81" s="1473"/>
      <c r="BB81" s="1473"/>
      <c r="BC81" s="1473"/>
      <c r="BD81" s="1473"/>
      <c r="BE81" s="2285"/>
      <c r="BF81" s="2285"/>
      <c r="BG81" s="2285"/>
    </row>
    <row r="82" spans="1:130" s="2135" customFormat="1">
      <c r="A82" s="2286" t="s">
        <v>1278</v>
      </c>
      <c r="B82" s="1735">
        <v>1.373</v>
      </c>
      <c r="C82" s="1735">
        <v>1.1046</v>
      </c>
      <c r="D82" s="1735">
        <v>1.3062</v>
      </c>
      <c r="E82" s="1736">
        <v>1.1759999999999999</v>
      </c>
      <c r="F82" s="1735">
        <v>1.2381</v>
      </c>
      <c r="G82" s="1735">
        <v>1.4726999999999999</v>
      </c>
      <c r="H82" s="1735">
        <v>1.6153</v>
      </c>
      <c r="I82" s="1736">
        <v>1.6044</v>
      </c>
      <c r="J82" s="2227">
        <v>1.4484999999999999</v>
      </c>
      <c r="K82" s="2227">
        <v>1.7749999999999999</v>
      </c>
      <c r="L82" s="2227">
        <v>1.925</v>
      </c>
      <c r="M82" s="2228">
        <v>2.8570000000000002</v>
      </c>
      <c r="N82" s="2227">
        <v>8.2910000000000004</v>
      </c>
      <c r="O82" s="2288">
        <v>14.337999999999999</v>
      </c>
      <c r="P82" s="2288">
        <v>12.945</v>
      </c>
      <c r="Q82" s="2219">
        <v>5.0380000000000003</v>
      </c>
      <c r="R82" s="2218">
        <v>5.4569999999999999</v>
      </c>
      <c r="S82" s="2218">
        <v>5.7960000000000003</v>
      </c>
      <c r="T82" s="2218">
        <v>5.99</v>
      </c>
      <c r="U82" s="2219">
        <v>8.6020000000000003</v>
      </c>
      <c r="V82" s="2218">
        <v>8.4429999999999996</v>
      </c>
      <c r="W82" s="2218">
        <v>10.74</v>
      </c>
      <c r="X82" s="2218">
        <v>11.409000000000001</v>
      </c>
      <c r="Y82" s="2219">
        <v>8.6110000000000007</v>
      </c>
      <c r="Z82" s="2218">
        <v>7.1870000000000003</v>
      </c>
      <c r="AA82" s="2218">
        <v>1.1459999999999999</v>
      </c>
      <c r="AB82" s="2218">
        <v>3.13</v>
      </c>
      <c r="AC82" s="2218"/>
      <c r="AD82" s="2218"/>
      <c r="AE82" s="2218"/>
      <c r="AF82" s="2218"/>
      <c r="AG82" s="2218"/>
      <c r="AH82" s="2218"/>
      <c r="AI82" s="2218"/>
      <c r="AJ82" s="2218"/>
      <c r="AK82" s="2218"/>
      <c r="AL82" s="2218"/>
      <c r="AM82" s="2218"/>
      <c r="AN82" s="2218"/>
      <c r="AO82" s="2218"/>
      <c r="AP82" s="2218"/>
      <c r="AQ82" s="2218"/>
      <c r="AR82" s="2218"/>
      <c r="AS82" s="2218"/>
      <c r="AT82" s="2218"/>
      <c r="AU82" s="2218"/>
      <c r="AV82" s="2218"/>
      <c r="AW82" s="2218"/>
      <c r="AX82" s="2218"/>
      <c r="AY82" s="2218"/>
      <c r="AZ82" s="2218"/>
      <c r="BA82" s="2218"/>
      <c r="BB82" s="2218"/>
      <c r="BC82" s="2218"/>
      <c r="BD82" s="2218"/>
      <c r="BE82" s="2218"/>
      <c r="BF82" s="2218"/>
      <c r="BG82" s="2218"/>
      <c r="BH82" s="2133"/>
      <c r="BI82" s="2133"/>
      <c r="BJ82" s="2133"/>
      <c r="BK82" s="2133"/>
      <c r="BL82" s="2133"/>
      <c r="BM82" s="2133"/>
      <c r="BN82" s="2133"/>
      <c r="BO82" s="2133"/>
      <c r="BP82" s="2133"/>
      <c r="BQ82" s="2133"/>
      <c r="BR82" s="2133"/>
      <c r="BS82" s="2133"/>
      <c r="BT82" s="2133"/>
      <c r="BU82" s="2133"/>
      <c r="BV82" s="2133"/>
      <c r="BW82" s="2133"/>
      <c r="BX82" s="2133"/>
      <c r="BY82" s="2133"/>
      <c r="BZ82" s="2133"/>
      <c r="CA82" s="2133"/>
      <c r="CB82" s="2133"/>
      <c r="CC82" s="2133"/>
      <c r="CD82" s="2133"/>
      <c r="CE82" s="2133"/>
      <c r="CF82" s="2133"/>
      <c r="CG82" s="2133"/>
      <c r="CH82" s="2133"/>
      <c r="CI82" s="2133"/>
      <c r="CJ82" s="2133"/>
      <c r="CK82" s="2133"/>
      <c r="CL82" s="2133"/>
      <c r="CM82" s="2133"/>
      <c r="CN82" s="2133"/>
      <c r="CO82" s="2133"/>
      <c r="CP82" s="2133"/>
      <c r="CQ82" s="2133"/>
      <c r="CR82" s="2133"/>
      <c r="CS82" s="2133"/>
      <c r="CT82" s="2133"/>
      <c r="CU82" s="2133"/>
      <c r="CV82" s="2133"/>
      <c r="CW82" s="2133"/>
      <c r="CX82" s="2133"/>
      <c r="CY82" s="2133"/>
      <c r="CZ82" s="2133"/>
      <c r="DA82" s="2133"/>
      <c r="DB82" s="2133"/>
      <c r="DC82" s="2133"/>
      <c r="DD82" s="2133"/>
      <c r="DE82" s="2133"/>
      <c r="DF82" s="2133"/>
      <c r="DG82" s="2133"/>
      <c r="DH82" s="2133"/>
      <c r="DI82" s="2133"/>
      <c r="DJ82" s="2133"/>
      <c r="DK82" s="2133"/>
      <c r="DL82" s="2133"/>
      <c r="DM82" s="2133"/>
      <c r="DN82" s="2133"/>
      <c r="DO82" s="2133"/>
      <c r="DP82" s="2133"/>
      <c r="DQ82" s="2133"/>
      <c r="DR82" s="2133"/>
      <c r="DS82" s="2133"/>
      <c r="DT82" s="2133"/>
      <c r="DU82" s="2133"/>
      <c r="DV82" s="2133"/>
      <c r="DW82" s="2133"/>
      <c r="DX82" s="2133"/>
      <c r="DY82" s="2133"/>
      <c r="DZ82" s="2133"/>
    </row>
    <row r="83" spans="1:130" s="2135" customFormat="1" ht="12">
      <c r="A83" s="2282" t="s">
        <v>1996</v>
      </c>
      <c r="B83" s="1508">
        <v>0.497</v>
      </c>
      <c r="C83" s="1508">
        <v>0.313</v>
      </c>
      <c r="D83" s="1508">
        <v>0.28999999999999998</v>
      </c>
      <c r="E83" s="1737">
        <v>8.3000000000000004E-2</v>
      </c>
      <c r="F83" s="1508">
        <v>-8.8999999999999996E-2</v>
      </c>
      <c r="G83" s="1508">
        <v>0.41299999999999998</v>
      </c>
      <c r="H83" s="1508">
        <v>0.32800000000000001</v>
      </c>
      <c r="I83" s="1737">
        <v>0.45200000000000001</v>
      </c>
      <c r="J83" s="2283">
        <v>0.26800000000000002</v>
      </c>
      <c r="K83" s="2283">
        <v>0.27100000000000002</v>
      </c>
      <c r="L83" s="2283">
        <v>0.22</v>
      </c>
      <c r="M83" s="2284">
        <v>8.3000000000000004E-2</v>
      </c>
      <c r="N83" s="2283">
        <v>4.7069999999999999</v>
      </c>
      <c r="O83" s="2283">
        <v>7.0270000000000001</v>
      </c>
      <c r="P83" s="2283">
        <v>5.6749999999999998</v>
      </c>
      <c r="Q83" s="2284">
        <v>4.758</v>
      </c>
      <c r="R83" s="2283"/>
      <c r="S83" s="1473">
        <v>0.90600000000000003</v>
      </c>
      <c r="T83" s="1473">
        <v>0.95799999999999996</v>
      </c>
      <c r="U83" s="1971">
        <v>0.86899999999999999</v>
      </c>
      <c r="V83" s="1473">
        <v>0.67900000000000005</v>
      </c>
      <c r="W83" s="1473">
        <v>0.91900000000000004</v>
      </c>
      <c r="X83" s="1473">
        <v>0.91200000000000003</v>
      </c>
      <c r="Y83" s="1971">
        <v>-8.0000000000000002E-3</v>
      </c>
      <c r="Z83" s="1473">
        <v>-0.11700000000000001</v>
      </c>
      <c r="AA83" s="2672"/>
      <c r="AB83" s="2672"/>
      <c r="AC83" s="1473"/>
      <c r="AD83" s="1473"/>
      <c r="AE83" s="1473"/>
      <c r="AF83" s="1473"/>
      <c r="AG83" s="1473"/>
      <c r="AH83" s="1473"/>
      <c r="AI83" s="1473"/>
      <c r="AJ83" s="1473"/>
      <c r="AK83" s="1473"/>
      <c r="AL83" s="1473"/>
      <c r="AM83" s="1473"/>
      <c r="AN83" s="1473"/>
      <c r="AO83" s="1473"/>
      <c r="AP83" s="1473"/>
      <c r="AQ83" s="1473"/>
      <c r="AR83" s="1473"/>
      <c r="AS83" s="1473"/>
      <c r="AT83" s="1473"/>
      <c r="AU83" s="1473"/>
      <c r="AV83" s="1473"/>
      <c r="AW83" s="1473"/>
      <c r="AX83" s="1473"/>
      <c r="AY83" s="1473"/>
      <c r="AZ83" s="1473"/>
      <c r="BA83" s="1473"/>
      <c r="BB83" s="1473"/>
      <c r="BC83" s="1473"/>
      <c r="BD83" s="1473"/>
      <c r="BE83" s="2285"/>
      <c r="BF83" s="2285"/>
      <c r="BG83" s="2285"/>
      <c r="BH83" s="2133"/>
      <c r="BI83" s="2133"/>
      <c r="BJ83" s="2133"/>
      <c r="BK83" s="2133"/>
      <c r="BL83" s="2133"/>
      <c r="BM83" s="2133"/>
      <c r="BN83" s="2133"/>
      <c r="BO83" s="2133"/>
      <c r="BP83" s="2133"/>
      <c r="BQ83" s="2133"/>
      <c r="BR83" s="2133"/>
      <c r="BS83" s="2133"/>
      <c r="BT83" s="2133"/>
      <c r="BU83" s="2133"/>
      <c r="BV83" s="2133"/>
      <c r="BW83" s="2133"/>
      <c r="BX83" s="2133"/>
      <c r="BY83" s="2133"/>
      <c r="BZ83" s="2133"/>
      <c r="CA83" s="2133"/>
      <c r="CB83" s="2133"/>
      <c r="CC83" s="2133"/>
      <c r="CD83" s="2133"/>
      <c r="CE83" s="2133"/>
      <c r="CF83" s="2133"/>
      <c r="CG83" s="2133"/>
      <c r="CH83" s="2133"/>
      <c r="CI83" s="2133"/>
      <c r="CJ83" s="2133"/>
      <c r="CK83" s="2133"/>
      <c r="CL83" s="2133"/>
      <c r="CM83" s="2133"/>
      <c r="CN83" s="2133"/>
      <c r="CO83" s="2133"/>
      <c r="CP83" s="2133"/>
      <c r="CQ83" s="2133"/>
      <c r="CR83" s="2133"/>
      <c r="CS83" s="2133"/>
      <c r="CT83" s="2133"/>
      <c r="CU83" s="2133"/>
      <c r="CV83" s="2133"/>
      <c r="CW83" s="2133"/>
      <c r="CX83" s="2133"/>
      <c r="CY83" s="2133"/>
      <c r="CZ83" s="2133"/>
      <c r="DA83" s="2133"/>
      <c r="DB83" s="2133"/>
      <c r="DC83" s="2133"/>
      <c r="DD83" s="2133"/>
      <c r="DE83" s="2133"/>
      <c r="DF83" s="2133"/>
      <c r="DG83" s="2133"/>
      <c r="DH83" s="2133"/>
      <c r="DI83" s="2133"/>
      <c r="DJ83" s="2133"/>
      <c r="DK83" s="2133"/>
      <c r="DL83" s="2133"/>
      <c r="DM83" s="2133"/>
      <c r="DN83" s="2133"/>
      <c r="DO83" s="2133"/>
      <c r="DP83" s="2133"/>
      <c r="DQ83" s="2133"/>
      <c r="DR83" s="2133"/>
      <c r="DS83" s="2133"/>
      <c r="DT83" s="2133"/>
      <c r="DU83" s="2133"/>
      <c r="DV83" s="2133"/>
      <c r="DW83" s="2133"/>
      <c r="DX83" s="2133"/>
      <c r="DY83" s="2133"/>
      <c r="DZ83" s="2133"/>
    </row>
    <row r="84" spans="1:130" s="2133" customFormat="1" ht="12">
      <c r="A84" s="2240" t="s">
        <v>1993</v>
      </c>
      <c r="B84" s="1508"/>
      <c r="C84" s="1508"/>
      <c r="D84" s="1508"/>
      <c r="E84" s="1737"/>
      <c r="F84" s="2289">
        <f t="shared" ref="F84:M84" si="29">F73+F76+F79+F82</f>
        <v>36.367000000000004</v>
      </c>
      <c r="G84" s="2289">
        <f t="shared" si="29"/>
        <v>38.102800000000002</v>
      </c>
      <c r="H84" s="2289">
        <f t="shared" si="29"/>
        <v>33.2044</v>
      </c>
      <c r="I84" s="2290">
        <f t="shared" si="29"/>
        <v>36.291199999999996</v>
      </c>
      <c r="J84" s="2289">
        <f t="shared" si="29"/>
        <v>51.465899999999998</v>
      </c>
      <c r="K84" s="2289">
        <f t="shared" si="29"/>
        <v>58.868299999999998</v>
      </c>
      <c r="L84" s="2289">
        <f t="shared" si="29"/>
        <v>53.195999999999998</v>
      </c>
      <c r="M84" s="2290">
        <f t="shared" si="29"/>
        <v>76.545000000000002</v>
      </c>
      <c r="N84" s="2289">
        <f t="shared" ref="N84:AA84" si="30">N73+N76+N79+N82</f>
        <v>85.087999999999994</v>
      </c>
      <c r="O84" s="2289">
        <f t="shared" si="30"/>
        <v>152.39599999999999</v>
      </c>
      <c r="P84" s="2289">
        <f t="shared" si="30"/>
        <v>148.81799999999998</v>
      </c>
      <c r="Q84" s="2290">
        <f t="shared" si="30"/>
        <v>151.40700000000001</v>
      </c>
      <c r="R84" s="2289">
        <f t="shared" si="30"/>
        <v>145.36699999999999</v>
      </c>
      <c r="S84" s="2289">
        <f t="shared" si="30"/>
        <v>170.089</v>
      </c>
      <c r="T84" s="2289">
        <f t="shared" si="30"/>
        <v>160.09700000000001</v>
      </c>
      <c r="U84" s="2290">
        <f t="shared" si="30"/>
        <v>179.88900000000001</v>
      </c>
      <c r="V84" s="2289">
        <f t="shared" si="30"/>
        <v>163.34899999999999</v>
      </c>
      <c r="W84" s="2289">
        <f t="shared" si="30"/>
        <v>198.49900000000002</v>
      </c>
      <c r="X84" s="2289">
        <f t="shared" si="30"/>
        <v>181.07799999999997</v>
      </c>
      <c r="Y84" s="2290">
        <f t="shared" si="30"/>
        <v>206.66199999999998</v>
      </c>
      <c r="Z84" s="2289">
        <f t="shared" si="30"/>
        <v>137.18100000000001</v>
      </c>
      <c r="AA84" s="2289">
        <f t="shared" si="30"/>
        <v>6.7590000000000003</v>
      </c>
      <c r="AB84" s="2289"/>
      <c r="AC84" s="2289"/>
      <c r="AD84" s="2289"/>
      <c r="AE84" s="2289"/>
      <c r="AF84" s="2289"/>
      <c r="AG84" s="2289"/>
      <c r="AH84" s="2289"/>
      <c r="AI84" s="2289"/>
      <c r="AJ84" s="2289"/>
      <c r="AK84" s="2289"/>
      <c r="AL84" s="2289"/>
      <c r="AM84" s="2289"/>
      <c r="AN84" s="2289"/>
      <c r="AO84" s="2289"/>
      <c r="AP84" s="2289"/>
      <c r="AQ84" s="2289"/>
      <c r="AR84" s="2289"/>
      <c r="AS84" s="2289"/>
      <c r="AT84" s="2289"/>
      <c r="AU84" s="2289"/>
      <c r="AV84" s="2289"/>
      <c r="AW84" s="2289"/>
      <c r="AX84" s="2289"/>
      <c r="AY84" s="2289"/>
      <c r="AZ84" s="2289"/>
      <c r="BA84" s="2289"/>
      <c r="BB84" s="2289"/>
      <c r="BC84" s="2289"/>
      <c r="BD84" s="2289"/>
      <c r="BE84" s="2289"/>
      <c r="BF84" s="2289"/>
      <c r="BG84" s="2285"/>
    </row>
    <row r="85" spans="1:130" s="2133" customFormat="1" ht="12">
      <c r="A85" s="2282" t="s">
        <v>1996</v>
      </c>
      <c r="B85" s="1508">
        <v>0.45100000000000001</v>
      </c>
      <c r="C85" s="1508">
        <v>0.438</v>
      </c>
      <c r="D85" s="1508">
        <v>0.34799999999999998</v>
      </c>
      <c r="E85" s="1737">
        <v>0.22900000000000001</v>
      </c>
      <c r="F85" s="1508">
        <v>0.28399999999999997</v>
      </c>
      <c r="G85" s="1508">
        <f>G194</f>
        <v>0.14699999999999999</v>
      </c>
      <c r="H85" s="1508">
        <v>0.115</v>
      </c>
      <c r="I85" s="1737">
        <v>9.7000000000000003E-2</v>
      </c>
      <c r="J85" s="2283">
        <v>0.51200000000000001</v>
      </c>
      <c r="K85" s="2283">
        <v>0.626</v>
      </c>
      <c r="L85" s="2283">
        <v>0.50900000000000001</v>
      </c>
      <c r="M85" s="2284">
        <v>0.22900000000000001</v>
      </c>
      <c r="N85" s="2283">
        <v>0.64500000000000002</v>
      </c>
      <c r="O85" s="2283">
        <v>1.35</v>
      </c>
      <c r="P85" s="2283">
        <v>1.5649999999999999</v>
      </c>
      <c r="Q85" s="2284">
        <v>0.93799999999999994</v>
      </c>
      <c r="R85" s="2283">
        <v>0.67200000000000004</v>
      </c>
      <c r="S85" s="1473">
        <v>0.25</v>
      </c>
      <c r="T85" s="1473">
        <v>0.253</v>
      </c>
      <c r="U85" s="1971">
        <v>0.314</v>
      </c>
      <c r="V85" s="1473">
        <v>0.22800000000000001</v>
      </c>
      <c r="W85" s="1473">
        <v>0.21</v>
      </c>
      <c r="X85" s="1473">
        <v>0.13600000000000001</v>
      </c>
      <c r="Y85" s="1971">
        <v>0.13400000000000001</v>
      </c>
      <c r="Z85" s="1473">
        <v>-0.13</v>
      </c>
      <c r="AA85" s="2672"/>
      <c r="AB85" s="2672"/>
      <c r="AC85" s="1473"/>
      <c r="AD85" s="1473"/>
      <c r="AE85" s="1473"/>
      <c r="AF85" s="1473"/>
      <c r="AG85" s="1473"/>
      <c r="AH85" s="1473"/>
      <c r="AI85" s="1473"/>
      <c r="AJ85" s="1473"/>
      <c r="AK85" s="1473"/>
      <c r="AL85" s="1473"/>
      <c r="AM85" s="1473"/>
      <c r="AN85" s="1473"/>
      <c r="AO85" s="1473"/>
      <c r="AP85" s="1473"/>
      <c r="AQ85" s="1473"/>
      <c r="AR85" s="1473"/>
      <c r="AS85" s="1473"/>
      <c r="AT85" s="1473"/>
      <c r="AU85" s="1473"/>
      <c r="AV85" s="1473"/>
      <c r="AW85" s="1473"/>
      <c r="AX85" s="1473"/>
      <c r="AY85" s="1473"/>
      <c r="AZ85" s="1473"/>
      <c r="BA85" s="1473"/>
      <c r="BB85" s="1473"/>
      <c r="BC85" s="1473"/>
      <c r="BD85" s="1473"/>
      <c r="BE85" s="2285"/>
      <c r="BF85" s="2285"/>
      <c r="BG85" s="2285"/>
    </row>
    <row r="86" spans="1:130" s="2133" customFormat="1">
      <c r="A86" s="2092"/>
      <c r="B86" s="2090"/>
      <c r="C86" s="2090"/>
      <c r="D86" s="2090"/>
      <c r="E86" s="2091"/>
      <c r="F86" s="2090"/>
      <c r="G86" s="2090"/>
      <c r="H86" s="2090"/>
      <c r="I86" s="2091"/>
      <c r="J86" s="2090"/>
      <c r="K86" s="2090"/>
      <c r="L86" s="2090"/>
      <c r="M86" s="2091"/>
      <c r="N86" s="2090"/>
      <c r="O86" s="2090"/>
      <c r="P86" s="2090"/>
      <c r="Q86" s="2091"/>
      <c r="R86" s="2090"/>
      <c r="S86" s="2090"/>
      <c r="T86" s="2090"/>
      <c r="U86" s="2091"/>
      <c r="V86" s="2090"/>
      <c r="W86" s="2090"/>
      <c r="X86" s="2090"/>
      <c r="Y86" s="2091"/>
      <c r="Z86" s="2090"/>
      <c r="AA86" s="2090"/>
      <c r="AB86" s="2090"/>
      <c r="AC86" s="2090"/>
      <c r="AD86" s="2090"/>
      <c r="AE86" s="2090"/>
      <c r="AF86" s="2090"/>
      <c r="AG86" s="2090"/>
      <c r="AH86" s="2090"/>
      <c r="AI86" s="2090"/>
      <c r="AJ86" s="2090"/>
      <c r="AK86" s="2090"/>
      <c r="AL86" s="2090"/>
      <c r="AM86" s="2090"/>
      <c r="AN86" s="2090"/>
      <c r="AO86" s="2090"/>
      <c r="AP86" s="2090"/>
      <c r="AQ86" s="2090"/>
      <c r="AR86" s="2090"/>
      <c r="AS86" s="2090"/>
      <c r="AT86" s="2090"/>
      <c r="AU86" s="2090"/>
      <c r="AV86" s="2090"/>
      <c r="AW86" s="2090"/>
      <c r="AX86" s="2090"/>
      <c r="AY86" s="2090"/>
      <c r="AZ86" s="2090"/>
      <c r="BA86" s="2090"/>
      <c r="BB86" s="2090"/>
      <c r="BC86" s="2090"/>
      <c r="BD86" s="2090"/>
      <c r="BE86" s="2090"/>
      <c r="BF86" s="2090"/>
      <c r="BG86" s="2090"/>
    </row>
    <row r="87" spans="1:130" s="2133" customFormat="1">
      <c r="A87" s="2240" t="s">
        <v>1279</v>
      </c>
      <c r="B87" s="703">
        <f t="shared" ref="B87:M87" si="31">B73/B136</f>
        <v>0.56415393122643176</v>
      </c>
      <c r="C87" s="703">
        <f t="shared" si="31"/>
        <v>0.46471003785472137</v>
      </c>
      <c r="D87" s="703">
        <f t="shared" si="31"/>
        <v>0.56885393870968803</v>
      </c>
      <c r="E87" s="704">
        <f t="shared" si="31"/>
        <v>0.51673349063293328</v>
      </c>
      <c r="F87" s="703">
        <f t="shared" si="31"/>
        <v>0.51354836935599169</v>
      </c>
      <c r="G87" s="703">
        <f t="shared" si="31"/>
        <v>0.44416879484373106</v>
      </c>
      <c r="H87" s="703">
        <f t="shared" si="31"/>
        <v>0.5470334899409709</v>
      </c>
      <c r="I87" s="704">
        <f t="shared" si="31"/>
        <v>0.46809765237517903</v>
      </c>
      <c r="J87" s="2233">
        <f t="shared" si="31"/>
        <v>0.43127173807441965</v>
      </c>
      <c r="K87" s="2233">
        <f t="shared" si="31"/>
        <v>0.40565332608547933</v>
      </c>
      <c r="L87" s="2233">
        <f t="shared" si="31"/>
        <v>0.44281524926686222</v>
      </c>
      <c r="M87" s="2234">
        <f t="shared" si="31"/>
        <v>0.49926187210137835</v>
      </c>
      <c r="N87" s="2233">
        <f t="shared" ref="N87:AB87" si="32">N73/N136</f>
        <v>0.38621192177510349</v>
      </c>
      <c r="O87" s="2233">
        <f t="shared" si="32"/>
        <v>0.31889843602525286</v>
      </c>
      <c r="P87" s="2233">
        <f t="shared" si="32"/>
        <v>0.33473479027943775</v>
      </c>
      <c r="Q87" s="2234">
        <f t="shared" si="32"/>
        <v>0.39500159012108194</v>
      </c>
      <c r="R87" s="2233">
        <f t="shared" si="32"/>
        <v>0.40259588319902007</v>
      </c>
      <c r="S87" s="2233">
        <f t="shared" si="32"/>
        <v>0.32108559252504149</v>
      </c>
      <c r="T87" s="2233">
        <f t="shared" si="32"/>
        <v>0.35459867112552773</v>
      </c>
      <c r="U87" s="2234">
        <f t="shared" si="32"/>
        <v>0.33900536704567014</v>
      </c>
      <c r="V87" s="2233">
        <f t="shared" si="32"/>
        <v>0.38348075353102573</v>
      </c>
      <c r="W87" s="2233">
        <f t="shared" si="32"/>
        <v>0.32926100692616145</v>
      </c>
      <c r="X87" s="2233">
        <f t="shared" si="32"/>
        <v>0.36669131587872594</v>
      </c>
      <c r="Y87" s="2234">
        <f t="shared" si="32"/>
        <v>0.34563738769464636</v>
      </c>
      <c r="Z87" s="2233">
        <f t="shared" si="32"/>
        <v>0.34840830727287314</v>
      </c>
      <c r="AA87" s="2233">
        <f t="shared" si="32"/>
        <v>0.60142032845095439</v>
      </c>
      <c r="AB87" s="2233">
        <f t="shared" si="32"/>
        <v>0.51615417929839758</v>
      </c>
      <c r="AC87" s="2233"/>
      <c r="AD87" s="2233"/>
      <c r="AE87" s="2233"/>
      <c r="AF87" s="2233"/>
      <c r="AG87" s="2233"/>
      <c r="AH87" s="2233"/>
      <c r="AI87" s="2233"/>
      <c r="AJ87" s="2233"/>
      <c r="AK87" s="2233"/>
      <c r="AL87" s="2233"/>
      <c r="AM87" s="2233"/>
      <c r="AN87" s="2233"/>
      <c r="AO87" s="2233"/>
      <c r="AP87" s="2233"/>
      <c r="AQ87" s="2233"/>
      <c r="AR87" s="2233"/>
      <c r="AS87" s="2233"/>
      <c r="AT87" s="2233"/>
      <c r="AU87" s="2233"/>
      <c r="AV87" s="2233"/>
      <c r="AW87" s="2233"/>
      <c r="AX87" s="2233"/>
      <c r="AY87" s="2233"/>
      <c r="AZ87" s="2233"/>
      <c r="BA87" s="2233"/>
      <c r="BB87" s="2233"/>
      <c r="BC87" s="2233"/>
      <c r="BD87" s="2233"/>
      <c r="BE87" s="2233"/>
      <c r="BF87" s="2233"/>
      <c r="BG87" s="2123"/>
    </row>
    <row r="88" spans="1:130" s="38" customFormat="1">
      <c r="A88" s="2286" t="s">
        <v>1281</v>
      </c>
      <c r="B88" s="703">
        <f t="shared" ref="B88:M88" si="33">B76/B136</f>
        <v>0.38771824202287775</v>
      </c>
      <c r="C88" s="703">
        <f t="shared" si="33"/>
        <v>0.50413445879707985</v>
      </c>
      <c r="D88" s="703">
        <f t="shared" si="33"/>
        <v>0.39039069210390936</v>
      </c>
      <c r="E88" s="704">
        <f t="shared" si="33"/>
        <v>0.44974371278842551</v>
      </c>
      <c r="F88" s="703">
        <f t="shared" si="33"/>
        <v>0.45243359181653181</v>
      </c>
      <c r="G88" s="703">
        <f t="shared" si="33"/>
        <v>0.44674936154688072</v>
      </c>
      <c r="H88" s="703">
        <f t="shared" si="33"/>
        <v>0.40433080351764844</v>
      </c>
      <c r="I88" s="704">
        <f t="shared" si="33"/>
        <v>0.48767221426209628</v>
      </c>
      <c r="J88" s="2233">
        <f t="shared" si="33"/>
        <v>0.54060040804430209</v>
      </c>
      <c r="K88" s="2233">
        <f t="shared" si="33"/>
        <v>0.56419956512876257</v>
      </c>
      <c r="L88" s="2233">
        <f t="shared" si="33"/>
        <v>0.52099781938491618</v>
      </c>
      <c r="M88" s="2234">
        <f t="shared" si="33"/>
        <v>0.46341367822849311</v>
      </c>
      <c r="N88" s="2233">
        <f t="shared" ref="N88:AB88" si="34">N76/N136</f>
        <v>0.5163477811207221</v>
      </c>
      <c r="O88" s="2233">
        <f t="shared" si="34"/>
        <v>0.5681416176686499</v>
      </c>
      <c r="P88" s="2233">
        <f t="shared" si="34"/>
        <v>0.56338569233395941</v>
      </c>
      <c r="Q88" s="2234">
        <f t="shared" si="34"/>
        <v>0.65048362950954464</v>
      </c>
      <c r="R88" s="2233">
        <f t="shared" si="34"/>
        <v>0.47760947511131613</v>
      </c>
      <c r="S88" s="2233">
        <f t="shared" si="34"/>
        <v>0.55388710829363885</v>
      </c>
      <c r="T88" s="2233">
        <f t="shared" si="34"/>
        <v>0.5362554350213008</v>
      </c>
      <c r="U88" s="2234">
        <f t="shared" si="34"/>
        <v>0.53252027984512562</v>
      </c>
      <c r="V88" s="2233">
        <f t="shared" si="34"/>
        <v>0.47176100127061676</v>
      </c>
      <c r="W88" s="2233">
        <f t="shared" si="34"/>
        <v>0.51325995382559031</v>
      </c>
      <c r="X88" s="2233">
        <f t="shared" si="34"/>
        <v>0.4841068181944545</v>
      </c>
      <c r="Y88" s="2234">
        <f t="shared" si="34"/>
        <v>0.5178909005866188</v>
      </c>
      <c r="Z88" s="2233">
        <f t="shared" si="34"/>
        <v>0.47657474431590385</v>
      </c>
      <c r="AA88" s="2233">
        <f t="shared" si="34"/>
        <v>0.17990827045420921</v>
      </c>
      <c r="AB88" s="2233">
        <f t="shared" si="34"/>
        <v>0.23993070593330446</v>
      </c>
      <c r="AC88" s="2233"/>
      <c r="AD88" s="2233"/>
      <c r="AE88" s="2233"/>
      <c r="AF88" s="2233"/>
      <c r="AG88" s="2233"/>
      <c r="AH88" s="2233"/>
      <c r="AI88" s="2233"/>
      <c r="AJ88" s="2233"/>
      <c r="AK88" s="2233"/>
      <c r="AL88" s="2233"/>
      <c r="AM88" s="2233"/>
      <c r="AN88" s="2233"/>
      <c r="AO88" s="2233"/>
      <c r="AP88" s="2233"/>
      <c r="AQ88" s="2233"/>
      <c r="AR88" s="2233"/>
      <c r="AS88" s="2233"/>
      <c r="AT88" s="2233"/>
      <c r="AU88" s="2233"/>
      <c r="AV88" s="2233"/>
      <c r="AW88" s="2233"/>
      <c r="AX88" s="2233"/>
      <c r="AY88" s="2233"/>
      <c r="AZ88" s="2233"/>
      <c r="BA88" s="2233"/>
      <c r="BB88" s="2233"/>
      <c r="BC88" s="2233"/>
      <c r="BD88" s="2233"/>
      <c r="BE88" s="2233"/>
      <c r="BF88" s="2233"/>
      <c r="BG88" s="2123"/>
    </row>
    <row r="89" spans="1:130" s="1660" customFormat="1">
      <c r="A89" s="2286" t="s">
        <v>1282</v>
      </c>
      <c r="B89" s="703">
        <f t="shared" ref="B89:M89" si="35">B82/B136</f>
        <v>4.8128703092698573E-2</v>
      </c>
      <c r="C89" s="703">
        <f t="shared" si="35"/>
        <v>3.1157054713407135E-2</v>
      </c>
      <c r="D89" s="703">
        <f t="shared" si="35"/>
        <v>4.0756118035608788E-2</v>
      </c>
      <c r="E89" s="704">
        <f t="shared" si="35"/>
        <v>3.3523395210698387E-2</v>
      </c>
      <c r="F89" s="703">
        <f t="shared" si="35"/>
        <v>3.4045537040092388E-2</v>
      </c>
      <c r="G89" s="703">
        <f t="shared" si="35"/>
        <v>3.5819044144472824E-2</v>
      </c>
      <c r="H89" s="703">
        <f t="shared" si="35"/>
        <v>4.8647753282737016E-2</v>
      </c>
      <c r="I89" s="704">
        <f t="shared" si="35"/>
        <v>4.4208089937176238E-2</v>
      </c>
      <c r="J89" s="2233">
        <f t="shared" si="35"/>
        <v>2.8145341494219382E-2</v>
      </c>
      <c r="K89" s="2233">
        <f t="shared" si="35"/>
        <v>3.0152204933070595E-2</v>
      </c>
      <c r="L89" s="2233">
        <f t="shared" si="35"/>
        <v>3.6186931348221672E-2</v>
      </c>
      <c r="M89" s="2234">
        <f t="shared" si="35"/>
        <v>3.7324449670128691E-2</v>
      </c>
      <c r="N89" s="2233">
        <f t="shared" ref="N89:AB89" si="36">N82/N136</f>
        <v>9.7440297104174511E-2</v>
      </c>
      <c r="O89" s="2233">
        <f t="shared" si="36"/>
        <v>0.10024260135772863</v>
      </c>
      <c r="P89" s="2233">
        <f t="shared" si="36"/>
        <v>9.2090660747823128E-2</v>
      </c>
      <c r="Q89" s="2234">
        <f t="shared" si="36"/>
        <v>3.9078195173788605E-2</v>
      </c>
      <c r="R89" s="2233">
        <f t="shared" si="36"/>
        <v>3.7554969822513717E-2</v>
      </c>
      <c r="S89" s="2233">
        <f t="shared" si="36"/>
        <v>3.4211038903546827E-2</v>
      </c>
      <c r="T89" s="2233">
        <f t="shared" si="36"/>
        <v>3.7582427235025057E-2</v>
      </c>
      <c r="U89" s="2234">
        <f t="shared" si="36"/>
        <v>4.7990984255922166E-2</v>
      </c>
      <c r="V89" s="2233">
        <f t="shared" si="36"/>
        <v>5.1825207319244011E-2</v>
      </c>
      <c r="W89" s="2233">
        <f t="shared" si="36"/>
        <v>5.4376442950301758E-2</v>
      </c>
      <c r="X89" s="2233">
        <f t="shared" si="36"/>
        <v>6.3433727906058709E-2</v>
      </c>
      <c r="Y89" s="2234">
        <f t="shared" si="36"/>
        <v>4.1954941435559633E-2</v>
      </c>
      <c r="Z89" s="2233">
        <f t="shared" si="36"/>
        <v>5.2390637187365606E-2</v>
      </c>
      <c r="AA89" s="2233">
        <f t="shared" si="36"/>
        <v>0.16955170883266754</v>
      </c>
      <c r="AB89" s="2233">
        <f t="shared" si="36"/>
        <v>0.13555651797314855</v>
      </c>
      <c r="AC89" s="2233"/>
      <c r="AD89" s="2233"/>
      <c r="AE89" s="2233"/>
      <c r="AF89" s="2233"/>
      <c r="AG89" s="2233"/>
      <c r="AH89" s="2233"/>
      <c r="AI89" s="2233"/>
      <c r="AJ89" s="2233"/>
      <c r="AK89" s="2233"/>
      <c r="AL89" s="2233"/>
      <c r="AM89" s="2233"/>
      <c r="AN89" s="2233"/>
      <c r="AO89" s="2233"/>
      <c r="AP89" s="2233"/>
      <c r="AQ89" s="2233"/>
      <c r="AR89" s="2233"/>
      <c r="AS89" s="2233"/>
      <c r="AT89" s="2233"/>
      <c r="AU89" s="2233"/>
      <c r="AV89" s="2233"/>
      <c r="AW89" s="2233"/>
      <c r="AX89" s="2233"/>
      <c r="AY89" s="2233"/>
      <c r="AZ89" s="2233"/>
      <c r="BA89" s="2233"/>
      <c r="BB89" s="2233"/>
      <c r="BC89" s="2233"/>
      <c r="BD89" s="2233"/>
      <c r="BE89" s="2233"/>
      <c r="BF89" s="2233"/>
      <c r="BG89" s="2123"/>
    </row>
    <row r="90" spans="1:130" s="2139" customFormat="1">
      <c r="A90" s="2286"/>
      <c r="B90" s="703"/>
      <c r="C90" s="703"/>
      <c r="D90" s="703"/>
      <c r="E90" s="704"/>
      <c r="F90" s="703"/>
      <c r="G90" s="703"/>
      <c r="H90" s="703"/>
      <c r="I90" s="704"/>
      <c r="J90" s="2233"/>
      <c r="K90" s="2233"/>
      <c r="L90" s="2233"/>
      <c r="M90" s="2234"/>
      <c r="N90" s="2233"/>
      <c r="O90" s="2233"/>
      <c r="P90" s="2233"/>
      <c r="Q90" s="2234"/>
      <c r="R90" s="2233"/>
      <c r="S90" s="2233"/>
      <c r="T90" s="2233"/>
      <c r="U90" s="2234"/>
      <c r="V90" s="2233"/>
      <c r="W90" s="2123"/>
      <c r="X90" s="2123"/>
      <c r="Y90" s="2124"/>
      <c r="Z90" s="2123"/>
      <c r="AA90" s="2123"/>
      <c r="AB90" s="2123"/>
      <c r="AC90" s="2123"/>
      <c r="AD90" s="2123"/>
      <c r="AE90" s="2123"/>
      <c r="AF90" s="2123"/>
      <c r="AG90" s="2123"/>
      <c r="AH90" s="2123"/>
      <c r="AI90" s="2123"/>
      <c r="AJ90" s="2123"/>
      <c r="AK90" s="2123"/>
      <c r="AL90" s="2123"/>
      <c r="AM90" s="2123"/>
      <c r="AN90" s="2123"/>
      <c r="AO90" s="2123"/>
      <c r="AP90" s="2123"/>
      <c r="AQ90" s="2123"/>
      <c r="AR90" s="2123"/>
      <c r="AS90" s="2123"/>
      <c r="AT90" s="2123"/>
      <c r="AU90" s="2123"/>
      <c r="AV90" s="2123"/>
      <c r="AW90" s="2123"/>
      <c r="AX90" s="2123"/>
      <c r="AY90" s="2123"/>
      <c r="AZ90" s="2123"/>
      <c r="BA90" s="2123"/>
      <c r="BB90" s="2123"/>
      <c r="BC90" s="2123"/>
      <c r="BD90" s="2123"/>
      <c r="BE90" s="2123"/>
      <c r="BF90" s="2123"/>
      <c r="BG90" s="2123"/>
    </row>
    <row r="91" spans="1:130" s="708" customFormat="1">
      <c r="A91" s="2230" t="s">
        <v>1283</v>
      </c>
      <c r="B91" s="376"/>
      <c r="C91" s="376"/>
      <c r="D91" s="376"/>
      <c r="E91" s="110"/>
      <c r="F91" s="89"/>
      <c r="G91" s="376"/>
      <c r="H91" s="376"/>
      <c r="I91" s="829"/>
      <c r="J91" s="830"/>
      <c r="K91" s="830"/>
      <c r="L91" s="830"/>
      <c r="M91" s="831"/>
      <c r="N91" s="830"/>
      <c r="O91" s="376"/>
      <c r="P91" s="376"/>
      <c r="Q91" s="829"/>
      <c r="R91" s="376"/>
      <c r="S91" s="376"/>
      <c r="T91" s="376"/>
      <c r="U91" s="376">
        <f t="shared" ref="U91:AB91" si="37">SUM(U92:U94)</f>
        <v>1413.537</v>
      </c>
      <c r="V91" s="376">
        <f t="shared" si="37"/>
        <v>1372.809</v>
      </c>
      <c r="W91" s="376">
        <f t="shared" si="37"/>
        <v>1693.5929999999998</v>
      </c>
      <c r="X91" s="376">
        <f t="shared" si="37"/>
        <v>1492.9179999999999</v>
      </c>
      <c r="Y91" s="829">
        <f t="shared" si="37"/>
        <v>1700.5469999999998</v>
      </c>
      <c r="Z91" s="376">
        <f t="shared" si="37"/>
        <v>1206.6770000000001</v>
      </c>
      <c r="AA91" s="376">
        <f t="shared" si="37"/>
        <v>64.478000000000009</v>
      </c>
      <c r="AB91" s="376">
        <f t="shared" si="37"/>
        <v>212.958</v>
      </c>
      <c r="AC91" s="376"/>
      <c r="AD91" s="376"/>
      <c r="AE91" s="376"/>
      <c r="AF91" s="376"/>
      <c r="AG91" s="376"/>
      <c r="AH91" s="376"/>
      <c r="AI91" s="376"/>
      <c r="AJ91" s="376"/>
      <c r="AK91" s="376"/>
      <c r="AL91" s="376"/>
      <c r="AM91" s="376"/>
      <c r="AN91" s="376"/>
      <c r="AO91" s="376"/>
      <c r="AP91" s="376"/>
      <c r="AQ91" s="376"/>
      <c r="AR91" s="376"/>
      <c r="AS91" s="376"/>
      <c r="AT91" s="376"/>
      <c r="AU91" s="376"/>
      <c r="AV91" s="376"/>
      <c r="AW91" s="376"/>
      <c r="AX91" s="376"/>
      <c r="AY91" s="376"/>
      <c r="AZ91" s="376"/>
      <c r="BA91" s="376"/>
      <c r="BB91" s="376"/>
      <c r="BC91" s="376"/>
      <c r="BD91" s="376"/>
      <c r="BE91" s="376"/>
      <c r="BF91" s="376"/>
      <c r="BG91" s="376"/>
    </row>
    <row r="92" spans="1:130" s="2153" customFormat="1">
      <c r="A92" s="2092" t="s">
        <v>1284</v>
      </c>
      <c r="B92" s="89">
        <v>250.7216</v>
      </c>
      <c r="C92" s="89">
        <v>282.07490000000001</v>
      </c>
      <c r="D92" s="89">
        <v>291.75790000000001</v>
      </c>
      <c r="E92" s="110">
        <v>301808.40000000002</v>
      </c>
      <c r="F92" s="89">
        <v>209.7381</v>
      </c>
      <c r="G92" s="89">
        <v>329.35359999999997</v>
      </c>
      <c r="H92" s="89">
        <v>315.28969999999998</v>
      </c>
      <c r="I92" s="110">
        <v>311.43130000000002</v>
      </c>
      <c r="J92" s="2289">
        <v>318.88069999999999</v>
      </c>
      <c r="K92" s="2289">
        <v>369.2534</v>
      </c>
      <c r="L92" s="2289">
        <v>341.82100000000003</v>
      </c>
      <c r="M92" s="2290">
        <v>378.17200000000003</v>
      </c>
      <c r="N92" s="2289">
        <v>455.90600000000001</v>
      </c>
      <c r="O92" s="2291">
        <v>649.96600000000001</v>
      </c>
      <c r="P92" s="2291">
        <v>621.72</v>
      </c>
      <c r="Q92" s="2292">
        <v>689.64700000000005</v>
      </c>
      <c r="R92" s="2291">
        <v>743.18899999999996</v>
      </c>
      <c r="S92" s="2291">
        <v>804.73900000000003</v>
      </c>
      <c r="T92" s="2291">
        <v>749.09199999999998</v>
      </c>
      <c r="U92" s="2292">
        <v>821.15300000000002</v>
      </c>
      <c r="V92" s="2291">
        <f t="shared" ref="V92:AB92" si="38">V107</f>
        <v>839.56100000000004</v>
      </c>
      <c r="W92" s="2291">
        <f t="shared" si="38"/>
        <v>985.62099999999998</v>
      </c>
      <c r="X92" s="2291">
        <f t="shared" si="38"/>
        <v>916.947</v>
      </c>
      <c r="Y92" s="2292">
        <f t="shared" si="38"/>
        <v>986.58699999999999</v>
      </c>
      <c r="Z92" s="2291">
        <f t="shared" si="38"/>
        <v>692.11199999999997</v>
      </c>
      <c r="AA92" s="2291">
        <f t="shared" si="38"/>
        <v>54.914000000000001</v>
      </c>
      <c r="AB92" s="2291">
        <f t="shared" si="38"/>
        <v>149.339</v>
      </c>
      <c r="AC92" s="2291"/>
      <c r="AD92" s="2291"/>
      <c r="AE92" s="2291"/>
      <c r="AF92" s="2291"/>
      <c r="AG92" s="2291"/>
      <c r="AH92" s="2291"/>
      <c r="AI92" s="2291"/>
      <c r="AJ92" s="2291"/>
      <c r="AK92" s="2291"/>
      <c r="AL92" s="2291"/>
      <c r="AM92" s="2291"/>
      <c r="AN92" s="2291"/>
      <c r="AO92" s="2291"/>
      <c r="AP92" s="2291"/>
      <c r="AQ92" s="2291"/>
      <c r="AR92" s="2291"/>
      <c r="AS92" s="2291"/>
      <c r="AT92" s="2291"/>
      <c r="AU92" s="2291"/>
      <c r="AV92" s="2291"/>
      <c r="AW92" s="2291"/>
      <c r="AX92" s="2291"/>
      <c r="AY92" s="2291"/>
      <c r="AZ92" s="2291"/>
      <c r="BA92" s="2291"/>
      <c r="BB92" s="2291"/>
      <c r="BC92" s="2291"/>
      <c r="BD92" s="2291"/>
      <c r="BE92" s="211"/>
      <c r="BF92" s="211">
        <f>X92/X91</f>
        <v>0.61419783270079142</v>
      </c>
      <c r="BG92" s="2090"/>
    </row>
    <row r="93" spans="1:130" s="2154" customFormat="1">
      <c r="A93" s="2092" t="s">
        <v>1462</v>
      </c>
      <c r="B93" s="89">
        <v>91.120800000000003</v>
      </c>
      <c r="C93" s="89">
        <v>150.10069999999999</v>
      </c>
      <c r="D93" s="89">
        <v>100.9161</v>
      </c>
      <c r="E93" s="110">
        <v>117344.8</v>
      </c>
      <c r="F93" s="89">
        <v>104.636</v>
      </c>
      <c r="G93" s="89">
        <v>138.529</v>
      </c>
      <c r="H93" s="89">
        <v>116.0317</v>
      </c>
      <c r="I93" s="110">
        <v>143.80930000000001</v>
      </c>
      <c r="J93" s="2289">
        <v>158.25989999999999</v>
      </c>
      <c r="K93" s="2289">
        <v>196.691</v>
      </c>
      <c r="L93" s="2289">
        <v>151.67009999999999</v>
      </c>
      <c r="M93" s="2290">
        <v>182.572</v>
      </c>
      <c r="N93" s="2289">
        <v>214.21</v>
      </c>
      <c r="O93" s="2291">
        <v>374.35129999999998</v>
      </c>
      <c r="P93" s="2291">
        <v>342.30250000000001</v>
      </c>
      <c r="Q93" s="2292">
        <v>367.85</v>
      </c>
      <c r="R93" s="2291">
        <v>305.12099999999998</v>
      </c>
      <c r="S93" s="2291">
        <v>424.05399999999997</v>
      </c>
      <c r="T93" s="2291">
        <v>350.24</v>
      </c>
      <c r="U93" s="2292">
        <v>402.20400000000001</v>
      </c>
      <c r="V93" s="2291">
        <f t="shared" ref="V93:AB93" si="39">V112</f>
        <v>338.96600000000001</v>
      </c>
      <c r="W93" s="2291">
        <f t="shared" si="39"/>
        <v>454.58499999999998</v>
      </c>
      <c r="X93" s="2291">
        <f t="shared" si="39"/>
        <v>383.71699999999998</v>
      </c>
      <c r="Y93" s="2292">
        <f t="shared" si="39"/>
        <v>471.70699999999999</v>
      </c>
      <c r="Z93" s="2291">
        <f t="shared" si="39"/>
        <v>316.72300000000001</v>
      </c>
      <c r="AA93" s="2291">
        <f t="shared" si="39"/>
        <v>5.7060000000000004</v>
      </c>
      <c r="AB93" s="2291">
        <f t="shared" si="39"/>
        <v>32.801000000000002</v>
      </c>
      <c r="AC93" s="2291"/>
      <c r="AD93" s="2291"/>
      <c r="AE93" s="2291"/>
      <c r="AF93" s="2291"/>
      <c r="AG93" s="2291"/>
      <c r="AH93" s="2291"/>
      <c r="AI93" s="2291"/>
      <c r="AJ93" s="2291"/>
      <c r="AK93" s="2291"/>
      <c r="AL93" s="2291"/>
      <c r="AM93" s="2291"/>
      <c r="AN93" s="2291"/>
      <c r="AO93" s="2291"/>
      <c r="AP93" s="2291"/>
      <c r="AQ93" s="2291"/>
      <c r="AR93" s="2291"/>
      <c r="AS93" s="2291"/>
      <c r="AT93" s="2291"/>
      <c r="AU93" s="2291"/>
      <c r="AV93" s="2291"/>
      <c r="AW93" s="2291"/>
      <c r="AX93" s="2291"/>
      <c r="AY93" s="2291"/>
      <c r="AZ93" s="2291"/>
      <c r="BA93" s="2291"/>
      <c r="BB93" s="2291"/>
      <c r="BC93" s="2291"/>
      <c r="BD93" s="2291"/>
      <c r="BE93" s="211"/>
      <c r="BF93" s="211">
        <f>X93/X91</f>
        <v>0.25702483324603226</v>
      </c>
      <c r="BG93" s="2287">
        <f>X93/T93-1</f>
        <v>9.5583028780264812E-2</v>
      </c>
    </row>
    <row r="94" spans="1:130" s="708" customFormat="1">
      <c r="A94" s="2092" t="s">
        <v>1463</v>
      </c>
      <c r="B94" s="89"/>
      <c r="C94" s="89"/>
      <c r="D94" s="89"/>
      <c r="E94" s="110"/>
      <c r="F94" s="89"/>
      <c r="G94" s="89"/>
      <c r="H94" s="89"/>
      <c r="I94" s="110"/>
      <c r="J94" s="2289"/>
      <c r="K94" s="2289"/>
      <c r="L94" s="2289"/>
      <c r="M94" s="2290"/>
      <c r="N94" s="2289"/>
      <c r="O94" s="2291"/>
      <c r="P94" s="2291"/>
      <c r="Q94" s="2212">
        <v>129.84299999999999</v>
      </c>
      <c r="R94" s="2211"/>
      <c r="S94" s="2211"/>
      <c r="T94" s="2211">
        <v>144.11000000000001</v>
      </c>
      <c r="U94" s="2212">
        <v>190.18</v>
      </c>
      <c r="V94" s="2211">
        <f t="shared" ref="V94:AB94" si="40">V117</f>
        <v>194.28200000000001</v>
      </c>
      <c r="W94" s="2211">
        <f t="shared" si="40"/>
        <v>253.387</v>
      </c>
      <c r="X94" s="2211">
        <f t="shared" si="40"/>
        <v>192.25399999999999</v>
      </c>
      <c r="Y94" s="2212">
        <f t="shared" si="40"/>
        <v>242.25299999999999</v>
      </c>
      <c r="Z94" s="2211">
        <f t="shared" si="40"/>
        <v>197.84200000000001</v>
      </c>
      <c r="AA94" s="2211">
        <f t="shared" si="40"/>
        <v>3.8580000000000001</v>
      </c>
      <c r="AB94" s="2211">
        <f t="shared" si="40"/>
        <v>30.818000000000001</v>
      </c>
      <c r="AC94" s="2211"/>
      <c r="AD94" s="2211"/>
      <c r="AE94" s="2211"/>
      <c r="AF94" s="2211"/>
      <c r="AG94" s="2211"/>
      <c r="AH94" s="2211"/>
      <c r="AI94" s="2211"/>
      <c r="AJ94" s="2211"/>
      <c r="AK94" s="2211"/>
      <c r="AL94" s="2211"/>
      <c r="AM94" s="2211"/>
      <c r="AN94" s="2211"/>
      <c r="AO94" s="2211"/>
      <c r="AP94" s="2211"/>
      <c r="AQ94" s="2211"/>
      <c r="AR94" s="2211"/>
      <c r="AS94" s="2211"/>
      <c r="AT94" s="2211"/>
      <c r="AU94" s="2211"/>
      <c r="AV94" s="2211"/>
      <c r="AW94" s="2211"/>
      <c r="AX94" s="2211"/>
      <c r="AY94" s="2211"/>
      <c r="AZ94" s="2211"/>
      <c r="BA94" s="2211"/>
      <c r="BB94" s="2211"/>
      <c r="BC94" s="2211"/>
      <c r="BD94" s="2211"/>
      <c r="BE94" s="211"/>
      <c r="BF94" s="211">
        <f>X94/X91</f>
        <v>0.1287773340531764</v>
      </c>
      <c r="BG94" s="2211"/>
    </row>
    <row r="95" spans="1:130" s="27" customFormat="1">
      <c r="A95" s="2092"/>
      <c r="B95" s="89"/>
      <c r="C95" s="89"/>
      <c r="D95" s="89"/>
      <c r="E95" s="110"/>
      <c r="F95" s="89"/>
      <c r="G95" s="89"/>
      <c r="H95" s="89"/>
      <c r="I95" s="110"/>
      <c r="J95" s="2289"/>
      <c r="K95" s="2289"/>
      <c r="L95" s="2289"/>
      <c r="M95" s="2290"/>
      <c r="N95" s="2289"/>
      <c r="O95" s="2291"/>
      <c r="P95" s="2291"/>
      <c r="Q95" s="2292"/>
      <c r="R95" s="2090"/>
      <c r="S95" s="2090"/>
      <c r="T95" s="2090"/>
      <c r="U95" s="2091"/>
      <c r="V95" s="2090"/>
      <c r="W95" s="2291"/>
      <c r="X95" s="2291"/>
      <c r="Y95" s="2292"/>
      <c r="Z95" s="2090"/>
      <c r="AA95" s="2090"/>
      <c r="AB95" s="2090"/>
      <c r="AC95" s="2090"/>
      <c r="AD95" s="2090"/>
      <c r="AE95" s="2090"/>
      <c r="AF95" s="2090"/>
      <c r="AG95" s="2090"/>
      <c r="AH95" s="2090"/>
      <c r="AI95" s="2090"/>
      <c r="AJ95" s="2090"/>
      <c r="AK95" s="2090"/>
      <c r="AL95" s="2090"/>
      <c r="AM95" s="2090"/>
      <c r="AN95" s="2090"/>
      <c r="AO95" s="2090"/>
      <c r="AP95" s="2090"/>
      <c r="AQ95" s="2090"/>
      <c r="AR95" s="2090"/>
      <c r="AS95" s="2090"/>
      <c r="AT95" s="2090"/>
      <c r="AU95" s="2090"/>
      <c r="AV95" s="2090"/>
      <c r="AW95" s="2090"/>
      <c r="AX95" s="2090"/>
      <c r="AY95" s="2090"/>
      <c r="AZ95" s="2090"/>
      <c r="BA95" s="2090"/>
      <c r="BB95" s="2090"/>
      <c r="BC95" s="2090"/>
      <c r="BD95" s="2090"/>
      <c r="BE95" s="2090"/>
      <c r="BF95" s="2090"/>
      <c r="BG95" s="2090"/>
    </row>
    <row r="96" spans="1:130" s="2130" customFormat="1">
      <c r="A96" s="2230" t="s">
        <v>1285</v>
      </c>
      <c r="B96" s="2090"/>
      <c r="C96" s="2090"/>
      <c r="D96" s="2090"/>
      <c r="E96" s="2091"/>
      <c r="F96" s="2090"/>
      <c r="G96" s="2090"/>
      <c r="H96" s="2090"/>
      <c r="I96" s="2091"/>
      <c r="J96" s="2090"/>
      <c r="K96" s="2090"/>
      <c r="L96" s="2090"/>
      <c r="M96" s="2091"/>
      <c r="N96" s="2090"/>
      <c r="O96" s="2090"/>
      <c r="P96" s="2090"/>
      <c r="Q96" s="2091"/>
      <c r="R96" s="2090"/>
      <c r="S96" s="2090"/>
      <c r="T96" s="2090"/>
      <c r="U96" s="2091"/>
      <c r="V96" s="2090"/>
      <c r="W96" s="2090"/>
      <c r="X96" s="2090"/>
      <c r="Y96" s="2091"/>
      <c r="Z96" s="2090"/>
      <c r="AA96" s="2090"/>
      <c r="AB96" s="2090"/>
      <c r="AC96" s="2090"/>
      <c r="AD96" s="2090"/>
      <c r="AE96" s="2090"/>
      <c r="AF96" s="2090"/>
      <c r="AG96" s="2090"/>
      <c r="AH96" s="2090"/>
      <c r="AI96" s="2090"/>
      <c r="AJ96" s="2090"/>
      <c r="AK96" s="2090"/>
      <c r="AL96" s="2090"/>
      <c r="AM96" s="2090"/>
      <c r="AN96" s="2090"/>
      <c r="AO96" s="2090"/>
      <c r="AP96" s="2090"/>
      <c r="AQ96" s="2090"/>
      <c r="AR96" s="2090"/>
      <c r="AS96" s="2090"/>
      <c r="AT96" s="2090"/>
      <c r="AU96" s="2090"/>
      <c r="AV96" s="2090"/>
      <c r="AW96" s="2090"/>
      <c r="AX96" s="2090"/>
      <c r="AY96" s="2090"/>
      <c r="AZ96" s="2090"/>
      <c r="BA96" s="2090"/>
      <c r="BB96" s="2090"/>
      <c r="BC96" s="2090"/>
      <c r="BD96" s="2090"/>
      <c r="BE96" s="2090"/>
      <c r="BF96" s="2090"/>
      <c r="BG96" s="2090"/>
    </row>
    <row r="97" spans="1:59" s="2153" customFormat="1">
      <c r="A97" s="452" t="s">
        <v>1284</v>
      </c>
      <c r="B97" s="211">
        <v>6.4000000000000001E-2</v>
      </c>
      <c r="C97" s="211">
        <v>5.8000000000000003E-2</v>
      </c>
      <c r="D97" s="211">
        <v>6.2E-2</v>
      </c>
      <c r="E97" s="446">
        <v>0.06</v>
      </c>
      <c r="F97" s="211">
        <v>6.2E-2</v>
      </c>
      <c r="G97" s="211">
        <v>5.5E-2</v>
      </c>
      <c r="H97" s="211">
        <v>5.8000000000000003E-2</v>
      </c>
      <c r="I97" s="446">
        <v>5.5E-2</v>
      </c>
      <c r="J97" s="211">
        <v>7.0000000000000007E-2</v>
      </c>
      <c r="K97" s="211">
        <v>6.5000000000000002E-2</v>
      </c>
      <c r="L97" s="211">
        <v>6.9000000000000006E-2</v>
      </c>
      <c r="M97" s="446">
        <v>0.10100000000000001</v>
      </c>
      <c r="N97" s="211">
        <f>N73/N92</f>
        <v>7.2080648203796394E-2</v>
      </c>
      <c r="O97" s="211">
        <f>O73/O92</f>
        <v>7.0177516977811147E-2</v>
      </c>
      <c r="P97" s="211">
        <v>7.5999999999999998E-2</v>
      </c>
      <c r="Q97" s="446">
        <v>7.3999999999999996E-2</v>
      </c>
      <c r="R97" s="211">
        <f t="shared" ref="R97:W97" si="41">R73/R92</f>
        <v>7.8714835660915333E-2</v>
      </c>
      <c r="S97" s="211">
        <f t="shared" si="41"/>
        <v>6.7597071845654305E-2</v>
      </c>
      <c r="T97" s="211">
        <f t="shared" si="41"/>
        <v>7.5447341581541386E-2</v>
      </c>
      <c r="U97" s="446">
        <f t="shared" si="41"/>
        <v>7.3998390068598666E-2</v>
      </c>
      <c r="V97" s="211">
        <f t="shared" si="41"/>
        <v>7.4412699017700909E-2</v>
      </c>
      <c r="W97" s="211">
        <f t="shared" si="41"/>
        <v>6.5981751606347672E-2</v>
      </c>
      <c r="X97" s="211">
        <f>X73/X92</f>
        <v>7.1925640195125776E-2</v>
      </c>
      <c r="Y97" s="446">
        <f>Y73/Y92</f>
        <v>7.1904454447504373E-2</v>
      </c>
      <c r="Z97" s="211">
        <f>Z73/Z92</f>
        <v>6.9056742261368112E-2</v>
      </c>
      <c r="AA97" s="211">
        <f>AA73/AA92</f>
        <v>7.4024838838911755E-2</v>
      </c>
      <c r="AB97" s="211">
        <v>0.08</v>
      </c>
      <c r="AC97" s="211"/>
      <c r="AD97" s="211"/>
      <c r="AE97" s="211"/>
      <c r="AF97" s="211"/>
      <c r="AG97" s="211"/>
      <c r="AH97" s="211"/>
      <c r="AI97" s="211"/>
      <c r="AJ97" s="211"/>
      <c r="AK97" s="211"/>
      <c r="AL97" s="211"/>
      <c r="AM97" s="211"/>
      <c r="AN97" s="211"/>
      <c r="AO97" s="211"/>
      <c r="AP97" s="211"/>
      <c r="AQ97" s="211"/>
      <c r="AR97" s="211"/>
      <c r="AS97" s="211"/>
      <c r="AT97" s="211"/>
      <c r="AU97" s="211"/>
      <c r="AV97" s="211"/>
      <c r="AW97" s="211"/>
      <c r="AX97" s="211"/>
      <c r="AY97" s="211"/>
      <c r="AZ97" s="211"/>
      <c r="BA97" s="211"/>
      <c r="BB97" s="211"/>
      <c r="BC97" s="211"/>
      <c r="BD97" s="211"/>
      <c r="BE97" s="211"/>
      <c r="BF97" s="211"/>
      <c r="BG97" s="27"/>
    </row>
    <row r="98" spans="1:59" s="2153" customFormat="1">
      <c r="A98" s="707" t="s">
        <v>1267</v>
      </c>
      <c r="B98" s="444">
        <v>0.121</v>
      </c>
      <c r="C98" s="444">
        <v>0.11899999999999999</v>
      </c>
      <c r="D98" s="444">
        <v>0.124</v>
      </c>
      <c r="E98" s="445">
        <v>0.13400000000000001</v>
      </c>
      <c r="F98" s="444">
        <v>0.157</v>
      </c>
      <c r="G98" s="444">
        <v>0.13300000000000001</v>
      </c>
      <c r="H98" s="444">
        <v>0.11600000000000001</v>
      </c>
      <c r="I98" s="445">
        <v>0.123</v>
      </c>
      <c r="J98" s="444">
        <v>0.17599999999999999</v>
      </c>
      <c r="K98" s="444">
        <v>0.13300000000000001</v>
      </c>
      <c r="L98" s="444">
        <v>0.183</v>
      </c>
      <c r="M98" s="445">
        <v>0.19400000000000001</v>
      </c>
      <c r="N98" s="444">
        <f>N76/N93</f>
        <v>0.20510246953923719</v>
      </c>
      <c r="O98" s="444">
        <f>O76/O93</f>
        <v>0.21707684733564439</v>
      </c>
      <c r="P98" s="444">
        <v>0.23100000000000001</v>
      </c>
      <c r="Q98" s="445">
        <v>0.22800000000000001</v>
      </c>
      <c r="R98" s="444">
        <f t="shared" ref="R98:W98" si="42">R76/R93</f>
        <v>0.22745074904709939</v>
      </c>
      <c r="S98" s="444">
        <f t="shared" si="42"/>
        <v>0.22129021303890542</v>
      </c>
      <c r="T98" s="444">
        <f t="shared" si="42"/>
        <v>0.24403266331658291</v>
      </c>
      <c r="U98" s="445">
        <f t="shared" si="42"/>
        <v>0.23731738122942586</v>
      </c>
      <c r="V98" s="444">
        <f t="shared" si="42"/>
        <v>0.22673660485122399</v>
      </c>
      <c r="W98" s="444">
        <f t="shared" si="42"/>
        <v>0.22300559851292939</v>
      </c>
      <c r="X98" s="444">
        <f>X76/X93</f>
        <v>0.22691202109888275</v>
      </c>
      <c r="Y98" s="445">
        <f>Y76/Y93</f>
        <v>0.22533903461258789</v>
      </c>
      <c r="Z98" s="444">
        <f>Z76/Z93</f>
        <v>0.20641696371908574</v>
      </c>
      <c r="AA98" s="444">
        <f>AA76/AA93</f>
        <v>0.21310900806168942</v>
      </c>
      <c r="AB98" s="444">
        <v>0.16900000000000001</v>
      </c>
      <c r="AC98" s="444"/>
      <c r="AD98" s="444"/>
      <c r="AE98" s="444"/>
      <c r="AF98" s="444"/>
      <c r="AG98" s="444"/>
      <c r="AH98" s="444"/>
      <c r="AI98" s="444"/>
      <c r="AJ98" s="444"/>
      <c r="AK98" s="444"/>
      <c r="AL98" s="444"/>
      <c r="AM98" s="444"/>
      <c r="AN98" s="444"/>
      <c r="AO98" s="444"/>
      <c r="AP98" s="444"/>
      <c r="AQ98" s="444"/>
      <c r="AR98" s="444"/>
      <c r="AS98" s="444"/>
      <c r="AT98" s="444"/>
      <c r="AU98" s="444"/>
      <c r="AV98" s="444"/>
      <c r="AW98" s="444"/>
      <c r="AX98" s="444"/>
      <c r="AY98" s="444"/>
      <c r="AZ98" s="444"/>
      <c r="BA98" s="444"/>
      <c r="BB98" s="444"/>
      <c r="BC98" s="444"/>
      <c r="BD98" s="444"/>
      <c r="BE98" s="444"/>
      <c r="BF98" s="444"/>
      <c r="BG98" s="444"/>
    </row>
    <row r="99" spans="1:59">
      <c r="A99" s="707" t="s">
        <v>2104</v>
      </c>
      <c r="B99" s="444">
        <f t="shared" ref="B99:M99" si="43">SUM(B73,B76)/SUM(B92,B93)</f>
        <v>7.9436313342054712E-2</v>
      </c>
      <c r="C99" s="444">
        <f t="shared" si="43"/>
        <v>7.9477184736944886E-2</v>
      </c>
      <c r="D99" s="444">
        <f t="shared" si="43"/>
        <v>7.8291407121428985E-2</v>
      </c>
      <c r="E99" s="445">
        <f t="shared" si="43"/>
        <v>8.0886892906937121E-5</v>
      </c>
      <c r="F99" s="444">
        <f t="shared" si="43"/>
        <v>0.11174234773157204</v>
      </c>
      <c r="G99" s="444">
        <f t="shared" si="43"/>
        <v>7.8289083629098408E-2</v>
      </c>
      <c r="H99" s="444">
        <f t="shared" si="43"/>
        <v>7.323796129753822E-2</v>
      </c>
      <c r="I99" s="445">
        <f t="shared" si="43"/>
        <v>7.6194434327693961E-2</v>
      </c>
      <c r="J99" s="444">
        <f t="shared" si="43"/>
        <v>0.10482738211755613</v>
      </c>
      <c r="K99" s="444">
        <f t="shared" si="43"/>
        <v>0.1008814646809828</v>
      </c>
      <c r="L99" s="444">
        <f t="shared" si="43"/>
        <v>0.10389447752958463</v>
      </c>
      <c r="M99" s="445">
        <f t="shared" si="43"/>
        <v>0.13141112521935144</v>
      </c>
      <c r="N99" s="444">
        <f t="shared" ref="N99:AA99" si="44">SUM(N73,N76)/SUM(N92,N93)</f>
        <v>0.1146025464247981</v>
      </c>
      <c r="O99" s="444">
        <f t="shared" si="44"/>
        <v>0.12386396285604082</v>
      </c>
      <c r="P99" s="444">
        <f t="shared" si="44"/>
        <v>0.13095856165182865</v>
      </c>
      <c r="Q99" s="445">
        <f t="shared" si="44"/>
        <v>0.12745662635449556</v>
      </c>
      <c r="R99" s="444">
        <f t="shared" si="44"/>
        <v>0.12200589520275493</v>
      </c>
      <c r="S99" s="444">
        <f t="shared" si="44"/>
        <v>0.12063626664539917</v>
      </c>
      <c r="T99" s="444">
        <f t="shared" si="44"/>
        <v>0.1291575247513945</v>
      </c>
      <c r="U99" s="445">
        <f t="shared" si="44"/>
        <v>0.12769289749435364</v>
      </c>
      <c r="V99" s="444">
        <f t="shared" si="44"/>
        <v>0.11822385062030821</v>
      </c>
      <c r="W99" s="444">
        <f t="shared" si="44"/>
        <v>0.1155445818167679</v>
      </c>
      <c r="X99" s="444">
        <f t="shared" si="44"/>
        <v>0.11764913920889637</v>
      </c>
      <c r="Y99" s="445">
        <f t="shared" si="44"/>
        <v>0.12153516369127212</v>
      </c>
      <c r="Z99" s="444">
        <f t="shared" si="44"/>
        <v>0.11218088190833982</v>
      </c>
      <c r="AA99" s="444">
        <f t="shared" si="44"/>
        <v>8.7116463213460907E-2</v>
      </c>
      <c r="AB99" s="444">
        <f>SUM(AB73,AB76)/SUM(AB92,AB93)</f>
        <v>9.5849346656418144E-2</v>
      </c>
      <c r="AC99" s="444"/>
      <c r="AD99" s="444"/>
      <c r="AE99" s="444"/>
      <c r="AF99" s="444"/>
      <c r="AG99" s="444"/>
      <c r="AH99" s="444"/>
      <c r="AI99" s="444"/>
      <c r="AJ99" s="444"/>
      <c r="AK99" s="444"/>
      <c r="AL99" s="444"/>
      <c r="AM99" s="444"/>
      <c r="AN99" s="444"/>
      <c r="AO99" s="444"/>
      <c r="AP99" s="444"/>
      <c r="AQ99" s="444"/>
      <c r="AR99" s="444"/>
      <c r="AS99" s="444"/>
      <c r="AT99" s="444"/>
      <c r="AU99" s="444"/>
      <c r="AV99" s="444"/>
      <c r="AW99" s="444"/>
      <c r="AX99" s="444"/>
      <c r="AY99" s="444"/>
      <c r="AZ99" s="444"/>
      <c r="BA99" s="444"/>
      <c r="BB99" s="444"/>
      <c r="BC99" s="444"/>
      <c r="BD99" s="444"/>
      <c r="BE99" s="444"/>
      <c r="BF99" s="444"/>
      <c r="BG99" s="444"/>
    </row>
    <row r="100" spans="1:59" s="2133" customFormat="1">
      <c r="A100" s="707" t="s">
        <v>1463</v>
      </c>
      <c r="B100" s="444"/>
      <c r="C100" s="444"/>
      <c r="D100" s="444"/>
      <c r="E100" s="444"/>
      <c r="F100" s="444"/>
      <c r="G100" s="444"/>
      <c r="H100" s="444"/>
      <c r="I100" s="444"/>
      <c r="J100" s="444"/>
      <c r="K100" s="444"/>
      <c r="L100" s="444"/>
      <c r="M100" s="444"/>
      <c r="N100" s="444"/>
      <c r="O100" s="444"/>
      <c r="P100" s="444"/>
      <c r="Q100" s="444">
        <f>+Q79/Q94</f>
        <v>8.9215437104811196E-2</v>
      </c>
      <c r="R100" s="444"/>
      <c r="S100" s="444"/>
      <c r="T100" s="444">
        <f t="shared" ref="T100:AA100" si="45">+T79/T94</f>
        <v>8.4102421761154664E-2</v>
      </c>
      <c r="U100" s="444">
        <f t="shared" si="45"/>
        <v>7.925649384793354E-2</v>
      </c>
      <c r="V100" s="444">
        <f t="shared" si="45"/>
        <v>8.0172120937606159E-2</v>
      </c>
      <c r="W100" s="444">
        <f t="shared" si="45"/>
        <v>8.4262412830966069E-2</v>
      </c>
      <c r="X100" s="444">
        <f t="shared" si="45"/>
        <v>8.6588575530288051E-2</v>
      </c>
      <c r="Y100" s="445">
        <f t="shared" si="45"/>
        <v>8.5930824386075716E-2</v>
      </c>
      <c r="Z100" s="444">
        <f t="shared" si="45"/>
        <v>8.5027446143892585E-2</v>
      </c>
      <c r="AA100" s="444">
        <f t="shared" si="45"/>
        <v>8.6054950751684817E-2</v>
      </c>
      <c r="AB100" s="444">
        <v>8.1000000000000003E-2</v>
      </c>
      <c r="AC100" s="444"/>
      <c r="AD100" s="444"/>
      <c r="AE100" s="444"/>
      <c r="AF100" s="444"/>
      <c r="AG100" s="444"/>
      <c r="AH100" s="444"/>
      <c r="AI100" s="444"/>
      <c r="AJ100" s="444"/>
      <c r="AK100" s="444"/>
      <c r="AL100" s="444"/>
      <c r="AM100" s="444"/>
      <c r="AN100" s="444"/>
      <c r="AO100" s="444"/>
      <c r="AP100" s="444"/>
      <c r="AQ100" s="444"/>
      <c r="AR100" s="444"/>
      <c r="AS100" s="444"/>
      <c r="AT100" s="444"/>
      <c r="AU100" s="444"/>
      <c r="AV100" s="444"/>
      <c r="AW100" s="444"/>
      <c r="AX100" s="444"/>
      <c r="AY100" s="444"/>
      <c r="AZ100" s="444"/>
      <c r="BA100" s="444"/>
      <c r="BB100" s="444"/>
      <c r="BC100" s="444"/>
      <c r="BD100" s="444"/>
      <c r="BE100" s="444"/>
      <c r="BF100" s="444"/>
      <c r="BG100" s="444"/>
    </row>
    <row r="101" spans="1:59" s="2153" customFormat="1">
      <c r="A101" s="707"/>
      <c r="B101" s="444"/>
      <c r="C101" s="444"/>
      <c r="D101" s="444"/>
      <c r="E101" s="445"/>
      <c r="F101" s="444"/>
      <c r="G101" s="444"/>
      <c r="H101" s="444"/>
      <c r="I101" s="445"/>
      <c r="J101" s="444"/>
      <c r="K101" s="444"/>
      <c r="L101" s="444"/>
      <c r="M101" s="445"/>
      <c r="N101" s="444"/>
      <c r="O101" s="444"/>
      <c r="P101" s="444"/>
      <c r="Q101" s="445"/>
      <c r="R101" s="444"/>
      <c r="S101" s="444"/>
      <c r="T101" s="444"/>
      <c r="U101" s="445"/>
      <c r="V101" s="444"/>
      <c r="W101" s="444"/>
      <c r="X101" s="444"/>
      <c r="Y101" s="445"/>
      <c r="Z101" s="444"/>
      <c r="AA101" s="444"/>
      <c r="AB101" s="444"/>
      <c r="AC101" s="444"/>
      <c r="AD101" s="444"/>
      <c r="AE101" s="444"/>
      <c r="AF101" s="444"/>
      <c r="AG101" s="444"/>
      <c r="AH101" s="444"/>
      <c r="AI101" s="444"/>
      <c r="AJ101" s="444"/>
      <c r="AK101" s="444"/>
      <c r="AL101" s="444"/>
      <c r="AM101" s="444"/>
      <c r="AN101" s="444"/>
      <c r="AO101" s="444"/>
      <c r="AP101" s="444"/>
      <c r="AQ101" s="444"/>
      <c r="AR101" s="444"/>
      <c r="AS101" s="444"/>
      <c r="AT101" s="444"/>
      <c r="AU101" s="444"/>
      <c r="AV101" s="444"/>
      <c r="AW101" s="444"/>
      <c r="AX101" s="444"/>
      <c r="AY101" s="444"/>
      <c r="AZ101" s="444"/>
      <c r="BA101" s="444"/>
      <c r="BB101" s="444"/>
      <c r="BC101" s="444"/>
      <c r="BD101" s="444"/>
      <c r="BE101" s="444"/>
      <c r="BF101" s="444"/>
      <c r="BG101" s="444"/>
    </row>
    <row r="102" spans="1:59">
      <c r="A102" s="2120" t="s">
        <v>1220</v>
      </c>
      <c r="B102" s="2106"/>
      <c r="C102" s="2106"/>
      <c r="D102" s="2106"/>
      <c r="E102" s="2107"/>
      <c r="F102" s="2106"/>
      <c r="G102" s="2106"/>
      <c r="H102" s="2106"/>
      <c r="I102" s="2107"/>
      <c r="J102" s="2106"/>
      <c r="K102" s="2106"/>
      <c r="L102" s="2106"/>
      <c r="M102" s="2107"/>
      <c r="N102" s="2106"/>
      <c r="O102" s="2106"/>
      <c r="P102" s="2106"/>
      <c r="Q102" s="2107"/>
      <c r="R102" s="2106"/>
    </row>
    <row r="103" spans="1:59" s="2160" customFormat="1">
      <c r="A103" s="2724" t="s">
        <v>1221</v>
      </c>
      <c r="B103" s="2123">
        <v>341.8</v>
      </c>
      <c r="C103" s="2123">
        <v>432.2</v>
      </c>
      <c r="D103" s="2123">
        <v>392.7</v>
      </c>
      <c r="E103" s="2124">
        <v>419.2</v>
      </c>
      <c r="F103" s="2123">
        <v>404.4</v>
      </c>
      <c r="G103" s="2123">
        <v>467.9</v>
      </c>
      <c r="H103" s="2123">
        <v>431.3</v>
      </c>
      <c r="I103" s="2124">
        <v>455.2</v>
      </c>
      <c r="J103" s="2125">
        <v>477</v>
      </c>
      <c r="K103" s="2125">
        <v>565.94479999999999</v>
      </c>
      <c r="L103" s="2125">
        <v>493.49009999999998</v>
      </c>
      <c r="M103" s="2126">
        <v>560.74</v>
      </c>
      <c r="N103" s="2125">
        <v>670.11</v>
      </c>
      <c r="O103" s="30">
        <f>O107+O112+O117</f>
        <v>1149.6400000000001</v>
      </c>
      <c r="P103" s="30">
        <f>P107+P112+P117</f>
        <v>1070.162</v>
      </c>
      <c r="Q103" s="105">
        <f>Q107+Q112+Q117</f>
        <v>1187.3400000000001</v>
      </c>
      <c r="R103" s="30">
        <f>R107+R112+R117</f>
        <v>1183.924</v>
      </c>
      <c r="S103" s="30">
        <v>1416.36</v>
      </c>
      <c r="T103" s="30">
        <v>1243</v>
      </c>
      <c r="U103" s="105">
        <v>1413.537</v>
      </c>
      <c r="V103" s="30">
        <f t="shared" ref="V103:AA103" si="46">V107+V112+V117</f>
        <v>1372.809</v>
      </c>
      <c r="W103" s="30">
        <f t="shared" si="46"/>
        <v>1693.5929999999998</v>
      </c>
      <c r="X103" s="30">
        <f t="shared" si="46"/>
        <v>1492.9179999999999</v>
      </c>
      <c r="Y103" s="105">
        <f t="shared" si="46"/>
        <v>1700.5469999999998</v>
      </c>
      <c r="Z103" s="30">
        <f t="shared" si="46"/>
        <v>1206.6770000000001</v>
      </c>
      <c r="AA103" s="30">
        <f t="shared" si="46"/>
        <v>64.478000000000009</v>
      </c>
      <c r="AB103" s="30">
        <f>AB107+AB112+AB117</f>
        <v>212.958</v>
      </c>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row>
    <row r="104" spans="1:59" s="211" customFormat="1" ht="23">
      <c r="A104" s="513" t="s">
        <v>1222</v>
      </c>
      <c r="B104" s="1019">
        <v>9.7000000000000003E-2</v>
      </c>
      <c r="C104" s="1019">
        <v>0.28799999999999998</v>
      </c>
      <c r="D104" s="1019">
        <v>0.441</v>
      </c>
      <c r="E104" s="993">
        <v>0.34599999999999997</v>
      </c>
      <c r="F104" s="1019">
        <v>0.183</v>
      </c>
      <c r="G104" s="1019">
        <v>8.3000000000000004E-2</v>
      </c>
      <c r="H104" s="1019">
        <v>9.8000000000000004E-2</v>
      </c>
      <c r="I104" s="993">
        <v>8.5999999999999993E-2</v>
      </c>
      <c r="J104" s="1020">
        <v>0.11700000000000001</v>
      </c>
      <c r="K104" s="1020">
        <v>0.21</v>
      </c>
      <c r="L104" s="1020">
        <v>0.13600000000000001</v>
      </c>
      <c r="M104" s="223">
        <v>0.21299999999999999</v>
      </c>
      <c r="N104" s="1020">
        <v>0.40400000000000003</v>
      </c>
      <c r="O104" s="1020">
        <v>0.81</v>
      </c>
      <c r="P104" s="1020">
        <f t="shared" ref="P104:AB104" si="47">P103/L103-1</f>
        <v>1.1685581939739014</v>
      </c>
      <c r="Q104" s="223">
        <f t="shared" si="47"/>
        <v>1.1174519385098267</v>
      </c>
      <c r="R104" s="1020">
        <f t="shared" si="47"/>
        <v>0.76676068108221029</v>
      </c>
      <c r="S104" s="1020">
        <f t="shared" si="47"/>
        <v>0.23200306182805042</v>
      </c>
      <c r="T104" s="1020">
        <f t="shared" si="47"/>
        <v>0.16150638875235712</v>
      </c>
      <c r="U104" s="223">
        <f t="shared" si="47"/>
        <v>0.19050735256960927</v>
      </c>
      <c r="V104" s="1020">
        <f t="shared" si="47"/>
        <v>0.15954149083893898</v>
      </c>
      <c r="W104" s="1020">
        <f t="shared" si="47"/>
        <v>0.19573625349487411</v>
      </c>
      <c r="X104" s="1020">
        <f t="shared" si="47"/>
        <v>0.20106033789219624</v>
      </c>
      <c r="Y104" s="223">
        <f t="shared" si="47"/>
        <v>0.20304385382200807</v>
      </c>
      <c r="Z104" s="1020">
        <f t="shared" si="47"/>
        <v>-0.12101610639207627</v>
      </c>
      <c r="AA104" s="1020">
        <f t="shared" si="47"/>
        <v>-0.96192827910838086</v>
      </c>
      <c r="AB104" s="1020">
        <f t="shared" si="47"/>
        <v>-0.85735452315532401</v>
      </c>
      <c r="AC104" s="1020"/>
      <c r="AD104" s="1020"/>
      <c r="AE104" s="1020"/>
      <c r="AF104" s="1020"/>
      <c r="AG104" s="1020"/>
      <c r="AH104" s="1020"/>
      <c r="AI104" s="1020"/>
      <c r="AJ104" s="1020"/>
      <c r="AK104" s="1020"/>
      <c r="AL104" s="1020"/>
      <c r="AM104" s="1020"/>
      <c r="AN104" s="1020"/>
      <c r="AO104" s="1020"/>
      <c r="AP104" s="1020"/>
      <c r="AQ104" s="1020"/>
      <c r="AR104" s="1020"/>
      <c r="AS104" s="1020"/>
      <c r="AT104" s="1020"/>
      <c r="AU104" s="1020"/>
      <c r="AV104" s="1020"/>
      <c r="AW104" s="1020"/>
      <c r="AX104" s="1020"/>
      <c r="AY104" s="1020"/>
      <c r="AZ104" s="1020"/>
      <c r="BA104" s="1020"/>
      <c r="BB104" s="1020"/>
      <c r="BC104" s="1020"/>
      <c r="BD104" s="1020"/>
      <c r="BE104" s="1020"/>
      <c r="BF104" s="1020"/>
      <c r="BG104" s="1020"/>
    </row>
    <row r="105" spans="1:59" ht="23">
      <c r="A105" s="513" t="s">
        <v>675</v>
      </c>
      <c r="B105" s="2725">
        <v>0.23</v>
      </c>
      <c r="C105" s="2725">
        <v>0.36699999999999999</v>
      </c>
      <c r="D105" s="2725">
        <v>0.40899999999999997</v>
      </c>
      <c r="E105" s="2726">
        <v>0.34699999999999998</v>
      </c>
      <c r="F105" s="2725">
        <v>0.19400000000000001</v>
      </c>
      <c r="G105" s="2725">
        <v>0.156</v>
      </c>
      <c r="H105" s="2725">
        <v>0.184</v>
      </c>
      <c r="I105" s="2726">
        <v>0.156</v>
      </c>
      <c r="J105" s="2704">
        <v>0.19500000000000001</v>
      </c>
      <c r="K105" s="2704">
        <v>0.27400000000000002</v>
      </c>
      <c r="L105" s="2704">
        <v>0.16900000000000001</v>
      </c>
      <c r="M105" s="2712">
        <v>0.24</v>
      </c>
      <c r="N105" s="2704">
        <v>0.39700000000000002</v>
      </c>
      <c r="O105" s="2704">
        <v>0.76600000000000001</v>
      </c>
      <c r="P105" s="2704">
        <f>(P108+P113)/L103-1</f>
        <v>0.89892257210428328</v>
      </c>
      <c r="Q105" s="2712">
        <f>(Q108+Q113)/M103-1</f>
        <v>0.83050288547276785</v>
      </c>
      <c r="R105" s="2704">
        <f>(R108+R113)/N103-1</f>
        <v>0.45419506648162233</v>
      </c>
      <c r="S105" s="2704">
        <v>0.26700000000000002</v>
      </c>
      <c r="T105" s="2704">
        <v>0.26900000000000002</v>
      </c>
      <c r="U105" s="2712">
        <v>0.31900000000000001</v>
      </c>
      <c r="V105" s="2704">
        <v>0.26700000000000002</v>
      </c>
      <c r="W105" s="2690">
        <v>0.24</v>
      </c>
      <c r="X105" s="2690">
        <v>0.20599999999999999</v>
      </c>
      <c r="Y105" s="2713">
        <v>0.188</v>
      </c>
      <c r="Z105" s="2690">
        <v>-0.09</v>
      </c>
      <c r="AA105" s="2673">
        <f>+AA104</f>
        <v>-0.96192827910838086</v>
      </c>
      <c r="AB105" s="2673">
        <f>+AB104</f>
        <v>-0.85735452315532401</v>
      </c>
      <c r="AC105" s="2704"/>
      <c r="AD105" s="2704"/>
      <c r="AE105" s="2704"/>
      <c r="AF105" s="2704"/>
      <c r="AG105" s="2704"/>
      <c r="AH105" s="2704"/>
      <c r="AI105" s="2704"/>
      <c r="AJ105" s="2704"/>
      <c r="AK105" s="2704"/>
      <c r="AL105" s="2704"/>
      <c r="AM105" s="2704"/>
      <c r="AN105" s="2704"/>
      <c r="AO105" s="2704"/>
      <c r="AP105" s="2704"/>
      <c r="AQ105" s="2704"/>
      <c r="AR105" s="2704"/>
      <c r="AS105" s="2704"/>
      <c r="AT105" s="2704"/>
      <c r="AU105" s="2704"/>
      <c r="AV105" s="2704"/>
      <c r="AW105" s="2704"/>
      <c r="AX105" s="2704"/>
      <c r="AY105" s="2704"/>
      <c r="AZ105" s="2704"/>
      <c r="BA105" s="2704"/>
      <c r="BB105" s="2704"/>
      <c r="BC105" s="2704"/>
      <c r="BD105" s="2704"/>
      <c r="BE105" s="2704"/>
      <c r="BF105" s="2704"/>
      <c r="BG105" s="2704"/>
    </row>
    <row r="106" spans="1:59" s="2165" customFormat="1">
      <c r="A106" s="513"/>
      <c r="B106" s="59"/>
      <c r="C106" s="59"/>
      <c r="D106" s="59"/>
      <c r="E106" s="517"/>
      <c r="F106" s="59"/>
      <c r="G106" s="59"/>
      <c r="H106" s="59"/>
      <c r="I106" s="517"/>
      <c r="J106" s="27"/>
      <c r="K106" s="27"/>
      <c r="L106" s="27"/>
      <c r="M106" s="97"/>
      <c r="N106" s="27"/>
      <c r="O106" s="27"/>
      <c r="P106" s="27"/>
      <c r="Q106" s="97"/>
      <c r="R106" s="27"/>
      <c r="S106" s="27"/>
      <c r="T106" s="27"/>
      <c r="U106" s="97"/>
      <c r="V106" s="27"/>
      <c r="W106" s="1793"/>
      <c r="X106" s="2674"/>
      <c r="Y106" s="2714"/>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row>
    <row r="107" spans="1:59" s="2170" customFormat="1">
      <c r="A107" s="2724" t="s">
        <v>1435</v>
      </c>
      <c r="B107" s="1551"/>
      <c r="C107" s="1551"/>
      <c r="D107" s="1551"/>
      <c r="E107" s="1554"/>
      <c r="F107" s="1551"/>
      <c r="G107" s="1551"/>
      <c r="H107" s="1551"/>
      <c r="I107" s="1554"/>
      <c r="J107" s="2674">
        <v>319</v>
      </c>
      <c r="K107" s="2674">
        <v>369.25299999999999</v>
      </c>
      <c r="L107" s="2674">
        <v>341.82</v>
      </c>
      <c r="M107" s="2714">
        <v>378.17200000000003</v>
      </c>
      <c r="N107" s="2674">
        <v>455.90600000000001</v>
      </c>
      <c r="O107" s="2674">
        <v>649.96600000000001</v>
      </c>
      <c r="P107" s="2674">
        <v>621.72</v>
      </c>
      <c r="Q107" s="2714">
        <v>689.64700000000005</v>
      </c>
      <c r="R107" s="2674">
        <v>743.18899999999996</v>
      </c>
      <c r="S107" s="2674">
        <v>804.73900000000003</v>
      </c>
      <c r="T107" s="2674">
        <v>749.09199999999998</v>
      </c>
      <c r="U107" s="2714">
        <v>821.15300000000002</v>
      </c>
      <c r="V107" s="2674">
        <v>839.56100000000004</v>
      </c>
      <c r="W107" s="2674">
        <v>985.62099999999998</v>
      </c>
      <c r="X107" s="2674">
        <v>916.947</v>
      </c>
      <c r="Y107" s="2714">
        <v>986.58699999999999</v>
      </c>
      <c r="Z107" s="2674">
        <v>692.11199999999997</v>
      </c>
      <c r="AA107" s="2674">
        <v>54.914000000000001</v>
      </c>
      <c r="AB107" s="2675">
        <v>149.339</v>
      </c>
      <c r="AC107" s="2674"/>
      <c r="AD107" s="2674"/>
      <c r="AE107" s="2674"/>
      <c r="AF107" s="2674"/>
      <c r="AG107" s="2674"/>
      <c r="AH107" s="2674"/>
      <c r="AI107" s="2674"/>
      <c r="AJ107" s="2674"/>
      <c r="AK107" s="2674"/>
      <c r="AL107" s="2674"/>
      <c r="AM107" s="2674"/>
      <c r="AN107" s="2674"/>
      <c r="AO107" s="2674"/>
      <c r="AP107" s="2674"/>
      <c r="AQ107" s="2674"/>
      <c r="AR107" s="2674"/>
      <c r="AS107" s="2674"/>
      <c r="AT107" s="2674"/>
      <c r="AU107" s="2674"/>
      <c r="AV107" s="2674"/>
      <c r="AW107" s="2674"/>
      <c r="AX107" s="2674"/>
      <c r="AY107" s="2674"/>
      <c r="AZ107" s="2674"/>
      <c r="BA107" s="2674"/>
      <c r="BB107" s="2674"/>
      <c r="BC107" s="2674"/>
      <c r="BD107" s="2674"/>
      <c r="BE107" s="2674"/>
      <c r="BF107" s="2674"/>
      <c r="BG107" s="1470"/>
    </row>
    <row r="108" spans="1:59" s="2174" customFormat="1" ht="23">
      <c r="A108" s="513" t="s">
        <v>2630</v>
      </c>
      <c r="B108" s="59"/>
      <c r="C108" s="59"/>
      <c r="D108" s="59"/>
      <c r="E108" s="517"/>
      <c r="F108" s="59"/>
      <c r="G108" s="59"/>
      <c r="H108" s="59"/>
      <c r="I108" s="517"/>
      <c r="J108" s="27"/>
      <c r="K108" s="27"/>
      <c r="L108" s="27"/>
      <c r="M108" s="97"/>
      <c r="N108" s="27"/>
      <c r="O108" s="27" t="s">
        <v>271</v>
      </c>
      <c r="P108" s="2125">
        <f>341.82*(1+P109)</f>
        <v>602.97047999999995</v>
      </c>
      <c r="Q108" s="2126">
        <f>378.172*(1+Q109)</f>
        <v>668.22992399999998</v>
      </c>
      <c r="R108" s="2125">
        <f>455.906*(1+R109)</f>
        <v>721.243292</v>
      </c>
      <c r="S108" s="2125">
        <f>649.966*(1+S109)</f>
        <v>827.40671800000007</v>
      </c>
      <c r="T108" s="2125">
        <f>649.966*(1+T109)</f>
        <v>854.70528999999999</v>
      </c>
      <c r="U108" s="2126">
        <f t="shared" ref="U108:Z108" si="48">Q107*(1+U109)</f>
        <v>910.33404000000007</v>
      </c>
      <c r="V108" s="2125">
        <f t="shared" si="48"/>
        <v>917.83841499999983</v>
      </c>
      <c r="W108" s="2125">
        <f t="shared" si="48"/>
        <v>1023.628008</v>
      </c>
      <c r="X108" s="2125">
        <f t="shared" si="48"/>
        <v>921.38315999999998</v>
      </c>
      <c r="Y108" s="2126">
        <f t="shared" si="48"/>
        <v>974.70861100000002</v>
      </c>
      <c r="Z108" s="2125">
        <f t="shared" si="48"/>
        <v>716.985094</v>
      </c>
      <c r="AA108" s="2676"/>
      <c r="AB108" s="2676"/>
      <c r="AC108" s="2125"/>
      <c r="AD108" s="2125"/>
      <c r="AE108" s="2125"/>
      <c r="AF108" s="2125"/>
      <c r="AG108" s="2125"/>
      <c r="AH108" s="2125"/>
      <c r="AI108" s="2125"/>
      <c r="AJ108" s="2125"/>
      <c r="AK108" s="2125"/>
      <c r="AL108" s="2125"/>
      <c r="AM108" s="2125"/>
      <c r="AN108" s="2125"/>
      <c r="AO108" s="2125"/>
      <c r="AP108" s="2125"/>
      <c r="AQ108" s="2125"/>
      <c r="AR108" s="2125"/>
      <c r="AS108" s="2125"/>
      <c r="AT108" s="2125"/>
      <c r="AU108" s="2125"/>
      <c r="AV108" s="2125"/>
      <c r="AW108" s="2125"/>
      <c r="AX108" s="2125"/>
      <c r="AY108" s="2125"/>
      <c r="AZ108" s="2125"/>
      <c r="BA108" s="2125"/>
      <c r="BB108" s="2125"/>
      <c r="BC108" s="2125"/>
      <c r="BD108" s="2125"/>
      <c r="BE108" s="2125"/>
      <c r="BF108" s="2125"/>
      <c r="BG108" s="2715"/>
    </row>
    <row r="109" spans="1:59" s="2174" customFormat="1" ht="23">
      <c r="A109" s="513" t="s">
        <v>2631</v>
      </c>
      <c r="B109" s="1551"/>
      <c r="C109" s="1551"/>
      <c r="D109" s="1551"/>
      <c r="E109" s="1554"/>
      <c r="F109" s="1551"/>
      <c r="G109" s="1551"/>
      <c r="H109" s="1551"/>
      <c r="I109" s="1554"/>
      <c r="J109" s="1470"/>
      <c r="K109" s="1470"/>
      <c r="L109" s="1470"/>
      <c r="M109" s="1471"/>
      <c r="N109" s="1470"/>
      <c r="O109" s="1470"/>
      <c r="P109" s="1470">
        <v>0.76400000000000001</v>
      </c>
      <c r="Q109" s="1471">
        <v>0.76700000000000002</v>
      </c>
      <c r="R109" s="1470">
        <v>0.58199999999999996</v>
      </c>
      <c r="S109" s="2716">
        <v>0.27300000000000002</v>
      </c>
      <c r="T109" s="1470">
        <v>0.315</v>
      </c>
      <c r="U109" s="1471">
        <v>0.32</v>
      </c>
      <c r="V109" s="1470">
        <v>0.23499999999999999</v>
      </c>
      <c r="W109" s="1468">
        <v>0.27200000000000002</v>
      </c>
      <c r="X109" s="2690">
        <v>0.23</v>
      </c>
      <c r="Y109" s="2713">
        <v>0.187</v>
      </c>
      <c r="Z109" s="2690">
        <v>-0.14599999999999999</v>
      </c>
      <c r="AA109" s="2677"/>
      <c r="AB109" s="2677"/>
      <c r="AC109" s="2690"/>
      <c r="AD109" s="2690"/>
      <c r="AE109" s="2690"/>
      <c r="AF109" s="2690"/>
      <c r="AG109" s="2690"/>
      <c r="AH109" s="2690"/>
      <c r="AI109" s="2690"/>
      <c r="AJ109" s="2690"/>
      <c r="AK109" s="2690"/>
      <c r="AL109" s="2690"/>
      <c r="AM109" s="2690"/>
      <c r="AN109" s="2690"/>
      <c r="AO109" s="2690"/>
      <c r="AP109" s="2690"/>
      <c r="AQ109" s="2690"/>
      <c r="AR109" s="2690"/>
      <c r="AS109" s="2690"/>
      <c r="AT109" s="2690"/>
      <c r="AU109" s="2690"/>
      <c r="AV109" s="2690"/>
      <c r="AW109" s="2690"/>
      <c r="AX109" s="2690"/>
      <c r="AY109" s="2690"/>
      <c r="AZ109" s="2690"/>
      <c r="BA109" s="2690"/>
      <c r="BB109" s="2690"/>
      <c r="BC109" s="2690"/>
      <c r="BD109" s="2690"/>
      <c r="BE109" s="1470"/>
      <c r="BF109" s="27"/>
      <c r="BG109" s="1470"/>
    </row>
    <row r="110" spans="1:59" ht="11.25" customHeight="1">
      <c r="A110" s="513"/>
      <c r="B110" s="59"/>
      <c r="C110" s="59"/>
      <c r="D110" s="59"/>
      <c r="E110" s="517"/>
      <c r="F110" s="59"/>
      <c r="G110" s="59"/>
      <c r="H110" s="59"/>
      <c r="I110" s="517"/>
      <c r="J110" s="27"/>
      <c r="K110" s="27"/>
      <c r="L110" s="27"/>
      <c r="M110" s="97"/>
      <c r="N110" s="27"/>
      <c r="O110" s="27"/>
      <c r="P110" s="27"/>
      <c r="Q110" s="97"/>
      <c r="R110" s="30">
        <f t="shared" ref="R110:Z110" si="49">R108/R55</f>
        <v>77.403229448379477</v>
      </c>
      <c r="S110" s="30">
        <f t="shared" si="49"/>
        <v>90.219901646494392</v>
      </c>
      <c r="T110" s="30">
        <f t="shared" si="49"/>
        <v>85.42781509245377</v>
      </c>
      <c r="U110" s="30">
        <f t="shared" si="49"/>
        <v>90.096401425178158</v>
      </c>
      <c r="V110" s="30">
        <f t="shared" si="49"/>
        <v>89.94007006369425</v>
      </c>
      <c r="W110" s="30">
        <f t="shared" si="49"/>
        <v>96.486757281553395</v>
      </c>
      <c r="X110" s="30">
        <f t="shared" si="49"/>
        <v>82.553817758265396</v>
      </c>
      <c r="Y110" s="105">
        <f t="shared" si="49"/>
        <v>83.680340916895602</v>
      </c>
      <c r="Z110" s="30">
        <f t="shared" si="49"/>
        <v>83.013209910848673</v>
      </c>
      <c r="AA110" s="2678"/>
      <c r="AB110" s="2678"/>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27"/>
      <c r="BF110" s="27"/>
      <c r="BG110" s="27"/>
    </row>
    <row r="111" spans="1:59" s="2181" customFormat="1">
      <c r="A111" s="513"/>
      <c r="B111" s="59"/>
      <c r="C111" s="59"/>
      <c r="D111" s="59"/>
      <c r="E111" s="517"/>
      <c r="F111" s="59"/>
      <c r="G111" s="59"/>
      <c r="H111" s="59"/>
      <c r="I111" s="517"/>
      <c r="J111" s="27"/>
      <c r="K111" s="27"/>
      <c r="L111" s="27"/>
      <c r="M111" s="97"/>
      <c r="N111" s="27"/>
      <c r="O111" s="27"/>
      <c r="P111" s="27"/>
      <c r="Q111" s="97"/>
      <c r="R111" s="30"/>
      <c r="S111" s="30"/>
      <c r="T111" s="30"/>
      <c r="U111" s="30"/>
      <c r="V111" s="30"/>
      <c r="W111" s="30"/>
      <c r="X111" s="30"/>
      <c r="Y111" s="105"/>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27"/>
      <c r="BF111" s="27"/>
      <c r="BG111" s="27"/>
    </row>
    <row r="112" spans="1:59" s="2181" customFormat="1" ht="12.75" customHeight="1">
      <c r="A112" s="2724" t="s">
        <v>1439</v>
      </c>
      <c r="B112" s="1551"/>
      <c r="C112" s="1551"/>
      <c r="D112" s="1551"/>
      <c r="E112" s="1554"/>
      <c r="F112" s="1551"/>
      <c r="G112" s="1551"/>
      <c r="H112" s="1551"/>
      <c r="I112" s="1554"/>
      <c r="J112" s="2674">
        <v>158</v>
      </c>
      <c r="K112" s="2674">
        <v>196.691</v>
      </c>
      <c r="L112" s="2674">
        <v>151.66999999999999</v>
      </c>
      <c r="M112" s="2714">
        <v>182.572</v>
      </c>
      <c r="N112" s="2674">
        <v>214.202</v>
      </c>
      <c r="O112" s="2674">
        <v>374.351</v>
      </c>
      <c r="P112" s="2674">
        <v>342.303</v>
      </c>
      <c r="Q112" s="2714">
        <v>367.85</v>
      </c>
      <c r="R112" s="2674">
        <v>305.12099999999998</v>
      </c>
      <c r="S112" s="2674">
        <v>424.05399999999997</v>
      </c>
      <c r="T112" s="2674">
        <v>350.24</v>
      </c>
      <c r="U112" s="2714">
        <v>402.20400000000001</v>
      </c>
      <c r="V112" s="2674">
        <v>338.96600000000001</v>
      </c>
      <c r="W112" s="2674">
        <v>454.58499999999998</v>
      </c>
      <c r="X112" s="2674">
        <v>383.71699999999998</v>
      </c>
      <c r="Y112" s="2714">
        <v>471.70699999999999</v>
      </c>
      <c r="Z112" s="2674">
        <v>316.72300000000001</v>
      </c>
      <c r="AA112" s="2674">
        <v>5.7060000000000004</v>
      </c>
      <c r="AB112" s="2675">
        <v>32.801000000000002</v>
      </c>
      <c r="AC112" s="2674"/>
      <c r="AD112" s="2674"/>
      <c r="AE112" s="2674"/>
      <c r="AF112" s="2674"/>
      <c r="AG112" s="2674"/>
      <c r="AH112" s="2674"/>
      <c r="AI112" s="2674"/>
      <c r="AJ112" s="2674"/>
      <c r="AK112" s="2674"/>
      <c r="AL112" s="2674"/>
      <c r="AM112" s="2674"/>
      <c r="AN112" s="2674"/>
      <c r="AO112" s="2674"/>
      <c r="AP112" s="2674"/>
      <c r="AQ112" s="2674"/>
      <c r="AR112" s="2674"/>
      <c r="AS112" s="2674"/>
      <c r="AT112" s="2674"/>
      <c r="AU112" s="2674"/>
      <c r="AV112" s="2674"/>
      <c r="AW112" s="2674"/>
      <c r="AX112" s="2674"/>
      <c r="AY112" s="2674"/>
      <c r="AZ112" s="2674"/>
      <c r="BA112" s="2674"/>
      <c r="BB112" s="2674"/>
      <c r="BC112" s="2674"/>
      <c r="BD112" s="2674"/>
      <c r="BE112" s="1470"/>
      <c r="BF112" s="2674"/>
      <c r="BG112" s="1470"/>
    </row>
    <row r="113" spans="1:59" ht="23">
      <c r="A113" s="513" t="s">
        <v>2632</v>
      </c>
      <c r="B113" s="59"/>
      <c r="C113" s="59"/>
      <c r="D113" s="59"/>
      <c r="E113" s="517"/>
      <c r="F113" s="59"/>
      <c r="G113" s="59"/>
      <c r="H113" s="59"/>
      <c r="I113" s="517"/>
      <c r="J113" s="27"/>
      <c r="K113" s="27"/>
      <c r="L113" s="27"/>
      <c r="M113" s="97"/>
      <c r="N113" s="27"/>
      <c r="O113" s="27"/>
      <c r="P113" s="2125">
        <f>151.67*(1+P114)</f>
        <v>334.12900999999999</v>
      </c>
      <c r="Q113" s="2126">
        <f>182.572*(1+Q114)</f>
        <v>358.20626399999998</v>
      </c>
      <c r="R113" s="2717">
        <f>182.572*(1+R114)</f>
        <v>253.22736399999999</v>
      </c>
      <c r="S113" s="2717">
        <f>374.351*(1+S114)</f>
        <v>434.24715999999995</v>
      </c>
      <c r="T113" s="2717">
        <f>374.351*(1+T114)</f>
        <v>418.15006699999998</v>
      </c>
      <c r="U113" s="2718">
        <f t="shared" ref="U113:Z113" si="50">Q112*(1+U114)</f>
        <v>445.46635000000003</v>
      </c>
      <c r="V113" s="2691">
        <f t="shared" si="50"/>
        <v>370.722015</v>
      </c>
      <c r="W113" s="2691">
        <f t="shared" si="50"/>
        <v>469.00372400000003</v>
      </c>
      <c r="X113" s="2691">
        <f t="shared" si="50"/>
        <v>385.61424</v>
      </c>
      <c r="Y113" s="2719">
        <f t="shared" si="50"/>
        <v>465.35002800000001</v>
      </c>
      <c r="Z113" s="2691">
        <f t="shared" si="50"/>
        <v>328.11908799999998</v>
      </c>
      <c r="AA113" s="2679"/>
      <c r="AB113" s="2679"/>
      <c r="AC113" s="2691"/>
      <c r="AD113" s="2691"/>
      <c r="AE113" s="2691"/>
      <c r="AF113" s="2691"/>
      <c r="AG113" s="2691"/>
      <c r="AH113" s="2691"/>
      <c r="AI113" s="2691"/>
      <c r="AJ113" s="2691"/>
      <c r="AK113" s="2691"/>
      <c r="AL113" s="2691"/>
      <c r="AM113" s="2691"/>
      <c r="AN113" s="2691"/>
      <c r="AO113" s="2691"/>
      <c r="AP113" s="2691"/>
      <c r="AQ113" s="2691"/>
      <c r="AR113" s="2691"/>
      <c r="AS113" s="2691"/>
      <c r="AT113" s="2691"/>
      <c r="AU113" s="2691"/>
      <c r="AV113" s="2691"/>
      <c r="AW113" s="2691"/>
      <c r="AX113" s="2691"/>
      <c r="AY113" s="2691"/>
      <c r="AZ113" s="2691"/>
      <c r="BA113" s="2691"/>
      <c r="BB113" s="2691"/>
      <c r="BC113" s="2691"/>
      <c r="BD113" s="2691"/>
      <c r="BE113" s="2691"/>
      <c r="BF113" s="2691"/>
      <c r="BG113" s="27"/>
    </row>
    <row r="114" spans="1:59" s="2185" customFormat="1" ht="23">
      <c r="A114" s="513" t="s">
        <v>2633</v>
      </c>
      <c r="B114" s="2725"/>
      <c r="C114" s="2725"/>
      <c r="D114" s="2725"/>
      <c r="E114" s="2726"/>
      <c r="F114" s="2725"/>
      <c r="G114" s="2725"/>
      <c r="H114" s="2725"/>
      <c r="I114" s="2726"/>
      <c r="J114" s="2704"/>
      <c r="K114" s="2704"/>
      <c r="L114" s="2704"/>
      <c r="M114" s="2712"/>
      <c r="N114" s="2704"/>
      <c r="O114" s="2704"/>
      <c r="P114" s="2704">
        <v>1.2030000000000001</v>
      </c>
      <c r="Q114" s="2712">
        <v>0.96199999999999997</v>
      </c>
      <c r="R114" s="2704">
        <v>0.38700000000000001</v>
      </c>
      <c r="S114" s="2720">
        <v>0.16</v>
      </c>
      <c r="T114" s="2704">
        <v>0.11700000000000001</v>
      </c>
      <c r="U114" s="2712">
        <v>0.21099999999999999</v>
      </c>
      <c r="V114" s="2704">
        <v>0.215</v>
      </c>
      <c r="W114" s="2690">
        <v>0.106</v>
      </c>
      <c r="X114" s="2690">
        <v>0.10100000000000001</v>
      </c>
      <c r="Y114" s="2713">
        <v>0.157</v>
      </c>
      <c r="Z114" s="2690">
        <v>-3.2000000000000001E-2</v>
      </c>
      <c r="AA114" s="2677"/>
      <c r="AB114" s="2677"/>
      <c r="AC114" s="2690"/>
      <c r="AD114" s="2690"/>
      <c r="AE114" s="2690"/>
      <c r="AF114" s="2690"/>
      <c r="AG114" s="2690"/>
      <c r="AH114" s="2690"/>
      <c r="AI114" s="2690"/>
      <c r="AJ114" s="2690"/>
      <c r="AK114" s="2690"/>
      <c r="AL114" s="2690"/>
      <c r="AM114" s="2690"/>
      <c r="AN114" s="2690"/>
      <c r="AO114" s="2690"/>
      <c r="AP114" s="2690"/>
      <c r="AQ114" s="2690"/>
      <c r="AR114" s="2690"/>
      <c r="AS114" s="2690"/>
      <c r="AT114" s="2690"/>
      <c r="AU114" s="2690"/>
      <c r="AV114" s="2690"/>
      <c r="AW114" s="2690"/>
      <c r="AX114" s="2690"/>
      <c r="AY114" s="2690"/>
      <c r="AZ114" s="2690"/>
      <c r="BA114" s="2690"/>
      <c r="BB114" s="2690"/>
      <c r="BC114" s="2690"/>
      <c r="BD114" s="2690"/>
      <c r="BE114" s="1470"/>
      <c r="BF114" s="1470"/>
      <c r="BG114" s="2704"/>
    </row>
    <row r="115" spans="1:59" s="2185" customFormat="1">
      <c r="A115" s="513"/>
      <c r="B115" s="59"/>
      <c r="C115" s="59"/>
      <c r="D115" s="59"/>
      <c r="E115" s="517"/>
      <c r="F115" s="59"/>
      <c r="G115" s="59"/>
      <c r="H115" s="59"/>
      <c r="I115" s="517"/>
      <c r="J115" s="27"/>
      <c r="K115" s="27"/>
      <c r="L115" s="27"/>
      <c r="M115" s="97"/>
      <c r="N115" s="27"/>
      <c r="O115" s="27"/>
      <c r="P115" s="27"/>
      <c r="Q115" s="97"/>
      <c r="R115" s="30">
        <f t="shared" ref="R115:Z115" si="51">R113/R59</f>
        <v>51.816526294250053</v>
      </c>
      <c r="S115" s="30">
        <f t="shared" si="51"/>
        <v>64.371058404980715</v>
      </c>
      <c r="T115" s="30">
        <f t="shared" si="51"/>
        <v>62.354617804950784</v>
      </c>
      <c r="U115" s="30">
        <f t="shared" si="51"/>
        <v>63.474829011114281</v>
      </c>
      <c r="V115" s="30">
        <f t="shared" si="51"/>
        <v>60.368346360527603</v>
      </c>
      <c r="W115" s="30">
        <f t="shared" si="51"/>
        <v>62.053946017464945</v>
      </c>
      <c r="X115" s="30">
        <f t="shared" si="51"/>
        <v>51.346769640479359</v>
      </c>
      <c r="Y115" s="105">
        <f t="shared" si="51"/>
        <v>54.928001416430597</v>
      </c>
      <c r="Z115" s="105">
        <f t="shared" si="51"/>
        <v>53.728358932372679</v>
      </c>
      <c r="AA115" s="2680"/>
      <c r="AB115" s="2678"/>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27"/>
      <c r="BF115" s="27"/>
      <c r="BG115" s="27"/>
    </row>
    <row r="116" spans="1:59" s="2185" customFormat="1">
      <c r="A116" s="513"/>
      <c r="B116" s="59"/>
      <c r="C116" s="59"/>
      <c r="D116" s="59"/>
      <c r="E116" s="517"/>
      <c r="F116" s="59"/>
      <c r="G116" s="59"/>
      <c r="H116" s="59"/>
      <c r="I116" s="517"/>
      <c r="J116" s="27"/>
      <c r="K116" s="27"/>
      <c r="L116" s="27"/>
      <c r="M116" s="97"/>
      <c r="N116" s="27"/>
      <c r="O116" s="27"/>
      <c r="P116" s="27"/>
      <c r="Q116" s="97"/>
      <c r="R116" s="30"/>
      <c r="S116" s="30"/>
      <c r="T116" s="30"/>
      <c r="U116" s="30"/>
      <c r="V116" s="30"/>
      <c r="W116" s="30"/>
      <c r="X116" s="30"/>
      <c r="Y116" s="105"/>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27"/>
      <c r="BF116" s="27"/>
      <c r="BG116" s="27"/>
    </row>
    <row r="117" spans="1:59" s="2185" customFormat="1">
      <c r="A117" s="2724" t="s">
        <v>2044</v>
      </c>
      <c r="B117" s="1551"/>
      <c r="C117" s="1551"/>
      <c r="D117" s="1551"/>
      <c r="E117" s="1554"/>
      <c r="F117" s="1551"/>
      <c r="G117" s="1551"/>
      <c r="H117" s="1551"/>
      <c r="I117" s="1554"/>
      <c r="J117" s="1470"/>
      <c r="K117" s="1470"/>
      <c r="L117" s="1470"/>
      <c r="M117" s="1471"/>
      <c r="N117" s="1470"/>
      <c r="O117" s="2674">
        <v>125.32299999999999</v>
      </c>
      <c r="P117" s="2674">
        <v>106.139</v>
      </c>
      <c r="Q117" s="2714">
        <v>129.84299999999999</v>
      </c>
      <c r="R117" s="2674">
        <v>135.614</v>
      </c>
      <c r="S117" s="2674">
        <v>187.56299999999999</v>
      </c>
      <c r="T117" s="2674">
        <v>144.11000000000001</v>
      </c>
      <c r="U117" s="2714">
        <v>190.18</v>
      </c>
      <c r="V117" s="2674">
        <v>194.28200000000001</v>
      </c>
      <c r="W117" s="2674">
        <v>253.387</v>
      </c>
      <c r="X117" s="2674">
        <v>192.25399999999999</v>
      </c>
      <c r="Y117" s="2714">
        <v>242.25299999999999</v>
      </c>
      <c r="Z117" s="2674">
        <v>197.84200000000001</v>
      </c>
      <c r="AA117" s="2674">
        <v>3.8580000000000001</v>
      </c>
      <c r="AB117" s="2304">
        <v>30.818000000000001</v>
      </c>
      <c r="AC117" s="2674"/>
      <c r="AD117" s="2674"/>
      <c r="AE117" s="2674"/>
      <c r="AF117" s="2674"/>
      <c r="AG117" s="2674"/>
      <c r="AH117" s="2674"/>
      <c r="AI117" s="2674"/>
      <c r="AJ117" s="2674"/>
      <c r="AK117" s="2674"/>
      <c r="AL117" s="2674"/>
      <c r="AM117" s="2674"/>
      <c r="AN117" s="2674"/>
      <c r="AO117" s="2674"/>
      <c r="AP117" s="2674"/>
      <c r="AQ117" s="2674"/>
      <c r="AR117" s="2674"/>
      <c r="AS117" s="2674"/>
      <c r="AT117" s="2674"/>
      <c r="AU117" s="2674"/>
      <c r="AV117" s="2674"/>
      <c r="AW117" s="2674"/>
      <c r="AX117" s="2674"/>
      <c r="AY117" s="2674"/>
      <c r="AZ117" s="2674"/>
      <c r="BA117" s="2674"/>
      <c r="BB117" s="2674"/>
      <c r="BC117" s="2674"/>
      <c r="BD117" s="2674"/>
      <c r="BE117" s="2674"/>
      <c r="BF117" s="2674"/>
      <c r="BG117" s="1470"/>
    </row>
    <row r="118" spans="1:59" s="2185" customFormat="1" ht="23">
      <c r="A118" s="513" t="s">
        <v>2634</v>
      </c>
      <c r="B118" s="59"/>
      <c r="C118" s="59"/>
      <c r="D118" s="59"/>
      <c r="E118" s="517"/>
      <c r="F118" s="59"/>
      <c r="G118" s="59"/>
      <c r="H118" s="59"/>
      <c r="I118" s="517"/>
      <c r="J118" s="27"/>
      <c r="K118" s="27"/>
      <c r="L118" s="27"/>
      <c r="M118" s="97"/>
      <c r="N118" s="27"/>
      <c r="O118" s="27"/>
      <c r="P118" s="27"/>
      <c r="Q118" s="97"/>
      <c r="R118" s="27"/>
      <c r="S118" s="2125">
        <f>O117*(1+S119)</f>
        <v>194.87726500000002</v>
      </c>
      <c r="T118" s="2125">
        <f>T117*(1+T119)</f>
        <v>214.57979</v>
      </c>
      <c r="U118" s="2126">
        <f t="shared" ref="U118:Z118" si="52">Q117*(1+U119)</f>
        <v>209.56660199999996</v>
      </c>
      <c r="V118" s="2125">
        <f t="shared" si="52"/>
        <v>210.744156</v>
      </c>
      <c r="W118" s="2125">
        <f t="shared" si="52"/>
        <v>263.33845199999996</v>
      </c>
      <c r="X118" s="2125">
        <f t="shared" si="52"/>
        <v>193.39562000000004</v>
      </c>
      <c r="Y118" s="2126">
        <f t="shared" si="52"/>
        <v>239.05626000000004</v>
      </c>
      <c r="Z118" s="2125">
        <f t="shared" si="52"/>
        <v>204.190382</v>
      </c>
      <c r="AA118" s="2676"/>
      <c r="AB118" s="2676"/>
      <c r="AC118" s="2125"/>
      <c r="AD118" s="2125"/>
      <c r="AE118" s="2125"/>
      <c r="AF118" s="2125"/>
      <c r="AG118" s="2125"/>
      <c r="AH118" s="2125"/>
      <c r="AI118" s="2125"/>
      <c r="AJ118" s="2125"/>
      <c r="AK118" s="2125"/>
      <c r="AL118" s="2125"/>
      <c r="AM118" s="2125"/>
      <c r="AN118" s="2125"/>
      <c r="AO118" s="2125"/>
      <c r="AP118" s="2125"/>
      <c r="AQ118" s="2125"/>
      <c r="AR118" s="2125"/>
      <c r="AS118" s="2125"/>
      <c r="AT118" s="2125"/>
      <c r="AU118" s="2125"/>
      <c r="AV118" s="2125"/>
      <c r="AW118" s="2125"/>
      <c r="AX118" s="2125"/>
      <c r="AY118" s="2125"/>
      <c r="AZ118" s="2125"/>
      <c r="BA118" s="2125"/>
      <c r="BB118" s="2125"/>
      <c r="BC118" s="2125"/>
      <c r="BD118" s="2125"/>
      <c r="BE118" s="2125"/>
      <c r="BF118" s="2125"/>
      <c r="BG118" s="27"/>
    </row>
    <row r="119" spans="1:59" ht="23">
      <c r="A119" s="513" t="s">
        <v>2635</v>
      </c>
      <c r="B119" s="2725"/>
      <c r="C119" s="2725"/>
      <c r="D119" s="2725"/>
      <c r="E119" s="2726"/>
      <c r="F119" s="2725"/>
      <c r="G119" s="2725"/>
      <c r="H119" s="2725"/>
      <c r="I119" s="2726"/>
      <c r="J119" s="2704"/>
      <c r="K119" s="2704"/>
      <c r="L119" s="2704"/>
      <c r="M119" s="2712"/>
      <c r="N119" s="2704"/>
      <c r="O119" s="2704"/>
      <c r="P119" s="2704"/>
      <c r="Q119" s="2712"/>
      <c r="R119" s="2704">
        <v>0.55400000000000005</v>
      </c>
      <c r="S119" s="2720">
        <v>0.55500000000000005</v>
      </c>
      <c r="T119" s="2704">
        <v>0.48899999999999999</v>
      </c>
      <c r="U119" s="2712">
        <v>0.61399999999999999</v>
      </c>
      <c r="V119" s="2704">
        <v>0.55400000000000005</v>
      </c>
      <c r="W119" s="2704">
        <v>0.40400000000000003</v>
      </c>
      <c r="X119" s="2690">
        <v>0.34200000000000003</v>
      </c>
      <c r="Y119" s="2713">
        <v>0.25700000000000001</v>
      </c>
      <c r="Z119" s="2690">
        <v>5.0999999999999997E-2</v>
      </c>
      <c r="AA119" s="2677"/>
      <c r="AB119" s="2677"/>
      <c r="AC119" s="2690"/>
      <c r="AD119" s="2690"/>
      <c r="AE119" s="2690"/>
      <c r="AF119" s="2690"/>
      <c r="AG119" s="2690"/>
      <c r="AH119" s="2690"/>
      <c r="AI119" s="2690"/>
      <c r="AJ119" s="2690"/>
      <c r="AK119" s="2690"/>
      <c r="AL119" s="2690"/>
      <c r="AM119" s="2690"/>
      <c r="AN119" s="2690"/>
      <c r="AO119" s="2690"/>
      <c r="AP119" s="2690"/>
      <c r="AQ119" s="2690"/>
      <c r="AR119" s="2690"/>
      <c r="AS119" s="2690"/>
      <c r="AT119" s="2690"/>
      <c r="AU119" s="2690"/>
      <c r="AV119" s="2690"/>
      <c r="AW119" s="2690"/>
      <c r="AX119" s="2690"/>
      <c r="AY119" s="2690"/>
      <c r="AZ119" s="2690"/>
      <c r="BA119" s="2690"/>
      <c r="BB119" s="2690"/>
      <c r="BC119" s="2690"/>
      <c r="BD119" s="2690"/>
      <c r="BE119" s="27"/>
      <c r="BF119" s="27"/>
      <c r="BG119" s="2704"/>
    </row>
    <row r="120" spans="1:59" s="2120" customFormat="1">
      <c r="A120" s="513"/>
      <c r="B120" s="59"/>
      <c r="C120" s="59"/>
      <c r="D120" s="59"/>
      <c r="E120" s="517"/>
      <c r="F120" s="59"/>
      <c r="G120" s="59"/>
      <c r="H120" s="59"/>
      <c r="I120" s="517"/>
      <c r="J120" s="27"/>
      <c r="K120" s="27"/>
      <c r="L120" s="27"/>
      <c r="M120" s="97"/>
      <c r="N120" s="27"/>
      <c r="O120" s="27"/>
      <c r="P120" s="27"/>
      <c r="Q120" s="97"/>
      <c r="R120" s="30">
        <f t="shared" ref="R120:Z120" si="53">R118/R64</f>
        <v>0</v>
      </c>
      <c r="S120" s="30">
        <f t="shared" si="53"/>
        <v>13.084279911373709</v>
      </c>
      <c r="T120" s="30">
        <f t="shared" si="53"/>
        <v>16.206932779456192</v>
      </c>
      <c r="U120" s="30">
        <f t="shared" si="53"/>
        <v>12.921055675442378</v>
      </c>
      <c r="V120" s="30">
        <f t="shared" si="53"/>
        <v>12.316296885044707</v>
      </c>
      <c r="W120" s="30">
        <f t="shared" si="53"/>
        <v>12.551880457578644</v>
      </c>
      <c r="X120" s="30">
        <f t="shared" si="53"/>
        <v>10.937429023866082</v>
      </c>
      <c r="Y120" s="105">
        <f t="shared" si="53"/>
        <v>11.203311463117444</v>
      </c>
      <c r="Z120" s="105">
        <f t="shared" si="53"/>
        <v>10.988611667204822</v>
      </c>
      <c r="AA120" s="2681"/>
      <c r="AB120" s="2681"/>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row>
    <row r="121" spans="1:59" s="2189" customFormat="1" ht="12">
      <c r="A121" s="513"/>
      <c r="B121" s="59"/>
      <c r="C121" s="59"/>
      <c r="D121" s="59"/>
      <c r="E121" s="517"/>
      <c r="F121" s="59"/>
      <c r="G121" s="59"/>
      <c r="H121" s="59"/>
      <c r="I121" s="517"/>
      <c r="J121" s="27"/>
      <c r="K121" s="27"/>
      <c r="L121" s="27"/>
      <c r="M121" s="97"/>
      <c r="N121" s="27"/>
      <c r="O121" s="27"/>
      <c r="P121" s="27"/>
      <c r="Q121" s="97"/>
      <c r="R121" s="27"/>
      <c r="S121" s="38"/>
      <c r="T121" s="27"/>
      <c r="U121" s="97"/>
      <c r="V121" s="27"/>
      <c r="W121" s="27"/>
      <c r="X121" s="27"/>
      <c r="Y121" s="9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row>
    <row r="122" spans="1:59" s="2189" customFormat="1" ht="12.75" customHeight="1">
      <c r="A122" s="513"/>
      <c r="B122" s="59"/>
      <c r="C122" s="59"/>
      <c r="D122" s="59"/>
      <c r="E122" s="517"/>
      <c r="F122" s="59"/>
      <c r="G122" s="59"/>
      <c r="H122" s="59"/>
      <c r="I122" s="517"/>
      <c r="J122" s="27"/>
      <c r="K122" s="27"/>
      <c r="L122" s="27"/>
      <c r="M122" s="97"/>
      <c r="N122" s="27"/>
      <c r="O122" s="27"/>
      <c r="P122" s="27"/>
      <c r="Q122" s="97"/>
      <c r="R122" s="27"/>
      <c r="S122" s="38"/>
      <c r="T122" s="27"/>
      <c r="U122" s="97"/>
      <c r="V122" s="27"/>
      <c r="W122" s="27"/>
      <c r="X122" s="27"/>
      <c r="Y122" s="9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row>
    <row r="123" spans="1:59" s="2192" customFormat="1" ht="12">
      <c r="A123" s="2122" t="s">
        <v>1443</v>
      </c>
      <c r="B123" s="2123"/>
      <c r="C123" s="2123"/>
      <c r="D123" s="2123"/>
      <c r="E123" s="2124"/>
      <c r="F123" s="2123"/>
      <c r="G123" s="2123"/>
      <c r="H123" s="2123"/>
      <c r="I123" s="2124"/>
      <c r="J123" s="2125"/>
      <c r="K123" s="2125"/>
      <c r="L123" s="2125"/>
      <c r="M123" s="2126"/>
      <c r="N123" s="2125"/>
      <c r="O123" s="2125"/>
      <c r="P123" s="2125"/>
      <c r="Q123" s="2126"/>
      <c r="R123" s="2125"/>
      <c r="S123" s="2125"/>
      <c r="T123" s="2125"/>
      <c r="U123" s="2126"/>
      <c r="V123" s="2125"/>
      <c r="W123" s="2125"/>
      <c r="X123" s="2125"/>
      <c r="Y123" s="2126"/>
      <c r="Z123" s="2125"/>
      <c r="AA123" s="2125"/>
      <c r="AB123" s="2125"/>
      <c r="AC123" s="2125"/>
      <c r="AD123" s="2125"/>
      <c r="AE123" s="2125"/>
      <c r="AF123" s="2125"/>
      <c r="AG123" s="2125"/>
      <c r="AH123" s="2125"/>
      <c r="AI123" s="2125"/>
      <c r="AJ123" s="2125"/>
      <c r="AK123" s="2125"/>
      <c r="AL123" s="2125"/>
      <c r="AM123" s="2125"/>
      <c r="AN123" s="2125"/>
      <c r="AO123" s="2125"/>
      <c r="AP123" s="2125"/>
      <c r="AQ123" s="2125"/>
      <c r="AR123" s="2125"/>
      <c r="AS123" s="2125"/>
      <c r="AT123" s="2125"/>
      <c r="AU123" s="2125"/>
      <c r="AV123" s="2125"/>
      <c r="AW123" s="2125"/>
      <c r="AX123" s="2125"/>
      <c r="AY123" s="2125"/>
      <c r="AZ123" s="2125"/>
      <c r="BA123" s="2125"/>
      <c r="BB123" s="2125"/>
      <c r="BC123" s="2125"/>
      <c r="BD123" s="2125"/>
      <c r="BE123" s="2125"/>
      <c r="BF123" s="2125"/>
      <c r="BG123" s="2125">
        <v>1000</v>
      </c>
    </row>
    <row r="124" spans="1:59" s="2192" customFormat="1" ht="12">
      <c r="A124" s="2127" t="s">
        <v>1879</v>
      </c>
      <c r="B124" s="2128">
        <v>16.368507000000001</v>
      </c>
      <c r="C124" s="2128">
        <v>16.475199</v>
      </c>
      <c r="D124" s="2128">
        <v>18.406372000000001</v>
      </c>
      <c r="E124" s="2129">
        <v>19.950983000000001</v>
      </c>
      <c r="F124" s="2128">
        <v>19.492000000000001</v>
      </c>
      <c r="G124" s="2128">
        <v>19.768000000000001</v>
      </c>
      <c r="H124" s="2128">
        <v>18.427</v>
      </c>
      <c r="I124" s="2129">
        <v>16.989000000000001</v>
      </c>
      <c r="J124" s="2130">
        <v>22.195</v>
      </c>
      <c r="K124" s="2130">
        <v>23.88</v>
      </c>
      <c r="L124" s="2130">
        <v>23.556000000000001</v>
      </c>
      <c r="M124" s="2131">
        <v>38.216000000000001</v>
      </c>
      <c r="N124" s="2130">
        <v>32.862000000000002</v>
      </c>
      <c r="O124" s="2130">
        <v>41.325000000000003</v>
      </c>
      <c r="P124" s="2130">
        <v>40.322000000000003</v>
      </c>
      <c r="Q124" s="2131">
        <v>40.473999999999997</v>
      </c>
      <c r="R124" s="2130">
        <v>45.27</v>
      </c>
      <c r="S124" s="2130">
        <v>40.448</v>
      </c>
      <c r="T124" s="2130">
        <v>41.067</v>
      </c>
      <c r="U124" s="2131">
        <v>43.506</v>
      </c>
      <c r="V124" s="2130">
        <v>41.692999999999998</v>
      </c>
      <c r="W124" s="2130">
        <v>44.613</v>
      </c>
      <c r="X124" s="2130">
        <v>45.991999999999997</v>
      </c>
      <c r="Y124" s="2131">
        <v>47.911000000000001</v>
      </c>
      <c r="Z124" s="2130">
        <v>35.844999999999999</v>
      </c>
      <c r="AA124" s="2130">
        <v>3.7559999999999998</v>
      </c>
      <c r="AB124" s="2130">
        <v>10.872999999999999</v>
      </c>
      <c r="AC124" s="2130"/>
      <c r="AD124" s="2130"/>
      <c r="AE124" s="2130"/>
      <c r="AF124" s="2130"/>
      <c r="AG124" s="2130"/>
      <c r="AH124" s="2130"/>
      <c r="AI124" s="2130"/>
      <c r="AJ124" s="2130"/>
      <c r="AK124" s="2130"/>
      <c r="AL124" s="2130"/>
      <c r="AM124" s="2130"/>
      <c r="AN124" s="2130"/>
      <c r="AO124" s="2130"/>
      <c r="AP124" s="2130"/>
      <c r="AQ124" s="2130"/>
      <c r="AR124" s="2130"/>
      <c r="AS124" s="2130"/>
      <c r="AT124" s="2130"/>
      <c r="AU124" s="2130"/>
      <c r="AV124" s="2130"/>
      <c r="AW124" s="2130"/>
      <c r="AX124" s="2130"/>
      <c r="AY124" s="2130"/>
      <c r="AZ124" s="2130"/>
      <c r="BA124" s="2130"/>
      <c r="BB124" s="2130"/>
      <c r="BC124" s="2130"/>
      <c r="BD124" s="2130"/>
      <c r="BE124" s="2130">
        <v>1000</v>
      </c>
      <c r="BF124" s="2130"/>
      <c r="BG124" s="2130"/>
    </row>
    <row r="125" spans="1:59" s="2189" customFormat="1" ht="12">
      <c r="A125" s="2127" t="s">
        <v>1878</v>
      </c>
      <c r="B125" s="2130">
        <v>43.109419000000003</v>
      </c>
      <c r="C125" s="2130">
        <v>77.264202999999995</v>
      </c>
      <c r="D125" s="2130">
        <v>40.821193999999998</v>
      </c>
      <c r="E125" s="2131">
        <v>54.563234000000001</v>
      </c>
      <c r="F125" s="2130">
        <v>47.863</v>
      </c>
      <c r="G125" s="2130">
        <v>72.418999999999997</v>
      </c>
      <c r="H125" s="2130">
        <v>42.408000000000001</v>
      </c>
      <c r="I125" s="2131">
        <v>63.395000000000003</v>
      </c>
      <c r="J125" s="2130">
        <v>64.355999999999995</v>
      </c>
      <c r="K125" s="2130">
        <v>95.570999999999998</v>
      </c>
      <c r="L125" s="2130">
        <v>57.628</v>
      </c>
      <c r="M125" s="2131">
        <v>82.174999999999997</v>
      </c>
      <c r="N125" s="2130">
        <v>78.88</v>
      </c>
      <c r="O125" s="2130">
        <v>134.57400000000001</v>
      </c>
      <c r="P125" s="2130">
        <v>98.274000000000001</v>
      </c>
      <c r="Q125" s="2131">
        <v>113.72</v>
      </c>
      <c r="R125" s="2130">
        <v>93.394999999999996</v>
      </c>
      <c r="S125" s="2130">
        <v>76.278000000000006</v>
      </c>
      <c r="T125" s="2130">
        <v>44.86</v>
      </c>
      <c r="U125" s="2131">
        <v>58.204000000000001</v>
      </c>
      <c r="V125" s="2130">
        <v>58.182000000000002</v>
      </c>
      <c r="W125" s="2130">
        <v>68.524000000000001</v>
      </c>
      <c r="X125" s="2130">
        <v>46.762999999999998</v>
      </c>
      <c r="Y125" s="2131">
        <v>72.989000000000004</v>
      </c>
      <c r="Z125" s="2130">
        <v>47.537999999999997</v>
      </c>
      <c r="AA125" s="2130">
        <v>1.121</v>
      </c>
      <c r="AB125" s="2130">
        <v>4.3879999999999999</v>
      </c>
      <c r="AC125" s="2130"/>
      <c r="AD125" s="2130"/>
      <c r="AE125" s="2130"/>
      <c r="AF125" s="2130"/>
      <c r="AG125" s="2130"/>
      <c r="AH125" s="2130"/>
      <c r="AI125" s="2130"/>
      <c r="AJ125" s="2130"/>
      <c r="AK125" s="2130"/>
      <c r="AL125" s="2130"/>
      <c r="AM125" s="2130"/>
      <c r="AN125" s="2130"/>
      <c r="AO125" s="2130"/>
      <c r="AP125" s="2130"/>
      <c r="AQ125" s="2130"/>
      <c r="AR125" s="2130"/>
      <c r="AS125" s="2130"/>
      <c r="AT125" s="2130"/>
      <c r="AU125" s="2130"/>
      <c r="AV125" s="2130"/>
      <c r="AW125" s="2130"/>
      <c r="AX125" s="2130"/>
      <c r="AY125" s="2130"/>
      <c r="AZ125" s="2130"/>
      <c r="BA125" s="2130"/>
      <c r="BB125" s="2130"/>
      <c r="BC125" s="2130"/>
      <c r="BD125" s="2130"/>
      <c r="BE125" s="2130"/>
      <c r="BF125" s="2130"/>
      <c r="BG125" s="2130"/>
    </row>
    <row r="126" spans="1:59" s="2189" customFormat="1" ht="12">
      <c r="A126" s="2127" t="s">
        <v>1877</v>
      </c>
      <c r="B126" s="2130">
        <v>1.373032</v>
      </c>
      <c r="C126" s="2130">
        <v>1.1045940000000001</v>
      </c>
      <c r="D126" s="2130">
        <v>1.306187</v>
      </c>
      <c r="E126" s="2131">
        <v>1.175983</v>
      </c>
      <c r="F126" s="2130">
        <v>1.238</v>
      </c>
      <c r="G126" s="2130">
        <v>1.4730000000000001</v>
      </c>
      <c r="H126" s="2130">
        <v>1.615</v>
      </c>
      <c r="I126" s="2131">
        <v>1.605</v>
      </c>
      <c r="J126" s="2130">
        <v>1.448</v>
      </c>
      <c r="K126" s="2130">
        <v>1.7749999999999999</v>
      </c>
      <c r="L126" s="2130">
        <v>1.925</v>
      </c>
      <c r="M126" s="2131">
        <v>2.8570000000000002</v>
      </c>
      <c r="N126" s="2130">
        <v>8.2910000000000004</v>
      </c>
      <c r="O126" s="2130">
        <v>16.157</v>
      </c>
      <c r="P126" s="2130">
        <v>14.321</v>
      </c>
      <c r="Q126" s="2131">
        <v>18.283000000000001</v>
      </c>
      <c r="R126" s="2130">
        <v>19.140999999999998</v>
      </c>
      <c r="S126" s="2130"/>
      <c r="T126" s="2130"/>
      <c r="U126" s="2131"/>
      <c r="V126" s="2130"/>
      <c r="W126" s="2130"/>
      <c r="X126" s="2130"/>
      <c r="Y126" s="2131"/>
      <c r="Z126" s="2130"/>
      <c r="AA126" s="2130"/>
      <c r="AB126" s="2130"/>
      <c r="AC126" s="2130"/>
      <c r="AD126" s="2130"/>
      <c r="AE126" s="2130"/>
      <c r="AF126" s="2130"/>
      <c r="AG126" s="2130"/>
      <c r="AH126" s="2130"/>
      <c r="AI126" s="2130"/>
      <c r="AJ126" s="2130"/>
      <c r="AK126" s="2130"/>
      <c r="AL126" s="2130"/>
      <c r="AM126" s="2130"/>
      <c r="AN126" s="2130"/>
      <c r="AO126" s="2130"/>
      <c r="AP126" s="2130"/>
      <c r="AQ126" s="2130"/>
      <c r="AR126" s="2130"/>
      <c r="AS126" s="2130"/>
      <c r="AT126" s="2130"/>
      <c r="AU126" s="2130"/>
      <c r="AV126" s="2130"/>
      <c r="AW126" s="2130"/>
      <c r="AX126" s="2130"/>
      <c r="AY126" s="2130"/>
      <c r="AZ126" s="2130"/>
      <c r="BA126" s="2130"/>
      <c r="BB126" s="2130"/>
      <c r="BC126" s="2130"/>
      <c r="BD126" s="2130"/>
      <c r="BE126" s="2130"/>
      <c r="BF126" s="2130"/>
      <c r="BG126" s="2130"/>
    </row>
    <row r="127" spans="1:59" s="2189" customFormat="1" ht="12">
      <c r="A127" s="2127" t="s">
        <v>1876</v>
      </c>
      <c r="B127" s="2130"/>
      <c r="C127" s="2130"/>
      <c r="D127" s="2130"/>
      <c r="E127" s="2131"/>
      <c r="F127" s="2130"/>
      <c r="G127" s="2130"/>
      <c r="H127" s="2130"/>
      <c r="I127" s="2131"/>
      <c r="J127" s="2130"/>
      <c r="K127" s="2130"/>
      <c r="L127" s="2130"/>
      <c r="M127" s="2131"/>
      <c r="N127" s="2130"/>
      <c r="O127" s="2130"/>
      <c r="P127" s="2130"/>
      <c r="Q127" s="2131"/>
      <c r="R127" s="2130"/>
      <c r="S127" s="2130">
        <v>15.081</v>
      </c>
      <c r="T127" s="2130">
        <v>11.846</v>
      </c>
      <c r="U127" s="2131">
        <v>14.679</v>
      </c>
      <c r="V127" s="2130">
        <v>12.138999999999999</v>
      </c>
      <c r="W127" s="2130">
        <v>18.321000000000002</v>
      </c>
      <c r="X127" s="2130">
        <v>14.257</v>
      </c>
      <c r="Y127" s="2131">
        <v>17.736999999999998</v>
      </c>
      <c r="Z127" s="2130">
        <v>14.694000000000001</v>
      </c>
      <c r="AA127" s="2130">
        <v>0.33800000000000002</v>
      </c>
      <c r="AB127" s="2130">
        <v>2.6520000000000001</v>
      </c>
      <c r="AC127" s="2130"/>
      <c r="AD127" s="2130"/>
      <c r="AE127" s="2130"/>
      <c r="AF127" s="2130"/>
      <c r="AG127" s="2130"/>
      <c r="AH127" s="2130"/>
      <c r="AI127" s="2130"/>
      <c r="AJ127" s="2130"/>
      <c r="AK127" s="2130"/>
      <c r="AL127" s="2130"/>
      <c r="AM127" s="2130"/>
      <c r="AN127" s="2130"/>
      <c r="AO127" s="2130"/>
      <c r="AP127" s="2130"/>
      <c r="AQ127" s="2130"/>
      <c r="AR127" s="2130"/>
      <c r="AS127" s="2130"/>
      <c r="AT127" s="2130"/>
      <c r="AU127" s="2130"/>
      <c r="AV127" s="2130"/>
      <c r="AW127" s="2130"/>
      <c r="AX127" s="2130"/>
      <c r="AY127" s="2130"/>
      <c r="AZ127" s="2130"/>
      <c r="BA127" s="2130"/>
      <c r="BB127" s="2130"/>
      <c r="BC127" s="2130"/>
      <c r="BD127" s="2130"/>
      <c r="BE127" s="2130"/>
      <c r="BF127" s="2130"/>
      <c r="BG127" s="2130"/>
    </row>
    <row r="128" spans="1:59" s="2189" customFormat="1" ht="12">
      <c r="A128" s="2127" t="s">
        <v>1875</v>
      </c>
      <c r="B128" s="2130"/>
      <c r="C128" s="2130"/>
      <c r="D128" s="2130"/>
      <c r="E128" s="2131"/>
      <c r="F128" s="2130"/>
      <c r="G128" s="2130"/>
      <c r="H128" s="2130"/>
      <c r="I128" s="2131"/>
      <c r="J128" s="2130"/>
      <c r="K128" s="2130"/>
      <c r="L128" s="2130"/>
      <c r="M128" s="2131"/>
      <c r="N128" s="2130"/>
      <c r="O128" s="2130"/>
      <c r="P128" s="2130"/>
      <c r="Q128" s="2131"/>
      <c r="R128" s="2130"/>
      <c r="S128" s="2130">
        <v>5.6029999999999998</v>
      </c>
      <c r="T128" s="2130">
        <v>5.8360000000000003</v>
      </c>
      <c r="U128" s="2131">
        <v>8.4260000000000002</v>
      </c>
      <c r="V128" s="2130">
        <v>8.1630000000000003</v>
      </c>
      <c r="W128" s="2130">
        <v>10.279</v>
      </c>
      <c r="X128" s="2130">
        <v>10.945</v>
      </c>
      <c r="Y128" s="2131">
        <v>8.2520000000000007</v>
      </c>
      <c r="Z128" s="2130">
        <v>6.8689999999999998</v>
      </c>
      <c r="AA128" s="2130">
        <v>1.1459999999999999</v>
      </c>
      <c r="AB128" s="2130">
        <v>3.1389999999999998</v>
      </c>
      <c r="AC128" s="2130"/>
      <c r="AD128" s="2130"/>
      <c r="AE128" s="2130"/>
      <c r="AF128" s="2130"/>
      <c r="AG128" s="2130"/>
      <c r="AH128" s="2130"/>
      <c r="AI128" s="2130"/>
      <c r="AJ128" s="2130"/>
      <c r="AK128" s="2130"/>
      <c r="AL128" s="2130"/>
      <c r="AM128" s="2130"/>
      <c r="AN128" s="2130"/>
      <c r="AO128" s="2130"/>
      <c r="AP128" s="2130"/>
      <c r="AQ128" s="2130"/>
      <c r="AR128" s="2130"/>
      <c r="AS128" s="2130"/>
      <c r="AT128" s="2130"/>
      <c r="AU128" s="2130"/>
      <c r="AV128" s="2130"/>
      <c r="AW128" s="2130"/>
      <c r="AX128" s="2130"/>
      <c r="AY128" s="2130"/>
      <c r="AZ128" s="2130"/>
      <c r="BA128" s="2130"/>
      <c r="BB128" s="2130"/>
      <c r="BC128" s="2130"/>
      <c r="BD128" s="2130"/>
      <c r="BE128" s="2130"/>
      <c r="BF128" s="2130"/>
      <c r="BG128" s="2130"/>
    </row>
    <row r="129" spans="1:130" s="2189" customFormat="1" ht="12">
      <c r="A129" s="2132" t="s">
        <v>352</v>
      </c>
      <c r="B129" s="2133">
        <f t="shared" ref="B129:M129" si="54">SUM(B124:B126)</f>
        <v>60.850958000000006</v>
      </c>
      <c r="C129" s="2133">
        <f t="shared" si="54"/>
        <v>94.843996000000004</v>
      </c>
      <c r="D129" s="2133">
        <f t="shared" si="54"/>
        <v>60.533752999999997</v>
      </c>
      <c r="E129" s="2134">
        <f t="shared" si="54"/>
        <v>75.690200000000004</v>
      </c>
      <c r="F129" s="2133">
        <f t="shared" si="54"/>
        <v>68.593000000000004</v>
      </c>
      <c r="G129" s="2133">
        <f t="shared" si="54"/>
        <v>93.66</v>
      </c>
      <c r="H129" s="2133">
        <f t="shared" si="54"/>
        <v>62.45</v>
      </c>
      <c r="I129" s="2134">
        <f t="shared" si="54"/>
        <v>81.989000000000004</v>
      </c>
      <c r="J129" s="2133">
        <f t="shared" si="54"/>
        <v>87.998999999999981</v>
      </c>
      <c r="K129" s="2133">
        <f t="shared" si="54"/>
        <v>121.226</v>
      </c>
      <c r="L129" s="2133">
        <f t="shared" si="54"/>
        <v>83.108999999999995</v>
      </c>
      <c r="M129" s="2134">
        <f t="shared" si="54"/>
        <v>123.24799999999999</v>
      </c>
      <c r="N129" s="2133">
        <f>SUM(N124:N126)</f>
        <v>120.03299999999999</v>
      </c>
      <c r="O129" s="2133">
        <f>SUM(O124:O126)</f>
        <v>192.05600000000001</v>
      </c>
      <c r="P129" s="2133">
        <v>152.917</v>
      </c>
      <c r="Q129" s="2134">
        <f>SUM(Q124:Q126)</f>
        <v>172.47699999999998</v>
      </c>
      <c r="R129" s="2133">
        <f>SUM(R124:R126)</f>
        <v>157.80599999999998</v>
      </c>
      <c r="S129" s="2133">
        <f t="shared" ref="S129:AB129" si="55">SUM(S124:S128)</f>
        <v>137.41</v>
      </c>
      <c r="T129" s="2133">
        <f t="shared" si="55"/>
        <v>103.60899999999999</v>
      </c>
      <c r="U129" s="2134">
        <f t="shared" si="55"/>
        <v>124.81500000000001</v>
      </c>
      <c r="V129" s="2133">
        <f t="shared" si="55"/>
        <v>120.17699999999999</v>
      </c>
      <c r="W129" s="2646">
        <f t="shared" si="55"/>
        <v>141.73699999999999</v>
      </c>
      <c r="X129" s="2133">
        <f t="shared" si="55"/>
        <v>117.95699999999999</v>
      </c>
      <c r="Y129" s="2134">
        <f t="shared" si="55"/>
        <v>146.88900000000001</v>
      </c>
      <c r="Z129" s="2646">
        <f t="shared" si="55"/>
        <v>104.946</v>
      </c>
      <c r="AA129" s="2646">
        <f t="shared" si="55"/>
        <v>6.3609999999999998</v>
      </c>
      <c r="AB129" s="2646">
        <f t="shared" si="55"/>
        <v>21.052</v>
      </c>
      <c r="AC129" s="2646"/>
      <c r="AD129" s="2646"/>
      <c r="AE129" s="2646"/>
      <c r="AF129" s="2646"/>
      <c r="AG129" s="2646"/>
      <c r="AH129" s="2646"/>
      <c r="AI129" s="2646"/>
      <c r="AJ129" s="2646"/>
      <c r="AK129" s="2646"/>
      <c r="AL129" s="2646"/>
      <c r="AM129" s="2646"/>
      <c r="AN129" s="2646"/>
      <c r="AO129" s="2646"/>
      <c r="AP129" s="2646"/>
      <c r="AQ129" s="2646"/>
      <c r="AR129" s="2646"/>
      <c r="AS129" s="2646"/>
      <c r="AT129" s="2646"/>
      <c r="AU129" s="2646"/>
      <c r="AV129" s="2646"/>
      <c r="AW129" s="2646"/>
      <c r="AX129" s="2646"/>
      <c r="AY129" s="2646"/>
      <c r="AZ129" s="2646"/>
      <c r="BA129" s="2646"/>
      <c r="BB129" s="2646"/>
      <c r="BC129" s="2646"/>
      <c r="BD129" s="2646"/>
      <c r="BE129" s="2133"/>
      <c r="BF129" s="2133"/>
      <c r="BG129" s="2133"/>
    </row>
    <row r="130" spans="1:130" s="2189" customFormat="1" ht="12">
      <c r="A130" s="2127" t="s">
        <v>1319</v>
      </c>
      <c r="B130" s="2130">
        <v>1.1684950000000001</v>
      </c>
      <c r="C130" s="2130">
        <v>0.28837600000000002</v>
      </c>
      <c r="D130" s="2130">
        <v>0.44744600000000001</v>
      </c>
      <c r="E130" s="2131">
        <v>0</v>
      </c>
      <c r="F130" s="2130">
        <v>0.123</v>
      </c>
      <c r="G130" s="2130">
        <v>0.129</v>
      </c>
      <c r="H130" s="2130">
        <v>0.88800000000000001</v>
      </c>
      <c r="I130" s="2131">
        <v>0</v>
      </c>
      <c r="J130" s="2130">
        <v>0</v>
      </c>
      <c r="K130" s="2130">
        <v>0</v>
      </c>
      <c r="L130" s="2130">
        <v>0.20599999999999999</v>
      </c>
      <c r="M130" s="2131">
        <v>9.2999999999999999E-2</v>
      </c>
      <c r="N130" s="2130">
        <v>6.4000000000000001E-2</v>
      </c>
      <c r="O130" s="2130">
        <v>12</v>
      </c>
      <c r="P130" s="2130">
        <v>8.7999999999999995E-2</v>
      </c>
      <c r="Q130" s="2131">
        <v>0.17399999999999999</v>
      </c>
      <c r="R130" s="2130">
        <v>0.161</v>
      </c>
      <c r="S130" s="2130">
        <v>3.0000000000000001E-3</v>
      </c>
      <c r="T130" s="2130">
        <v>0</v>
      </c>
      <c r="U130" s="2131">
        <v>7.8E-2</v>
      </c>
      <c r="V130" s="2130">
        <v>6.8000000000000005E-2</v>
      </c>
      <c r="W130" s="2130">
        <v>3.5000000000000003E-2</v>
      </c>
      <c r="X130" s="2130">
        <v>0.152</v>
      </c>
      <c r="Y130" s="2131">
        <v>0.78100000000000003</v>
      </c>
      <c r="Z130" s="2130">
        <v>9.5000000000000001E-2</v>
      </c>
      <c r="AA130" s="2130">
        <v>1.36</v>
      </c>
      <c r="AB130" s="2130">
        <v>0.41599999999999998</v>
      </c>
      <c r="AC130" s="2130"/>
      <c r="AD130" s="2130"/>
      <c r="AE130" s="2130"/>
      <c r="AF130" s="2130"/>
      <c r="AG130" s="2130"/>
      <c r="AH130" s="2130"/>
      <c r="AI130" s="2130"/>
      <c r="AJ130" s="2130"/>
      <c r="AK130" s="2130"/>
      <c r="AL130" s="2130"/>
      <c r="AM130" s="2130"/>
      <c r="AN130" s="2130"/>
      <c r="AO130" s="2130"/>
      <c r="AP130" s="2130"/>
      <c r="AQ130" s="2130"/>
      <c r="AR130" s="2130"/>
      <c r="AS130" s="2130"/>
      <c r="AT130" s="2130"/>
      <c r="AU130" s="2130"/>
      <c r="AV130" s="2130"/>
      <c r="AW130" s="2130"/>
      <c r="AX130" s="2130"/>
      <c r="AY130" s="2130"/>
      <c r="AZ130" s="2130"/>
      <c r="BA130" s="2130"/>
      <c r="BB130" s="2130"/>
      <c r="BC130" s="2130"/>
      <c r="BD130" s="2130"/>
      <c r="BE130" s="2130"/>
      <c r="BF130" s="2130"/>
      <c r="BG130" s="2130"/>
    </row>
    <row r="131" spans="1:130" s="2189" customFormat="1" ht="12">
      <c r="A131" s="2132" t="s">
        <v>1224</v>
      </c>
      <c r="B131" s="2133"/>
      <c r="C131" s="2133"/>
      <c r="D131" s="2133"/>
      <c r="E131" s="2134"/>
      <c r="F131" s="2133"/>
      <c r="G131" s="2133"/>
      <c r="H131" s="2133"/>
      <c r="I131" s="2134"/>
      <c r="J131" s="2133"/>
      <c r="K131" s="2133"/>
      <c r="L131" s="2133"/>
      <c r="M131" s="2134"/>
      <c r="N131" s="2133"/>
      <c r="O131" s="2133"/>
      <c r="P131" s="2133"/>
      <c r="Q131" s="2134"/>
      <c r="R131" s="2133"/>
      <c r="S131" s="2133"/>
      <c r="T131" s="2133"/>
      <c r="U131" s="2134"/>
      <c r="V131" s="2133"/>
      <c r="W131" s="2133"/>
      <c r="X131" s="2133"/>
      <c r="Y131" s="2134"/>
      <c r="Z131" s="2133"/>
      <c r="AA131" s="2287">
        <f>+AA129/W129-1</f>
        <v>-0.95512110458101973</v>
      </c>
      <c r="AB131" s="2287">
        <f>+AB129/X129-1</f>
        <v>-0.82152818399925398</v>
      </c>
      <c r="AC131" s="2133"/>
      <c r="AD131" s="2133"/>
      <c r="AE131" s="2133"/>
      <c r="AF131" s="2133"/>
      <c r="AG131" s="2133"/>
      <c r="AH131" s="2133"/>
      <c r="AI131" s="2133"/>
      <c r="AJ131" s="2133"/>
      <c r="AK131" s="2133"/>
      <c r="AL131" s="2133"/>
      <c r="AM131" s="2133"/>
      <c r="AN131" s="2133"/>
      <c r="AO131" s="2133"/>
      <c r="AP131" s="2133"/>
      <c r="AQ131" s="2133"/>
      <c r="AR131" s="2133"/>
      <c r="AS131" s="2133"/>
      <c r="AT131" s="2133"/>
      <c r="AU131" s="2133"/>
      <c r="AV131" s="2133"/>
      <c r="AW131" s="2133"/>
      <c r="AX131" s="2133"/>
      <c r="AY131" s="2133"/>
      <c r="AZ131" s="2133"/>
      <c r="BA131" s="2133"/>
      <c r="BB131" s="2133"/>
      <c r="BC131" s="2133"/>
      <c r="BD131" s="2133"/>
      <c r="BE131" s="2133"/>
      <c r="BF131" s="2133"/>
      <c r="BG131" s="2133">
        <v>-1</v>
      </c>
    </row>
    <row r="132" spans="1:130" s="2189" customFormat="1" ht="12.75" customHeight="1">
      <c r="A132" s="2127" t="s">
        <v>1874</v>
      </c>
      <c r="B132" s="2130">
        <v>-32.048746000000001</v>
      </c>
      <c r="C132" s="2130">
        <v>-59.391351</v>
      </c>
      <c r="D132" s="2130">
        <v>-28.309524</v>
      </c>
      <c r="E132" s="2131">
        <v>-38.786247000000003</v>
      </c>
      <c r="F132" s="2130">
        <v>-31.41</v>
      </c>
      <c r="G132" s="2130">
        <v>-54.051000000000002</v>
      </c>
      <c r="H132" s="2130">
        <v>-28.981999999999999</v>
      </c>
      <c r="I132" s="2131">
        <v>-45.697000000000003</v>
      </c>
      <c r="J132" s="2130">
        <v>-36.533999999999999</v>
      </c>
      <c r="K132" s="2130">
        <v>-62.357999999999997</v>
      </c>
      <c r="L132" s="2130">
        <v>-29.913</v>
      </c>
      <c r="M132" s="2131">
        <v>-46.703000000000003</v>
      </c>
      <c r="N132" s="2130">
        <v>-34.945</v>
      </c>
      <c r="O132" s="2130">
        <v>-58.356999999999999</v>
      </c>
      <c r="P132" s="2130">
        <v>-32.271000000000001</v>
      </c>
      <c r="Q132" s="2131">
        <v>-43.73</v>
      </c>
      <c r="R132" s="2130">
        <v>-34.988999999999997</v>
      </c>
      <c r="S132" s="2136">
        <v>-57.261000000000003</v>
      </c>
      <c r="T132" s="2130">
        <v>-29.491</v>
      </c>
      <c r="U132" s="2131">
        <v>-37.155999999999999</v>
      </c>
      <c r="V132" s="2130">
        <v>-36.915999999999997</v>
      </c>
      <c r="W132" s="2130">
        <v>-46.122999999999998</v>
      </c>
      <c r="X132" s="2130">
        <v>-27.934000000000001</v>
      </c>
      <c r="Y132" s="2131">
        <v>-43.273000000000003</v>
      </c>
      <c r="Z132" s="2130">
        <v>-24.074000000000002</v>
      </c>
      <c r="AA132" s="2130">
        <v>-0.23699999999999999</v>
      </c>
      <c r="AB132" s="2130">
        <v>-0.39700000000000002</v>
      </c>
      <c r="AC132" s="2130"/>
      <c r="AD132" s="2130"/>
      <c r="AE132" s="2130"/>
      <c r="AF132" s="2130"/>
      <c r="AG132" s="2130"/>
      <c r="AH132" s="2130"/>
      <c r="AI132" s="2130"/>
      <c r="AJ132" s="2130"/>
      <c r="AK132" s="2130"/>
      <c r="AL132" s="2130"/>
      <c r="AM132" s="2130"/>
      <c r="AN132" s="2130"/>
      <c r="AO132" s="2130"/>
      <c r="AP132" s="2130"/>
      <c r="AQ132" s="2130"/>
      <c r="AR132" s="2130"/>
      <c r="AS132" s="2130"/>
      <c r="AT132" s="2130"/>
      <c r="AU132" s="2130"/>
      <c r="AV132" s="2130"/>
      <c r="AW132" s="2130"/>
      <c r="AX132" s="2130"/>
      <c r="AY132" s="2130"/>
      <c r="AZ132" s="2130"/>
      <c r="BA132" s="2130"/>
      <c r="BB132" s="2130"/>
      <c r="BC132" s="2130"/>
      <c r="BD132" s="2130"/>
      <c r="BE132" s="2130">
        <v>-1</v>
      </c>
      <c r="BF132" s="2130"/>
      <c r="BG132" s="2130"/>
    </row>
    <row r="133" spans="1:130" s="2199" customFormat="1" ht="12.75" customHeight="1">
      <c r="A133" s="2127" t="s">
        <v>1225</v>
      </c>
      <c r="B133" s="2130">
        <v>-0.27453699999999998</v>
      </c>
      <c r="C133" s="2130">
        <v>0</v>
      </c>
      <c r="D133" s="2130">
        <v>-0.17505299999999999</v>
      </c>
      <c r="E133" s="2131">
        <v>-1.823974</v>
      </c>
      <c r="F133" s="2130">
        <v>-0.81699999999999995</v>
      </c>
      <c r="G133" s="2130">
        <v>1.506</v>
      </c>
      <c r="H133" s="2130">
        <v>-0.26400000000000001</v>
      </c>
      <c r="I133" s="2131">
        <v>0</v>
      </c>
      <c r="J133" s="2130">
        <v>0</v>
      </c>
      <c r="K133" s="2130">
        <v>0</v>
      </c>
      <c r="L133" s="2130">
        <v>0</v>
      </c>
      <c r="M133" s="2131">
        <v>0</v>
      </c>
      <c r="N133" s="2130">
        <v>0</v>
      </c>
      <c r="O133" s="2130">
        <v>0</v>
      </c>
      <c r="P133" s="2130">
        <v>0</v>
      </c>
      <c r="Q133" s="2131">
        <v>0</v>
      </c>
      <c r="R133" s="2130">
        <v>0</v>
      </c>
      <c r="S133" s="2130">
        <v>0</v>
      </c>
      <c r="T133" s="2130">
        <v>0</v>
      </c>
      <c r="U133" s="2131">
        <v>0</v>
      </c>
      <c r="V133" s="2130">
        <v>0</v>
      </c>
      <c r="W133" s="2130">
        <v>0</v>
      </c>
      <c r="X133" s="2130">
        <v>0</v>
      </c>
      <c r="Y133" s="2131">
        <v>0</v>
      </c>
      <c r="Z133" s="2130">
        <v>0</v>
      </c>
      <c r="AA133" s="2130">
        <v>0</v>
      </c>
      <c r="AB133" s="2130">
        <v>0</v>
      </c>
      <c r="AC133" s="2130"/>
      <c r="AD133" s="2130">
        <v>1000</v>
      </c>
      <c r="AE133" s="2130"/>
      <c r="AF133" s="2130"/>
      <c r="AG133" s="2130"/>
      <c r="AH133" s="2130"/>
      <c r="AI133" s="2130"/>
      <c r="AJ133" s="2130"/>
      <c r="AK133" s="2130"/>
      <c r="AL133" s="2130"/>
      <c r="AM133" s="2130"/>
      <c r="AN133" s="2130"/>
      <c r="AO133" s="2130"/>
      <c r="AP133" s="2130"/>
      <c r="AQ133" s="2130"/>
      <c r="AR133" s="2130"/>
      <c r="AS133" s="2130"/>
      <c r="AT133" s="2130"/>
      <c r="AU133" s="2130"/>
      <c r="AV133" s="2130"/>
      <c r="AW133" s="2130"/>
      <c r="AX133" s="2130"/>
      <c r="AY133" s="2130"/>
      <c r="AZ133" s="2130"/>
      <c r="BA133" s="2130"/>
      <c r="BB133" s="2130"/>
      <c r="BC133" s="2130"/>
      <c r="BD133" s="2130"/>
      <c r="BE133" s="2130"/>
      <c r="BF133" s="2130"/>
      <c r="BG133" s="2130"/>
      <c r="BH133" s="2197"/>
      <c r="BI133" s="2197"/>
      <c r="BJ133" s="2197"/>
      <c r="BK133" s="2197"/>
      <c r="BL133" s="2197"/>
      <c r="BM133" s="2197"/>
      <c r="BN133" s="2197"/>
      <c r="BO133" s="2197"/>
      <c r="BP133" s="2197"/>
      <c r="BQ133" s="2197"/>
      <c r="BR133" s="2197"/>
      <c r="BS133" s="2197"/>
      <c r="BT133" s="2197"/>
      <c r="BU133" s="2197"/>
      <c r="BV133" s="2197"/>
      <c r="BW133" s="2197"/>
      <c r="BX133" s="2197"/>
      <c r="BY133" s="2197"/>
      <c r="BZ133" s="2197"/>
      <c r="CA133" s="2197"/>
      <c r="CB133" s="2197"/>
      <c r="CC133" s="2197"/>
      <c r="CD133" s="2197"/>
      <c r="CE133" s="2197"/>
      <c r="CF133" s="2197"/>
      <c r="CG133" s="2197"/>
      <c r="CH133" s="2197"/>
      <c r="CI133" s="2197"/>
      <c r="CJ133" s="2197"/>
      <c r="CK133" s="2197"/>
      <c r="CL133" s="2197"/>
      <c r="CM133" s="2197"/>
      <c r="CN133" s="2197"/>
      <c r="CO133" s="2197"/>
      <c r="CP133" s="2197"/>
      <c r="CQ133" s="2197"/>
      <c r="CR133" s="2197"/>
      <c r="CS133" s="2197"/>
      <c r="CT133" s="2197"/>
      <c r="CU133" s="2197"/>
      <c r="CV133" s="2197"/>
      <c r="CW133" s="2197"/>
      <c r="CX133" s="2197"/>
      <c r="CY133" s="2197"/>
      <c r="CZ133" s="2197"/>
      <c r="DA133" s="2197"/>
      <c r="DB133" s="2197"/>
      <c r="DC133" s="2197"/>
      <c r="DD133" s="2197"/>
      <c r="DE133" s="2197"/>
      <c r="DF133" s="2197"/>
      <c r="DG133" s="2197"/>
      <c r="DH133" s="2197"/>
      <c r="DI133" s="2197"/>
      <c r="DJ133" s="2197"/>
      <c r="DK133" s="2197"/>
      <c r="DL133" s="2197"/>
      <c r="DM133" s="2197"/>
      <c r="DN133" s="2197"/>
      <c r="DO133" s="2197"/>
      <c r="DP133" s="2197"/>
      <c r="DQ133" s="2197"/>
      <c r="DR133" s="2197"/>
      <c r="DS133" s="2197"/>
      <c r="DT133" s="2197"/>
      <c r="DU133" s="2197"/>
      <c r="DV133" s="2197"/>
      <c r="DW133" s="2197"/>
      <c r="DX133" s="2197"/>
      <c r="DY133" s="2197"/>
      <c r="DZ133" s="2197"/>
    </row>
    <row r="134" spans="1:130" s="2199" customFormat="1" ht="15">
      <c r="A134" s="2127" t="s">
        <v>1444</v>
      </c>
      <c r="B134" s="2130"/>
      <c r="C134" s="2130"/>
      <c r="D134" s="2130"/>
      <c r="E134" s="2131"/>
      <c r="F134" s="2130"/>
      <c r="G134" s="2130"/>
      <c r="H134" s="2130"/>
      <c r="I134" s="2131"/>
      <c r="J134" s="2130"/>
      <c r="K134" s="2130"/>
      <c r="L134" s="2130"/>
      <c r="M134" s="2131"/>
      <c r="N134" s="2130"/>
      <c r="O134" s="2130">
        <v>-1.819</v>
      </c>
      <c r="P134" s="2130">
        <v>-1.3759999999999999</v>
      </c>
      <c r="Q134" s="2131">
        <v>-1.661</v>
      </c>
      <c r="R134" s="2130">
        <v>-1.6739999999999999</v>
      </c>
      <c r="S134" s="2130">
        <v>-3.1030000000000002</v>
      </c>
      <c r="T134" s="2130">
        <v>-2.9620000000000002</v>
      </c>
      <c r="U134" s="2131">
        <v>-4.758</v>
      </c>
      <c r="V134" s="2130">
        <v>-1.7649999999999999</v>
      </c>
      <c r="W134" s="2130">
        <v>-3.4289999999999998</v>
      </c>
      <c r="X134" s="2130">
        <v>-2.8180000000000001</v>
      </c>
      <c r="Y134" s="2131">
        <v>-3.3530000000000002</v>
      </c>
      <c r="Z134" s="2130">
        <f>-3.316+1.427</f>
        <v>-1.8889999999999998</v>
      </c>
      <c r="AA134" s="2682">
        <f>-0.097+0.078</f>
        <v>-1.9000000000000003E-2</v>
      </c>
      <c r="AB134" s="2130">
        <f>-0.313+0.002</f>
        <v>-0.311</v>
      </c>
      <c r="AC134" s="2682"/>
      <c r="AD134" s="2682"/>
      <c r="AE134" s="2682"/>
      <c r="AF134" s="2682"/>
      <c r="AG134" s="2682"/>
      <c r="AH134" s="2682"/>
      <c r="AI134" s="2682"/>
      <c r="AJ134" s="2682"/>
      <c r="AK134" s="2682"/>
      <c r="AL134" s="2682"/>
      <c r="AM134" s="2682"/>
      <c r="AN134" s="2682"/>
      <c r="AO134" s="2682"/>
      <c r="AP134" s="2682"/>
      <c r="AQ134" s="2682"/>
      <c r="AR134" s="2682"/>
      <c r="AS134" s="2682"/>
      <c r="AT134" s="2682"/>
      <c r="AU134" s="2682"/>
      <c r="AV134" s="2682"/>
      <c r="AW134" s="2682"/>
      <c r="AX134" s="2682"/>
      <c r="AY134" s="2682"/>
      <c r="AZ134" s="2682"/>
      <c r="BA134" s="2682"/>
      <c r="BB134" s="2682"/>
      <c r="BC134" s="2682"/>
      <c r="BD134" s="2682"/>
      <c r="BE134" s="2656">
        <v>-25.963000000000001</v>
      </c>
      <c r="BF134" s="2130"/>
      <c r="BG134" s="2130"/>
      <c r="BH134" s="2197"/>
      <c r="BI134" s="2197"/>
      <c r="BJ134" s="2197"/>
      <c r="BK134" s="2197"/>
      <c r="BL134" s="2197"/>
      <c r="BM134" s="2197"/>
      <c r="BN134" s="2197"/>
      <c r="BO134" s="2197"/>
      <c r="BP134" s="2197"/>
      <c r="BQ134" s="2197"/>
      <c r="BR134" s="2197"/>
      <c r="BS134" s="2197"/>
      <c r="BT134" s="2197"/>
      <c r="BU134" s="2197"/>
      <c r="BV134" s="2197"/>
      <c r="BW134" s="2197"/>
      <c r="BX134" s="2197"/>
      <c r="BY134" s="2197"/>
      <c r="BZ134" s="2197"/>
      <c r="CA134" s="2197"/>
      <c r="CB134" s="2197"/>
      <c r="CC134" s="2197"/>
      <c r="CD134" s="2197"/>
      <c r="CE134" s="2197"/>
      <c r="CF134" s="2197"/>
      <c r="CG134" s="2197"/>
      <c r="CH134" s="2197"/>
      <c r="CI134" s="2197"/>
      <c r="CJ134" s="2197"/>
      <c r="CK134" s="2197"/>
      <c r="CL134" s="2197"/>
      <c r="CM134" s="2197"/>
      <c r="CN134" s="2197"/>
      <c r="CO134" s="2197"/>
      <c r="CP134" s="2197"/>
      <c r="CQ134" s="2197"/>
      <c r="CR134" s="2197"/>
      <c r="CS134" s="2197"/>
      <c r="CT134" s="2197"/>
      <c r="CU134" s="2197"/>
      <c r="CV134" s="2197"/>
      <c r="CW134" s="2197"/>
      <c r="CX134" s="2197"/>
      <c r="CY134" s="2197"/>
      <c r="CZ134" s="2197"/>
      <c r="DA134" s="2197"/>
      <c r="DB134" s="2197"/>
      <c r="DC134" s="2197"/>
      <c r="DD134" s="2197"/>
      <c r="DE134" s="2197"/>
      <c r="DF134" s="2197"/>
      <c r="DG134" s="2197"/>
      <c r="DH134" s="2197"/>
      <c r="DI134" s="2197"/>
      <c r="DJ134" s="2197"/>
      <c r="DK134" s="2197"/>
      <c r="DL134" s="2197"/>
      <c r="DM134" s="2197"/>
      <c r="DN134" s="2197"/>
      <c r="DO134" s="2197"/>
      <c r="DP134" s="2197"/>
      <c r="DQ134" s="2197"/>
      <c r="DR134" s="2197"/>
      <c r="DS134" s="2197"/>
      <c r="DT134" s="2197"/>
      <c r="DU134" s="2197"/>
      <c r="DV134" s="2197"/>
      <c r="DW134" s="2197"/>
      <c r="DX134" s="2197"/>
      <c r="DY134" s="2197"/>
      <c r="DZ134" s="2197"/>
    </row>
    <row r="135" spans="1:130" s="2105" customFormat="1" ht="23">
      <c r="A135" s="2137" t="s">
        <v>1315</v>
      </c>
      <c r="B135" s="2130"/>
      <c r="C135" s="2130"/>
      <c r="D135" s="2130"/>
      <c r="E135" s="2131"/>
      <c r="F135" s="2130"/>
      <c r="G135" s="2130"/>
      <c r="H135" s="2130"/>
      <c r="I135" s="2131"/>
      <c r="J135" s="2130"/>
      <c r="K135" s="2130"/>
      <c r="L135" s="2130"/>
      <c r="M135" s="2131"/>
      <c r="N135" s="2130"/>
      <c r="O135" s="2130">
        <v>9.3339999999999996</v>
      </c>
      <c r="P135" s="2130">
        <v>19.922000000000001</v>
      </c>
      <c r="Q135" s="2131">
        <v>24.321000000000002</v>
      </c>
      <c r="R135" s="2130">
        <v>24.164000000000001</v>
      </c>
      <c r="S135" s="2130">
        <v>92.373000000000005</v>
      </c>
      <c r="T135" s="2130">
        <v>88.227000000000004</v>
      </c>
      <c r="U135" s="2131">
        <v>96.340999999999994</v>
      </c>
      <c r="V135" s="2130">
        <v>81.417000000000002</v>
      </c>
      <c r="W135" s="2130">
        <v>105.327</v>
      </c>
      <c r="X135" s="2130">
        <v>92.652000000000001</v>
      </c>
      <c r="Y135" s="2131">
        <v>104.98099999999999</v>
      </c>
      <c r="Z135" s="2130">
        <v>58.198</v>
      </c>
      <c r="AA135" s="2130">
        <v>0.65400000000000003</v>
      </c>
      <c r="AB135" s="2130">
        <v>2.746</v>
      </c>
      <c r="AC135" s="2130"/>
      <c r="AD135" s="2130"/>
      <c r="AE135" s="2130"/>
      <c r="AF135" s="2130"/>
      <c r="AG135" s="2130"/>
      <c r="AH135" s="2130"/>
      <c r="AI135" s="2130"/>
      <c r="AJ135" s="2130"/>
      <c r="AK135" s="2130"/>
      <c r="AL135" s="2130"/>
      <c r="AM135" s="2130"/>
      <c r="AN135" s="2130"/>
      <c r="AO135" s="2130"/>
      <c r="AP135" s="2130"/>
      <c r="AQ135" s="2130"/>
      <c r="AR135" s="2130"/>
      <c r="AS135" s="2130"/>
      <c r="AT135" s="2130"/>
      <c r="AU135" s="2130"/>
      <c r="AV135" s="2130"/>
      <c r="AW135" s="2130"/>
      <c r="AX135" s="2130"/>
      <c r="AY135" s="2130"/>
      <c r="AZ135" s="2130"/>
      <c r="BA135" s="2130"/>
      <c r="BB135" s="2130"/>
      <c r="BC135" s="2130"/>
      <c r="BD135" s="2130"/>
      <c r="BE135" s="2656">
        <f>BE134-Z132</f>
        <v>-1.8889999999999993</v>
      </c>
      <c r="BF135" s="2656">
        <v>-3.3159999999999998</v>
      </c>
      <c r="BG135" s="2130">
        <v>31.539000000000001</v>
      </c>
    </row>
    <row r="136" spans="1:130" s="2105" customFormat="1">
      <c r="A136" s="2138" t="s">
        <v>1445</v>
      </c>
      <c r="B136" s="2139">
        <f t="shared" ref="B136:M136" si="56">B129+B135+B132+B133</f>
        <v>28.527675000000006</v>
      </c>
      <c r="C136" s="2139">
        <f t="shared" si="56"/>
        <v>35.452645000000004</v>
      </c>
      <c r="D136" s="2139">
        <f t="shared" si="56"/>
        <v>32.049175999999996</v>
      </c>
      <c r="E136" s="2140">
        <f t="shared" si="56"/>
        <v>35.079979000000002</v>
      </c>
      <c r="F136" s="2139">
        <f t="shared" si="56"/>
        <v>36.366000000000007</v>
      </c>
      <c r="G136" s="2139">
        <f t="shared" si="56"/>
        <v>41.114999999999995</v>
      </c>
      <c r="H136" s="2139">
        <f t="shared" si="56"/>
        <v>33.204000000000001</v>
      </c>
      <c r="I136" s="2140">
        <f t="shared" si="56"/>
        <v>36.292000000000002</v>
      </c>
      <c r="J136" s="2139">
        <f t="shared" si="56"/>
        <v>51.464999999999982</v>
      </c>
      <c r="K136" s="2139">
        <f t="shared" si="56"/>
        <v>58.868000000000002</v>
      </c>
      <c r="L136" s="2139">
        <f t="shared" si="56"/>
        <v>53.195999999999998</v>
      </c>
      <c r="M136" s="2140">
        <f t="shared" si="56"/>
        <v>76.544999999999987</v>
      </c>
      <c r="N136" s="2139">
        <f>N129+N135+N132+N133</f>
        <v>85.087999999999994</v>
      </c>
      <c r="O136" s="2139">
        <f>O129+O135+O132+O133</f>
        <v>143.03300000000002</v>
      </c>
      <c r="P136" s="2139">
        <f>P129+P135+P132+P133</f>
        <v>140.56799999999998</v>
      </c>
      <c r="Q136" s="2140">
        <f>SUM(Q129:Q130,Q132:Q133)</f>
        <v>128.92099999999999</v>
      </c>
      <c r="R136" s="2139">
        <v>145.30699999999999</v>
      </c>
      <c r="S136" s="2139">
        <f t="shared" ref="S136:AB136" si="57">S129+S135+S132+S133+S134</f>
        <v>169.41900000000001</v>
      </c>
      <c r="T136" s="2139">
        <f t="shared" si="57"/>
        <v>159.38300000000004</v>
      </c>
      <c r="U136" s="2140">
        <f t="shared" si="57"/>
        <v>179.24199999999999</v>
      </c>
      <c r="V136" s="2139">
        <f t="shared" si="57"/>
        <v>162.91300000000001</v>
      </c>
      <c r="W136" s="2655">
        <f t="shared" si="57"/>
        <v>197.512</v>
      </c>
      <c r="X136" s="2139">
        <f t="shared" si="57"/>
        <v>179.85699999999997</v>
      </c>
      <c r="Y136" s="2140">
        <f t="shared" si="57"/>
        <v>205.244</v>
      </c>
      <c r="Z136" s="2655">
        <f t="shared" si="57"/>
        <v>137.18099999999998</v>
      </c>
      <c r="AA136" s="2655">
        <f t="shared" si="57"/>
        <v>6.7589999999999995</v>
      </c>
      <c r="AB136" s="2683">
        <f t="shared" si="57"/>
        <v>23.09</v>
      </c>
      <c r="AC136" s="2646"/>
      <c r="AD136" s="2646"/>
      <c r="AE136" s="2646"/>
      <c r="AF136" s="2646"/>
      <c r="AG136" s="2646"/>
      <c r="AH136" s="2646"/>
      <c r="AI136" s="2646"/>
      <c r="AJ136" s="2646"/>
      <c r="AK136" s="2646"/>
      <c r="AL136" s="2646"/>
      <c r="AM136" s="2646"/>
      <c r="AN136" s="2646"/>
      <c r="AO136" s="2646"/>
      <c r="AP136" s="2646"/>
      <c r="AQ136" s="2646"/>
      <c r="AR136" s="2646"/>
      <c r="AS136" s="2646"/>
      <c r="AT136" s="2646"/>
      <c r="AU136" s="2646"/>
      <c r="AV136" s="2646"/>
      <c r="AW136" s="2646"/>
      <c r="AX136" s="2646"/>
      <c r="AY136" s="2646"/>
      <c r="AZ136" s="2646"/>
      <c r="BA136" s="2646"/>
      <c r="BB136" s="2646"/>
      <c r="BC136" s="2646"/>
      <c r="BD136" s="2646"/>
      <c r="BE136" s="2141"/>
      <c r="BF136" s="2141"/>
      <c r="BG136" s="2141"/>
    </row>
    <row r="137" spans="1:130">
      <c r="A137" s="2127"/>
      <c r="B137" s="2133"/>
      <c r="C137" s="2133"/>
      <c r="D137" s="2133"/>
      <c r="E137" s="2134"/>
      <c r="F137" s="2133"/>
      <c r="G137" s="2133"/>
      <c r="H137" s="2133"/>
      <c r="I137" s="2134"/>
      <c r="J137" s="2133"/>
      <c r="K137" s="2133"/>
      <c r="L137" s="2133"/>
      <c r="M137" s="2134"/>
      <c r="N137" s="2133"/>
      <c r="O137" s="2133"/>
      <c r="P137" s="2133"/>
      <c r="Q137" s="2134"/>
      <c r="R137" s="2133"/>
      <c r="S137" s="2133"/>
      <c r="T137" s="2133"/>
      <c r="U137" s="2134"/>
      <c r="V137" s="2133"/>
      <c r="W137" s="2133"/>
      <c r="X137" s="2133"/>
      <c r="Y137" s="2134"/>
      <c r="Z137" s="2287">
        <f>+Z136/V136-1</f>
        <v>-0.15794933492109298</v>
      </c>
      <c r="AA137" s="2287">
        <f>+AA136/W136-1</f>
        <v>-0.96577929442261734</v>
      </c>
      <c r="AB137" s="2287">
        <f>+AB136/X136-1</f>
        <v>-0.87162023162846036</v>
      </c>
      <c r="AC137" s="2133"/>
      <c r="AD137" s="2133"/>
      <c r="AE137" s="2133"/>
      <c r="AF137" s="2133"/>
      <c r="AG137" s="2133"/>
      <c r="AH137" s="2133"/>
      <c r="AI137" s="2133"/>
      <c r="AJ137" s="2133"/>
      <c r="AK137" s="2133"/>
      <c r="AL137" s="2133"/>
      <c r="AM137" s="2133"/>
      <c r="AN137" s="2133"/>
      <c r="AO137" s="2133"/>
      <c r="AP137" s="2133"/>
      <c r="AQ137" s="2133"/>
      <c r="AR137" s="2133"/>
      <c r="AS137" s="2133"/>
      <c r="AT137" s="2133"/>
      <c r="AU137" s="2133"/>
      <c r="AV137" s="2133"/>
      <c r="AW137" s="2133"/>
      <c r="AX137" s="2133"/>
      <c r="AY137" s="2133"/>
      <c r="AZ137" s="2133"/>
      <c r="BA137" s="2133"/>
      <c r="BB137" s="2133"/>
      <c r="BC137" s="2133"/>
      <c r="BD137" s="2133"/>
      <c r="BE137" s="2133"/>
      <c r="BF137" s="2646">
        <f>BE135-BF135</f>
        <v>1.4270000000000005</v>
      </c>
      <c r="BG137" s="2133"/>
    </row>
    <row r="138" spans="1:130" s="1464" customFormat="1">
      <c r="A138" s="2132" t="s">
        <v>1226</v>
      </c>
      <c r="B138" s="2133"/>
      <c r="C138" s="2133"/>
      <c r="D138" s="2133"/>
      <c r="E138" s="2134"/>
      <c r="F138" s="2133"/>
      <c r="G138" s="2133"/>
      <c r="H138" s="2133"/>
      <c r="I138" s="2134"/>
      <c r="J138" s="2133"/>
      <c r="K138" s="2133"/>
      <c r="L138" s="2133"/>
      <c r="M138" s="2134"/>
      <c r="N138" s="2133"/>
      <c r="O138" s="2133"/>
      <c r="P138" s="2133"/>
      <c r="Q138" s="2134"/>
      <c r="R138" s="2133"/>
      <c r="S138" s="2133"/>
      <c r="T138" s="2133"/>
      <c r="U138" s="2134"/>
      <c r="V138" s="2133"/>
      <c r="W138" s="2133"/>
      <c r="X138" s="2133"/>
      <c r="Y138" s="2134"/>
      <c r="Z138" s="2133"/>
      <c r="AA138" s="2133"/>
      <c r="AB138" s="2133"/>
      <c r="AC138" s="2133"/>
      <c r="AD138" s="2133"/>
      <c r="AE138" s="2133"/>
      <c r="AF138" s="2133"/>
      <c r="AG138" s="2133"/>
      <c r="AH138" s="2133"/>
      <c r="AI138" s="2133"/>
      <c r="AJ138" s="2133"/>
      <c r="AK138" s="2133"/>
      <c r="AL138" s="2133"/>
      <c r="AM138" s="2133"/>
      <c r="AN138" s="2133"/>
      <c r="AO138" s="2133"/>
      <c r="AP138" s="2133"/>
      <c r="AQ138" s="2133"/>
      <c r="AR138" s="2133"/>
      <c r="AS138" s="2133"/>
      <c r="AT138" s="2133"/>
      <c r="AU138" s="2133"/>
      <c r="AV138" s="2133"/>
      <c r="AW138" s="2133"/>
      <c r="AX138" s="2133"/>
      <c r="AY138" s="2133"/>
      <c r="AZ138" s="2133"/>
      <c r="BA138" s="2133"/>
      <c r="BB138" s="2133"/>
      <c r="BC138" s="2133"/>
      <c r="BD138" s="2133"/>
      <c r="BE138" s="2133"/>
      <c r="BF138" s="2646"/>
      <c r="BG138" s="2133"/>
    </row>
    <row r="139" spans="1:130" s="1464" customFormat="1">
      <c r="A139" s="2142" t="s">
        <v>1880</v>
      </c>
      <c r="B139" s="2130">
        <v>-8.3663539999999994</v>
      </c>
      <c r="C139" s="2130">
        <v>-10.794326999999999</v>
      </c>
      <c r="D139" s="2130">
        <v>-10.346109999999999</v>
      </c>
      <c r="E139" s="2131">
        <v>-11.439145</v>
      </c>
      <c r="F139" s="2130">
        <v>-11.738</v>
      </c>
      <c r="G139" s="2130">
        <v>-12.429</v>
      </c>
      <c r="H139" s="2130">
        <v>-12.622999999999999</v>
      </c>
      <c r="I139" s="2131">
        <v>-12.189</v>
      </c>
      <c r="J139" s="2130">
        <v>-11.776999999999999</v>
      </c>
      <c r="K139" s="2130">
        <v>-13.141</v>
      </c>
      <c r="L139" s="2130">
        <v>-14.243</v>
      </c>
      <c r="M139" s="2131">
        <v>-13.651999999999999</v>
      </c>
      <c r="N139" s="2130">
        <v>-32.700000000000003</v>
      </c>
      <c r="O139" s="2130">
        <v>-29.821000000000002</v>
      </c>
      <c r="P139" s="2130">
        <v>-29.015000000000001</v>
      </c>
      <c r="Q139" s="2131">
        <v>-26.893999999999998</v>
      </c>
      <c r="R139" s="2130">
        <v>-28.427</v>
      </c>
      <c r="S139" s="2130">
        <v>-26.960999999999999</v>
      </c>
      <c r="T139" s="2130">
        <v>-28.745000000000001</v>
      </c>
      <c r="U139" s="2131">
        <v>-29.645</v>
      </c>
      <c r="V139" s="2130">
        <v>-28.216000000000001</v>
      </c>
      <c r="W139" s="2130">
        <v>-31.157</v>
      </c>
      <c r="X139" s="2130">
        <v>-32.564</v>
      </c>
      <c r="Y139" s="2131">
        <v>-31.658999999999999</v>
      </c>
      <c r="Z139" s="2130">
        <v>-34.456000000000003</v>
      </c>
      <c r="AA139" s="2130">
        <v>-24.98</v>
      </c>
      <c r="AB139" s="2130">
        <v>-25.356000000000002</v>
      </c>
      <c r="AC139" s="2130"/>
      <c r="AD139" s="2130">
        <v>-1</v>
      </c>
      <c r="AE139" s="2130"/>
      <c r="AF139" s="2130"/>
      <c r="AG139" s="2130"/>
      <c r="AH139" s="2130"/>
      <c r="AI139" s="2130"/>
      <c r="AJ139" s="2130"/>
      <c r="AK139" s="2130"/>
      <c r="AL139" s="2130"/>
      <c r="AM139" s="2130"/>
      <c r="AN139" s="2130"/>
      <c r="AO139" s="2130"/>
      <c r="AP139" s="2130"/>
      <c r="AQ139" s="2130"/>
      <c r="AR139" s="2130"/>
      <c r="AS139" s="2130"/>
      <c r="AT139" s="2130"/>
      <c r="AU139" s="2130"/>
      <c r="AV139" s="2130"/>
      <c r="AW139" s="2130"/>
      <c r="AX139" s="2130"/>
      <c r="AY139" s="2130"/>
      <c r="AZ139" s="2130"/>
      <c r="BA139" s="2130"/>
      <c r="BB139" s="2130"/>
      <c r="BC139" s="2130"/>
      <c r="BD139" s="2130"/>
      <c r="BE139" s="2130"/>
      <c r="BF139" s="2130"/>
      <c r="BG139" s="2130"/>
    </row>
    <row r="140" spans="1:130" s="1464" customFormat="1">
      <c r="A140" s="2142" t="s">
        <v>1881</v>
      </c>
      <c r="B140" s="2130"/>
      <c r="C140" s="2130"/>
      <c r="D140" s="2130"/>
      <c r="E140" s="2131"/>
      <c r="F140" s="2130">
        <v>-12.673999999999999</v>
      </c>
      <c r="G140" s="2130">
        <v>-12.273999999999999</v>
      </c>
      <c r="H140" s="2130">
        <v>-14.768000000000001</v>
      </c>
      <c r="I140" s="2131">
        <v>-28.960999999999999</v>
      </c>
      <c r="J140" s="2130">
        <v>-52.963000000000001</v>
      </c>
      <c r="K140" s="2130">
        <v>-52.679000000000002</v>
      </c>
      <c r="L140" s="2130">
        <v>-48.357999999999997</v>
      </c>
      <c r="M140" s="2131">
        <v>-44.552</v>
      </c>
      <c r="N140" s="2130">
        <v>-78.834999999999994</v>
      </c>
      <c r="O140" s="2130">
        <v>-133.02099999999999</v>
      </c>
      <c r="P140" s="2130">
        <v>-115.947</v>
      </c>
      <c r="Q140" s="2131">
        <v>-108.971</v>
      </c>
      <c r="R140" s="2130">
        <v>-93.879000000000005</v>
      </c>
      <c r="S140" s="2130">
        <v>-55.929000000000002</v>
      </c>
      <c r="T140" s="2130">
        <v>-44.755000000000003</v>
      </c>
      <c r="U140" s="2131">
        <v>-49.695999999999998</v>
      </c>
      <c r="V140" s="2130">
        <v>-41.7</v>
      </c>
      <c r="W140" s="2130">
        <v>-54.526000000000003</v>
      </c>
      <c r="X140" s="2130">
        <v>-40.054000000000002</v>
      </c>
      <c r="Y140" s="2131">
        <v>-44.994</v>
      </c>
      <c r="Z140" s="2130">
        <v>-27.029</v>
      </c>
      <c r="AA140" s="2130">
        <v>-0.88400000000000001</v>
      </c>
      <c r="AB140" s="2130">
        <v>-2.294</v>
      </c>
      <c r="AC140" s="2130"/>
      <c r="AD140" s="2130"/>
      <c r="AE140" s="2130"/>
      <c r="AF140" s="2130"/>
      <c r="AG140" s="2130"/>
      <c r="AH140" s="2130"/>
      <c r="AI140" s="2130"/>
      <c r="AJ140" s="2130"/>
      <c r="AK140" s="2130"/>
      <c r="AL140" s="2130"/>
      <c r="AM140" s="2130"/>
      <c r="AN140" s="2130"/>
      <c r="AO140" s="2130"/>
      <c r="AP140" s="2130"/>
      <c r="AQ140" s="2130"/>
      <c r="AR140" s="2130"/>
      <c r="AS140" s="2130"/>
      <c r="AT140" s="2130"/>
      <c r="AU140" s="2130"/>
      <c r="AV140" s="2130"/>
      <c r="AW140" s="2130"/>
      <c r="AX140" s="2130"/>
      <c r="AY140" s="2130"/>
      <c r="AZ140" s="2130"/>
      <c r="BA140" s="2130"/>
      <c r="BB140" s="2130"/>
      <c r="BC140" s="2130"/>
      <c r="BD140" s="2130"/>
      <c r="BE140" s="2130"/>
      <c r="BF140" s="2130"/>
      <c r="BG140" s="2130">
        <v>-115.145</v>
      </c>
    </row>
    <row r="141" spans="1:130" s="1464" customFormat="1">
      <c r="A141" s="2143" t="s">
        <v>1886</v>
      </c>
      <c r="B141" s="211"/>
      <c r="C141" s="211"/>
      <c r="D141" s="211"/>
      <c r="E141" s="446"/>
      <c r="F141" s="211">
        <f t="shared" ref="F141:M141" si="58">-F140/F103</f>
        <v>3.1340257171117707E-2</v>
      </c>
      <c r="G141" s="211">
        <f t="shared" si="58"/>
        <v>2.6232100876255611E-2</v>
      </c>
      <c r="H141" s="211">
        <f t="shared" si="58"/>
        <v>3.4240667748666825E-2</v>
      </c>
      <c r="I141" s="446">
        <f t="shared" si="58"/>
        <v>6.3622583479789108E-2</v>
      </c>
      <c r="J141" s="211">
        <f t="shared" si="58"/>
        <v>0.11103354297693921</v>
      </c>
      <c r="K141" s="211">
        <f t="shared" si="58"/>
        <v>9.308151607718633E-2</v>
      </c>
      <c r="L141" s="211">
        <f t="shared" si="58"/>
        <v>9.7991834081372658E-2</v>
      </c>
      <c r="M141" s="446">
        <f t="shared" si="58"/>
        <v>7.9452152512751006E-2</v>
      </c>
      <c r="N141" s="211">
        <f t="shared" ref="N141:AB141" si="59">-N140/N103</f>
        <v>0.11764486427601438</v>
      </c>
      <c r="O141" s="211">
        <f t="shared" si="59"/>
        <v>0.1157066559966598</v>
      </c>
      <c r="P141" s="211">
        <f t="shared" si="59"/>
        <v>0.10834527856530132</v>
      </c>
      <c r="Q141" s="446">
        <f t="shared" si="59"/>
        <v>9.1777418431114921E-2</v>
      </c>
      <c r="R141" s="211">
        <f t="shared" si="59"/>
        <v>7.9294785813954285E-2</v>
      </c>
      <c r="S141" s="211">
        <f t="shared" si="59"/>
        <v>3.9487842074048977E-2</v>
      </c>
      <c r="T141" s="211">
        <f t="shared" si="59"/>
        <v>3.6005631536604993E-2</v>
      </c>
      <c r="U141" s="446">
        <f t="shared" si="59"/>
        <v>3.5157197866062223E-2</v>
      </c>
      <c r="V141" s="211">
        <f t="shared" si="59"/>
        <v>3.0375674984648268E-2</v>
      </c>
      <c r="W141" s="211">
        <f t="shared" si="59"/>
        <v>3.2195456641589806E-2</v>
      </c>
      <c r="X141" s="211">
        <f t="shared" si="59"/>
        <v>2.682933690932791E-2</v>
      </c>
      <c r="Y141" s="446">
        <f t="shared" si="59"/>
        <v>2.645854539745153E-2</v>
      </c>
      <c r="Z141" s="211">
        <f t="shared" si="59"/>
        <v>2.2399531937709924E-2</v>
      </c>
      <c r="AA141" s="211">
        <f t="shared" si="59"/>
        <v>1.3710102670678369E-2</v>
      </c>
      <c r="AB141" s="211">
        <f t="shared" si="59"/>
        <v>1.077207712318861E-2</v>
      </c>
      <c r="AC141" s="211"/>
      <c r="AD141" s="211"/>
      <c r="AE141" s="211"/>
      <c r="AF141" s="211"/>
      <c r="AG141" s="211"/>
      <c r="AH141" s="211"/>
      <c r="AI141" s="211"/>
      <c r="AJ141" s="211"/>
      <c r="AK141" s="211"/>
      <c r="AL141" s="211"/>
      <c r="AM141" s="211"/>
      <c r="AN141" s="211"/>
      <c r="AO141" s="211"/>
      <c r="AP141" s="211"/>
      <c r="AQ141" s="211"/>
      <c r="AR141" s="211"/>
      <c r="AS141" s="211"/>
      <c r="AT141" s="211"/>
      <c r="AU141" s="211"/>
      <c r="AV141" s="211"/>
      <c r="AW141" s="211"/>
      <c r="AX141" s="211"/>
      <c r="AY141" s="211"/>
      <c r="AZ141" s="211"/>
      <c r="BA141" s="211"/>
      <c r="BB141" s="211"/>
      <c r="BC141" s="211"/>
      <c r="BD141" s="211"/>
      <c r="BE141" s="2144"/>
      <c r="BF141" s="2144"/>
      <c r="BG141" s="1054">
        <f>-BG140/W103</f>
        <v>6.7988589938668853E-2</v>
      </c>
    </row>
    <row r="142" spans="1:130" s="30" customFormat="1">
      <c r="A142" s="2145"/>
      <c r="B142" s="2146"/>
      <c r="C142" s="2125"/>
      <c r="D142" s="2125"/>
      <c r="E142" s="2126"/>
      <c r="F142" s="27"/>
      <c r="G142" s="27"/>
      <c r="H142" s="27"/>
      <c r="I142" s="97"/>
      <c r="J142" s="211"/>
      <c r="K142" s="211"/>
      <c r="L142" s="211"/>
      <c r="M142" s="446"/>
      <c r="N142" s="211"/>
      <c r="O142" s="211"/>
      <c r="P142" s="211"/>
      <c r="Q142" s="97"/>
      <c r="R142" s="2125"/>
      <c r="S142" s="27"/>
      <c r="T142" s="2125"/>
      <c r="U142" s="2126"/>
      <c r="V142" s="2125"/>
      <c r="W142" s="2125"/>
      <c r="X142" s="2125"/>
      <c r="Y142" s="2126"/>
      <c r="Z142" s="2125"/>
      <c r="AA142" s="2125"/>
      <c r="AB142" s="2125"/>
      <c r="AC142" s="2125"/>
      <c r="AD142" s="2125"/>
      <c r="AE142" s="2125"/>
      <c r="AF142" s="2125"/>
      <c r="AG142" s="2125"/>
      <c r="AH142" s="2125"/>
      <c r="AI142" s="2125"/>
      <c r="AJ142" s="2125"/>
      <c r="AK142" s="2125"/>
      <c r="AL142" s="2125"/>
      <c r="AM142" s="2125"/>
      <c r="AN142" s="2125"/>
      <c r="AO142" s="2125"/>
      <c r="AP142" s="2125"/>
      <c r="AQ142" s="2125"/>
      <c r="AR142" s="2125"/>
      <c r="AS142" s="2125"/>
      <c r="AT142" s="2125"/>
      <c r="AU142" s="2125"/>
      <c r="AV142" s="2125"/>
      <c r="AW142" s="2125"/>
      <c r="AX142" s="2125"/>
      <c r="AY142" s="2125"/>
      <c r="AZ142" s="2125"/>
      <c r="BA142" s="2125"/>
      <c r="BB142" s="2125"/>
      <c r="BC142" s="2125"/>
      <c r="BD142" s="2125"/>
      <c r="BE142" s="2125"/>
      <c r="BF142" s="2125"/>
      <c r="BG142" s="211"/>
    </row>
    <row r="143" spans="1:130" s="30" customFormat="1" hidden="1">
      <c r="A143" s="2647" t="s">
        <v>1228</v>
      </c>
      <c r="B143" s="2648"/>
      <c r="C143" s="2139"/>
      <c r="D143" s="2139"/>
      <c r="E143" s="2140"/>
      <c r="F143" s="2139">
        <f t="shared" ref="F143:M143" si="60">F140-F135</f>
        <v>-12.673999999999999</v>
      </c>
      <c r="G143" s="2139">
        <f t="shared" si="60"/>
        <v>-12.273999999999999</v>
      </c>
      <c r="H143" s="2139">
        <f t="shared" si="60"/>
        <v>-14.768000000000001</v>
      </c>
      <c r="I143" s="2140">
        <f t="shared" si="60"/>
        <v>-28.960999999999999</v>
      </c>
      <c r="J143" s="2139">
        <f t="shared" si="60"/>
        <v>-52.963000000000001</v>
      </c>
      <c r="K143" s="2139">
        <f t="shared" si="60"/>
        <v>-52.679000000000002</v>
      </c>
      <c r="L143" s="2139">
        <f>L140-L135</f>
        <v>-48.357999999999997</v>
      </c>
      <c r="M143" s="2140">
        <f t="shared" si="60"/>
        <v>-44.552</v>
      </c>
      <c r="N143" s="2139">
        <f t="shared" ref="N143:AB143" si="61">N140-N135</f>
        <v>-78.834999999999994</v>
      </c>
      <c r="O143" s="2139">
        <f>O140-O135</f>
        <v>-142.35499999999999</v>
      </c>
      <c r="P143" s="2139">
        <f t="shared" si="61"/>
        <v>-135.869</v>
      </c>
      <c r="Q143" s="2140">
        <f t="shared" si="61"/>
        <v>-133.292</v>
      </c>
      <c r="R143" s="2139">
        <f t="shared" si="61"/>
        <v>-118.04300000000001</v>
      </c>
      <c r="S143" s="2139">
        <f t="shared" si="61"/>
        <v>-148.30200000000002</v>
      </c>
      <c r="T143" s="2139">
        <f t="shared" si="61"/>
        <v>-132.982</v>
      </c>
      <c r="U143" s="2140">
        <f t="shared" si="61"/>
        <v>-146.03699999999998</v>
      </c>
      <c r="V143" s="2139">
        <f t="shared" si="61"/>
        <v>-123.117</v>
      </c>
      <c r="W143" s="2139">
        <f t="shared" si="61"/>
        <v>-159.85300000000001</v>
      </c>
      <c r="X143" s="2139">
        <f t="shared" si="61"/>
        <v>-132.70600000000002</v>
      </c>
      <c r="Y143" s="2140">
        <f t="shared" si="61"/>
        <v>-149.97499999999999</v>
      </c>
      <c r="Z143" s="2139">
        <f t="shared" si="61"/>
        <v>-85.227000000000004</v>
      </c>
      <c r="AA143" s="2139">
        <f t="shared" si="61"/>
        <v>-1.538</v>
      </c>
      <c r="AB143" s="2139">
        <f t="shared" si="61"/>
        <v>-5.04</v>
      </c>
      <c r="AC143" s="2133"/>
      <c r="AD143" s="2133"/>
      <c r="AE143" s="2133"/>
      <c r="AF143" s="2133"/>
      <c r="AG143" s="2133"/>
      <c r="AH143" s="2133"/>
      <c r="AI143" s="2133"/>
      <c r="AJ143" s="2133"/>
      <c r="AK143" s="2133"/>
      <c r="AL143" s="2133"/>
      <c r="AM143" s="2133"/>
      <c r="AN143" s="2133"/>
      <c r="AO143" s="2133"/>
      <c r="AP143" s="2133"/>
      <c r="AQ143" s="2133"/>
      <c r="AR143" s="2133"/>
      <c r="AS143" s="2133"/>
      <c r="AT143" s="2133"/>
      <c r="AU143" s="2133"/>
      <c r="AV143" s="2133"/>
      <c r="AW143" s="2133"/>
      <c r="AX143" s="2133"/>
      <c r="AY143" s="2133"/>
      <c r="AZ143" s="2133"/>
      <c r="BA143" s="2133"/>
      <c r="BB143" s="2133"/>
      <c r="BC143" s="2133"/>
      <c r="BD143" s="2133"/>
      <c r="BE143" s="2141"/>
      <c r="BF143" s="2141"/>
      <c r="BG143" s="2141"/>
    </row>
    <row r="144" spans="1:130" s="1464" customFormat="1">
      <c r="A144" s="2649" t="s">
        <v>1989</v>
      </c>
      <c r="B144" s="2650"/>
      <c r="C144" s="2651"/>
      <c r="D144" s="2651"/>
      <c r="E144" s="2652"/>
      <c r="F144" s="2651">
        <f t="shared" ref="F144:M144" si="62">-F143/F103</f>
        <v>3.1340257171117707E-2</v>
      </c>
      <c r="G144" s="2651">
        <f t="shared" si="62"/>
        <v>2.6232100876255611E-2</v>
      </c>
      <c r="H144" s="2651">
        <f t="shared" si="62"/>
        <v>3.4240667748666825E-2</v>
      </c>
      <c r="I144" s="2652">
        <f t="shared" si="62"/>
        <v>6.3622583479789108E-2</v>
      </c>
      <c r="J144" s="2651">
        <f t="shared" si="62"/>
        <v>0.11103354297693921</v>
      </c>
      <c r="K144" s="2651">
        <f t="shared" si="62"/>
        <v>9.308151607718633E-2</v>
      </c>
      <c r="L144" s="2651">
        <f t="shared" si="62"/>
        <v>9.7991834081372658E-2</v>
      </c>
      <c r="M144" s="2652">
        <f t="shared" si="62"/>
        <v>7.9452152512751006E-2</v>
      </c>
      <c r="N144" s="2651">
        <f>-N143/N103</f>
        <v>0.11764486427601438</v>
      </c>
      <c r="O144" s="2651">
        <f>-O143/O103</f>
        <v>0.12382571935562435</v>
      </c>
      <c r="P144" s="2651">
        <f>-P143/1070</f>
        <v>0.12698037383177571</v>
      </c>
      <c r="Q144" s="2652">
        <v>0.112</v>
      </c>
      <c r="R144" s="2651">
        <f>-R143/R103</f>
        <v>9.9704879705116212E-2</v>
      </c>
      <c r="S144" s="2651">
        <f t="shared" ref="S144:AB144" si="63">(-S140+S135)/S103</f>
        <v>0.10470643056849956</v>
      </c>
      <c r="T144" s="2651">
        <f t="shared" si="63"/>
        <v>0.10698471440064361</v>
      </c>
      <c r="U144" s="2652">
        <f t="shared" si="63"/>
        <v>0.10331317821889344</v>
      </c>
      <c r="V144" s="2651">
        <f t="shared" si="63"/>
        <v>8.9682541416905057E-2</v>
      </c>
      <c r="W144" s="2651">
        <f t="shared" si="63"/>
        <v>9.4386904055460796E-2</v>
      </c>
      <c r="X144" s="2651">
        <f t="shared" si="63"/>
        <v>8.8890347627934033E-2</v>
      </c>
      <c r="Y144" s="2652">
        <f t="shared" si="63"/>
        <v>8.8192211094430206E-2</v>
      </c>
      <c r="Z144" s="2651">
        <f t="shared" si="63"/>
        <v>7.0629505658929434E-2</v>
      </c>
      <c r="AA144" s="2651">
        <f t="shared" si="63"/>
        <v>2.3853097180433634E-2</v>
      </c>
      <c r="AB144" s="2651">
        <f t="shared" si="63"/>
        <v>2.3666638492097034E-2</v>
      </c>
      <c r="AC144" s="211"/>
      <c r="AD144" s="211"/>
      <c r="AE144" s="211"/>
      <c r="AF144" s="211"/>
      <c r="AG144" s="211"/>
      <c r="AH144" s="211"/>
      <c r="AI144" s="211"/>
      <c r="AJ144" s="211"/>
      <c r="AK144" s="211"/>
      <c r="AL144" s="211"/>
      <c r="AM144" s="211"/>
      <c r="AN144" s="211"/>
      <c r="AO144" s="211"/>
      <c r="AP144" s="211"/>
      <c r="AQ144" s="211"/>
      <c r="AR144" s="211"/>
      <c r="AS144" s="211"/>
      <c r="AT144" s="211"/>
      <c r="AU144" s="211"/>
      <c r="AV144" s="211"/>
      <c r="AW144" s="211"/>
      <c r="AX144" s="211"/>
      <c r="AY144" s="211"/>
      <c r="AZ144" s="211"/>
      <c r="BA144" s="211"/>
      <c r="BB144" s="211"/>
      <c r="BC144" s="211"/>
      <c r="BD144" s="211"/>
      <c r="BE144" s="2653"/>
      <c r="BF144" s="2653"/>
      <c r="BG144" s="2654">
        <f>(-BG140+BG135)/W103</f>
        <v>8.6611127939239252E-2</v>
      </c>
    </row>
    <row r="145" spans="1:59" s="30" customFormat="1">
      <c r="A145" s="2147" t="s">
        <v>1990</v>
      </c>
      <c r="B145" s="2125"/>
      <c r="C145" s="2125"/>
      <c r="D145" s="2125"/>
      <c r="E145" s="2126"/>
      <c r="F145" s="2125"/>
      <c r="G145" s="2125"/>
      <c r="H145" s="2125"/>
      <c r="I145" s="2126"/>
      <c r="J145" s="2125"/>
      <c r="K145" s="2125"/>
      <c r="L145" s="2125"/>
      <c r="M145" s="2126"/>
      <c r="N145" s="2125"/>
      <c r="O145" s="2125">
        <f>O136+O143</f>
        <v>0.67800000000002569</v>
      </c>
      <c r="P145" s="2125">
        <f>P136+P143</f>
        <v>4.6989999999999839</v>
      </c>
      <c r="Q145" s="2126">
        <f>Q136+Q143</f>
        <v>-4.3710000000000093</v>
      </c>
      <c r="R145" s="2125">
        <f>R136+R143</f>
        <v>27.263999999999982</v>
      </c>
      <c r="S145" s="2125"/>
      <c r="T145" s="2125"/>
      <c r="U145" s="2126"/>
      <c r="V145" s="2125"/>
      <c r="W145" s="2144"/>
      <c r="X145" s="2144"/>
      <c r="Y145" s="2643"/>
      <c r="Z145" s="2144"/>
      <c r="AA145" s="2144"/>
      <c r="AB145" s="2144"/>
      <c r="AC145" s="2144"/>
      <c r="AD145" s="2144"/>
      <c r="AE145" s="2144"/>
      <c r="AF145" s="2144"/>
      <c r="AG145" s="2144"/>
      <c r="AH145" s="2144"/>
      <c r="AI145" s="2144"/>
      <c r="AJ145" s="2144"/>
      <c r="AK145" s="2144"/>
      <c r="AL145" s="2144"/>
      <c r="AM145" s="2144"/>
      <c r="AN145" s="2144"/>
      <c r="AO145" s="2144"/>
      <c r="AP145" s="2144"/>
      <c r="AQ145" s="2144"/>
      <c r="AR145" s="2144"/>
      <c r="AS145" s="2144"/>
      <c r="AT145" s="2144"/>
      <c r="AU145" s="2144"/>
      <c r="AV145" s="2144"/>
      <c r="AW145" s="2144"/>
      <c r="AX145" s="2144"/>
      <c r="AY145" s="2144"/>
      <c r="AZ145" s="2144"/>
      <c r="BA145" s="2144"/>
      <c r="BB145" s="2144"/>
      <c r="BC145" s="2144"/>
      <c r="BD145" s="2144"/>
      <c r="BE145" s="2144"/>
      <c r="BF145" s="2144"/>
      <c r="BG145" s="2144"/>
    </row>
    <row r="146" spans="1:59" s="30" customFormat="1">
      <c r="A146" s="2148"/>
      <c r="B146" s="2125"/>
      <c r="C146" s="2125"/>
      <c r="D146" s="2125"/>
      <c r="E146" s="2126"/>
      <c r="F146" s="2125"/>
      <c r="G146" s="2125"/>
      <c r="H146" s="2125"/>
      <c r="I146" s="2126"/>
      <c r="J146" s="2125"/>
      <c r="K146" s="2125"/>
      <c r="L146" s="2125"/>
      <c r="M146" s="2126"/>
      <c r="N146" s="2125"/>
      <c r="O146" s="2125"/>
      <c r="P146" s="2125"/>
      <c r="Q146" s="2126"/>
      <c r="R146" s="2125">
        <f>R135/R61</f>
        <v>5.1281833616298815</v>
      </c>
      <c r="S146" s="2125">
        <f>S135/S61</f>
        <v>14.224360948567909</v>
      </c>
      <c r="T146" s="2125">
        <f>T135/T61</f>
        <v>13.420596288408884</v>
      </c>
      <c r="U146" s="2126">
        <f>U135/U61</f>
        <v>14.062326667639759</v>
      </c>
      <c r="V146" s="2125">
        <f>V135/V61</f>
        <v>13.585349574503587</v>
      </c>
      <c r="W146" s="2144"/>
      <c r="X146" s="2144"/>
      <c r="Y146" s="2643"/>
      <c r="Z146" s="2144"/>
      <c r="AA146" s="2144"/>
      <c r="AB146" s="2144"/>
      <c r="AC146" s="2144"/>
      <c r="AD146" s="2144"/>
      <c r="AE146" s="2144"/>
      <c r="AF146" s="2144"/>
      <c r="AG146" s="2144"/>
      <c r="AH146" s="2144"/>
      <c r="AI146" s="2144"/>
      <c r="AJ146" s="2144"/>
      <c r="AK146" s="2144"/>
      <c r="AL146" s="2144"/>
      <c r="AM146" s="2144"/>
      <c r="AN146" s="2144"/>
      <c r="AO146" s="2144"/>
      <c r="AP146" s="2144"/>
      <c r="AQ146" s="2144"/>
      <c r="AR146" s="2144"/>
      <c r="AS146" s="2144"/>
      <c r="AT146" s="2144"/>
      <c r="AU146" s="2144"/>
      <c r="AV146" s="2144"/>
      <c r="AW146" s="2144"/>
      <c r="AX146" s="2144"/>
      <c r="AY146" s="2144"/>
      <c r="AZ146" s="2144"/>
      <c r="BA146" s="2144"/>
      <c r="BB146" s="2144"/>
      <c r="BC146" s="2144"/>
      <c r="BD146" s="2144"/>
      <c r="BE146" s="2144"/>
      <c r="BF146" s="2144"/>
      <c r="BG146" s="2144"/>
    </row>
    <row r="147" spans="1:59" s="30" customFormat="1" hidden="1">
      <c r="A147" s="2145"/>
      <c r="B147" s="2125"/>
      <c r="C147" s="2125"/>
      <c r="D147" s="2125"/>
      <c r="E147" s="2126"/>
      <c r="F147" s="2125"/>
      <c r="G147" s="2125"/>
      <c r="H147" s="2125"/>
      <c r="I147" s="2126"/>
      <c r="J147" s="2125"/>
      <c r="K147" s="2125"/>
      <c r="L147" s="2125"/>
      <c r="M147" s="2126"/>
      <c r="N147" s="2125"/>
      <c r="O147" s="2125"/>
      <c r="P147" s="2125"/>
      <c r="Q147" s="2126"/>
      <c r="R147" s="2125"/>
      <c r="S147" s="2125"/>
      <c r="T147" s="2125"/>
      <c r="U147" s="2126"/>
      <c r="V147" s="2125"/>
      <c r="W147" s="2125"/>
      <c r="X147" s="2125"/>
      <c r="Y147" s="2126"/>
      <c r="Z147" s="2125"/>
      <c r="AA147" s="2125"/>
      <c r="AB147" s="2125"/>
      <c r="AC147" s="2125"/>
      <c r="AD147" s="2125"/>
      <c r="AE147" s="2125"/>
      <c r="AF147" s="2125"/>
      <c r="AG147" s="2125"/>
      <c r="AH147" s="2125"/>
      <c r="AI147" s="2125"/>
      <c r="AJ147" s="2125"/>
      <c r="AK147" s="2125"/>
      <c r="AL147" s="2125"/>
      <c r="AM147" s="2125"/>
      <c r="AN147" s="2125"/>
      <c r="AO147" s="2125"/>
      <c r="AP147" s="2125"/>
      <c r="AQ147" s="2125"/>
      <c r="AR147" s="2125"/>
      <c r="AS147" s="2125"/>
      <c r="AT147" s="2125"/>
      <c r="AU147" s="2125"/>
      <c r="AV147" s="2125"/>
      <c r="AW147" s="2125"/>
      <c r="AX147" s="2125"/>
      <c r="AY147" s="2125"/>
      <c r="AZ147" s="2125"/>
      <c r="BA147" s="2125"/>
      <c r="BB147" s="2125"/>
      <c r="BC147" s="2125"/>
      <c r="BD147" s="2125"/>
      <c r="BE147" s="2125"/>
      <c r="BF147" s="2125"/>
      <c r="BG147" s="2125"/>
    </row>
    <row r="148" spans="1:59" s="1497" customFormat="1" ht="12.75" customHeight="1">
      <c r="A148" s="2142" t="s">
        <v>1882</v>
      </c>
      <c r="B148" s="2130">
        <v>-22.482292999999999</v>
      </c>
      <c r="C148" s="2130">
        <v>-26.273156</v>
      </c>
      <c r="D148" s="2130">
        <v>-23.515286</v>
      </c>
      <c r="E148" s="2131">
        <v>-24.631930000000001</v>
      </c>
      <c r="F148" s="2130">
        <v>-27.654</v>
      </c>
      <c r="G148" s="2130">
        <v>18.100000000000001</v>
      </c>
      <c r="H148" s="2130">
        <v>-28.423999999999999</v>
      </c>
      <c r="I148" s="2131">
        <v>-38.822000000000003</v>
      </c>
      <c r="J148" s="2130">
        <v>-16.89</v>
      </c>
      <c r="K148" s="2130">
        <v>-18.669</v>
      </c>
      <c r="L148" s="2130">
        <v>-17.419</v>
      </c>
      <c r="M148" s="2131">
        <v>-18.202000000000002</v>
      </c>
      <c r="N148" s="2130">
        <v>-27.295000000000002</v>
      </c>
      <c r="O148" s="2130">
        <v>-29.599</v>
      </c>
      <c r="P148" s="2130">
        <v>-28.271999999999998</v>
      </c>
      <c r="Q148" s="2131">
        <v>-32.631999999999998</v>
      </c>
      <c r="R148" s="2130">
        <v>-30.062999999999999</v>
      </c>
      <c r="S148" s="2130">
        <v>-32.984000000000002</v>
      </c>
      <c r="T148" s="2130">
        <v>-30.960999999999999</v>
      </c>
      <c r="U148" s="2131">
        <v>-33.631</v>
      </c>
      <c r="V148" s="2130">
        <v>-35.725999999999999</v>
      </c>
      <c r="W148" s="2130">
        <v>-41.262999999999998</v>
      </c>
      <c r="X148" s="2130">
        <v>-38.072000000000003</v>
      </c>
      <c r="Y148" s="2131">
        <v>-40.273000000000003</v>
      </c>
      <c r="Z148" s="2130">
        <v>-65.793000000000006</v>
      </c>
      <c r="AA148" s="2130">
        <v>-7.6269999999999998</v>
      </c>
      <c r="AB148" s="2130">
        <v>-10.308</v>
      </c>
      <c r="AC148" s="2130"/>
      <c r="AD148" s="2130"/>
      <c r="AE148" s="2130"/>
      <c r="AF148" s="2130"/>
      <c r="AG148" s="2130"/>
      <c r="AH148" s="2130"/>
      <c r="AI148" s="2130"/>
      <c r="AJ148" s="2130"/>
      <c r="AK148" s="2130"/>
      <c r="AL148" s="2130"/>
      <c r="AM148" s="2130"/>
      <c r="AN148" s="2130"/>
      <c r="AO148" s="2130"/>
      <c r="AP148" s="2130"/>
      <c r="AQ148" s="2130"/>
      <c r="AR148" s="2130"/>
      <c r="AS148" s="2130"/>
      <c r="AT148" s="2130"/>
      <c r="AU148" s="2130"/>
      <c r="AV148" s="2130"/>
      <c r="AW148" s="2130"/>
      <c r="AX148" s="2130"/>
      <c r="AY148" s="2130"/>
      <c r="AZ148" s="2130"/>
      <c r="BA148" s="2130"/>
      <c r="BB148" s="2130"/>
      <c r="BC148" s="2130"/>
      <c r="BD148" s="2130"/>
      <c r="BE148" s="2144"/>
      <c r="BF148" s="2144"/>
      <c r="BG148" s="2130"/>
    </row>
    <row r="149" spans="1:59" s="1497" customFormat="1">
      <c r="A149" s="2127" t="s">
        <v>1883</v>
      </c>
      <c r="B149" s="2130">
        <v>-1.6618170000000001</v>
      </c>
      <c r="C149" s="2130">
        <v>-2.0355319999999999</v>
      </c>
      <c r="D149" s="2130">
        <v>-1.9193899999999999</v>
      </c>
      <c r="E149" s="2131">
        <v>-1.9203129999999999</v>
      </c>
      <c r="F149" s="2130">
        <v>-2.0790000000000002</v>
      </c>
      <c r="G149" s="2130">
        <v>-2.0670000000000002</v>
      </c>
      <c r="H149" s="2130">
        <v>-2.1880000000000002</v>
      </c>
      <c r="I149" s="2131">
        <v>-2.3340000000000001</v>
      </c>
      <c r="J149" s="2130">
        <v>-4.3339999999999996</v>
      </c>
      <c r="K149" s="2130">
        <v>-2.1909999999999998</v>
      </c>
      <c r="L149" s="2130">
        <v>-2.496</v>
      </c>
      <c r="M149" s="2131">
        <v>-3.3769999999999998</v>
      </c>
      <c r="N149" s="2130">
        <v>-21.638000000000002</v>
      </c>
      <c r="O149" s="2130">
        <v>-7.4470000000000001</v>
      </c>
      <c r="P149" s="2130">
        <v>-7.7069999999999999</v>
      </c>
      <c r="Q149" s="2131">
        <v>-6.931</v>
      </c>
      <c r="R149" s="2130">
        <v>-10.627000000000001</v>
      </c>
      <c r="S149" s="2130">
        <v>-6.718</v>
      </c>
      <c r="T149" s="2130">
        <v>-6.61</v>
      </c>
      <c r="U149" s="2131">
        <v>-6.5860000000000003</v>
      </c>
      <c r="V149" s="2130">
        <v>-6.9029999999999996</v>
      </c>
      <c r="W149" s="2130">
        <v>-8.1720000000000006</v>
      </c>
      <c r="X149" s="2130">
        <v>-8.5470000000000006</v>
      </c>
      <c r="Y149" s="2131">
        <v>-8.4920000000000009</v>
      </c>
      <c r="Z149" s="2130">
        <v>-8.4710000000000001</v>
      </c>
      <c r="AA149" s="2130">
        <v>-8.4830000000000005</v>
      </c>
      <c r="AB149" s="2130">
        <v>-8.8699999999999992</v>
      </c>
      <c r="AC149" s="2130"/>
      <c r="AD149" s="2130"/>
      <c r="AE149" s="2130"/>
      <c r="AF149" s="2130"/>
      <c r="AG149" s="2130"/>
      <c r="AH149" s="2130"/>
      <c r="AI149" s="2130"/>
      <c r="AJ149" s="2130"/>
      <c r="AK149" s="2130"/>
      <c r="AL149" s="2130"/>
      <c r="AM149" s="2130"/>
      <c r="AN149" s="2130"/>
      <c r="AO149" s="2130"/>
      <c r="AP149" s="2130"/>
      <c r="AQ149" s="2130"/>
      <c r="AR149" s="2130"/>
      <c r="AS149" s="2130"/>
      <c r="AT149" s="2130"/>
      <c r="AU149" s="2130"/>
      <c r="AV149" s="2130"/>
      <c r="AW149" s="2130"/>
      <c r="AX149" s="2130"/>
      <c r="AY149" s="2130"/>
      <c r="AZ149" s="2130"/>
      <c r="BA149" s="2130"/>
      <c r="BB149" s="2130"/>
      <c r="BC149" s="2130"/>
      <c r="BD149" s="2130"/>
      <c r="BE149" s="2130"/>
      <c r="BF149" s="2130"/>
      <c r="BG149" s="2130"/>
    </row>
    <row r="150" spans="1:59" s="698" customFormat="1">
      <c r="A150" s="2142" t="s">
        <v>1884</v>
      </c>
      <c r="B150" s="2130">
        <v>2.0615350000000001</v>
      </c>
      <c r="C150" s="2130">
        <v>2.5674039999999998</v>
      </c>
      <c r="D150" s="2130">
        <v>2.5432809999999999</v>
      </c>
      <c r="E150" s="2131">
        <v>3.6169980000000002</v>
      </c>
      <c r="F150" s="2130">
        <v>3.58</v>
      </c>
      <c r="G150" s="2130">
        <v>3.915</v>
      </c>
      <c r="H150" s="2130">
        <v>3.863</v>
      </c>
      <c r="I150" s="2131">
        <v>3.1389999999999998</v>
      </c>
      <c r="J150" s="2130">
        <v>2.7690000000000001</v>
      </c>
      <c r="K150" s="2130">
        <v>3.153</v>
      </c>
      <c r="L150" s="2130">
        <v>3.24</v>
      </c>
      <c r="M150" s="2131">
        <v>2.738</v>
      </c>
      <c r="N150" s="2130">
        <v>17.664999999999999</v>
      </c>
      <c r="O150" s="2130">
        <v>11.989000000000001</v>
      </c>
      <c r="P150" s="2130">
        <v>10.692</v>
      </c>
      <c r="Q150" s="2131">
        <v>10.593</v>
      </c>
      <c r="R150" s="2130">
        <v>11.586</v>
      </c>
      <c r="S150" s="2130">
        <v>9.19</v>
      </c>
      <c r="T150" s="2130">
        <v>13.353999999999999</v>
      </c>
      <c r="U150" s="2131">
        <v>14.268000000000001</v>
      </c>
      <c r="V150" s="2130">
        <v>8.9969999999999999</v>
      </c>
      <c r="W150" s="2130">
        <v>9.1020000000000003</v>
      </c>
      <c r="X150" s="2130">
        <v>1.867</v>
      </c>
      <c r="Y150" s="2131">
        <v>4.3890000000000002</v>
      </c>
      <c r="Z150" s="2130">
        <v>13.37</v>
      </c>
      <c r="AA150" s="2130">
        <v>9.7870000000000008</v>
      </c>
      <c r="AB150" s="2684">
        <v>9.6159999999999997</v>
      </c>
      <c r="AC150" s="2130"/>
      <c r="AD150" s="2130"/>
      <c r="AE150" s="2130"/>
      <c r="AF150" s="2130"/>
      <c r="AG150" s="2130"/>
      <c r="AH150" s="2130"/>
      <c r="AI150" s="2130"/>
      <c r="AJ150" s="2130"/>
      <c r="AK150" s="2130"/>
      <c r="AL150" s="2130"/>
      <c r="AM150" s="2130"/>
      <c r="AN150" s="2130"/>
      <c r="AO150" s="2130"/>
      <c r="AP150" s="2130"/>
      <c r="AQ150" s="2130"/>
      <c r="AR150" s="2130"/>
      <c r="AS150" s="2130"/>
      <c r="AT150" s="2130"/>
      <c r="AU150" s="2130"/>
      <c r="AV150" s="2130"/>
      <c r="AW150" s="2130"/>
      <c r="AX150" s="2130"/>
      <c r="AY150" s="2130"/>
      <c r="AZ150" s="2130"/>
      <c r="BA150" s="2130"/>
      <c r="BB150" s="2130"/>
      <c r="BC150" s="2130"/>
      <c r="BD150" s="2130"/>
      <c r="BE150" s="2130"/>
      <c r="BF150" s="2130"/>
      <c r="BG150" s="2130"/>
    </row>
    <row r="151" spans="1:59" s="1464" customFormat="1">
      <c r="A151" s="2641" t="s">
        <v>2598</v>
      </c>
      <c r="B151" s="2130"/>
      <c r="C151" s="2130"/>
      <c r="D151" s="2130"/>
      <c r="E151" s="2131"/>
      <c r="F151" s="2130"/>
      <c r="G151" s="2130"/>
      <c r="H151" s="2130"/>
      <c r="I151" s="2131"/>
      <c r="J151" s="2130"/>
      <c r="K151" s="2130"/>
      <c r="L151" s="2130"/>
      <c r="M151" s="2131"/>
      <c r="N151" s="2130"/>
      <c r="O151" s="2130"/>
      <c r="P151" s="2130"/>
      <c r="Q151" s="2131"/>
      <c r="R151" s="2130"/>
      <c r="S151" s="2130"/>
      <c r="T151" s="2130"/>
      <c r="U151" s="2131"/>
      <c r="V151" s="2130"/>
      <c r="W151" s="2130"/>
      <c r="X151" s="2130"/>
      <c r="Y151" s="2131"/>
      <c r="Z151" s="2130">
        <v>-272.16000000000003</v>
      </c>
      <c r="AA151" s="2130"/>
      <c r="AB151" s="2130"/>
      <c r="AC151" s="2130"/>
      <c r="AD151" s="2130"/>
      <c r="AE151" s="2130"/>
      <c r="AF151" s="2130"/>
      <c r="AG151" s="2130"/>
      <c r="AH151" s="2130"/>
      <c r="AI151" s="2130"/>
      <c r="AJ151" s="2130"/>
      <c r="AK151" s="2130"/>
      <c r="AL151" s="2130"/>
      <c r="AM151" s="2130"/>
      <c r="AN151" s="2130"/>
      <c r="AO151" s="2130"/>
      <c r="AP151" s="2130"/>
      <c r="AQ151" s="2130"/>
      <c r="AR151" s="2130"/>
      <c r="AS151" s="2130"/>
      <c r="AT151" s="2130"/>
      <c r="AU151" s="2130"/>
      <c r="AV151" s="2130"/>
      <c r="AW151" s="2130"/>
      <c r="AX151" s="2130"/>
      <c r="AY151" s="2130"/>
      <c r="AZ151" s="2130"/>
      <c r="BA151" s="2130"/>
      <c r="BB151" s="2130"/>
      <c r="BC151" s="2130"/>
      <c r="BD151" s="2130"/>
      <c r="BE151" s="2130"/>
      <c r="BF151" s="2130"/>
      <c r="BG151" s="2130"/>
    </row>
    <row r="152" spans="1:59" s="30" customFormat="1">
      <c r="A152" s="2149" t="s">
        <v>1229</v>
      </c>
      <c r="B152" s="2133">
        <f t="shared" ref="B152:M152" si="64">SUM(B139,B140,B148,B149)</f>
        <v>-32.510463999999999</v>
      </c>
      <c r="C152" s="2133">
        <f t="shared" si="64"/>
        <v>-39.103014999999999</v>
      </c>
      <c r="D152" s="2133">
        <f t="shared" si="64"/>
        <v>-35.780785999999999</v>
      </c>
      <c r="E152" s="2134">
        <f t="shared" si="64"/>
        <v>-37.991388000000001</v>
      </c>
      <c r="F152" s="2133">
        <f t="shared" si="64"/>
        <v>-54.145000000000003</v>
      </c>
      <c r="G152" s="2133">
        <f t="shared" si="64"/>
        <v>-8.6699999999999982</v>
      </c>
      <c r="H152" s="2133">
        <f t="shared" si="64"/>
        <v>-58.003</v>
      </c>
      <c r="I152" s="2134">
        <f t="shared" si="64"/>
        <v>-82.306000000000012</v>
      </c>
      <c r="J152" s="2133">
        <f t="shared" si="64"/>
        <v>-85.963999999999999</v>
      </c>
      <c r="K152" s="2133">
        <f t="shared" si="64"/>
        <v>-86.68</v>
      </c>
      <c r="L152" s="2133">
        <f t="shared" si="64"/>
        <v>-82.515999999999991</v>
      </c>
      <c r="M152" s="2134">
        <f t="shared" si="64"/>
        <v>-79.783000000000001</v>
      </c>
      <c r="N152" s="2133">
        <f t="shared" ref="N152:Y152" si="65">SUM(N139,N140,N148,N149)</f>
        <v>-160.46799999999999</v>
      </c>
      <c r="O152" s="2133">
        <f t="shared" si="65"/>
        <v>-199.88799999999998</v>
      </c>
      <c r="P152" s="2133">
        <f t="shared" si="65"/>
        <v>-180.94099999999997</v>
      </c>
      <c r="Q152" s="2134">
        <f t="shared" si="65"/>
        <v>-175.42800000000003</v>
      </c>
      <c r="R152" s="2133">
        <f t="shared" si="65"/>
        <v>-162.99600000000001</v>
      </c>
      <c r="S152" s="2133">
        <f t="shared" si="65"/>
        <v>-122.592</v>
      </c>
      <c r="T152" s="2133">
        <f t="shared" si="65"/>
        <v>-111.071</v>
      </c>
      <c r="U152" s="2134">
        <f t="shared" si="65"/>
        <v>-119.55799999999999</v>
      </c>
      <c r="V152" s="2133">
        <f t="shared" si="65"/>
        <v>-112.545</v>
      </c>
      <c r="W152" s="2133">
        <f t="shared" si="65"/>
        <v>-135.11799999999999</v>
      </c>
      <c r="X152" s="2133">
        <f t="shared" si="65"/>
        <v>-119.23699999999999</v>
      </c>
      <c r="Y152" s="2134">
        <f t="shared" si="65"/>
        <v>-125.41799999999999</v>
      </c>
      <c r="Z152" s="2133">
        <f>SUM(Z139,Z140,Z148,Z149,Z151)</f>
        <v>-407.90899999999999</v>
      </c>
      <c r="AA152" s="2133">
        <f>SUM(AA139,AA140,AA148,AA149,AA151)</f>
        <v>-41.974000000000004</v>
      </c>
      <c r="AB152" s="2133">
        <f>SUM(AB139,AB140,AB148,AB149,AB151)</f>
        <v>-46.827999999999996</v>
      </c>
      <c r="AC152" s="2133"/>
      <c r="AD152" s="2133"/>
      <c r="AE152" s="2133"/>
      <c r="AF152" s="2133"/>
      <c r="AG152" s="2133"/>
      <c r="AH152" s="2133"/>
      <c r="AI152" s="2133"/>
      <c r="AJ152" s="2133"/>
      <c r="AK152" s="2133"/>
      <c r="AL152" s="2133"/>
      <c r="AM152" s="2133"/>
      <c r="AN152" s="2133"/>
      <c r="AO152" s="2133"/>
      <c r="AP152" s="2133"/>
      <c r="AQ152" s="2133"/>
      <c r="AR152" s="2133"/>
      <c r="AS152" s="2133"/>
      <c r="AT152" s="2133"/>
      <c r="AU152" s="2133"/>
      <c r="AV152" s="2133"/>
      <c r="AW152" s="2133"/>
      <c r="AX152" s="2133"/>
      <c r="AY152" s="2133"/>
      <c r="AZ152" s="2133"/>
      <c r="BA152" s="2133"/>
      <c r="BB152" s="2133"/>
      <c r="BC152" s="2133"/>
      <c r="BD152" s="2133"/>
      <c r="BE152" s="2135"/>
      <c r="BF152" s="2135"/>
      <c r="BG152" s="2135"/>
    </row>
    <row r="153" spans="1:59" s="30" customFormat="1">
      <c r="A153" s="2132" t="s">
        <v>1230</v>
      </c>
      <c r="B153" s="2133">
        <f>B152+B150</f>
        <v>-30.448929</v>
      </c>
      <c r="C153" s="2133">
        <f t="shared" ref="C153:M153" si="66">C152+C150</f>
        <v>-36.535611000000003</v>
      </c>
      <c r="D153" s="2133">
        <f t="shared" si="66"/>
        <v>-33.237504999999999</v>
      </c>
      <c r="E153" s="2134">
        <f t="shared" si="66"/>
        <v>-34.374389999999998</v>
      </c>
      <c r="F153" s="2133">
        <f t="shared" si="66"/>
        <v>-50.565000000000005</v>
      </c>
      <c r="G153" s="2133">
        <f t="shared" si="66"/>
        <v>-4.7549999999999981</v>
      </c>
      <c r="H153" s="2133">
        <f t="shared" si="66"/>
        <v>-54.14</v>
      </c>
      <c r="I153" s="2134">
        <f t="shared" si="66"/>
        <v>-79.167000000000016</v>
      </c>
      <c r="J153" s="2133">
        <f t="shared" si="66"/>
        <v>-83.194999999999993</v>
      </c>
      <c r="K153" s="2133">
        <f t="shared" si="66"/>
        <v>-83.527000000000001</v>
      </c>
      <c r="L153" s="2133">
        <f t="shared" si="66"/>
        <v>-79.275999999999996</v>
      </c>
      <c r="M153" s="2134">
        <f t="shared" si="66"/>
        <v>-77.045000000000002</v>
      </c>
      <c r="N153" s="2133">
        <f t="shared" ref="N153:AB153" si="67">N152+N150</f>
        <v>-142.803</v>
      </c>
      <c r="O153" s="2133">
        <f t="shared" si="67"/>
        <v>-187.89899999999997</v>
      </c>
      <c r="P153" s="2133">
        <f t="shared" si="67"/>
        <v>-170.24899999999997</v>
      </c>
      <c r="Q153" s="2134">
        <f t="shared" si="67"/>
        <v>-164.83500000000004</v>
      </c>
      <c r="R153" s="2133">
        <f t="shared" si="67"/>
        <v>-151.41</v>
      </c>
      <c r="S153" s="2133">
        <f t="shared" si="67"/>
        <v>-113.402</v>
      </c>
      <c r="T153" s="2133">
        <f t="shared" si="67"/>
        <v>-97.716999999999999</v>
      </c>
      <c r="U153" s="2134">
        <f t="shared" si="67"/>
        <v>-105.28999999999999</v>
      </c>
      <c r="V153" s="2133">
        <f t="shared" si="67"/>
        <v>-103.548</v>
      </c>
      <c r="W153" s="2133">
        <f t="shared" si="67"/>
        <v>-126.01599999999999</v>
      </c>
      <c r="X153" s="2133">
        <f t="shared" si="67"/>
        <v>-117.36999999999999</v>
      </c>
      <c r="Y153" s="2134">
        <f t="shared" si="67"/>
        <v>-121.029</v>
      </c>
      <c r="Z153" s="2133">
        <f t="shared" si="67"/>
        <v>-394.53899999999999</v>
      </c>
      <c r="AA153" s="2133">
        <f t="shared" si="67"/>
        <v>-32.187000000000005</v>
      </c>
      <c r="AB153" s="2133">
        <f t="shared" si="67"/>
        <v>-37.211999999999996</v>
      </c>
      <c r="AC153" s="2133"/>
      <c r="AD153" s="2133"/>
      <c r="AE153" s="2133"/>
      <c r="AF153" s="2133"/>
      <c r="AG153" s="2133"/>
      <c r="AH153" s="2133"/>
      <c r="AI153" s="2133"/>
      <c r="AJ153" s="2133"/>
      <c r="AK153" s="2133"/>
      <c r="AL153" s="2133"/>
      <c r="AM153" s="2133"/>
      <c r="AN153" s="2133"/>
      <c r="AO153" s="2133"/>
      <c r="AP153" s="2133"/>
      <c r="AQ153" s="2133"/>
      <c r="AR153" s="2133"/>
      <c r="AS153" s="2133"/>
      <c r="AT153" s="2133"/>
      <c r="AU153" s="2133"/>
      <c r="AV153" s="2133"/>
      <c r="AW153" s="2133"/>
      <c r="AX153" s="2133"/>
      <c r="AY153" s="2133"/>
      <c r="AZ153" s="2133"/>
      <c r="BA153" s="2133"/>
      <c r="BB153" s="2133"/>
      <c r="BC153" s="2133"/>
      <c r="BD153" s="2133"/>
      <c r="BE153" s="2135"/>
      <c r="BF153" s="2135"/>
      <c r="BG153" s="2135"/>
    </row>
    <row r="154" spans="1:59" s="30" customFormat="1">
      <c r="A154" s="2127"/>
      <c r="B154" s="2133"/>
      <c r="C154" s="2133"/>
      <c r="D154" s="2133"/>
      <c r="E154" s="2134"/>
      <c r="F154" s="2133"/>
      <c r="G154" s="2133"/>
      <c r="H154" s="2133"/>
      <c r="I154" s="2134"/>
      <c r="J154" s="2133"/>
      <c r="K154" s="2133"/>
      <c r="L154" s="2133"/>
      <c r="M154" s="2134"/>
      <c r="N154" s="2133"/>
      <c r="O154" s="2133"/>
      <c r="P154" s="2133"/>
      <c r="Q154" s="2134"/>
      <c r="R154" s="2133"/>
      <c r="S154" s="2133"/>
      <c r="T154" s="2133"/>
      <c r="U154" s="2134"/>
      <c r="V154" s="2133"/>
      <c r="W154" s="2133"/>
      <c r="X154" s="2133"/>
      <c r="Y154" s="2134"/>
      <c r="Z154" s="2133"/>
      <c r="AA154" s="2133"/>
      <c r="AB154" s="2133"/>
      <c r="AC154" s="2133"/>
      <c r="AD154" s="2133"/>
      <c r="AE154" s="2133"/>
      <c r="AF154" s="2133"/>
      <c r="AG154" s="2133"/>
      <c r="AH154" s="2133"/>
      <c r="AI154" s="2133"/>
      <c r="AJ154" s="2133"/>
      <c r="AK154" s="2133"/>
      <c r="AL154" s="2133"/>
      <c r="AM154" s="2133"/>
      <c r="AN154" s="2133"/>
      <c r="AO154" s="2133"/>
      <c r="AP154" s="2133"/>
      <c r="AQ154" s="2133"/>
      <c r="AR154" s="2133"/>
      <c r="AS154" s="2133"/>
      <c r="AT154" s="2133"/>
      <c r="AU154" s="2133"/>
      <c r="AV154" s="2133"/>
      <c r="AW154" s="2133"/>
      <c r="AX154" s="2133"/>
      <c r="AY154" s="2133"/>
      <c r="AZ154" s="2133"/>
      <c r="BA154" s="2133"/>
      <c r="BB154" s="2133"/>
      <c r="BC154" s="2133"/>
      <c r="BD154" s="2133"/>
      <c r="BE154" s="2133"/>
      <c r="BF154" s="2133"/>
      <c r="BG154" s="2133"/>
    </row>
    <row r="155" spans="1:59">
      <c r="A155" s="2127" t="s">
        <v>2601</v>
      </c>
      <c r="B155" s="2133"/>
      <c r="C155" s="2133"/>
      <c r="D155" s="2133"/>
      <c r="E155" s="2134"/>
      <c r="F155" s="2133"/>
      <c r="G155" s="2133"/>
      <c r="H155" s="2133"/>
      <c r="I155" s="2134"/>
      <c r="J155" s="2133"/>
      <c r="K155" s="2133"/>
      <c r="L155" s="2133"/>
      <c r="M155" s="2134"/>
      <c r="N155" s="2133"/>
      <c r="O155" s="2133"/>
      <c r="P155" s="2133"/>
      <c r="Q155" s="2134"/>
      <c r="R155" s="2133"/>
      <c r="S155" s="2133"/>
      <c r="T155" s="2133"/>
      <c r="U155" s="2134"/>
      <c r="V155" s="2133"/>
      <c r="W155" s="2133"/>
      <c r="X155" s="2133"/>
      <c r="Y155" s="2134"/>
      <c r="Z155" s="2646">
        <v>-1.427</v>
      </c>
      <c r="AA155" s="2646">
        <v>-7.8E-2</v>
      </c>
      <c r="AB155" s="2646">
        <f>+-0.002</f>
        <v>-2E-3</v>
      </c>
      <c r="AC155" s="2133"/>
      <c r="AD155" s="2133"/>
      <c r="AE155" s="2133"/>
      <c r="AF155" s="2133"/>
      <c r="AG155" s="2133"/>
      <c r="AH155" s="2133"/>
      <c r="AI155" s="2133"/>
      <c r="AJ155" s="2133"/>
      <c r="AK155" s="2133"/>
      <c r="AL155" s="2133"/>
      <c r="AM155" s="2133"/>
      <c r="AN155" s="2133"/>
      <c r="AO155" s="2133"/>
      <c r="AP155" s="2133"/>
      <c r="AQ155" s="2133"/>
      <c r="AR155" s="2133"/>
      <c r="AS155" s="2133"/>
      <c r="AT155" s="2133"/>
      <c r="AU155" s="2133"/>
      <c r="AV155" s="2133"/>
      <c r="AW155" s="2133"/>
      <c r="AX155" s="2133"/>
      <c r="AY155" s="2133"/>
      <c r="AZ155" s="2133"/>
      <c r="BA155" s="2133"/>
      <c r="BB155" s="2133"/>
      <c r="BC155" s="2133"/>
      <c r="BD155" s="2133"/>
      <c r="BE155" s="2133"/>
      <c r="BF155" s="2133"/>
      <c r="BG155" s="2133"/>
    </row>
    <row r="156" spans="1:59" s="2153" customFormat="1">
      <c r="A156" s="2127"/>
      <c r="B156" s="2133"/>
      <c r="C156" s="2133"/>
      <c r="D156" s="2133"/>
      <c r="E156" s="2134"/>
      <c r="F156" s="2133"/>
      <c r="G156" s="2133"/>
      <c r="H156" s="2133"/>
      <c r="I156" s="2134"/>
      <c r="J156" s="2133"/>
      <c r="K156" s="2133"/>
      <c r="L156" s="2133"/>
      <c r="M156" s="2134"/>
      <c r="N156" s="2133"/>
      <c r="O156" s="2133"/>
      <c r="P156" s="2133"/>
      <c r="Q156" s="2134"/>
      <c r="R156" s="2133"/>
      <c r="S156" s="2133"/>
      <c r="T156" s="2133"/>
      <c r="U156" s="2134"/>
      <c r="V156" s="2133"/>
      <c r="W156" s="2133"/>
      <c r="X156" s="2133"/>
      <c r="Y156" s="2134"/>
      <c r="Z156" s="2133"/>
      <c r="AA156" s="2133"/>
      <c r="AB156" s="2133"/>
      <c r="AC156" s="2133"/>
      <c r="AD156" s="2133"/>
      <c r="AE156" s="2133"/>
      <c r="AF156" s="2133"/>
      <c r="AG156" s="2133"/>
      <c r="AH156" s="2133"/>
      <c r="AI156" s="2133"/>
      <c r="AJ156" s="2133"/>
      <c r="AK156" s="2133"/>
      <c r="AL156" s="2133"/>
      <c r="AM156" s="2133"/>
      <c r="AN156" s="2133"/>
      <c r="AO156" s="2133"/>
      <c r="AP156" s="2133"/>
      <c r="AQ156" s="2133"/>
      <c r="AR156" s="2133"/>
      <c r="AS156" s="2133"/>
      <c r="AT156" s="2133"/>
      <c r="AU156" s="2133"/>
      <c r="AV156" s="2133"/>
      <c r="AW156" s="2133"/>
      <c r="AX156" s="2133"/>
      <c r="AY156" s="2133"/>
      <c r="AZ156" s="2133"/>
      <c r="BA156" s="2133"/>
      <c r="BB156" s="2133"/>
      <c r="BC156" s="2133"/>
      <c r="BD156" s="2133"/>
      <c r="BE156" s="2133"/>
      <c r="BF156" s="2133"/>
      <c r="BG156" s="2133"/>
    </row>
    <row r="157" spans="1:59">
      <c r="A157" s="2150" t="s">
        <v>2636</v>
      </c>
      <c r="B157" s="2133">
        <f>B129+B130+B132+B133+B134+B152</f>
        <v>-2.8142939999999932</v>
      </c>
      <c r="C157" s="2133">
        <f t="shared" ref="C157:M157" si="68">C129+C130+C132+C133+C134+C152</f>
        <v>-3.3619939999999957</v>
      </c>
      <c r="D157" s="2133">
        <f t="shared" si="68"/>
        <v>-3.2841640000000041</v>
      </c>
      <c r="E157" s="2134">
        <f t="shared" si="68"/>
        <v>-2.911408999999999</v>
      </c>
      <c r="F157" s="2133">
        <f t="shared" si="68"/>
        <v>-17.655999999999992</v>
      </c>
      <c r="G157" s="2133">
        <f t="shared" si="68"/>
        <v>32.573999999999998</v>
      </c>
      <c r="H157" s="2133">
        <f t="shared" si="68"/>
        <v>-23.911000000000001</v>
      </c>
      <c r="I157" s="2134">
        <f t="shared" si="68"/>
        <v>-46.01400000000001</v>
      </c>
      <c r="J157" s="2133">
        <f t="shared" si="68"/>
        <v>-34.499000000000017</v>
      </c>
      <c r="K157" s="2133">
        <f t="shared" si="68"/>
        <v>-27.812000000000005</v>
      </c>
      <c r="L157" s="2133">
        <f t="shared" si="68"/>
        <v>-29.11399999999999</v>
      </c>
      <c r="M157" s="2134">
        <f t="shared" si="68"/>
        <v>-3.1450000000000102</v>
      </c>
      <c r="N157" s="2133">
        <f t="shared" ref="N157:U157" si="69">N129+N130+N132+N133+N134+N152</f>
        <v>-75.316000000000003</v>
      </c>
      <c r="O157" s="2133">
        <f t="shared" si="69"/>
        <v>-56.007999999999953</v>
      </c>
      <c r="P157" s="2133">
        <f t="shared" si="69"/>
        <v>-61.582999999999984</v>
      </c>
      <c r="Q157" s="2134">
        <f t="shared" si="69"/>
        <v>-48.168000000000035</v>
      </c>
      <c r="R157" s="2133">
        <f t="shared" si="69"/>
        <v>-41.692000000000036</v>
      </c>
      <c r="S157" s="2133">
        <f t="shared" si="69"/>
        <v>-45.543000000000006</v>
      </c>
      <c r="T157" s="2133">
        <f t="shared" si="69"/>
        <v>-39.915000000000006</v>
      </c>
      <c r="U157" s="2134">
        <f t="shared" si="69"/>
        <v>-36.578999999999965</v>
      </c>
      <c r="V157" s="2646">
        <f>V129+V130+V132+V133+V134+V152</f>
        <v>-30.981000000000009</v>
      </c>
      <c r="W157" s="2646">
        <f>W129+W130+W132+W133+W134+W152</f>
        <v>-42.897999999999996</v>
      </c>
      <c r="X157" s="2646">
        <f>X129+X130+X132+X133+X134+X152</f>
        <v>-31.879999999999995</v>
      </c>
      <c r="Y157" s="2721">
        <f>Y129+Y130+Y132+Y133+Y134+Y152</f>
        <v>-24.373999999999967</v>
      </c>
      <c r="Z157" s="2646">
        <f>Z129+Z130+Z132+Z133+Z134+Z152+Z155</f>
        <v>-330.25800000000004</v>
      </c>
      <c r="AA157" s="2646">
        <f>AA129+AA130+AA132+AA133+AA134+AA152+AA155</f>
        <v>-34.587000000000003</v>
      </c>
      <c r="AB157" s="2646">
        <f>AB129+AB130+AB132+AB133+AB134+AB152+AB155</f>
        <v>-26.069999999999993</v>
      </c>
      <c r="AC157" s="2646"/>
      <c r="AD157" s="2646"/>
      <c r="AE157" s="2646"/>
      <c r="AF157" s="2646"/>
      <c r="AG157" s="2646"/>
      <c r="AH157" s="2646"/>
      <c r="AI157" s="2646"/>
      <c r="AJ157" s="2646"/>
      <c r="AK157" s="2646"/>
      <c r="AL157" s="2646"/>
      <c r="AM157" s="2646"/>
      <c r="AN157" s="2646"/>
      <c r="AO157" s="2646"/>
      <c r="AP157" s="2646"/>
      <c r="AQ157" s="2646"/>
      <c r="AR157" s="2646"/>
      <c r="AS157" s="2646"/>
      <c r="AT157" s="2646"/>
      <c r="AU157" s="2646"/>
      <c r="AV157" s="2646"/>
      <c r="AW157" s="2646"/>
      <c r="AX157" s="2646"/>
      <c r="AY157" s="2646"/>
      <c r="AZ157" s="2646"/>
      <c r="BA157" s="2646"/>
      <c r="BB157" s="2646"/>
      <c r="BC157" s="2646"/>
      <c r="BD157" s="2646"/>
      <c r="BE157" s="2133"/>
      <c r="BF157" s="2646">
        <f>+Z157-BG157</f>
        <v>0</v>
      </c>
      <c r="BG157" s="2646">
        <v>-330.25799999999998</v>
      </c>
    </row>
    <row r="158" spans="1:59">
      <c r="A158" s="1986" t="s">
        <v>1873</v>
      </c>
      <c r="B158" s="38">
        <f>B157/B136</f>
        <v>-9.8651362229834449E-2</v>
      </c>
      <c r="C158" s="38">
        <f t="shared" ref="C158:M158" si="70">C157/C136</f>
        <v>-9.4830554955772556E-2</v>
      </c>
      <c r="D158" s="38">
        <f t="shared" si="70"/>
        <v>-0.10247265015487464</v>
      </c>
      <c r="E158" s="1548">
        <f t="shared" si="70"/>
        <v>-8.2993464733830055E-2</v>
      </c>
      <c r="F158" s="38">
        <f t="shared" si="70"/>
        <v>-0.48550844195127285</v>
      </c>
      <c r="G158" s="38">
        <f t="shared" si="70"/>
        <v>0.79226559649762862</v>
      </c>
      <c r="H158" s="38">
        <f t="shared" si="70"/>
        <v>-0.72012408143597162</v>
      </c>
      <c r="I158" s="1548">
        <f t="shared" si="70"/>
        <v>-1.267882728976083</v>
      </c>
      <c r="J158" s="38">
        <f t="shared" si="70"/>
        <v>-0.67033906538424226</v>
      </c>
      <c r="K158" s="38">
        <f t="shared" si="70"/>
        <v>-0.47244683019637163</v>
      </c>
      <c r="L158" s="38">
        <f t="shared" si="70"/>
        <v>-0.54729678923227298</v>
      </c>
      <c r="M158" s="1548">
        <f t="shared" si="70"/>
        <v>-4.1086942321510361E-2</v>
      </c>
      <c r="N158" s="38">
        <f t="shared" ref="N158:AB158" si="71">N157/N136</f>
        <v>-0.88515419330575418</v>
      </c>
      <c r="O158" s="38">
        <f t="shared" si="71"/>
        <v>-0.39157397243992609</v>
      </c>
      <c r="P158" s="38">
        <f t="shared" si="71"/>
        <v>-0.43810113254794825</v>
      </c>
      <c r="Q158" s="1548">
        <f t="shared" si="71"/>
        <v>-0.37362415742974409</v>
      </c>
      <c r="R158" s="38">
        <f t="shared" si="71"/>
        <v>-0.28692354807407794</v>
      </c>
      <c r="S158" s="38">
        <f t="shared" si="71"/>
        <v>-0.2688187275335116</v>
      </c>
      <c r="T158" s="38">
        <f t="shared" si="71"/>
        <v>-0.2504344879943281</v>
      </c>
      <c r="U158" s="1548">
        <f t="shared" si="71"/>
        <v>-0.20407605360350792</v>
      </c>
      <c r="V158" s="38">
        <f t="shared" si="71"/>
        <v>-0.19016898590044998</v>
      </c>
      <c r="W158" s="38">
        <f t="shared" si="71"/>
        <v>-0.21719186682328159</v>
      </c>
      <c r="X158" s="38">
        <f t="shared" si="71"/>
        <v>-0.17725192792051464</v>
      </c>
      <c r="Y158" s="1548">
        <f t="shared" si="71"/>
        <v>-0.11875621211825908</v>
      </c>
      <c r="Z158" s="38">
        <f t="shared" si="71"/>
        <v>-2.4074616747217186</v>
      </c>
      <c r="AA158" s="38">
        <f t="shared" si="71"/>
        <v>-5.1171770972037294</v>
      </c>
      <c r="AB158" s="38">
        <f t="shared" si="71"/>
        <v>-1.1290601992204414</v>
      </c>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c r="BC158" s="38"/>
      <c r="BD158" s="38"/>
      <c r="BE158" s="38"/>
      <c r="BF158" s="38"/>
      <c r="BG158" s="1987"/>
    </row>
    <row r="159" spans="1:59" s="2105" customFormat="1">
      <c r="A159" s="1661"/>
      <c r="B159" s="1660"/>
      <c r="C159" s="1660"/>
      <c r="D159" s="1660"/>
      <c r="E159" s="1591"/>
      <c r="F159" s="1660"/>
      <c r="G159" s="1660"/>
      <c r="H159" s="1660"/>
      <c r="I159" s="1591"/>
      <c r="J159" s="1660"/>
      <c r="K159" s="1660"/>
      <c r="L159" s="1660"/>
      <c r="M159" s="1591"/>
      <c r="N159" s="1660"/>
      <c r="O159" s="1660"/>
      <c r="P159" s="1660"/>
      <c r="Q159" s="1591"/>
      <c r="R159" s="1660"/>
      <c r="S159" s="1660"/>
      <c r="T159" s="1660"/>
      <c r="U159" s="1591"/>
      <c r="V159" s="1660"/>
      <c r="W159" s="1660"/>
      <c r="X159" s="1660"/>
      <c r="Y159" s="1591"/>
      <c r="Z159" s="1660"/>
      <c r="AA159" s="1660"/>
      <c r="AB159" s="1660"/>
      <c r="AC159" s="1660"/>
      <c r="AD159" s="1660"/>
      <c r="AE159" s="1660"/>
      <c r="AF159" s="1660"/>
      <c r="AG159" s="1660"/>
      <c r="AH159" s="1660"/>
      <c r="AI159" s="1660"/>
      <c r="AJ159" s="1660"/>
      <c r="AK159" s="1660"/>
      <c r="AL159" s="1660"/>
      <c r="AM159" s="1660"/>
      <c r="AN159" s="1660"/>
      <c r="AO159" s="1660"/>
      <c r="AP159" s="1660"/>
      <c r="AQ159" s="1660"/>
      <c r="AR159" s="1660"/>
      <c r="AS159" s="1660"/>
      <c r="AT159" s="1660"/>
      <c r="AU159" s="1660"/>
      <c r="AV159" s="1660"/>
      <c r="AW159" s="1660"/>
      <c r="AX159" s="1660"/>
      <c r="AY159" s="1660"/>
      <c r="AZ159" s="1660"/>
      <c r="BA159" s="1660"/>
      <c r="BB159" s="1660"/>
      <c r="BC159" s="1660"/>
      <c r="BD159" s="1660"/>
      <c r="BE159" s="1660"/>
      <c r="BF159" s="1660"/>
      <c r="BG159" s="1660"/>
    </row>
    <row r="160" spans="1:59" s="2105" customFormat="1">
      <c r="A160" s="2138" t="s">
        <v>1232</v>
      </c>
      <c r="B160" s="2139">
        <f t="shared" ref="B160:M160" si="72">B157+B150</f>
        <v>-0.75275899999999307</v>
      </c>
      <c r="C160" s="2139">
        <f t="shared" si="72"/>
        <v>-0.79458999999999591</v>
      </c>
      <c r="D160" s="2139">
        <f t="shared" si="72"/>
        <v>-0.74088300000000418</v>
      </c>
      <c r="E160" s="2140">
        <f t="shared" si="72"/>
        <v>0.70558900000000113</v>
      </c>
      <c r="F160" s="2139">
        <f t="shared" si="72"/>
        <v>-14.075999999999992</v>
      </c>
      <c r="G160" s="2139">
        <f t="shared" si="72"/>
        <v>36.488999999999997</v>
      </c>
      <c r="H160" s="2139">
        <f t="shared" si="72"/>
        <v>-20.048000000000002</v>
      </c>
      <c r="I160" s="2140">
        <f t="shared" si="72"/>
        <v>-42.875000000000007</v>
      </c>
      <c r="J160" s="2139">
        <f t="shared" si="72"/>
        <v>-31.730000000000018</v>
      </c>
      <c r="K160" s="2139">
        <f t="shared" si="72"/>
        <v>-24.659000000000006</v>
      </c>
      <c r="L160" s="2139">
        <f t="shared" si="72"/>
        <v>-25.873999999999988</v>
      </c>
      <c r="M160" s="2140">
        <f t="shared" si="72"/>
        <v>-0.40700000000001024</v>
      </c>
      <c r="N160" s="2139">
        <f t="shared" ref="N160:AB160" si="73">N157+N150</f>
        <v>-57.651000000000003</v>
      </c>
      <c r="O160" s="2139">
        <f t="shared" si="73"/>
        <v>-44.018999999999949</v>
      </c>
      <c r="P160" s="2139">
        <f t="shared" si="73"/>
        <v>-50.890999999999984</v>
      </c>
      <c r="Q160" s="2140">
        <f t="shared" si="73"/>
        <v>-37.575000000000031</v>
      </c>
      <c r="R160" s="2139">
        <f t="shared" si="73"/>
        <v>-30.106000000000037</v>
      </c>
      <c r="S160" s="2139">
        <f t="shared" si="73"/>
        <v>-36.353000000000009</v>
      </c>
      <c r="T160" s="2139">
        <f t="shared" si="73"/>
        <v>-26.561000000000007</v>
      </c>
      <c r="U160" s="2140">
        <f t="shared" si="73"/>
        <v>-22.310999999999964</v>
      </c>
      <c r="V160" s="2139">
        <f t="shared" si="73"/>
        <v>-21.984000000000009</v>
      </c>
      <c r="W160" s="2655">
        <f t="shared" si="73"/>
        <v>-33.795999999999992</v>
      </c>
      <c r="X160" s="2139">
        <f t="shared" si="73"/>
        <v>-30.012999999999995</v>
      </c>
      <c r="Y160" s="2140">
        <f t="shared" si="73"/>
        <v>-19.984999999999967</v>
      </c>
      <c r="Z160" s="2139">
        <f t="shared" si="73"/>
        <v>-316.88800000000003</v>
      </c>
      <c r="AA160" s="2655">
        <f t="shared" si="73"/>
        <v>-24.800000000000004</v>
      </c>
      <c r="AB160" s="2655">
        <f t="shared" si="73"/>
        <v>-16.453999999999994</v>
      </c>
      <c r="AC160" s="2133"/>
      <c r="AD160" s="2133"/>
      <c r="AE160" s="2133"/>
      <c r="AF160" s="2133"/>
      <c r="AG160" s="2133"/>
      <c r="AH160" s="2133"/>
      <c r="AI160" s="2133"/>
      <c r="AJ160" s="2133"/>
      <c r="AK160" s="2133"/>
      <c r="AL160" s="2133"/>
      <c r="AM160" s="2133"/>
      <c r="AN160" s="2133"/>
      <c r="AO160" s="2133"/>
      <c r="AP160" s="2133"/>
      <c r="AQ160" s="2133"/>
      <c r="AR160" s="2133"/>
      <c r="AS160" s="2133"/>
      <c r="AT160" s="2133"/>
      <c r="AU160" s="2133"/>
      <c r="AV160" s="2133"/>
      <c r="AW160" s="2133"/>
      <c r="AX160" s="2133"/>
      <c r="AY160" s="2133"/>
      <c r="AZ160" s="2133"/>
      <c r="BA160" s="2133"/>
      <c r="BB160" s="2133"/>
      <c r="BC160" s="2133"/>
      <c r="BD160" s="2133"/>
      <c r="BE160" s="2139"/>
      <c r="BF160" s="2139"/>
      <c r="BG160" s="2139"/>
    </row>
    <row r="161" spans="1:59" s="2130" customFormat="1">
      <c r="A161" s="668" t="s">
        <v>1968</v>
      </c>
      <c r="B161" s="708">
        <f t="shared" ref="B161:M161" si="74">B160/B136</f>
        <v>-2.6386973351315623E-2</v>
      </c>
      <c r="C161" s="708">
        <f t="shared" si="74"/>
        <v>-2.2412714199462291E-2</v>
      </c>
      <c r="D161" s="708">
        <f t="shared" si="74"/>
        <v>-2.3117068594837017E-2</v>
      </c>
      <c r="E161" s="709">
        <f t="shared" si="74"/>
        <v>2.0113723557246173E-2</v>
      </c>
      <c r="F161" s="708">
        <f t="shared" si="74"/>
        <v>-0.38706484078534864</v>
      </c>
      <c r="G161" s="708">
        <f t="shared" si="74"/>
        <v>0.88748631886172935</v>
      </c>
      <c r="H161" s="708">
        <f t="shared" si="74"/>
        <v>-0.60378267678592945</v>
      </c>
      <c r="I161" s="709">
        <f t="shared" si="74"/>
        <v>-1.1813898379808223</v>
      </c>
      <c r="J161" s="708">
        <f t="shared" si="74"/>
        <v>-0.61653550956961101</v>
      </c>
      <c r="K161" s="708">
        <f t="shared" si="74"/>
        <v>-0.41888632194061298</v>
      </c>
      <c r="L161" s="708">
        <f t="shared" si="74"/>
        <v>-0.4863899541318894</v>
      </c>
      <c r="M161" s="709">
        <f t="shared" si="74"/>
        <v>-5.317133712195575E-3</v>
      </c>
      <c r="N161" s="708">
        <f t="shared" ref="N161:AB161" si="75">N160/N136</f>
        <v>-0.67754559984956764</v>
      </c>
      <c r="O161" s="708">
        <f t="shared" si="75"/>
        <v>-0.30775415463564315</v>
      </c>
      <c r="P161" s="708">
        <f t="shared" si="75"/>
        <v>-0.36203830174719703</v>
      </c>
      <c r="Q161" s="709">
        <f t="shared" si="75"/>
        <v>-0.29145755928048989</v>
      </c>
      <c r="R161" s="708">
        <f t="shared" si="75"/>
        <v>-0.20718891725794381</v>
      </c>
      <c r="S161" s="708">
        <f t="shared" si="75"/>
        <v>-0.21457451643558281</v>
      </c>
      <c r="T161" s="708">
        <f t="shared" si="75"/>
        <v>-0.16664888978121883</v>
      </c>
      <c r="U161" s="709">
        <f t="shared" si="75"/>
        <v>-0.12447417457961843</v>
      </c>
      <c r="V161" s="708">
        <f t="shared" si="75"/>
        <v>-0.13494319053728068</v>
      </c>
      <c r="W161" s="708">
        <f t="shared" si="75"/>
        <v>-0.1711085908704281</v>
      </c>
      <c r="X161" s="708">
        <f t="shared" si="75"/>
        <v>-0.16687145899242176</v>
      </c>
      <c r="Y161" s="709">
        <f t="shared" si="75"/>
        <v>-9.7371908557619069E-2</v>
      </c>
      <c r="Z161" s="708">
        <f t="shared" si="75"/>
        <v>-2.3099991981396846</v>
      </c>
      <c r="AA161" s="708">
        <f t="shared" si="75"/>
        <v>-3.6691818316318989</v>
      </c>
      <c r="AB161" s="708">
        <f t="shared" si="75"/>
        <v>-0.71260285838025095</v>
      </c>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708"/>
      <c r="BF161" s="708"/>
      <c r="BG161" s="708"/>
    </row>
    <row r="162" spans="1:59" s="2130" customFormat="1">
      <c r="A162" s="2151"/>
      <c r="B162" s="211"/>
      <c r="C162" s="211"/>
      <c r="D162" s="211"/>
      <c r="E162" s="446"/>
      <c r="F162" s="211"/>
      <c r="G162" s="211"/>
      <c r="H162" s="211"/>
      <c r="I162" s="446"/>
      <c r="J162" s="211"/>
      <c r="K162" s="211"/>
      <c r="L162" s="211"/>
      <c r="M162" s="2152"/>
      <c r="N162" s="2153"/>
      <c r="O162" s="2153"/>
      <c r="P162" s="2153"/>
      <c r="Q162" s="2152"/>
      <c r="R162" s="2153"/>
      <c r="S162" s="2153"/>
      <c r="T162" s="2153"/>
      <c r="U162" s="2152"/>
      <c r="V162" s="2153"/>
      <c r="W162" s="2153"/>
      <c r="X162" s="2153"/>
      <c r="Y162" s="2152"/>
      <c r="Z162" s="2153"/>
      <c r="AA162" s="2153"/>
      <c r="AB162" s="2153"/>
      <c r="AC162" s="2153"/>
      <c r="AD162" s="2153"/>
      <c r="AE162" s="2153"/>
      <c r="AF162" s="2153"/>
      <c r="AG162" s="2153"/>
      <c r="AH162" s="2153"/>
      <c r="AI162" s="2153"/>
      <c r="AJ162" s="2153"/>
      <c r="AK162" s="2153"/>
      <c r="AL162" s="2153"/>
      <c r="AM162" s="2153"/>
      <c r="AN162" s="2153"/>
      <c r="AO162" s="2153"/>
      <c r="AP162" s="2153"/>
      <c r="AQ162" s="2153"/>
      <c r="AR162" s="2153"/>
      <c r="AS162" s="2153"/>
      <c r="AT162" s="2153"/>
      <c r="AU162" s="2153"/>
      <c r="AV162" s="2153"/>
      <c r="AW162" s="2153"/>
      <c r="AX162" s="2153"/>
      <c r="AY162" s="2153"/>
      <c r="AZ162" s="2153"/>
      <c r="BA162" s="2153"/>
      <c r="BB162" s="2153"/>
      <c r="BC162" s="2153"/>
      <c r="BD162" s="2153"/>
      <c r="BE162" s="2153"/>
      <c r="BF162" s="2153"/>
      <c r="BG162" s="2153"/>
    </row>
    <row r="163" spans="1:59" s="2130" customFormat="1">
      <c r="A163" s="2139" t="s">
        <v>1446</v>
      </c>
      <c r="B163" s="2154">
        <v>-1.3448</v>
      </c>
      <c r="C163" s="2154">
        <v>0.26700000000000002</v>
      </c>
      <c r="D163" s="2154">
        <v>-0.32100000000000001</v>
      </c>
      <c r="E163" s="2155">
        <v>1.466</v>
      </c>
      <c r="F163" s="2154">
        <v>-0.9617</v>
      </c>
      <c r="G163" s="2154">
        <v>1.5936999999999999</v>
      </c>
      <c r="H163" s="2154">
        <v>-5.7240000000000002</v>
      </c>
      <c r="I163" s="2155">
        <v>-13.472</v>
      </c>
      <c r="J163" s="2154">
        <v>-29.338999999999999</v>
      </c>
      <c r="K163" s="2154">
        <v>-24.257000000000001</v>
      </c>
      <c r="L163" s="2154">
        <v>-24.998000000000001</v>
      </c>
      <c r="M163" s="2155">
        <v>1.3220000000000001</v>
      </c>
      <c r="N163" s="2154">
        <v>-35.779000000000003</v>
      </c>
      <c r="O163" s="2154">
        <v>-52.328000000000003</v>
      </c>
      <c r="P163" s="2154">
        <v>-45.021999999999998</v>
      </c>
      <c r="Q163" s="2155">
        <v>-33.911000000000001</v>
      </c>
      <c r="R163" s="2154">
        <v>-23.545999999999999</v>
      </c>
      <c r="S163" s="2154">
        <v>-32.790999999999997</v>
      </c>
      <c r="T163" s="2154">
        <v>-25.373999999999999</v>
      </c>
      <c r="U163" s="2155">
        <v>-22.196999999999999</v>
      </c>
      <c r="V163" s="2154">
        <v>-18.427</v>
      </c>
      <c r="W163" s="2154">
        <v>-29.178999999999998</v>
      </c>
      <c r="X163" s="2154">
        <v>-19.337</v>
      </c>
      <c r="Y163" s="2155">
        <v>-11.028</v>
      </c>
      <c r="Z163" s="2154">
        <v>-10.315</v>
      </c>
      <c r="AA163" s="2154">
        <v>-21.327999999999999</v>
      </c>
      <c r="AB163" s="2154">
        <v>-21.327999999999999</v>
      </c>
      <c r="AC163" s="2682"/>
      <c r="AD163" s="1715">
        <v>1000</v>
      </c>
      <c r="AE163" s="2682"/>
      <c r="AF163" s="2682"/>
      <c r="AG163" s="2682"/>
      <c r="AH163" s="2682"/>
      <c r="AI163" s="2682"/>
      <c r="AJ163" s="2682"/>
      <c r="AK163" s="2682"/>
      <c r="AL163" s="2682"/>
      <c r="AM163" s="2682"/>
      <c r="AN163" s="2682"/>
      <c r="AO163" s="2682"/>
      <c r="AP163" s="2682"/>
      <c r="AQ163" s="2682"/>
      <c r="AR163" s="2682"/>
      <c r="AS163" s="2682"/>
      <c r="AT163" s="2682"/>
      <c r="AU163" s="2682"/>
      <c r="AV163" s="2682"/>
      <c r="AW163" s="2682"/>
      <c r="AX163" s="2682"/>
      <c r="AY163" s="2682"/>
      <c r="AZ163" s="2682"/>
      <c r="BA163" s="2682"/>
      <c r="BB163" s="2682"/>
      <c r="BC163" s="2682"/>
      <c r="BD163" s="2682"/>
      <c r="BE163" s="2154"/>
      <c r="BF163" s="2154"/>
      <c r="BG163" s="2154">
        <f>U163-Q163</f>
        <v>11.714000000000002</v>
      </c>
    </row>
    <row r="164" spans="1:59" s="2211" customFormat="1">
      <c r="A164" s="731" t="s">
        <v>1233</v>
      </c>
      <c r="B164" s="708">
        <f t="shared" ref="B164:L164" si="76">B163/B136</f>
        <v>-4.7140189307400611E-2</v>
      </c>
      <c r="C164" s="708">
        <f t="shared" si="76"/>
        <v>7.5311729209484929E-3</v>
      </c>
      <c r="D164" s="708">
        <f t="shared" si="76"/>
        <v>-1.0015858130018696E-2</v>
      </c>
      <c r="E164" s="709">
        <f t="shared" si="76"/>
        <v>4.1790218859595094E-2</v>
      </c>
      <c r="F164" s="708">
        <f t="shared" si="76"/>
        <v>-2.6445031072980251E-2</v>
      </c>
      <c r="G164" s="708">
        <f t="shared" si="76"/>
        <v>3.876200899914873E-2</v>
      </c>
      <c r="H164" s="708">
        <f t="shared" si="76"/>
        <v>-0.17238886881098664</v>
      </c>
      <c r="I164" s="709">
        <f t="shared" si="76"/>
        <v>-0.37121128623388072</v>
      </c>
      <c r="J164" s="708">
        <f t="shared" si="76"/>
        <v>-0.57007675119012935</v>
      </c>
      <c r="K164" s="708">
        <f t="shared" si="76"/>
        <v>-0.4120574845416865</v>
      </c>
      <c r="L164" s="708">
        <f t="shared" si="76"/>
        <v>-0.46992255056771187</v>
      </c>
      <c r="M164" s="709">
        <f>M163/M136</f>
        <v>1.727088640668888E-2</v>
      </c>
      <c r="N164" s="708">
        <f t="shared" ref="N164:AB164" si="77">N163/N136</f>
        <v>-0.42049407672057171</v>
      </c>
      <c r="O164" s="708">
        <f t="shared" si="77"/>
        <v>-0.36584564401222092</v>
      </c>
      <c r="P164" s="708">
        <f t="shared" si="77"/>
        <v>-0.32028626714472713</v>
      </c>
      <c r="Q164" s="709">
        <f t="shared" si="77"/>
        <v>-0.26303705369955249</v>
      </c>
      <c r="R164" s="708">
        <f t="shared" si="77"/>
        <v>-0.16204312249237821</v>
      </c>
      <c r="S164" s="708">
        <f t="shared" si="77"/>
        <v>-0.19354971992515593</v>
      </c>
      <c r="T164" s="708">
        <f t="shared" si="77"/>
        <v>-0.15920142047771715</v>
      </c>
      <c r="U164" s="709">
        <f t="shared" si="77"/>
        <v>-0.12383816293056316</v>
      </c>
      <c r="V164" s="708">
        <f t="shared" si="77"/>
        <v>-0.11310945105669896</v>
      </c>
      <c r="W164" s="708">
        <f t="shared" si="77"/>
        <v>-0.14773279598201627</v>
      </c>
      <c r="X164" s="708">
        <f t="shared" si="77"/>
        <v>-0.10751319103510013</v>
      </c>
      <c r="Y164" s="709">
        <f t="shared" si="77"/>
        <v>-5.3731168755237674E-2</v>
      </c>
      <c r="Z164" s="708">
        <f t="shared" si="77"/>
        <v>-7.5192628716804807E-2</v>
      </c>
      <c r="AA164" s="708">
        <f t="shared" si="77"/>
        <v>-3.1554963752034326</v>
      </c>
      <c r="AB164" s="708">
        <f t="shared" si="77"/>
        <v>-0.92368990905153747</v>
      </c>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708"/>
      <c r="BF164" s="708"/>
      <c r="BG164" s="708"/>
    </row>
    <row r="165" spans="1:59">
      <c r="A165" s="696"/>
      <c r="B165" s="27"/>
      <c r="C165" s="27"/>
      <c r="D165" s="27"/>
      <c r="E165" s="97"/>
      <c r="F165" s="27"/>
      <c r="G165" s="27"/>
      <c r="H165" s="27"/>
      <c r="I165" s="97"/>
      <c r="J165" s="27"/>
      <c r="K165" s="27"/>
      <c r="L165" s="27"/>
      <c r="M165" s="97"/>
      <c r="N165" s="27"/>
      <c r="O165" s="27"/>
      <c r="P165" s="27"/>
      <c r="Q165" s="97"/>
      <c r="R165" s="27"/>
      <c r="S165" s="27"/>
      <c r="T165" s="27"/>
      <c r="U165" s="97"/>
      <c r="V165" s="27"/>
      <c r="W165" s="27"/>
      <c r="X165" s="27"/>
      <c r="Y165" s="9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row>
    <row r="166" spans="1:59" s="2105" customFormat="1">
      <c r="A166" s="2127" t="s">
        <v>1868</v>
      </c>
      <c r="B166" s="2130">
        <v>-2.7070500000000002</v>
      </c>
      <c r="C166" s="2130">
        <v>-3.9717570000000002</v>
      </c>
      <c r="D166" s="2130">
        <v>-4.7449719999999997</v>
      </c>
      <c r="E166" s="2131">
        <v>-3.6108370000000001</v>
      </c>
      <c r="F166" s="2130">
        <v>-5.9480000000000004</v>
      </c>
      <c r="G166" s="2130">
        <v>-6.9119999999999999</v>
      </c>
      <c r="H166" s="2130">
        <v>-12.218</v>
      </c>
      <c r="I166" s="2131">
        <v>-19.47</v>
      </c>
      <c r="J166" s="2130">
        <v>-49.918999999999997</v>
      </c>
      <c r="K166" s="2130">
        <v>-14.314</v>
      </c>
      <c r="L166" s="2130">
        <v>-39.412999999999997</v>
      </c>
      <c r="M166" s="2131">
        <v>16.556000000000001</v>
      </c>
      <c r="N166" s="2130">
        <v>-73.097999999999999</v>
      </c>
      <c r="O166" s="2130">
        <v>-66.805000000000007</v>
      </c>
      <c r="P166" s="2130">
        <v>-72.123000000000005</v>
      </c>
      <c r="Q166" s="2131">
        <v>-17.07</v>
      </c>
      <c r="R166" s="2130">
        <v>-63.781999999999996</v>
      </c>
      <c r="S166" s="2130">
        <v>-107.012</v>
      </c>
      <c r="T166" s="2130">
        <v>-106.589</v>
      </c>
      <c r="U166" s="2131">
        <v>12.02</v>
      </c>
      <c r="V166" s="2130">
        <v>-40.314</v>
      </c>
      <c r="W166" s="2130">
        <v>-35.375999999999998</v>
      </c>
      <c r="X166" s="2130">
        <v>-59.432000000000002</v>
      </c>
      <c r="Y166" s="2131">
        <v>-39.994</v>
      </c>
      <c r="Z166" s="2130">
        <v>-388.29199999999997</v>
      </c>
      <c r="AA166" s="2130">
        <v>-38.755000000000003</v>
      </c>
      <c r="AB166" s="2130">
        <v>-5.6319999999999997</v>
      </c>
      <c r="AC166" s="2130"/>
      <c r="AD166" s="2130"/>
      <c r="AE166" s="2130"/>
      <c r="AF166" s="2130"/>
      <c r="AG166" s="2130"/>
      <c r="AH166" s="2130"/>
      <c r="AI166" s="2130"/>
      <c r="AJ166" s="2130"/>
      <c r="AK166" s="2130"/>
      <c r="AL166" s="2130"/>
      <c r="AM166" s="2130"/>
      <c r="AN166" s="2130"/>
      <c r="AO166" s="2130"/>
      <c r="AP166" s="2130"/>
      <c r="AQ166" s="2130"/>
      <c r="AR166" s="2130"/>
      <c r="AS166" s="2130"/>
      <c r="AT166" s="2130"/>
      <c r="AU166" s="2130"/>
      <c r="AV166" s="2130"/>
      <c r="AW166" s="2130"/>
      <c r="AX166" s="2130"/>
      <c r="AY166" s="2130"/>
      <c r="AZ166" s="2130"/>
      <c r="BA166" s="2130"/>
      <c r="BB166" s="2130"/>
      <c r="BC166" s="2130"/>
      <c r="BD166" s="2130"/>
      <c r="BE166" s="2130"/>
      <c r="BF166" s="2130"/>
      <c r="BG166" s="2130"/>
    </row>
    <row r="167" spans="1:59" s="2105" customFormat="1">
      <c r="A167" s="70" t="s">
        <v>1320</v>
      </c>
      <c r="B167" s="211">
        <f t="shared" ref="B167:M167" si="78">B166/B136</f>
        <v>-9.4892065336554754E-2</v>
      </c>
      <c r="C167" s="211">
        <f t="shared" si="78"/>
        <v>-0.11202992047560907</v>
      </c>
      <c r="D167" s="211">
        <f t="shared" si="78"/>
        <v>-0.14805285477542388</v>
      </c>
      <c r="E167" s="446">
        <f t="shared" si="78"/>
        <v>-0.10293156104796984</v>
      </c>
      <c r="F167" s="211">
        <f t="shared" si="78"/>
        <v>-0.16355936864103832</v>
      </c>
      <c r="G167" s="211">
        <f t="shared" si="78"/>
        <v>-0.16811382707041228</v>
      </c>
      <c r="H167" s="211">
        <f t="shared" si="78"/>
        <v>-0.3679677147331647</v>
      </c>
      <c r="I167" s="446">
        <f t="shared" si="78"/>
        <v>-0.53648186928248642</v>
      </c>
      <c r="J167" s="211">
        <f t="shared" si="78"/>
        <v>-0.96996016710385724</v>
      </c>
      <c r="K167" s="2153">
        <f t="shared" si="78"/>
        <v>-0.24315417544336482</v>
      </c>
      <c r="L167" s="2153">
        <f t="shared" si="78"/>
        <v>-0.74090157154673275</v>
      </c>
      <c r="M167" s="2152">
        <f t="shared" si="78"/>
        <v>0.21629107061205832</v>
      </c>
      <c r="N167" s="2153">
        <f t="shared" ref="N167:AB167" si="79">N166/N136</f>
        <v>-0.85908706280556602</v>
      </c>
      <c r="O167" s="2153">
        <f t="shared" si="79"/>
        <v>-0.46706004907958304</v>
      </c>
      <c r="P167" s="2153">
        <f t="shared" si="79"/>
        <v>-0.51308263616185767</v>
      </c>
      <c r="Q167" s="2152">
        <f t="shared" si="79"/>
        <v>-0.13240666764918052</v>
      </c>
      <c r="R167" s="2153">
        <f t="shared" si="79"/>
        <v>-0.43894650636239135</v>
      </c>
      <c r="S167" s="2153">
        <f t="shared" si="79"/>
        <v>-0.63164107921779722</v>
      </c>
      <c r="T167" s="2153">
        <f t="shared" si="79"/>
        <v>-0.66876015635293584</v>
      </c>
      <c r="U167" s="2152">
        <f t="shared" si="79"/>
        <v>6.7060175628479934E-2</v>
      </c>
      <c r="V167" s="2153">
        <f t="shared" si="79"/>
        <v>-0.24745723177401432</v>
      </c>
      <c r="W167" s="2153">
        <f t="shared" si="79"/>
        <v>-0.17910810482401068</v>
      </c>
      <c r="X167" s="2153">
        <f t="shared" si="79"/>
        <v>-0.33044029423375243</v>
      </c>
      <c r="Y167" s="2152">
        <f t="shared" si="79"/>
        <v>-0.19486075110600065</v>
      </c>
      <c r="Z167" s="2153">
        <f t="shared" si="79"/>
        <v>-2.8305085981294789</v>
      </c>
      <c r="AA167" s="2153">
        <f t="shared" si="79"/>
        <v>-5.7338363663263801</v>
      </c>
      <c r="AB167" s="2153">
        <f t="shared" si="79"/>
        <v>-0.24391511476829794</v>
      </c>
      <c r="AC167" s="2153"/>
      <c r="AD167" s="2153"/>
      <c r="AE167" s="2153"/>
      <c r="AF167" s="2153"/>
      <c r="AG167" s="2153"/>
      <c r="AH167" s="2153"/>
      <c r="AI167" s="2153"/>
      <c r="AJ167" s="2153"/>
      <c r="AK167" s="2153"/>
      <c r="AL167" s="2153"/>
      <c r="AM167" s="2153"/>
      <c r="AN167" s="2153"/>
      <c r="AO167" s="2153"/>
      <c r="AP167" s="2153"/>
      <c r="AQ167" s="2153"/>
      <c r="AR167" s="2153"/>
      <c r="AS167" s="2153"/>
      <c r="AT167" s="2153"/>
      <c r="AU167" s="2153"/>
      <c r="AV167" s="2153"/>
      <c r="AW167" s="2153"/>
      <c r="AX167" s="2153"/>
      <c r="AY167" s="2153"/>
      <c r="AZ167" s="2153"/>
      <c r="BA167" s="2153"/>
      <c r="BB167" s="2153"/>
      <c r="BC167" s="2153"/>
      <c r="BD167" s="2153"/>
      <c r="BE167" s="2153"/>
      <c r="BF167" s="2153"/>
      <c r="BG167" s="2153"/>
    </row>
    <row r="168" spans="1:59">
      <c r="A168" s="2151" t="s">
        <v>1234</v>
      </c>
      <c r="B168" s="2"/>
      <c r="C168" s="2"/>
      <c r="D168" s="2"/>
      <c r="E168" s="480"/>
      <c r="F168" s="2"/>
      <c r="G168" s="2"/>
      <c r="H168" s="2"/>
      <c r="I168" s="480"/>
      <c r="J168" s="2153"/>
      <c r="K168" s="2153"/>
      <c r="L168" s="2153"/>
      <c r="M168" s="2152"/>
      <c r="N168" s="2153"/>
      <c r="O168" s="2153"/>
      <c r="P168" s="2153"/>
      <c r="Q168" s="2152"/>
      <c r="R168" s="2153"/>
      <c r="S168" s="2153"/>
      <c r="T168" s="2153"/>
      <c r="U168" s="2152"/>
      <c r="V168" s="2153"/>
      <c r="W168" s="2153"/>
      <c r="X168" s="2153"/>
      <c r="Y168" s="2152"/>
      <c r="Z168" s="2153"/>
      <c r="AA168" s="2153"/>
      <c r="AB168" s="2153"/>
      <c r="AC168" s="2153"/>
      <c r="AD168" s="2153"/>
      <c r="AE168" s="2153"/>
      <c r="AF168" s="2153"/>
      <c r="AG168" s="2153"/>
      <c r="AH168" s="2153"/>
      <c r="AI168" s="2153"/>
      <c r="AJ168" s="2153"/>
      <c r="AK168" s="2153"/>
      <c r="AL168" s="2153"/>
      <c r="AM168" s="2153"/>
      <c r="AN168" s="2153"/>
      <c r="AO168" s="2153"/>
      <c r="AP168" s="2153"/>
      <c r="AQ168" s="2153"/>
      <c r="AR168" s="2153"/>
      <c r="AS168" s="2153"/>
      <c r="AT168" s="2153"/>
      <c r="AU168" s="2153"/>
      <c r="AV168" s="2153"/>
      <c r="AW168" s="2153"/>
      <c r="AX168" s="2153"/>
      <c r="AY168" s="2153"/>
      <c r="AZ168" s="2153"/>
      <c r="BA168" s="2153"/>
      <c r="BB168" s="2153"/>
      <c r="BC168" s="2153"/>
      <c r="BD168" s="2153"/>
      <c r="BE168" s="2153"/>
      <c r="BF168" s="2153"/>
      <c r="BG168" s="2153"/>
    </row>
    <row r="169" spans="1:59">
      <c r="A169" s="2156"/>
      <c r="B169" s="10"/>
      <c r="C169" s="10"/>
      <c r="D169" s="10"/>
      <c r="E169" s="101"/>
      <c r="F169" s="10"/>
      <c r="G169" s="10"/>
      <c r="H169" s="10"/>
      <c r="I169" s="101"/>
    </row>
    <row r="170" spans="1:59" s="2218" customFormat="1" ht="21.75" customHeight="1">
      <c r="A170" s="2133" t="s">
        <v>1235</v>
      </c>
      <c r="B170" s="2133">
        <f t="shared" ref="B170:M170" si="80">B166+B150</f>
        <v>-0.64551500000000006</v>
      </c>
      <c r="C170" s="2133">
        <f t="shared" si="80"/>
        <v>-1.4043530000000004</v>
      </c>
      <c r="D170" s="2133">
        <f t="shared" si="80"/>
        <v>-2.2016909999999998</v>
      </c>
      <c r="E170" s="2134">
        <f t="shared" si="80"/>
        <v>6.1610000000000831E-3</v>
      </c>
      <c r="F170" s="2133">
        <f t="shared" si="80"/>
        <v>-2.3680000000000003</v>
      </c>
      <c r="G170" s="2133">
        <f t="shared" si="80"/>
        <v>-2.9969999999999999</v>
      </c>
      <c r="H170" s="2133">
        <f t="shared" si="80"/>
        <v>-8.3550000000000004</v>
      </c>
      <c r="I170" s="2134">
        <f t="shared" si="80"/>
        <v>-16.331</v>
      </c>
      <c r="J170" s="2133">
        <f t="shared" si="80"/>
        <v>-47.15</v>
      </c>
      <c r="K170" s="2133">
        <f t="shared" si="80"/>
        <v>-11.161</v>
      </c>
      <c r="L170" s="2133">
        <f t="shared" si="80"/>
        <v>-36.172999999999995</v>
      </c>
      <c r="M170" s="2134">
        <f t="shared" si="80"/>
        <v>19.294</v>
      </c>
      <c r="N170" s="2133">
        <f t="shared" ref="N170:AB170" si="81">N166+N150</f>
        <v>-55.433</v>
      </c>
      <c r="O170" s="2133">
        <f t="shared" si="81"/>
        <v>-54.816000000000003</v>
      </c>
      <c r="P170" s="2133">
        <f t="shared" si="81"/>
        <v>-61.431000000000004</v>
      </c>
      <c r="Q170" s="2134">
        <f t="shared" si="81"/>
        <v>-6.4770000000000003</v>
      </c>
      <c r="R170" s="2133">
        <f t="shared" si="81"/>
        <v>-52.195999999999998</v>
      </c>
      <c r="S170" s="2133">
        <f t="shared" si="81"/>
        <v>-97.822000000000003</v>
      </c>
      <c r="T170" s="2133">
        <f t="shared" si="81"/>
        <v>-93.234999999999999</v>
      </c>
      <c r="U170" s="2134">
        <f t="shared" si="81"/>
        <v>26.288</v>
      </c>
      <c r="V170" s="2133">
        <f t="shared" si="81"/>
        <v>-31.317</v>
      </c>
      <c r="W170" s="2133">
        <f t="shared" si="81"/>
        <v>-26.273999999999997</v>
      </c>
      <c r="X170" s="2133">
        <f t="shared" si="81"/>
        <v>-57.565000000000005</v>
      </c>
      <c r="Y170" s="2134">
        <f t="shared" si="81"/>
        <v>-35.604999999999997</v>
      </c>
      <c r="Z170" s="2133">
        <f t="shared" si="81"/>
        <v>-374.92199999999997</v>
      </c>
      <c r="AA170" s="2133">
        <f t="shared" si="81"/>
        <v>-28.968000000000004</v>
      </c>
      <c r="AB170" s="2133">
        <f t="shared" si="81"/>
        <v>3.984</v>
      </c>
      <c r="AC170" s="2133"/>
      <c r="AD170" s="2133"/>
      <c r="AE170" s="2133"/>
      <c r="AF170" s="2133"/>
      <c r="AG170" s="2133"/>
      <c r="AH170" s="2133"/>
      <c r="AI170" s="2133"/>
      <c r="AJ170" s="2133"/>
      <c r="AK170" s="2133"/>
      <c r="AL170" s="2133"/>
      <c r="AM170" s="2133"/>
      <c r="AN170" s="2133"/>
      <c r="AO170" s="2133"/>
      <c r="AP170" s="2133"/>
      <c r="AQ170" s="2133"/>
      <c r="AR170" s="2133"/>
      <c r="AS170" s="2133"/>
      <c r="AT170" s="2133"/>
      <c r="AU170" s="2133"/>
      <c r="AV170" s="2133"/>
      <c r="AW170" s="2133"/>
      <c r="AX170" s="2133"/>
      <c r="AY170" s="2133"/>
      <c r="AZ170" s="2133"/>
      <c r="BA170" s="2133"/>
      <c r="BB170" s="2133"/>
      <c r="BC170" s="2133"/>
      <c r="BD170" s="2133"/>
      <c r="BE170" s="2133"/>
      <c r="BF170" s="2133"/>
      <c r="BG170" s="2133"/>
    </row>
    <row r="171" spans="1:59" s="2123" customFormat="1">
      <c r="A171" s="2157" t="s">
        <v>1321</v>
      </c>
      <c r="B171" s="2">
        <f t="shared" ref="B171:M171" si="82">B170/B136</f>
        <v>-2.2627676458035921E-2</v>
      </c>
      <c r="C171" s="2">
        <f t="shared" si="82"/>
        <v>-3.9612079719298809E-2</v>
      </c>
      <c r="D171" s="2">
        <f t="shared" si="82"/>
        <v>-6.8697273215386254E-2</v>
      </c>
      <c r="E171" s="480">
        <f t="shared" si="82"/>
        <v>1.7562724310639076E-4</v>
      </c>
      <c r="F171" s="2">
        <f t="shared" si="82"/>
        <v>-6.511576747511412E-2</v>
      </c>
      <c r="G171" s="2">
        <f t="shared" si="82"/>
        <v>-7.2893104706311565E-2</v>
      </c>
      <c r="H171" s="2">
        <f t="shared" si="82"/>
        <v>-0.25162631008312253</v>
      </c>
      <c r="I171" s="480">
        <f t="shared" si="82"/>
        <v>-0.44998897828722578</v>
      </c>
      <c r="J171" s="2">
        <f t="shared" si="82"/>
        <v>-0.91615661128922599</v>
      </c>
      <c r="K171" s="2153">
        <f t="shared" si="82"/>
        <v>-0.18959366718760615</v>
      </c>
      <c r="L171" s="2153">
        <f t="shared" si="82"/>
        <v>-0.67999473644634922</v>
      </c>
      <c r="M171" s="2152">
        <f t="shared" si="82"/>
        <v>0.2520608792213731</v>
      </c>
      <c r="N171" s="2153">
        <f t="shared" ref="N171:AB171" si="83">N170/N136</f>
        <v>-0.65147846934937947</v>
      </c>
      <c r="O171" s="2153">
        <f t="shared" si="83"/>
        <v>-0.3832402312753001</v>
      </c>
      <c r="P171" s="2153">
        <f t="shared" si="83"/>
        <v>-0.43701980536110646</v>
      </c>
      <c r="Q171" s="2152">
        <f t="shared" si="83"/>
        <v>-5.0240069499926314E-2</v>
      </c>
      <c r="R171" s="2153">
        <f t="shared" si="83"/>
        <v>-0.35921187554625728</v>
      </c>
      <c r="S171" s="2153">
        <f t="shared" si="83"/>
        <v>-0.57739686811986846</v>
      </c>
      <c r="T171" s="2153">
        <f t="shared" si="83"/>
        <v>-0.58497455813982657</v>
      </c>
      <c r="U171" s="2152">
        <f t="shared" si="83"/>
        <v>0.14666205465236942</v>
      </c>
      <c r="V171" s="2153">
        <f t="shared" si="83"/>
        <v>-0.19223143641084503</v>
      </c>
      <c r="W171" s="2153">
        <f t="shared" si="83"/>
        <v>-0.13302482887115719</v>
      </c>
      <c r="X171" s="2153">
        <f t="shared" si="83"/>
        <v>-0.32005982530565957</v>
      </c>
      <c r="Y171" s="2152">
        <f t="shared" si="83"/>
        <v>-0.17347644754536062</v>
      </c>
      <c r="Z171" s="2153">
        <f t="shared" si="83"/>
        <v>-2.7330461215474449</v>
      </c>
      <c r="AA171" s="2153">
        <f t="shared" si="83"/>
        <v>-4.28584110075455</v>
      </c>
      <c r="AB171" s="2153">
        <f t="shared" si="83"/>
        <v>0.1725422260718926</v>
      </c>
      <c r="AC171" s="2153"/>
      <c r="AD171" s="2153"/>
      <c r="AE171" s="2153"/>
      <c r="AF171" s="2153"/>
      <c r="AG171" s="2153"/>
      <c r="AH171" s="2153"/>
      <c r="AI171" s="2153"/>
      <c r="AJ171" s="2153"/>
      <c r="AK171" s="2153"/>
      <c r="AL171" s="2153"/>
      <c r="AM171" s="2153"/>
      <c r="AN171" s="2153"/>
      <c r="AO171" s="2153"/>
      <c r="AP171" s="2153"/>
      <c r="AQ171" s="2153"/>
      <c r="AR171" s="2153"/>
      <c r="AS171" s="2153"/>
      <c r="AT171" s="2153"/>
      <c r="AU171" s="2153"/>
      <c r="AV171" s="2153"/>
      <c r="AW171" s="2153"/>
      <c r="AX171" s="2153"/>
      <c r="AY171" s="2153"/>
      <c r="AZ171" s="2153"/>
      <c r="BA171" s="2153"/>
      <c r="BB171" s="2153"/>
      <c r="BC171" s="2153"/>
      <c r="BD171" s="2153"/>
      <c r="BE171" s="2153"/>
      <c r="BF171" s="2153"/>
      <c r="BG171" s="2153"/>
    </row>
    <row r="172" spans="1:59" s="2218" customFormat="1">
      <c r="A172" s="67"/>
      <c r="B172" s="10"/>
      <c r="C172" s="10"/>
      <c r="D172" s="10"/>
      <c r="E172" s="101"/>
      <c r="F172" s="10"/>
      <c r="G172" s="10"/>
      <c r="H172" s="10"/>
      <c r="I172" s="101"/>
      <c r="J172" s="2090"/>
      <c r="K172" s="2090"/>
      <c r="L172" s="2090"/>
      <c r="M172" s="2091"/>
      <c r="N172" s="2090"/>
      <c r="O172" s="2090"/>
      <c r="P172" s="2090"/>
      <c r="Q172" s="2091"/>
      <c r="R172" s="2090"/>
      <c r="S172" s="2090"/>
      <c r="T172" s="2090"/>
      <c r="U172" s="2091"/>
      <c r="V172" s="2090"/>
      <c r="W172" s="2090"/>
      <c r="X172" s="2090"/>
      <c r="Y172" s="2091"/>
      <c r="Z172" s="2090"/>
      <c r="AA172" s="2090"/>
      <c r="AB172" s="2090"/>
      <c r="AC172" s="2090"/>
      <c r="AD172" s="2090"/>
      <c r="AE172" s="2090"/>
      <c r="AF172" s="2090"/>
      <c r="AG172" s="2090"/>
      <c r="AH172" s="2090"/>
      <c r="AI172" s="2090"/>
      <c r="AJ172" s="2090"/>
      <c r="AK172" s="2090"/>
      <c r="AL172" s="2090"/>
      <c r="AM172" s="2090"/>
      <c r="AN172" s="2090"/>
      <c r="AO172" s="2090"/>
      <c r="AP172" s="2090"/>
      <c r="AQ172" s="2090"/>
      <c r="AR172" s="2090"/>
      <c r="AS172" s="2090"/>
      <c r="AT172" s="2090"/>
      <c r="AU172" s="2090"/>
      <c r="AV172" s="2090"/>
      <c r="AW172" s="2090"/>
      <c r="AX172" s="2090"/>
      <c r="AY172" s="2090"/>
      <c r="AZ172" s="2090"/>
      <c r="BA172" s="2090"/>
      <c r="BB172" s="2090"/>
      <c r="BC172" s="2090"/>
      <c r="BD172" s="2090"/>
      <c r="BE172" s="2090"/>
      <c r="BF172" s="2090"/>
      <c r="BG172" s="2090"/>
    </row>
    <row r="173" spans="1:59" s="2218" customFormat="1">
      <c r="A173" s="2149" t="s">
        <v>1236</v>
      </c>
      <c r="B173" s="2158">
        <f t="shared" ref="B173:M173" si="84">B160-B149</f>
        <v>0.90905800000000703</v>
      </c>
      <c r="C173" s="2158">
        <f t="shared" si="84"/>
        <v>1.240942000000004</v>
      </c>
      <c r="D173" s="2158">
        <f t="shared" si="84"/>
        <v>1.1785069999999958</v>
      </c>
      <c r="E173" s="2159">
        <f t="shared" si="84"/>
        <v>2.6259020000000008</v>
      </c>
      <c r="F173" s="2158">
        <f t="shared" si="84"/>
        <v>-11.996999999999991</v>
      </c>
      <c r="G173" s="2158">
        <f t="shared" si="84"/>
        <v>38.555999999999997</v>
      </c>
      <c r="H173" s="2158">
        <f t="shared" si="84"/>
        <v>-17.860000000000003</v>
      </c>
      <c r="I173" s="2159">
        <f t="shared" si="84"/>
        <v>-40.541000000000004</v>
      </c>
      <c r="J173" s="2160">
        <f t="shared" si="84"/>
        <v>-27.396000000000019</v>
      </c>
      <c r="K173" s="2160">
        <f t="shared" si="84"/>
        <v>-22.468000000000007</v>
      </c>
      <c r="L173" s="2160">
        <f t="shared" si="84"/>
        <v>-23.377999999999989</v>
      </c>
      <c r="M173" s="2161">
        <f t="shared" si="84"/>
        <v>2.9699999999999895</v>
      </c>
      <c r="N173" s="2160">
        <f t="shared" ref="N173:AB173" si="85">N160-N149</f>
        <v>-36.013000000000005</v>
      </c>
      <c r="O173" s="2160">
        <f t="shared" si="85"/>
        <v>-36.571999999999946</v>
      </c>
      <c r="P173" s="2160">
        <f t="shared" si="85"/>
        <v>-43.183999999999983</v>
      </c>
      <c r="Q173" s="2161">
        <f t="shared" si="85"/>
        <v>-30.64400000000003</v>
      </c>
      <c r="R173" s="2160">
        <f t="shared" si="85"/>
        <v>-19.479000000000035</v>
      </c>
      <c r="S173" s="2160">
        <f t="shared" si="85"/>
        <v>-29.635000000000009</v>
      </c>
      <c r="T173" s="2160">
        <f t="shared" si="85"/>
        <v>-19.951000000000008</v>
      </c>
      <c r="U173" s="2161">
        <f t="shared" si="85"/>
        <v>-15.724999999999964</v>
      </c>
      <c r="V173" s="2160">
        <f t="shared" si="85"/>
        <v>-15.08100000000001</v>
      </c>
      <c r="W173" s="2160">
        <f t="shared" si="85"/>
        <v>-25.623999999999992</v>
      </c>
      <c r="X173" s="2160">
        <f t="shared" si="85"/>
        <v>-21.465999999999994</v>
      </c>
      <c r="Y173" s="2161">
        <f t="shared" si="85"/>
        <v>-11.492999999999967</v>
      </c>
      <c r="Z173" s="2160">
        <f t="shared" si="85"/>
        <v>-308.41700000000003</v>
      </c>
      <c r="AA173" s="2160">
        <f t="shared" si="85"/>
        <v>-16.317000000000004</v>
      </c>
      <c r="AB173" s="2160">
        <f t="shared" si="85"/>
        <v>-7.5839999999999943</v>
      </c>
      <c r="AC173" s="2160"/>
      <c r="AD173" s="2160"/>
      <c r="AE173" s="2160"/>
      <c r="AF173" s="2160"/>
      <c r="AG173" s="2160"/>
      <c r="AH173" s="2160"/>
      <c r="AI173" s="2160"/>
      <c r="AJ173" s="2160"/>
      <c r="AK173" s="2160"/>
      <c r="AL173" s="2160"/>
      <c r="AM173" s="2160"/>
      <c r="AN173" s="2160"/>
      <c r="AO173" s="2160"/>
      <c r="AP173" s="2160"/>
      <c r="AQ173" s="2160"/>
      <c r="AR173" s="2160"/>
      <c r="AS173" s="2160"/>
      <c r="AT173" s="2160"/>
      <c r="AU173" s="2160"/>
      <c r="AV173" s="2160"/>
      <c r="AW173" s="2160"/>
      <c r="AX173" s="2160"/>
      <c r="AY173" s="2160"/>
      <c r="AZ173" s="2160"/>
      <c r="BA173" s="2160"/>
      <c r="BB173" s="2160"/>
      <c r="BC173" s="2160"/>
      <c r="BD173" s="2160"/>
      <c r="BE173" s="2160"/>
      <c r="BF173" s="2160"/>
      <c r="BG173" s="2160"/>
    </row>
    <row r="174" spans="1:59" s="2218" customFormat="1">
      <c r="A174" s="70" t="s">
        <v>1237</v>
      </c>
      <c r="B174" s="2">
        <f t="shared" ref="B174:M174" si="86">B173/B136</f>
        <v>3.1865828533170222E-2</v>
      </c>
      <c r="C174" s="2">
        <f t="shared" si="86"/>
        <v>3.5002804445197357E-2</v>
      </c>
      <c r="D174" s="2">
        <f t="shared" si="86"/>
        <v>3.6771834633127415E-2</v>
      </c>
      <c r="E174" s="480">
        <f t="shared" si="86"/>
        <v>7.485471983891441E-2</v>
      </c>
      <c r="F174" s="2">
        <f t="shared" si="86"/>
        <v>-0.32989605675631051</v>
      </c>
      <c r="G174" s="2">
        <f t="shared" si="86"/>
        <v>0.93775994162714338</v>
      </c>
      <c r="H174" s="2">
        <f t="shared" si="86"/>
        <v>-0.53788700156607649</v>
      </c>
      <c r="I174" s="480">
        <f t="shared" si="86"/>
        <v>-1.1170781439435689</v>
      </c>
      <c r="J174" s="211">
        <f t="shared" si="86"/>
        <v>-0.53232293791897456</v>
      </c>
      <c r="K174" s="211">
        <f t="shared" si="86"/>
        <v>-0.38166745940069319</v>
      </c>
      <c r="L174" s="211">
        <f t="shared" si="86"/>
        <v>-0.43946913301751994</v>
      </c>
      <c r="M174" s="446">
        <f t="shared" si="86"/>
        <v>3.8800705467372007E-2</v>
      </c>
      <c r="N174" s="211">
        <f t="shared" ref="N174:AB174" si="87">N173/N136</f>
        <v>-0.42324417074088011</v>
      </c>
      <c r="O174" s="211">
        <f t="shared" si="87"/>
        <v>-0.25568924653751191</v>
      </c>
      <c r="P174" s="211">
        <f t="shared" si="87"/>
        <v>-0.30721074497751971</v>
      </c>
      <c r="Q174" s="446">
        <f t="shared" si="87"/>
        <v>-0.23769595333576402</v>
      </c>
      <c r="R174" s="211">
        <f t="shared" si="87"/>
        <v>-0.13405410613390983</v>
      </c>
      <c r="S174" s="211">
        <f t="shared" si="87"/>
        <v>-0.17492134884517088</v>
      </c>
      <c r="T174" s="211">
        <f t="shared" si="87"/>
        <v>-0.12517646173054844</v>
      </c>
      <c r="U174" s="446">
        <f t="shared" si="87"/>
        <v>-8.7730554222782406E-2</v>
      </c>
      <c r="V174" s="211">
        <f t="shared" si="87"/>
        <v>-9.2570881390680967E-2</v>
      </c>
      <c r="W174" s="211">
        <f t="shared" si="87"/>
        <v>-0.12973388958645546</v>
      </c>
      <c r="X174" s="211">
        <f t="shared" si="87"/>
        <v>-0.11935037279616582</v>
      </c>
      <c r="Y174" s="446">
        <f t="shared" si="87"/>
        <v>-5.5996764826255416E-2</v>
      </c>
      <c r="Z174" s="211">
        <f t="shared" si="87"/>
        <v>-2.2482486641736106</v>
      </c>
      <c r="AA174" s="211">
        <f t="shared" si="87"/>
        <v>-2.4141145139813589</v>
      </c>
      <c r="AB174" s="211">
        <f t="shared" si="87"/>
        <v>-0.32845387613685556</v>
      </c>
      <c r="AC174" s="211"/>
      <c r="AD174" s="211"/>
      <c r="AE174" s="211"/>
      <c r="AF174" s="211"/>
      <c r="AG174" s="211"/>
      <c r="AH174" s="211"/>
      <c r="AI174" s="211"/>
      <c r="AJ174" s="211"/>
      <c r="AK174" s="211"/>
      <c r="AL174" s="211"/>
      <c r="AM174" s="211"/>
      <c r="AN174" s="211"/>
      <c r="AO174" s="211"/>
      <c r="AP174" s="211"/>
      <c r="AQ174" s="211"/>
      <c r="AR174" s="211"/>
      <c r="AS174" s="211"/>
      <c r="AT174" s="211"/>
      <c r="AU174" s="211"/>
      <c r="AV174" s="211"/>
      <c r="AW174" s="211"/>
      <c r="AX174" s="211"/>
      <c r="AY174" s="211"/>
      <c r="AZ174" s="211"/>
      <c r="BA174" s="211"/>
      <c r="BB174" s="211"/>
      <c r="BC174" s="211"/>
      <c r="BD174" s="211"/>
      <c r="BE174" s="211"/>
      <c r="BF174" s="211"/>
      <c r="BG174" s="211"/>
    </row>
    <row r="175" spans="1:59" s="2170" customFormat="1">
      <c r="A175" s="67"/>
      <c r="B175" s="10"/>
      <c r="C175" s="10"/>
      <c r="D175" s="10"/>
      <c r="E175" s="101"/>
      <c r="F175" s="10"/>
      <c r="G175" s="10"/>
      <c r="H175" s="10"/>
      <c r="I175" s="101"/>
      <c r="J175" s="2090"/>
      <c r="K175" s="2090"/>
      <c r="L175" s="2090"/>
      <c r="M175" s="2091"/>
      <c r="N175" s="2090"/>
      <c r="O175" s="2090"/>
      <c r="P175" s="2090"/>
      <c r="Q175" s="2091"/>
      <c r="R175" s="2090"/>
      <c r="S175" s="2090"/>
      <c r="T175" s="2090"/>
      <c r="U175" s="2091"/>
      <c r="V175" s="2090"/>
      <c r="W175" s="2090"/>
      <c r="X175" s="2090"/>
      <c r="Y175" s="2091"/>
      <c r="Z175" s="2090"/>
      <c r="AA175" s="2090"/>
      <c r="AB175" s="2090"/>
      <c r="AC175" s="2090"/>
      <c r="AD175" s="2090"/>
      <c r="AE175" s="2090"/>
      <c r="AF175" s="2090"/>
      <c r="AG175" s="2090"/>
      <c r="AH175" s="2090"/>
      <c r="AI175" s="2090"/>
      <c r="AJ175" s="2090"/>
      <c r="AK175" s="2090"/>
      <c r="AL175" s="2090"/>
      <c r="AM175" s="2090"/>
      <c r="AN175" s="2090"/>
      <c r="AO175" s="2090"/>
      <c r="AP175" s="2090"/>
      <c r="AQ175" s="2090"/>
      <c r="AR175" s="2090"/>
      <c r="AS175" s="2090"/>
      <c r="AT175" s="2090"/>
      <c r="AU175" s="2090"/>
      <c r="AV175" s="2090"/>
      <c r="AW175" s="2090"/>
      <c r="AX175" s="2090"/>
      <c r="AY175" s="2090"/>
      <c r="AZ175" s="2090"/>
      <c r="BA175" s="2090"/>
      <c r="BB175" s="2090"/>
      <c r="BC175" s="2090"/>
      <c r="BD175" s="2090"/>
      <c r="BE175" s="2090"/>
      <c r="BF175" s="2090"/>
      <c r="BG175" s="2090"/>
    </row>
    <row r="176" spans="1:59" s="2170" customFormat="1">
      <c r="A176" s="2162" t="s">
        <v>86</v>
      </c>
      <c r="B176" s="2163">
        <v>38.309438999999998</v>
      </c>
      <c r="C176" s="2163">
        <v>41.686518999999997</v>
      </c>
      <c r="D176" s="2163">
        <v>41.788240000000002</v>
      </c>
      <c r="E176" s="2164">
        <v>41.839413999999998</v>
      </c>
      <c r="F176" s="2163">
        <v>41.922167999999999</v>
      </c>
      <c r="G176" s="2163">
        <v>41.932383999999999</v>
      </c>
      <c r="H176" s="2163">
        <v>41.764733999999997</v>
      </c>
      <c r="I176" s="2164">
        <v>41.509079999999997</v>
      </c>
      <c r="J176" s="2165">
        <v>41.655814999999997</v>
      </c>
      <c r="K176" s="2165">
        <v>41.678925</v>
      </c>
      <c r="L176" s="2165">
        <v>41.627668999999997</v>
      </c>
      <c r="M176" s="2166">
        <v>49.752167999999998</v>
      </c>
      <c r="N176" s="2165">
        <v>78.062498000000005</v>
      </c>
      <c r="O176" s="2165">
        <v>97.426641000000004</v>
      </c>
      <c r="P176" s="2165">
        <v>101.106251</v>
      </c>
      <c r="Q176" s="2166">
        <v>101.34475399999999</v>
      </c>
      <c r="R176" s="2165">
        <v>101.66574</v>
      </c>
      <c r="S176" s="2165">
        <v>102.50473100000001</v>
      </c>
      <c r="T176" s="2165">
        <v>104.74407100000001</v>
      </c>
      <c r="U176" s="2166"/>
      <c r="V176" s="2165">
        <v>104.38582599999999</v>
      </c>
      <c r="W176" s="2165">
        <v>104.59677499999999</v>
      </c>
      <c r="X176" s="2165">
        <v>105.120107</v>
      </c>
      <c r="Y176" s="2166">
        <v>105.278971</v>
      </c>
      <c r="Z176" s="2165">
        <v>105.776025</v>
      </c>
      <c r="AA176" s="2165">
        <v>106.05744900000001</v>
      </c>
      <c r="AB176" s="2165">
        <v>106.706846</v>
      </c>
      <c r="AC176" s="2165"/>
      <c r="AD176" s="2165"/>
      <c r="AE176" s="2165"/>
      <c r="AF176" s="2165"/>
      <c r="AG176" s="2165"/>
      <c r="AH176" s="2165"/>
      <c r="AI176" s="2165"/>
      <c r="AJ176" s="2165"/>
      <c r="AK176" s="2165"/>
      <c r="AL176" s="2165"/>
      <c r="AM176" s="2165"/>
      <c r="AN176" s="2165"/>
      <c r="AO176" s="2165"/>
      <c r="AP176" s="2165"/>
      <c r="AQ176" s="2165"/>
      <c r="AR176" s="2165"/>
      <c r="AS176" s="2165"/>
      <c r="AT176" s="2165"/>
      <c r="AU176" s="2165"/>
      <c r="AV176" s="2165"/>
      <c r="AW176" s="2165"/>
      <c r="AX176" s="2165"/>
      <c r="AY176" s="2165"/>
      <c r="AZ176" s="2165"/>
      <c r="BA176" s="2165"/>
      <c r="BB176" s="2165"/>
      <c r="BC176" s="2165"/>
      <c r="BD176" s="2165"/>
      <c r="BE176" s="2165"/>
      <c r="BF176" s="2165">
        <v>1000000</v>
      </c>
      <c r="BG176" s="2165"/>
    </row>
    <row r="177" spans="1:59" s="2170" customFormat="1">
      <c r="A177" s="2167" t="s">
        <v>1239</v>
      </c>
      <c r="B177" s="2168"/>
      <c r="C177" s="2168"/>
      <c r="D177" s="2168"/>
      <c r="E177" s="2169"/>
      <c r="F177" s="2168"/>
      <c r="G177" s="2168"/>
      <c r="H177" s="2168"/>
      <c r="I177" s="2169"/>
      <c r="M177" s="2171"/>
      <c r="Q177" s="2171"/>
      <c r="U177" s="2171"/>
      <c r="Y177" s="2171"/>
    </row>
    <row r="178" spans="1:59" s="2170" customFormat="1">
      <c r="A178" s="1666" t="s">
        <v>1240</v>
      </c>
      <c r="B178" s="2172">
        <v>-7.0000000000000007E-2</v>
      </c>
      <c r="C178" s="2172">
        <v>-0.09</v>
      </c>
      <c r="D178" s="2172">
        <v>-0.11</v>
      </c>
      <c r="E178" s="2173">
        <v>-0.09</v>
      </c>
      <c r="F178" s="2172">
        <v>-0.14000000000000001</v>
      </c>
      <c r="G178" s="2172">
        <v>-0.16</v>
      </c>
      <c r="H178" s="2172">
        <v>-0.28999999999999998</v>
      </c>
      <c r="I178" s="2173">
        <v>-0.47</v>
      </c>
      <c r="J178" s="2174">
        <v>-1.2</v>
      </c>
      <c r="K178" s="2174">
        <v>-0.34</v>
      </c>
      <c r="L178" s="2174">
        <v>-0.95</v>
      </c>
      <c r="M178" s="2175">
        <v>0.33</v>
      </c>
      <c r="N178" s="2174">
        <v>-0.93</v>
      </c>
      <c r="O178" s="2174">
        <v>-0.7</v>
      </c>
      <c r="P178" s="2174">
        <v>-0.61</v>
      </c>
      <c r="Q178" s="2175">
        <v>-0.45</v>
      </c>
      <c r="R178" s="2174">
        <v>-0.42</v>
      </c>
      <c r="S178" s="2174">
        <v>-0.5</v>
      </c>
      <c r="T178" s="2174">
        <v>0.45</v>
      </c>
      <c r="U178" s="2175">
        <v>-0.28000000000000003</v>
      </c>
      <c r="V178" s="2174">
        <v>-0.39</v>
      </c>
      <c r="W178" s="2174">
        <v>-0.41</v>
      </c>
      <c r="X178" s="2174">
        <v>-0.35</v>
      </c>
      <c r="Y178" s="2175">
        <v>-0.28000000000000003</v>
      </c>
      <c r="Z178" s="2174">
        <v>-3.2</v>
      </c>
      <c r="AA178" s="2174">
        <v>-0.32</v>
      </c>
      <c r="AB178" s="2174">
        <v>-0.2</v>
      </c>
      <c r="AC178" s="2174"/>
      <c r="AD178" s="2174"/>
      <c r="AE178" s="2174"/>
      <c r="AF178" s="2174"/>
      <c r="AG178" s="2174"/>
      <c r="AH178" s="2174"/>
      <c r="AI178" s="2174"/>
      <c r="AJ178" s="2174"/>
      <c r="AK178" s="2174"/>
      <c r="AL178" s="2174"/>
      <c r="AM178" s="2174"/>
      <c r="AN178" s="2174"/>
      <c r="AO178" s="2174"/>
      <c r="AP178" s="2174"/>
      <c r="AQ178" s="2174"/>
      <c r="AR178" s="2174"/>
      <c r="AS178" s="2174"/>
      <c r="AT178" s="2174"/>
      <c r="AU178" s="2174"/>
      <c r="AV178" s="2174"/>
      <c r="AW178" s="2174"/>
      <c r="AX178" s="2174"/>
      <c r="AY178" s="2174"/>
      <c r="AZ178" s="2174"/>
      <c r="BA178" s="2174"/>
      <c r="BB178" s="2174"/>
      <c r="BC178" s="2174"/>
      <c r="BD178" s="2174"/>
      <c r="BE178" s="2174"/>
      <c r="BF178" s="2174"/>
      <c r="BG178" s="2174"/>
    </row>
    <row r="179" spans="1:59" s="2170" customFormat="1">
      <c r="A179" s="1666" t="s">
        <v>1241</v>
      </c>
      <c r="B179" s="2172">
        <v>-7.0000000000000007E-2</v>
      </c>
      <c r="C179" s="2172">
        <v>-0.09</v>
      </c>
      <c r="D179" s="2172">
        <v>-0.11</v>
      </c>
      <c r="E179" s="2173">
        <v>-0.09</v>
      </c>
      <c r="F179" s="2172">
        <v>-0.14000000000000001</v>
      </c>
      <c r="G179" s="2172">
        <v>-0.16</v>
      </c>
      <c r="H179" s="2172">
        <v>-0.28999999999999998</v>
      </c>
      <c r="I179" s="2173">
        <v>-0.47</v>
      </c>
      <c r="J179" s="2174">
        <v>-1.2</v>
      </c>
      <c r="K179" s="2174">
        <v>-0.34</v>
      </c>
      <c r="L179" s="2174">
        <v>-0.95</v>
      </c>
      <c r="M179" s="2175">
        <v>0.31</v>
      </c>
      <c r="N179" s="2174">
        <v>-0.93</v>
      </c>
      <c r="O179" s="2174">
        <v>-0.7</v>
      </c>
      <c r="P179" s="2174">
        <v>-0.61</v>
      </c>
      <c r="Q179" s="2175">
        <v>-0.45</v>
      </c>
      <c r="R179" s="2174">
        <v>-0.42</v>
      </c>
      <c r="S179" s="2174">
        <v>-0.5</v>
      </c>
      <c r="T179" s="2174">
        <v>0.45</v>
      </c>
      <c r="U179" s="2175">
        <v>-0.28000000000000003</v>
      </c>
      <c r="V179" s="2174">
        <v>-0.39</v>
      </c>
      <c r="W179" s="2174">
        <v>-0.41</v>
      </c>
      <c r="X179" s="2174">
        <v>-0.35</v>
      </c>
      <c r="Y179" s="2175">
        <v>-0.28000000000000003</v>
      </c>
      <c r="Z179" s="2174">
        <v>-3.2</v>
      </c>
      <c r="AA179" s="2174">
        <v>-0.32</v>
      </c>
      <c r="AB179" s="2174">
        <v>-0.2</v>
      </c>
      <c r="AC179" s="2174"/>
      <c r="AD179" s="2174"/>
      <c r="AE179" s="2174"/>
      <c r="AF179" s="2174"/>
      <c r="AG179" s="2174"/>
      <c r="AH179" s="2174"/>
      <c r="AI179" s="2174"/>
      <c r="AJ179" s="2174"/>
      <c r="AK179" s="2174"/>
      <c r="AL179" s="2174"/>
      <c r="AM179" s="2174"/>
      <c r="AN179" s="2174"/>
      <c r="AO179" s="2174"/>
      <c r="AP179" s="2174"/>
      <c r="AQ179" s="2174"/>
      <c r="AR179" s="2174"/>
      <c r="AS179" s="2174"/>
      <c r="AT179" s="2174"/>
      <c r="AU179" s="2174"/>
      <c r="AV179" s="2174"/>
      <c r="AW179" s="2174"/>
      <c r="AX179" s="2174"/>
      <c r="AY179" s="2174"/>
      <c r="AZ179" s="2174"/>
      <c r="BA179" s="2174"/>
      <c r="BB179" s="2174"/>
      <c r="BC179" s="2174"/>
      <c r="BD179" s="2174"/>
      <c r="BE179" s="2174"/>
      <c r="BF179" s="2174"/>
      <c r="BG179" s="2174"/>
    </row>
    <row r="180" spans="1:59" s="2170" customFormat="1">
      <c r="A180" s="70"/>
      <c r="B180" s="2176"/>
      <c r="C180" s="2176"/>
      <c r="D180" s="2176"/>
      <c r="E180" s="2177"/>
      <c r="F180" s="2176"/>
      <c r="G180" s="2176"/>
      <c r="H180" s="2176"/>
      <c r="I180" s="2177"/>
      <c r="J180" s="2090"/>
      <c r="K180" s="2090"/>
      <c r="L180" s="2090"/>
      <c r="M180" s="2091"/>
      <c r="N180" s="2090"/>
      <c r="O180" s="2090"/>
      <c r="P180" s="2090"/>
      <c r="Q180" s="2091"/>
      <c r="R180" s="2090"/>
      <c r="S180" s="2090"/>
      <c r="T180" s="2090"/>
      <c r="U180" s="2091"/>
      <c r="V180" s="2090"/>
      <c r="W180" s="2090"/>
      <c r="X180" s="2090"/>
      <c r="Y180" s="2091"/>
      <c r="Z180" s="2090"/>
      <c r="AA180" s="2090"/>
      <c r="AB180" s="2090"/>
      <c r="AC180" s="2090"/>
      <c r="AD180" s="2090"/>
      <c r="AE180" s="2090"/>
      <c r="AF180" s="2090"/>
      <c r="AG180" s="2090"/>
      <c r="AH180" s="2090"/>
      <c r="AI180" s="2090"/>
      <c r="AJ180" s="2090"/>
      <c r="AK180" s="2090"/>
      <c r="AL180" s="2090"/>
      <c r="AM180" s="2090"/>
      <c r="AN180" s="2090"/>
      <c r="AO180" s="2090"/>
      <c r="AP180" s="2090"/>
      <c r="AQ180" s="2090"/>
      <c r="AR180" s="2090"/>
      <c r="AS180" s="2090"/>
      <c r="AT180" s="2090"/>
      <c r="AU180" s="2090"/>
      <c r="AV180" s="2090"/>
      <c r="AW180" s="2090"/>
      <c r="AX180" s="2090"/>
      <c r="AY180" s="2090"/>
      <c r="AZ180" s="2090"/>
      <c r="BA180" s="2090"/>
      <c r="BB180" s="2090"/>
      <c r="BC180" s="2090"/>
      <c r="BD180" s="2090"/>
      <c r="BE180" s="2090"/>
      <c r="BF180" s="2090"/>
      <c r="BG180" s="2090"/>
    </row>
    <row r="181" spans="1:59" s="2170" customFormat="1">
      <c r="A181" s="2178"/>
      <c r="B181" s="2179"/>
      <c r="C181" s="2179"/>
      <c r="D181" s="2179"/>
      <c r="E181" s="2180"/>
      <c r="F181" s="2179"/>
      <c r="G181" s="2179"/>
      <c r="H181" s="2179"/>
      <c r="I181" s="2180"/>
      <c r="J181" s="2179"/>
      <c r="K181" s="2179"/>
      <c r="L181" s="2179"/>
      <c r="M181" s="2180"/>
      <c r="N181" s="2179"/>
      <c r="O181" s="2179"/>
      <c r="P181" s="2179"/>
      <c r="Q181" s="2180"/>
      <c r="R181" s="2181"/>
      <c r="S181" s="2181"/>
      <c r="T181" s="2181"/>
      <c r="U181" s="2182"/>
      <c r="V181" s="2181"/>
      <c r="W181" s="2181"/>
      <c r="X181" s="2181"/>
      <c r="Y181" s="2182"/>
      <c r="Z181" s="2181"/>
      <c r="AA181" s="2181"/>
      <c r="AB181" s="2181"/>
      <c r="AC181" s="2090"/>
      <c r="AD181" s="2090"/>
      <c r="AE181" s="2090"/>
      <c r="AF181" s="2090"/>
      <c r="AG181" s="2090"/>
      <c r="AH181" s="2090"/>
      <c r="AI181" s="2090"/>
      <c r="AJ181" s="2090"/>
      <c r="AK181" s="2090"/>
      <c r="AL181" s="2090"/>
      <c r="AM181" s="2090"/>
      <c r="AN181" s="2090"/>
      <c r="AO181" s="2090"/>
      <c r="AP181" s="2090"/>
      <c r="AQ181" s="2090"/>
      <c r="AR181" s="2090"/>
      <c r="AS181" s="2090"/>
      <c r="AT181" s="2090"/>
      <c r="AU181" s="2090"/>
      <c r="AV181" s="2090"/>
      <c r="AW181" s="2090"/>
      <c r="AX181" s="2090"/>
      <c r="AY181" s="2090"/>
      <c r="AZ181" s="2090"/>
      <c r="BA181" s="2090"/>
      <c r="BB181" s="2090"/>
      <c r="BC181" s="2090"/>
      <c r="BD181" s="2090"/>
      <c r="BE181" s="2181"/>
      <c r="BF181" s="2181"/>
      <c r="BG181" s="2181"/>
    </row>
    <row r="182" spans="1:59" s="2170" customFormat="1">
      <c r="A182" s="2183" t="s">
        <v>1242</v>
      </c>
      <c r="B182" s="2179"/>
      <c r="C182" s="2179"/>
      <c r="D182" s="2179"/>
      <c r="E182" s="2180"/>
      <c r="F182" s="2179"/>
      <c r="G182" s="2179"/>
      <c r="H182" s="2179"/>
      <c r="I182" s="2180"/>
      <c r="J182" s="2179"/>
      <c r="K182" s="2179"/>
      <c r="L182" s="2179"/>
      <c r="M182" s="2180"/>
      <c r="N182" s="2179"/>
      <c r="O182" s="2179"/>
      <c r="P182" s="2179"/>
      <c r="Q182" s="2180"/>
      <c r="R182" s="2181"/>
      <c r="S182" s="2181"/>
      <c r="T182" s="2181"/>
      <c r="U182" s="2182"/>
      <c r="V182" s="2181"/>
      <c r="W182" s="2181"/>
      <c r="X182" s="2181"/>
      <c r="Y182" s="2182"/>
      <c r="Z182" s="2181"/>
      <c r="AA182" s="2181"/>
      <c r="AB182" s="2181"/>
      <c r="AC182" s="2090"/>
      <c r="AD182" s="2090"/>
      <c r="AE182" s="2090"/>
      <c r="AF182" s="2090"/>
      <c r="AG182" s="2090"/>
      <c r="AH182" s="2090"/>
      <c r="AI182" s="2090"/>
      <c r="AJ182" s="2090"/>
      <c r="AK182" s="2090"/>
      <c r="AL182" s="2090"/>
      <c r="AM182" s="2090"/>
      <c r="AN182" s="2090"/>
      <c r="AO182" s="2090"/>
      <c r="AP182" s="2090"/>
      <c r="AQ182" s="2090"/>
      <c r="AR182" s="2090"/>
      <c r="AS182" s="2090"/>
      <c r="AT182" s="2090"/>
      <c r="AU182" s="2090"/>
      <c r="AV182" s="2090"/>
      <c r="AW182" s="2090"/>
      <c r="AX182" s="2090"/>
      <c r="AY182" s="2090"/>
      <c r="AZ182" s="2090"/>
      <c r="BA182" s="2090"/>
      <c r="BB182" s="2090"/>
      <c r="BC182" s="2090"/>
      <c r="BD182" s="2090"/>
      <c r="BE182" s="2181"/>
      <c r="BF182" s="2181"/>
      <c r="BG182" s="2181"/>
    </row>
    <row r="183" spans="1:59">
      <c r="A183" s="70" t="s">
        <v>1243</v>
      </c>
      <c r="B183" s="2176"/>
      <c r="C183" s="2176"/>
      <c r="D183" s="2176"/>
      <c r="E183" s="2177"/>
      <c r="F183" s="2176"/>
      <c r="G183" s="2176"/>
      <c r="H183" s="2176"/>
      <c r="I183" s="2177"/>
    </row>
    <row r="184" spans="1:59">
      <c r="A184" s="2143" t="s">
        <v>1880</v>
      </c>
      <c r="B184" s="469">
        <f t="shared" ref="B184:M185" si="88">-B139/B$136</f>
        <v>0.29327149864123164</v>
      </c>
      <c r="C184" s="469">
        <f t="shared" si="88"/>
        <v>0.30447169738675345</v>
      </c>
      <c r="D184" s="469">
        <f t="shared" si="88"/>
        <v>0.32281984410457232</v>
      </c>
      <c r="E184" s="504">
        <f t="shared" si="88"/>
        <v>0.32608756692813295</v>
      </c>
      <c r="F184" s="469">
        <f t="shared" si="88"/>
        <v>0.32277401968872016</v>
      </c>
      <c r="G184" s="469">
        <f t="shared" si="88"/>
        <v>0.30229843122947836</v>
      </c>
      <c r="H184" s="469">
        <f t="shared" si="88"/>
        <v>0.38016504035658349</v>
      </c>
      <c r="I184" s="504">
        <f t="shared" si="88"/>
        <v>0.33585914251074617</v>
      </c>
      <c r="J184" s="469">
        <f t="shared" si="88"/>
        <v>0.2288351306713301</v>
      </c>
      <c r="K184" s="469">
        <f t="shared" si="88"/>
        <v>0.22322823945097506</v>
      </c>
      <c r="L184" s="469">
        <f t="shared" si="88"/>
        <v>0.26774569516505003</v>
      </c>
      <c r="M184" s="2184">
        <f t="shared" si="88"/>
        <v>0.17835260304396108</v>
      </c>
      <c r="N184" s="2185">
        <f t="shared" ref="N184:AB185" si="89">-N139/N$136</f>
        <v>0.38430801053027458</v>
      </c>
      <c r="O184" s="2185">
        <f t="shared" si="89"/>
        <v>0.2084903483811428</v>
      </c>
      <c r="P184" s="2185">
        <f t="shared" si="89"/>
        <v>0.20641255477775883</v>
      </c>
      <c r="Q184" s="2184">
        <f t="shared" si="89"/>
        <v>0.20860837256924783</v>
      </c>
      <c r="R184" s="2185">
        <f t="shared" si="89"/>
        <v>0.19563407131108621</v>
      </c>
      <c r="S184" s="2185">
        <f t="shared" si="89"/>
        <v>0.15913799514812385</v>
      </c>
      <c r="T184" s="2185">
        <f t="shared" si="89"/>
        <v>0.18035173136407268</v>
      </c>
      <c r="U184" s="2184">
        <f t="shared" si="89"/>
        <v>0.165390924002187</v>
      </c>
      <c r="V184" s="2185">
        <f t="shared" si="89"/>
        <v>0.17319673690865675</v>
      </c>
      <c r="W184" s="2185">
        <f t="shared" si="89"/>
        <v>0.15774737737453925</v>
      </c>
      <c r="X184" s="2185">
        <f t="shared" si="89"/>
        <v>0.18105494920964993</v>
      </c>
      <c r="Y184" s="2184">
        <f t="shared" si="89"/>
        <v>0.1542505505642065</v>
      </c>
      <c r="Z184" s="2185">
        <f t="shared" si="89"/>
        <v>0.25117180950714757</v>
      </c>
      <c r="AA184" s="2185">
        <f t="shared" si="89"/>
        <v>3.6958129900872914</v>
      </c>
      <c r="AB184" s="2185">
        <f t="shared" si="89"/>
        <v>1.0981377219575574</v>
      </c>
      <c r="AC184" s="2185"/>
      <c r="AD184" s="2185"/>
      <c r="AE184" s="2185"/>
      <c r="AF184" s="2185"/>
      <c r="AG184" s="2185"/>
      <c r="AH184" s="2185"/>
      <c r="AI184" s="2185"/>
      <c r="AJ184" s="2185"/>
      <c r="AK184" s="2185"/>
      <c r="AL184" s="2185"/>
      <c r="AM184" s="2185"/>
      <c r="AN184" s="2185"/>
      <c r="AO184" s="2185"/>
      <c r="AP184" s="2185"/>
      <c r="AQ184" s="2185"/>
      <c r="AR184" s="2185"/>
      <c r="AS184" s="2185"/>
      <c r="AT184" s="2185"/>
      <c r="AU184" s="2185"/>
      <c r="AV184" s="2185"/>
      <c r="AW184" s="2185"/>
      <c r="AX184" s="2185"/>
      <c r="AY184" s="2185"/>
      <c r="AZ184" s="2185"/>
      <c r="BA184" s="2185"/>
      <c r="BB184" s="2185"/>
      <c r="BC184" s="2185"/>
      <c r="BD184" s="2185"/>
      <c r="BE184" s="2185"/>
      <c r="BF184" s="2185"/>
      <c r="BG184" s="2185"/>
    </row>
    <row r="185" spans="1:59" s="2170" customFormat="1">
      <c r="A185" s="2143" t="s">
        <v>1881</v>
      </c>
      <c r="B185" s="469">
        <f>-B140/B$136</f>
        <v>0</v>
      </c>
      <c r="C185" s="469">
        <f>-C148/C$136</f>
        <v>0.74107745698522631</v>
      </c>
      <c r="D185" s="469">
        <f>-D140/D$136</f>
        <v>0</v>
      </c>
      <c r="E185" s="504">
        <f>-E148/E$136</f>
        <v>0.70216490152402888</v>
      </c>
      <c r="F185" s="469">
        <f t="shared" si="88"/>
        <v>0.34851234669746456</v>
      </c>
      <c r="G185" s="469">
        <f t="shared" si="88"/>
        <v>0.29852851757266208</v>
      </c>
      <c r="H185" s="469">
        <f t="shared" si="88"/>
        <v>0.44476569088061679</v>
      </c>
      <c r="I185" s="504">
        <f t="shared" si="88"/>
        <v>0.79799955913148901</v>
      </c>
      <c r="J185" s="469">
        <f t="shared" si="88"/>
        <v>1.0291071602059656</v>
      </c>
      <c r="K185" s="469">
        <f t="shared" si="88"/>
        <v>0.8948664809404091</v>
      </c>
      <c r="L185" s="469">
        <f t="shared" si="88"/>
        <v>0.90905331227911867</v>
      </c>
      <c r="M185" s="2184">
        <f t="shared" si="88"/>
        <v>0.5820367104317723</v>
      </c>
      <c r="N185" s="2185">
        <f t="shared" si="89"/>
        <v>0.92651137645731474</v>
      </c>
      <c r="O185" s="2185">
        <f t="shared" si="89"/>
        <v>0.93000216733201413</v>
      </c>
      <c r="P185" s="2185">
        <f t="shared" si="89"/>
        <v>0.82484633771555416</v>
      </c>
      <c r="Q185" s="2184">
        <f t="shared" si="89"/>
        <v>0.84525407032213529</v>
      </c>
      <c r="R185" s="2185">
        <f t="shared" si="89"/>
        <v>0.64607348579215051</v>
      </c>
      <c r="S185" s="2185">
        <f t="shared" si="89"/>
        <v>0.33012235935756912</v>
      </c>
      <c r="T185" s="2185">
        <f t="shared" si="89"/>
        <v>0.28080159113581743</v>
      </c>
      <c r="U185" s="2184">
        <f t="shared" si="89"/>
        <v>0.27725644659175863</v>
      </c>
      <c r="V185" s="2185">
        <f t="shared" si="89"/>
        <v>0.25596484012939424</v>
      </c>
      <c r="W185" s="2185">
        <f t="shared" si="89"/>
        <v>0.27606423913483741</v>
      </c>
      <c r="X185" s="2185">
        <f t="shared" si="89"/>
        <v>0.22269914432020999</v>
      </c>
      <c r="Y185" s="2184">
        <f t="shared" si="89"/>
        <v>0.21922199918146207</v>
      </c>
      <c r="Z185" s="2185">
        <f t="shared" si="89"/>
        <v>0.1970316589032009</v>
      </c>
      <c r="AA185" s="2185">
        <f t="shared" si="89"/>
        <v>0.13078857819204026</v>
      </c>
      <c r="AB185" s="2185">
        <f t="shared" si="89"/>
        <v>9.9350368124729319E-2</v>
      </c>
      <c r="AC185" s="2185"/>
      <c r="AD185" s="2185"/>
      <c r="AE185" s="2185"/>
      <c r="AF185" s="2185"/>
      <c r="AG185" s="2185"/>
      <c r="AH185" s="2185"/>
      <c r="AI185" s="2185"/>
      <c r="AJ185" s="2185"/>
      <c r="AK185" s="2185"/>
      <c r="AL185" s="2185"/>
      <c r="AM185" s="2185"/>
      <c r="AN185" s="2185"/>
      <c r="AO185" s="2185"/>
      <c r="AP185" s="2185"/>
      <c r="AQ185" s="2185"/>
      <c r="AR185" s="2185"/>
      <c r="AS185" s="2185"/>
      <c r="AT185" s="2185"/>
      <c r="AU185" s="2185"/>
      <c r="AV185" s="2185"/>
      <c r="AW185" s="2185"/>
      <c r="AX185" s="2185"/>
      <c r="AY185" s="2185"/>
      <c r="AZ185" s="2185"/>
      <c r="BA185" s="2185"/>
      <c r="BB185" s="2185"/>
      <c r="BC185" s="2185"/>
      <c r="BD185" s="2185"/>
      <c r="BE185" s="2185"/>
      <c r="BF185" s="2185"/>
      <c r="BG185" s="2185"/>
    </row>
    <row r="186" spans="1:59">
      <c r="A186" s="2143" t="s">
        <v>1882</v>
      </c>
      <c r="B186" s="469">
        <f>-B148/B$136</f>
        <v>0.78808711190098713</v>
      </c>
      <c r="C186" s="469">
        <f>-C149/C$136</f>
        <v>5.7415518644659651E-2</v>
      </c>
      <c r="D186" s="469">
        <f>-D148/D$136</f>
        <v>0.73372513539817696</v>
      </c>
      <c r="E186" s="504">
        <f>-E149/E$136</f>
        <v>5.4740996281668237E-2</v>
      </c>
      <c r="F186" s="469">
        <f t="shared" ref="F186:M187" si="90">-F148/F$136</f>
        <v>0.76043557168784015</v>
      </c>
      <c r="G186" s="469">
        <f t="shared" si="90"/>
        <v>-0.44022862702176829</v>
      </c>
      <c r="H186" s="469">
        <f t="shared" si="90"/>
        <v>0.85604144079026623</v>
      </c>
      <c r="I186" s="504">
        <f t="shared" si="90"/>
        <v>1.0697123332965943</v>
      </c>
      <c r="J186" s="469">
        <f t="shared" si="90"/>
        <v>0.32818420285631023</v>
      </c>
      <c r="K186" s="469">
        <f t="shared" si="90"/>
        <v>0.31713324726506759</v>
      </c>
      <c r="L186" s="469">
        <f t="shared" si="90"/>
        <v>0.32744943228814199</v>
      </c>
      <c r="M186" s="2184">
        <f t="shared" si="90"/>
        <v>0.23779476125155144</v>
      </c>
      <c r="N186" s="2185">
        <f t="shared" ref="N186:AB187" si="91">-N148/N$136</f>
        <v>0.3207855396765702</v>
      </c>
      <c r="O186" s="2185">
        <f t="shared" si="91"/>
        <v>0.20693825900316709</v>
      </c>
      <c r="P186" s="2185">
        <f t="shared" si="91"/>
        <v>0.20112685675260372</v>
      </c>
      <c r="Q186" s="2184">
        <f t="shared" si="91"/>
        <v>0.25311624948611938</v>
      </c>
      <c r="R186" s="2185">
        <f t="shared" si="91"/>
        <v>0.20689299207883999</v>
      </c>
      <c r="S186" s="2185">
        <f t="shared" si="91"/>
        <v>0.19468890738346939</v>
      </c>
      <c r="T186" s="2185">
        <f t="shared" si="91"/>
        <v>0.19425534718257273</v>
      </c>
      <c r="U186" s="2184">
        <f t="shared" si="91"/>
        <v>0.18762901552091588</v>
      </c>
      <c r="V186" s="2185">
        <f t="shared" si="91"/>
        <v>0.21929496111421432</v>
      </c>
      <c r="W186" s="2185">
        <f t="shared" si="91"/>
        <v>0.20891388877637812</v>
      </c>
      <c r="X186" s="2185">
        <f t="shared" si="91"/>
        <v>0.21167927853794966</v>
      </c>
      <c r="Y186" s="2184">
        <f t="shared" si="91"/>
        <v>0.19622010874861143</v>
      </c>
      <c r="Z186" s="2185">
        <f t="shared" si="91"/>
        <v>0.47960723423797769</v>
      </c>
      <c r="AA186" s="2185">
        <f t="shared" si="91"/>
        <v>1.1284213641071166</v>
      </c>
      <c r="AB186" s="2185">
        <f t="shared" si="91"/>
        <v>0.44642702468601125</v>
      </c>
      <c r="AC186" s="2185"/>
      <c r="AD186" s="2185"/>
      <c r="AE186" s="2185"/>
      <c r="AF186" s="2185"/>
      <c r="AG186" s="2185"/>
      <c r="AH186" s="2185"/>
      <c r="AI186" s="2185"/>
      <c r="AJ186" s="2185"/>
      <c r="AK186" s="2185"/>
      <c r="AL186" s="2185"/>
      <c r="AM186" s="2185"/>
      <c r="AN186" s="2185"/>
      <c r="AO186" s="2185"/>
      <c r="AP186" s="2185"/>
      <c r="AQ186" s="2185"/>
      <c r="AR186" s="2185"/>
      <c r="AS186" s="2185"/>
      <c r="AT186" s="2185"/>
      <c r="AU186" s="2185"/>
      <c r="AV186" s="2185"/>
      <c r="AW186" s="2185"/>
      <c r="AX186" s="2185"/>
      <c r="AY186" s="2185"/>
      <c r="AZ186" s="2185"/>
      <c r="BA186" s="2185"/>
      <c r="BB186" s="2185"/>
      <c r="BC186" s="2185"/>
      <c r="BD186" s="2185"/>
      <c r="BE186" s="2185"/>
      <c r="BF186" s="2185"/>
      <c r="BG186" s="2185"/>
    </row>
    <row r="187" spans="1:59" s="2170" customFormat="1">
      <c r="A187" s="2145" t="s">
        <v>1883</v>
      </c>
      <c r="B187" s="469">
        <f>-B149/B$136</f>
        <v>5.8252801884485846E-2</v>
      </c>
      <c r="C187" s="469" t="e">
        <f>-#REF!/C$136</f>
        <v>#REF!</v>
      </c>
      <c r="D187" s="469">
        <f>-D149/D$136</f>
        <v>5.9888903227964432E-2</v>
      </c>
      <c r="E187" s="504">
        <f>-E149/E$136</f>
        <v>5.4740996281668237E-2</v>
      </c>
      <c r="F187" s="469">
        <f t="shared" si="90"/>
        <v>5.7168784029038106E-2</v>
      </c>
      <c r="G187" s="469">
        <f t="shared" si="90"/>
        <v>5.027362276541409E-2</v>
      </c>
      <c r="H187" s="469">
        <f t="shared" si="90"/>
        <v>6.5895675219853039E-2</v>
      </c>
      <c r="I187" s="504">
        <f t="shared" si="90"/>
        <v>6.4311694037253384E-2</v>
      </c>
      <c r="J187" s="469">
        <f t="shared" si="90"/>
        <v>8.4212571650636378E-2</v>
      </c>
      <c r="K187" s="469">
        <f t="shared" si="90"/>
        <v>3.7218862539919816E-2</v>
      </c>
      <c r="L187" s="469">
        <f t="shared" si="90"/>
        <v>4.6920821114369501E-2</v>
      </c>
      <c r="M187" s="2184">
        <f t="shared" si="90"/>
        <v>4.4117839179567582E-2</v>
      </c>
      <c r="N187" s="2185">
        <f t="shared" si="91"/>
        <v>0.25430142910868753</v>
      </c>
      <c r="O187" s="2185">
        <f t="shared" si="91"/>
        <v>5.2064908098131198E-2</v>
      </c>
      <c r="P187" s="2185">
        <f t="shared" si="91"/>
        <v>5.4827556769677314E-2</v>
      </c>
      <c r="Q187" s="2184">
        <f t="shared" si="91"/>
        <v>5.3761605944725843E-2</v>
      </c>
      <c r="R187" s="2185">
        <f t="shared" si="91"/>
        <v>7.3134811124033958E-2</v>
      </c>
      <c r="S187" s="2185">
        <f t="shared" si="91"/>
        <v>3.9653167590411938E-2</v>
      </c>
      <c r="T187" s="2185">
        <f t="shared" si="91"/>
        <v>4.147242805067039E-2</v>
      </c>
      <c r="U187" s="2184">
        <f t="shared" si="91"/>
        <v>3.674362035683601E-2</v>
      </c>
      <c r="V187" s="2185">
        <f t="shared" si="91"/>
        <v>4.2372309146599715E-2</v>
      </c>
      <c r="W187" s="2185">
        <f t="shared" si="91"/>
        <v>4.1374701283972623E-2</v>
      </c>
      <c r="X187" s="2185">
        <f t="shared" si="91"/>
        <v>4.7521086196255925E-2</v>
      </c>
      <c r="Y187" s="2184">
        <f t="shared" si="91"/>
        <v>4.1375143731363646E-2</v>
      </c>
      <c r="Z187" s="2185">
        <f t="shared" si="91"/>
        <v>6.175053396607403E-2</v>
      </c>
      <c r="AA187" s="2185">
        <f t="shared" si="91"/>
        <v>1.2550673176505402</v>
      </c>
      <c r="AB187" s="2185">
        <f t="shared" si="91"/>
        <v>0.38414898224339539</v>
      </c>
      <c r="AC187" s="2185"/>
      <c r="AD187" s="2185"/>
      <c r="AE187" s="2185"/>
      <c r="AF187" s="2185"/>
      <c r="AG187" s="2185"/>
      <c r="AH187" s="2185"/>
      <c r="AI187" s="2185"/>
      <c r="AJ187" s="2185"/>
      <c r="AK187" s="2185"/>
      <c r="AL187" s="2185"/>
      <c r="AM187" s="2185"/>
      <c r="AN187" s="2185"/>
      <c r="AO187" s="2185"/>
      <c r="AP187" s="2185"/>
      <c r="AQ187" s="2185"/>
      <c r="AR187" s="2185"/>
      <c r="AS187" s="2185"/>
      <c r="AT187" s="2185"/>
      <c r="AU187" s="2185"/>
      <c r="AV187" s="2185"/>
      <c r="AW187" s="2185"/>
      <c r="AX187" s="2185"/>
      <c r="AY187" s="2185"/>
      <c r="AZ187" s="2185"/>
      <c r="BA187" s="2185"/>
      <c r="BB187" s="2185"/>
      <c r="BC187" s="2185"/>
      <c r="BD187" s="2185"/>
      <c r="BE187" s="2185"/>
      <c r="BF187" s="2185"/>
      <c r="BG187" s="2185"/>
    </row>
    <row r="188" spans="1:59">
      <c r="A188" s="2186" t="s">
        <v>673</v>
      </c>
      <c r="B188" s="469">
        <f t="shared" ref="B188:M188" si="92">B150/B$136</f>
        <v>7.2264388878518826E-2</v>
      </c>
      <c r="C188" s="444">
        <f t="shared" si="92"/>
        <v>7.2417840756310276E-2</v>
      </c>
      <c r="D188" s="444">
        <f t="shared" si="92"/>
        <v>7.9355581560037622E-2</v>
      </c>
      <c r="E188" s="445">
        <f t="shared" si="92"/>
        <v>0.10310718829107623</v>
      </c>
      <c r="F188" s="444">
        <f t="shared" si="92"/>
        <v>9.8443601165924197E-2</v>
      </c>
      <c r="G188" s="444">
        <f t="shared" si="92"/>
        <v>9.5220722364100702E-2</v>
      </c>
      <c r="H188" s="444">
        <f t="shared" si="92"/>
        <v>0.11634140465004215</v>
      </c>
      <c r="I188" s="445">
        <f t="shared" si="92"/>
        <v>8.6492890995260654E-2</v>
      </c>
      <c r="J188" s="444">
        <f t="shared" si="92"/>
        <v>5.3803555814631324E-2</v>
      </c>
      <c r="K188" s="444">
        <f t="shared" si="92"/>
        <v>5.3560508255758643E-2</v>
      </c>
      <c r="L188" s="444">
        <f t="shared" si="92"/>
        <v>6.0906835100383493E-2</v>
      </c>
      <c r="M188" s="2184">
        <f t="shared" si="92"/>
        <v>3.5769808609314786E-2</v>
      </c>
      <c r="N188" s="2185">
        <f t="shared" ref="N188:AB188" si="93">N150/N$136</f>
        <v>0.20760859345618654</v>
      </c>
      <c r="O188" s="2185">
        <f t="shared" si="93"/>
        <v>8.3819817804282923E-2</v>
      </c>
      <c r="P188" s="2185">
        <f t="shared" si="93"/>
        <v>7.6062830800751241E-2</v>
      </c>
      <c r="Q188" s="2184">
        <f t="shared" si="93"/>
        <v>8.21665981492542E-2</v>
      </c>
      <c r="R188" s="2185">
        <f t="shared" si="93"/>
        <v>7.9734630816134119E-2</v>
      </c>
      <c r="S188" s="2185">
        <f t="shared" si="93"/>
        <v>5.4244211097928798E-2</v>
      </c>
      <c r="T188" s="2185">
        <f t="shared" si="93"/>
        <v>8.3785598213109283E-2</v>
      </c>
      <c r="U188" s="2184">
        <f t="shared" si="93"/>
        <v>7.9601879023889502E-2</v>
      </c>
      <c r="V188" s="2185">
        <f t="shared" si="93"/>
        <v>5.5225795363169294E-2</v>
      </c>
      <c r="W188" s="2185">
        <f t="shared" si="93"/>
        <v>4.6083275952853497E-2</v>
      </c>
      <c r="X188" s="2185">
        <f t="shared" si="93"/>
        <v>1.0380468928092875E-2</v>
      </c>
      <c r="Y188" s="2184">
        <f t="shared" si="93"/>
        <v>2.1384303560640021E-2</v>
      </c>
      <c r="Z188" s="2185">
        <f t="shared" si="93"/>
        <v>9.7462476582033955E-2</v>
      </c>
      <c r="AA188" s="2185">
        <f t="shared" si="93"/>
        <v>1.4479952655718304</v>
      </c>
      <c r="AB188" s="2185">
        <f t="shared" si="93"/>
        <v>0.41645734084019054</v>
      </c>
      <c r="AC188" s="2185"/>
      <c r="AD188" s="2185"/>
      <c r="AE188" s="2185"/>
      <c r="AF188" s="2185"/>
      <c r="AG188" s="2185"/>
      <c r="AH188" s="2185"/>
      <c r="AI188" s="2185"/>
      <c r="AJ188" s="2185"/>
      <c r="AK188" s="2185"/>
      <c r="AL188" s="2185"/>
      <c r="AM188" s="2185"/>
      <c r="AN188" s="2185"/>
      <c r="AO188" s="2185"/>
      <c r="AP188" s="2185"/>
      <c r="AQ188" s="2185"/>
      <c r="AR188" s="2185"/>
      <c r="AS188" s="2185"/>
      <c r="AT188" s="2185"/>
      <c r="AU188" s="2185"/>
      <c r="AV188" s="2185"/>
      <c r="AW188" s="2185"/>
      <c r="AX188" s="2185"/>
      <c r="AY188" s="2185"/>
      <c r="AZ188" s="2185"/>
      <c r="BA188" s="2185"/>
      <c r="BB188" s="2185"/>
      <c r="BC188" s="2185"/>
      <c r="BD188" s="2185"/>
      <c r="BE188" s="2185"/>
      <c r="BF188" s="2185"/>
      <c r="BG188" s="2185"/>
    </row>
    <row r="189" spans="1:59" s="2170" customFormat="1">
      <c r="A189" s="2187"/>
      <c r="B189" s="10"/>
      <c r="C189" s="10"/>
      <c r="D189" s="10"/>
      <c r="E189" s="101"/>
      <c r="F189" s="10"/>
      <c r="G189" s="10"/>
      <c r="H189" s="10"/>
      <c r="I189" s="101"/>
      <c r="J189" s="2090"/>
      <c r="K189" s="2090"/>
      <c r="L189" s="2090"/>
      <c r="M189" s="2091"/>
      <c r="N189" s="2090"/>
      <c r="O189" s="2090"/>
      <c r="P189" s="2090"/>
      <c r="Q189" s="2091"/>
      <c r="R189" s="2090"/>
      <c r="S189" s="2090"/>
      <c r="T189" s="2090"/>
      <c r="U189" s="2091"/>
      <c r="V189" s="2090"/>
      <c r="W189" s="2090"/>
      <c r="X189" s="2090"/>
      <c r="Y189" s="2091"/>
      <c r="Z189" s="2090"/>
      <c r="AA189" s="2090"/>
      <c r="AB189" s="2090"/>
      <c r="AC189" s="2090"/>
      <c r="AD189" s="2090"/>
      <c r="AE189" s="2090"/>
      <c r="AF189" s="2090"/>
      <c r="AG189" s="2090"/>
      <c r="AH189" s="2090"/>
      <c r="AI189" s="2090"/>
      <c r="AJ189" s="2090"/>
      <c r="AK189" s="2090"/>
      <c r="AL189" s="2090"/>
      <c r="AM189" s="2090"/>
      <c r="AN189" s="2090"/>
      <c r="AO189" s="2090"/>
      <c r="AP189" s="2090"/>
      <c r="AQ189" s="2090"/>
      <c r="AR189" s="2090"/>
      <c r="AS189" s="2090"/>
      <c r="AT189" s="2090"/>
      <c r="AU189" s="2090"/>
      <c r="AV189" s="2090"/>
      <c r="AW189" s="2090"/>
      <c r="AX189" s="2090"/>
      <c r="AY189" s="2090"/>
      <c r="AZ189" s="2090"/>
      <c r="BA189" s="2090"/>
      <c r="BB189" s="2090"/>
      <c r="BC189" s="2090"/>
      <c r="BD189" s="2090"/>
      <c r="BE189" s="2090"/>
      <c r="BF189" s="2090"/>
      <c r="BG189" s="2090"/>
    </row>
    <row r="190" spans="1:59">
      <c r="A190" s="2183" t="s">
        <v>1244</v>
      </c>
      <c r="B190" s="2120"/>
      <c r="C190" s="2120"/>
      <c r="D190" s="2120"/>
      <c r="E190" s="2188"/>
      <c r="F190" s="2120"/>
      <c r="G190" s="2120"/>
      <c r="H190" s="2120"/>
      <c r="I190" s="2188"/>
      <c r="J190" s="2120"/>
      <c r="K190" s="2120"/>
      <c r="L190" s="2120"/>
      <c r="M190" s="2188"/>
      <c r="N190" s="2120"/>
      <c r="O190" s="2120"/>
      <c r="P190" s="2120"/>
      <c r="Q190" s="2188"/>
      <c r="R190" s="2120"/>
      <c r="S190" s="2120"/>
      <c r="T190" s="2120"/>
      <c r="U190" s="2188"/>
      <c r="V190" s="2120"/>
      <c r="W190" s="2120"/>
      <c r="X190" s="2120"/>
      <c r="Y190" s="2188"/>
      <c r="Z190" s="2120"/>
      <c r="AA190" s="2120"/>
      <c r="AB190" s="2120"/>
      <c r="AC190" s="2120"/>
      <c r="AD190" s="2120"/>
      <c r="AE190" s="2120"/>
      <c r="AF190" s="2120"/>
      <c r="AG190" s="2120"/>
      <c r="AH190" s="2120"/>
      <c r="AI190" s="2120"/>
      <c r="AJ190" s="2120"/>
      <c r="AK190" s="2120"/>
      <c r="AL190" s="2120"/>
      <c r="AM190" s="2120"/>
      <c r="AN190" s="2120"/>
      <c r="AO190" s="2120"/>
      <c r="AP190" s="2120"/>
      <c r="AQ190" s="2120"/>
      <c r="AR190" s="2120"/>
      <c r="AS190" s="2120"/>
      <c r="AT190" s="2120"/>
      <c r="AU190" s="2120"/>
      <c r="AV190" s="2120"/>
      <c r="AW190" s="2120"/>
      <c r="AX190" s="2120"/>
      <c r="AY190" s="2120"/>
      <c r="AZ190" s="2120"/>
      <c r="BA190" s="2120"/>
      <c r="BB190" s="2120"/>
      <c r="BC190" s="2120"/>
      <c r="BD190" s="2120"/>
      <c r="BE190" s="2120"/>
      <c r="BF190" s="2120"/>
      <c r="BG190" s="2120"/>
    </row>
    <row r="191" spans="1:59" ht="12" outlineLevel="1">
      <c r="A191" s="2151" t="s">
        <v>352</v>
      </c>
      <c r="B191" s="987">
        <v>0.10299999999999999</v>
      </c>
      <c r="C191" s="987">
        <v>0.22900000000000001</v>
      </c>
      <c r="D191" s="987">
        <v>0.27700000000000002</v>
      </c>
      <c r="E191" s="468">
        <v>8.2000000000000003E-2</v>
      </c>
      <c r="F191" s="987">
        <v>0.127</v>
      </c>
      <c r="G191" s="987">
        <v>-1.2E-2</v>
      </c>
      <c r="H191" s="987">
        <v>3.2000000000000001E-2</v>
      </c>
      <c r="I191" s="468">
        <v>8.3000000000000004E-2</v>
      </c>
      <c r="J191" s="987">
        <v>0.121</v>
      </c>
      <c r="K191" s="2189">
        <v>0.29399999999999998</v>
      </c>
      <c r="L191" s="2189">
        <v>0.26900000000000002</v>
      </c>
      <c r="M191" s="2190">
        <v>0.38600000000000001</v>
      </c>
      <c r="N191" s="2189">
        <v>0.36399999999999999</v>
      </c>
      <c r="O191" s="2189">
        <v>0.58399999999999996</v>
      </c>
      <c r="P191" s="2189">
        <v>0.84</v>
      </c>
      <c r="Q191" s="2190">
        <v>0.39900000000000002</v>
      </c>
      <c r="R191" s="2189">
        <v>0.315</v>
      </c>
      <c r="S191" s="2189"/>
      <c r="T191" s="2189"/>
      <c r="U191" s="2190"/>
      <c r="V191" s="2189"/>
      <c r="W191" s="2189"/>
      <c r="X191" s="2189"/>
      <c r="Y191" s="2190"/>
      <c r="Z191" s="2189"/>
      <c r="AA191" s="2189"/>
      <c r="AB191" s="2189"/>
      <c r="AC191" s="2189"/>
      <c r="AD191" s="2189"/>
      <c r="AE191" s="2189"/>
      <c r="AF191" s="2189"/>
      <c r="AG191" s="2189"/>
      <c r="AH191" s="2189"/>
      <c r="AI191" s="2189"/>
      <c r="AJ191" s="2189"/>
      <c r="AK191" s="2189"/>
      <c r="AL191" s="2189"/>
      <c r="AM191" s="2189"/>
      <c r="AN191" s="2189"/>
      <c r="AO191" s="2189"/>
      <c r="AP191" s="2189"/>
      <c r="AQ191" s="2189"/>
      <c r="AR191" s="2189"/>
      <c r="AS191" s="2189"/>
      <c r="AT191" s="2189"/>
      <c r="AU191" s="2189"/>
      <c r="AV191" s="2189"/>
      <c r="AW191" s="2189"/>
      <c r="AX191" s="2189"/>
      <c r="AY191" s="2189"/>
      <c r="AZ191" s="2189"/>
      <c r="BA191" s="2189"/>
      <c r="BB191" s="2189"/>
      <c r="BC191" s="2189"/>
      <c r="BD191" s="2189"/>
      <c r="BE191" s="2189"/>
      <c r="BF191" s="2189"/>
      <c r="BG191" s="2189"/>
    </row>
    <row r="192" spans="1:59" ht="12" outlineLevel="1">
      <c r="A192" s="2151" t="s">
        <v>1245</v>
      </c>
      <c r="B192" s="987">
        <v>0.24299999999999999</v>
      </c>
      <c r="C192" s="987">
        <v>0.313</v>
      </c>
      <c r="D192" s="987">
        <v>0.254</v>
      </c>
      <c r="E192" s="468">
        <v>8.6999999999999994E-2</v>
      </c>
      <c r="F192" s="987">
        <v>0.14299999999999999</v>
      </c>
      <c r="G192" s="987">
        <v>5.1999999999999998E-2</v>
      </c>
      <c r="H192" s="987">
        <v>0.121</v>
      </c>
      <c r="I192" s="468">
        <v>0.156</v>
      </c>
      <c r="J192" s="987">
        <v>0.19500000000000001</v>
      </c>
      <c r="K192" s="2189">
        <v>0.36299999999999999</v>
      </c>
      <c r="L192" s="2189">
        <v>0.30199999999999999</v>
      </c>
      <c r="M192" s="2190">
        <v>0.41499999999999998</v>
      </c>
      <c r="N192" s="2189">
        <v>0.35799999999999998</v>
      </c>
      <c r="O192" s="2189">
        <v>0.54600000000000004</v>
      </c>
      <c r="P192" s="2189">
        <v>0.79400000000000004</v>
      </c>
      <c r="Q192" s="2190">
        <v>0.36</v>
      </c>
      <c r="R192" s="2189">
        <v>0.27300000000000002</v>
      </c>
      <c r="S192" s="2189"/>
      <c r="T192" s="2189"/>
      <c r="U192" s="2190"/>
      <c r="V192" s="2189"/>
      <c r="W192" s="2189"/>
      <c r="X192" s="2189"/>
      <c r="Y192" s="2189"/>
      <c r="Z192" s="2189"/>
      <c r="AA192" s="2189"/>
      <c r="AB192" s="2189"/>
      <c r="AC192" s="2189"/>
      <c r="AD192" s="2189"/>
      <c r="AE192" s="2189"/>
      <c r="AF192" s="2189"/>
      <c r="AG192" s="2189"/>
      <c r="AH192" s="2189"/>
      <c r="AI192" s="2189"/>
      <c r="AJ192" s="2189"/>
      <c r="AK192" s="2189"/>
      <c r="AL192" s="2189"/>
      <c r="AM192" s="2189"/>
      <c r="AN192" s="2189"/>
      <c r="AO192" s="2189"/>
      <c r="AP192" s="2189"/>
      <c r="AQ192" s="2189"/>
      <c r="AR192" s="2189"/>
      <c r="AS192" s="2189"/>
      <c r="AT192" s="2189"/>
      <c r="AU192" s="2189"/>
      <c r="AV192" s="2189"/>
      <c r="AW192" s="2189"/>
      <c r="AX192" s="2189"/>
      <c r="AY192" s="2189"/>
      <c r="AZ192" s="2189"/>
      <c r="BA192" s="2189"/>
      <c r="BB192" s="2189"/>
      <c r="BC192" s="2189"/>
      <c r="BD192" s="2189"/>
      <c r="BE192" s="2189"/>
      <c r="BF192" s="2189"/>
      <c r="BG192" s="2189"/>
    </row>
    <row r="193" spans="1:59" s="2170" customFormat="1" ht="12" outlineLevel="1">
      <c r="A193" s="2191" t="s">
        <v>1447</v>
      </c>
      <c r="B193" s="1988">
        <v>0.31</v>
      </c>
      <c r="C193" s="1988">
        <v>0.36299999999999999</v>
      </c>
      <c r="D193" s="1988">
        <v>0.375</v>
      </c>
      <c r="E193" s="1989">
        <v>0.22900000000000001</v>
      </c>
      <c r="F193" s="1988">
        <v>0.27500000000000002</v>
      </c>
      <c r="G193" s="1988">
        <v>7.4999999999999997E-2</v>
      </c>
      <c r="H193" s="1988">
        <v>5.0000000000000001E-3</v>
      </c>
      <c r="I193" s="1989">
        <v>0.03</v>
      </c>
      <c r="J193" s="1988">
        <v>0.216</v>
      </c>
      <c r="K193" s="2192">
        <v>0.54500000000000004</v>
      </c>
      <c r="L193" s="2192">
        <v>0.46800000000000003</v>
      </c>
      <c r="M193" s="2193">
        <v>0.77200000000000002</v>
      </c>
      <c r="N193" s="2192">
        <v>0.65300000000000002</v>
      </c>
      <c r="O193" s="2192">
        <v>1.399</v>
      </c>
      <c r="P193" s="2192">
        <v>1.617</v>
      </c>
      <c r="Q193" s="2193">
        <v>0.97799999999999998</v>
      </c>
      <c r="R193" s="2192">
        <v>0.70799999999999996</v>
      </c>
      <c r="S193" s="2192">
        <v>0.20399999999999999</v>
      </c>
      <c r="T193" s="2192">
        <v>0.15</v>
      </c>
      <c r="U193" s="2193">
        <v>0.188</v>
      </c>
      <c r="V193" s="2192">
        <v>0.16700000000000001</v>
      </c>
      <c r="W193" s="2192">
        <v>0.16700000000000001</v>
      </c>
      <c r="X193" s="2192">
        <v>0.13100000000000001</v>
      </c>
      <c r="Y193" s="2193">
        <v>0.14899999999999999</v>
      </c>
      <c r="Z193" s="2192">
        <v>-0.16</v>
      </c>
      <c r="AA193" s="2685">
        <f>+AA136/W136-1</f>
        <v>-0.96577929442261734</v>
      </c>
      <c r="AB193" s="2685">
        <f>+AB136/X136-1</f>
        <v>-0.87162023162846036</v>
      </c>
      <c r="AC193" s="2685"/>
      <c r="AD193" s="2685"/>
      <c r="AE193" s="2685"/>
      <c r="AF193" s="2685"/>
      <c r="AG193" s="2685"/>
      <c r="AH193" s="2685"/>
      <c r="AI193" s="2685"/>
      <c r="AJ193" s="2685"/>
      <c r="AK193" s="2685"/>
      <c r="AL193" s="2685"/>
      <c r="AM193" s="2685"/>
      <c r="AN193" s="2685"/>
      <c r="AO193" s="2685"/>
      <c r="AP193" s="2685"/>
      <c r="AQ193" s="2685"/>
      <c r="AR193" s="2685"/>
      <c r="AS193" s="2685"/>
      <c r="AT193" s="2685"/>
      <c r="AU193" s="2685"/>
      <c r="AV193" s="2685"/>
      <c r="AW193" s="2685"/>
      <c r="AX193" s="2685"/>
      <c r="AY193" s="2685"/>
      <c r="AZ193" s="2685"/>
      <c r="BA193" s="2685"/>
      <c r="BB193" s="2685"/>
      <c r="BC193" s="2685"/>
      <c r="BD193" s="2685"/>
      <c r="BE193" s="2192"/>
      <c r="BF193" s="2192"/>
      <c r="BG193" s="2192" t="s">
        <v>2073</v>
      </c>
    </row>
    <row r="194" spans="1:59" s="2170" customFormat="1" ht="12" outlineLevel="1">
      <c r="A194" s="2191" t="s">
        <v>1448</v>
      </c>
      <c r="B194" s="1988">
        <v>0.45100000000000001</v>
      </c>
      <c r="C194" s="1988">
        <v>0.438</v>
      </c>
      <c r="D194" s="1988">
        <v>0.34799999999999998</v>
      </c>
      <c r="E194" s="1989">
        <v>0.22900000000000001</v>
      </c>
      <c r="F194" s="1988">
        <v>0.28399999999999997</v>
      </c>
      <c r="G194" s="1988">
        <v>0.14699999999999999</v>
      </c>
      <c r="H194" s="1988">
        <v>7.6999999999999999E-2</v>
      </c>
      <c r="I194" s="1989">
        <v>9.5000000000000001E-2</v>
      </c>
      <c r="J194" s="1988">
        <v>0.28999999999999998</v>
      </c>
      <c r="K194" s="2192">
        <v>0.626</v>
      </c>
      <c r="L194" s="2192">
        <v>0.50900000000000001</v>
      </c>
      <c r="M194" s="2193">
        <v>0.80800000000000005</v>
      </c>
      <c r="N194" s="2192">
        <v>0.64500000000000002</v>
      </c>
      <c r="O194" s="2192">
        <v>1.35</v>
      </c>
      <c r="P194" s="2192">
        <v>1.5649999999999999</v>
      </c>
      <c r="Q194" s="2193">
        <v>0.93799999999999994</v>
      </c>
      <c r="R194" s="2192">
        <v>0.67200000000000004</v>
      </c>
      <c r="S194" s="2192">
        <v>0.25</v>
      </c>
      <c r="T194" s="2192">
        <v>0.253</v>
      </c>
      <c r="U194" s="2193">
        <v>0.314</v>
      </c>
      <c r="V194" s="2192">
        <v>0.26200000000000001</v>
      </c>
      <c r="W194" s="2192">
        <v>0.21</v>
      </c>
      <c r="X194" s="2192">
        <v>0.13600000000000001</v>
      </c>
      <c r="Y194" s="2193">
        <v>0.13400000000000001</v>
      </c>
      <c r="Z194" s="2192">
        <v>-0.13</v>
      </c>
      <c r="AA194" s="2686">
        <f>+AA193</f>
        <v>-0.96577929442261734</v>
      </c>
      <c r="AB194" s="2686">
        <f>+AB193</f>
        <v>-0.87162023162846036</v>
      </c>
      <c r="AC194" s="2685"/>
      <c r="AD194" s="2685"/>
      <c r="AE194" s="2685"/>
      <c r="AF194" s="2685"/>
      <c r="AG194" s="2685"/>
      <c r="AH194" s="2685"/>
      <c r="AI194" s="2685"/>
      <c r="AJ194" s="2685"/>
      <c r="AK194" s="2685"/>
      <c r="AL194" s="2685"/>
      <c r="AM194" s="2685"/>
      <c r="AN194" s="2685"/>
      <c r="AO194" s="2685"/>
      <c r="AP194" s="2685"/>
      <c r="AQ194" s="2685"/>
      <c r="AR194" s="2685"/>
      <c r="AS194" s="2685"/>
      <c r="AT194" s="2685"/>
      <c r="AU194" s="2685"/>
      <c r="AV194" s="2685"/>
      <c r="AW194" s="2685"/>
      <c r="AX194" s="2685"/>
      <c r="AY194" s="2685"/>
      <c r="AZ194" s="2685"/>
      <c r="BA194" s="2685"/>
      <c r="BB194" s="2685"/>
      <c r="BC194" s="2685"/>
      <c r="BD194" s="2685"/>
      <c r="BE194" s="2192"/>
      <c r="BF194" s="2192"/>
      <c r="BG194" s="2192"/>
    </row>
    <row r="195" spans="1:59" s="2170" customFormat="1" ht="12" outlineLevel="1">
      <c r="A195" s="2151" t="s">
        <v>1246</v>
      </c>
      <c r="B195" s="2194"/>
      <c r="C195" s="2194"/>
      <c r="D195" s="2194"/>
      <c r="E195" s="2195"/>
      <c r="F195" s="2194"/>
      <c r="G195" s="2194"/>
      <c r="H195" s="2194"/>
      <c r="I195" s="2195"/>
      <c r="J195" s="2194"/>
      <c r="K195" s="2189"/>
      <c r="L195" s="2189"/>
      <c r="M195" s="2190"/>
      <c r="N195" s="2189"/>
      <c r="O195" s="2189"/>
      <c r="P195" s="2189"/>
      <c r="Q195" s="2190"/>
      <c r="R195" s="2189"/>
      <c r="S195" s="2189"/>
      <c r="T195" s="2189"/>
      <c r="U195" s="2190"/>
      <c r="V195" s="2189"/>
      <c r="W195" s="2189"/>
      <c r="X195" s="2189"/>
      <c r="Y195" s="2190"/>
      <c r="Z195" s="2189"/>
      <c r="AA195" s="2189"/>
      <c r="AB195" s="2189"/>
      <c r="AC195" s="2189"/>
      <c r="AD195" s="2189"/>
      <c r="AE195" s="2189"/>
      <c r="AF195" s="2189"/>
      <c r="AG195" s="2189"/>
      <c r="AH195" s="2189"/>
      <c r="AI195" s="2189"/>
      <c r="AJ195" s="2189"/>
      <c r="AK195" s="2189"/>
      <c r="AL195" s="2189"/>
      <c r="AM195" s="2189"/>
      <c r="AN195" s="2189"/>
      <c r="AO195" s="2189"/>
      <c r="AP195" s="2189"/>
      <c r="AQ195" s="2189"/>
      <c r="AR195" s="2189"/>
      <c r="AS195" s="2189"/>
      <c r="AT195" s="2189"/>
      <c r="AU195" s="2189"/>
      <c r="AV195" s="2189"/>
      <c r="AW195" s="2189"/>
      <c r="AX195" s="2189"/>
      <c r="AY195" s="2189"/>
      <c r="AZ195" s="2189"/>
      <c r="BA195" s="2189"/>
      <c r="BB195" s="2189"/>
      <c r="BC195" s="2189"/>
      <c r="BD195" s="2189"/>
      <c r="BE195" s="2189"/>
      <c r="BF195" s="2189"/>
      <c r="BG195" s="2189"/>
    </row>
    <row r="196" spans="1:59" s="2170" customFormat="1" ht="12" outlineLevel="1">
      <c r="A196" s="2143" t="s">
        <v>1880</v>
      </c>
      <c r="B196" s="987">
        <f>-B139/9.808287-1</f>
        <v>-0.14701170550984088</v>
      </c>
      <c r="C196" s="987">
        <f>-C139/9.799967-1</f>
        <v>0.10146564779248735</v>
      </c>
      <c r="D196" s="987">
        <f>-D139/10.715275-1</f>
        <v>-3.445221891178718E-2</v>
      </c>
      <c r="E196" s="468">
        <f>-E139/8.339202-1</f>
        <v>0.37173137189865413</v>
      </c>
      <c r="F196" s="987">
        <f>F139/$B139-1</f>
        <v>0.40300063803181185</v>
      </c>
      <c r="G196" s="987">
        <f>G139/$C139-1</f>
        <v>0.1514381582103268</v>
      </c>
      <c r="H196" s="987">
        <f>H139/$D139-1</f>
        <v>0.22007208506385489</v>
      </c>
      <c r="I196" s="468">
        <f>I139/$E139-1</f>
        <v>6.5551664919012653E-2</v>
      </c>
      <c r="J196" s="987">
        <f>J139/$F139-1</f>
        <v>3.3225421707274716E-3</v>
      </c>
      <c r="K196" s="2189">
        <f>K139/$G139-1</f>
        <v>5.7285380963874699E-2</v>
      </c>
      <c r="L196" s="2189">
        <f>L139/$H139-1</f>
        <v>0.12833716232274428</v>
      </c>
      <c r="M196" s="2190">
        <f>M139/$I139-1</f>
        <v>0.12002625317909588</v>
      </c>
      <c r="N196" s="2189">
        <f>N139/$J139-1</f>
        <v>1.7765984546149278</v>
      </c>
      <c r="O196" s="2189">
        <f>O139/$K139-1</f>
        <v>1.2693097937752076</v>
      </c>
      <c r="P196" s="2189">
        <f>P139/$L139-1</f>
        <v>1.0371410517447166</v>
      </c>
      <c r="Q196" s="2190">
        <f>Q139/$M139-1</f>
        <v>0.96996777029006731</v>
      </c>
      <c r="R196" s="2189">
        <f>R139/N139-1</f>
        <v>-0.13067278287461781</v>
      </c>
      <c r="S196" s="2189">
        <f t="shared" ref="S196:AB196" si="94">S139/O139-1</f>
        <v>-9.5905569900405885E-2</v>
      </c>
      <c r="T196" s="2189">
        <f t="shared" si="94"/>
        <v>-9.3055316215749917E-3</v>
      </c>
      <c r="U196" s="2189">
        <f t="shared" si="94"/>
        <v>0.1022904737116086</v>
      </c>
      <c r="V196" s="2189">
        <f t="shared" si="94"/>
        <v>-7.4225208428606582E-3</v>
      </c>
      <c r="W196" s="2189">
        <f t="shared" si="94"/>
        <v>0.15563220948777867</v>
      </c>
      <c r="X196" s="2189">
        <f t="shared" si="94"/>
        <v>0.13285788832840484</v>
      </c>
      <c r="Y196" s="2189">
        <f t="shared" si="94"/>
        <v>6.7937257547647123E-2</v>
      </c>
      <c r="Z196" s="2189">
        <f t="shared" si="94"/>
        <v>0.22115111993195358</v>
      </c>
      <c r="AA196" s="2189">
        <f t="shared" si="94"/>
        <v>-0.19825400391565295</v>
      </c>
      <c r="AB196" s="2189">
        <f t="shared" si="94"/>
        <v>-0.22134872865741306</v>
      </c>
      <c r="AC196" s="2189"/>
      <c r="AD196" s="2189"/>
      <c r="AE196" s="2189"/>
      <c r="AF196" s="2189"/>
      <c r="AG196" s="2189"/>
      <c r="AH196" s="2189"/>
      <c r="AI196" s="2189"/>
      <c r="AJ196" s="2189"/>
      <c r="AK196" s="2189"/>
      <c r="AL196" s="2189"/>
      <c r="AM196" s="2189"/>
      <c r="AN196" s="2189"/>
      <c r="AO196" s="2189"/>
      <c r="AP196" s="2189"/>
      <c r="AQ196" s="2189"/>
      <c r="AR196" s="2189"/>
      <c r="AS196" s="2189"/>
      <c r="AT196" s="2189"/>
      <c r="AU196" s="2189"/>
      <c r="AV196" s="2189"/>
      <c r="AW196" s="2189"/>
      <c r="AX196" s="2189"/>
      <c r="AY196" s="2189"/>
      <c r="AZ196" s="2189"/>
      <c r="BA196" s="2189"/>
      <c r="BB196" s="2189"/>
      <c r="BC196" s="2189"/>
      <c r="BD196" s="2189"/>
      <c r="BE196" s="2189"/>
      <c r="BF196" s="2189"/>
      <c r="BG196" s="2189"/>
    </row>
    <row r="197" spans="1:59" s="2170" customFormat="1" ht="12" outlineLevel="1">
      <c r="A197" s="2143" t="s">
        <v>1881</v>
      </c>
      <c r="B197" s="987"/>
      <c r="C197" s="987"/>
      <c r="D197" s="987"/>
      <c r="E197" s="468"/>
      <c r="F197" s="987" t="e">
        <f>F140/$B140-1</f>
        <v>#DIV/0!</v>
      </c>
      <c r="G197" s="987" t="e">
        <f>G140/$C140-1</f>
        <v>#DIV/0!</v>
      </c>
      <c r="H197" s="987" t="e">
        <f>H140/$D140-1</f>
        <v>#DIV/0!</v>
      </c>
      <c r="I197" s="468" t="e">
        <f>I140/$E140-1</f>
        <v>#DIV/0!</v>
      </c>
      <c r="J197" s="987">
        <f>J140/$F140-1</f>
        <v>3.1788701278207352</v>
      </c>
      <c r="K197" s="2189">
        <f>K140/$G140-1</f>
        <v>3.2919178751833149</v>
      </c>
      <c r="L197" s="2189">
        <f>L140/$H140-1</f>
        <v>2.2745124593716137</v>
      </c>
      <c r="M197" s="2190">
        <f>M140/$I140-1</f>
        <v>0.53834467041883927</v>
      </c>
      <c r="N197" s="2189">
        <f>N140/$J140-1</f>
        <v>0.48849196608953416</v>
      </c>
      <c r="O197" s="2189">
        <f>O140/$K140-1</f>
        <v>1.5251238633990769</v>
      </c>
      <c r="P197" s="2189">
        <f>P140/$L140-1</f>
        <v>1.3976798047892802</v>
      </c>
      <c r="Q197" s="2190">
        <f t="shared" ref="Q197:AB197" si="95">Q140/M140-1</f>
        <v>1.4459283533848089</v>
      </c>
      <c r="R197" s="2189">
        <f t="shared" si="95"/>
        <v>0.19082894653390015</v>
      </c>
      <c r="S197" s="2189">
        <f t="shared" si="95"/>
        <v>-0.57954759023011393</v>
      </c>
      <c r="T197" s="2189">
        <f t="shared" si="95"/>
        <v>-0.61400467454957863</v>
      </c>
      <c r="U197" s="2190">
        <f t="shared" si="95"/>
        <v>-0.5439520606399868</v>
      </c>
      <c r="V197" s="2189">
        <f t="shared" si="95"/>
        <v>-0.55581120378359383</v>
      </c>
      <c r="W197" s="2189">
        <f t="shared" si="95"/>
        <v>-2.508537610184336E-2</v>
      </c>
      <c r="X197" s="2189">
        <f t="shared" si="95"/>
        <v>-0.10503854317953298</v>
      </c>
      <c r="Y197" s="2190">
        <f t="shared" si="95"/>
        <v>-9.461526078557625E-2</v>
      </c>
      <c r="Z197" s="2189">
        <f t="shared" si="95"/>
        <v>-0.35182254196642693</v>
      </c>
      <c r="AA197" s="2189">
        <f t="shared" si="95"/>
        <v>-0.98378755089315184</v>
      </c>
      <c r="AB197" s="2189">
        <f t="shared" si="95"/>
        <v>-0.94272731812053723</v>
      </c>
      <c r="AC197" s="2189"/>
      <c r="AD197" s="2189"/>
      <c r="AE197" s="2189"/>
      <c r="AF197" s="2189"/>
      <c r="AG197" s="2189"/>
      <c r="AH197" s="2189"/>
      <c r="AI197" s="2189"/>
      <c r="AJ197" s="2189"/>
      <c r="AK197" s="2189"/>
      <c r="AL197" s="2189"/>
      <c r="AM197" s="2189"/>
      <c r="AN197" s="2189"/>
      <c r="AO197" s="2189"/>
      <c r="AP197" s="2189"/>
      <c r="AQ197" s="2189"/>
      <c r="AR197" s="2189"/>
      <c r="AS197" s="2189"/>
      <c r="AT197" s="2189"/>
      <c r="AU197" s="2189"/>
      <c r="AV197" s="2189"/>
      <c r="AW197" s="2189"/>
      <c r="AX197" s="2189"/>
      <c r="AY197" s="2189"/>
      <c r="AZ197" s="2189"/>
      <c r="BA197" s="2189"/>
      <c r="BB197" s="2189"/>
      <c r="BC197" s="2189"/>
      <c r="BD197" s="2189"/>
      <c r="BE197" s="2189"/>
      <c r="BF197" s="2189"/>
      <c r="BG197" s="2189"/>
    </row>
    <row r="198" spans="1:59" ht="12" outlineLevel="1">
      <c r="A198" s="2143" t="s">
        <v>1882</v>
      </c>
      <c r="B198" s="987">
        <f>-B148/19.409091-1</f>
        <v>0.15833827560497293</v>
      </c>
      <c r="C198" s="987">
        <f>-C148/20.451845-1</f>
        <v>0.28463500481252435</v>
      </c>
      <c r="D198" s="987">
        <f>-D148/17.208352-1</f>
        <v>0.36650424166125828</v>
      </c>
      <c r="E198" s="468">
        <f>-E148/19.973516-1</f>
        <v>0.23322954256025841</v>
      </c>
      <c r="F198" s="987">
        <f>F148/$B148-1</f>
        <v>0.2300346766230652</v>
      </c>
      <c r="G198" s="987">
        <f>G148/$C148-1</f>
        <v>-1.6889160936737102</v>
      </c>
      <c r="H198" s="987">
        <f>H148/$D148-1</f>
        <v>0.20874566441590381</v>
      </c>
      <c r="I198" s="468">
        <f>I148/$E148-1</f>
        <v>0.57608437503679166</v>
      </c>
      <c r="J198" s="987">
        <f>J148/$F148-1</f>
        <v>-0.3892384465176828</v>
      </c>
      <c r="K198" s="2189">
        <f>K148/$G148-1</f>
        <v>-2.0314364640883977</v>
      </c>
      <c r="L198" s="2189">
        <f>L148/$H148-1</f>
        <v>-0.38717281170841544</v>
      </c>
      <c r="M198" s="2190">
        <f>M148/$I148-1</f>
        <v>-0.5311421359023234</v>
      </c>
      <c r="N198" s="2189">
        <f>N148/$J148-1</f>
        <v>0.61604499703966842</v>
      </c>
      <c r="O198" s="2189">
        <f>O148/$K148-1</f>
        <v>0.58546253146928051</v>
      </c>
      <c r="P198" s="2189">
        <f>P148/$L148-1</f>
        <v>0.62305528445949809</v>
      </c>
      <c r="Q198" s="2190">
        <f t="shared" ref="Q198:AB200" si="96">Q148/M148-1</f>
        <v>0.79277002527194784</v>
      </c>
      <c r="R198" s="2189">
        <f t="shared" si="96"/>
        <v>0.10141051474629048</v>
      </c>
      <c r="S198" s="2189">
        <f t="shared" si="96"/>
        <v>0.1143619716882327</v>
      </c>
      <c r="T198" s="2189">
        <f t="shared" si="96"/>
        <v>9.5111771363893594E-2</v>
      </c>
      <c r="U198" s="2190">
        <f t="shared" si="96"/>
        <v>3.0614121108114789E-2</v>
      </c>
      <c r="V198" s="2189">
        <f t="shared" si="96"/>
        <v>0.18837108738316211</v>
      </c>
      <c r="W198" s="2189">
        <f t="shared" si="96"/>
        <v>0.25100048508367689</v>
      </c>
      <c r="X198" s="2189">
        <f t="shared" si="96"/>
        <v>0.22967604405542463</v>
      </c>
      <c r="Y198" s="2190">
        <f t="shared" si="96"/>
        <v>0.19749635752728145</v>
      </c>
      <c r="Z198" s="2189">
        <f t="shared" si="96"/>
        <v>0.84159995521468978</v>
      </c>
      <c r="AA198" s="2189">
        <f t="shared" si="96"/>
        <v>-0.81516128250490749</v>
      </c>
      <c r="AB198" s="2189">
        <f t="shared" si="96"/>
        <v>-0.72924984240386637</v>
      </c>
      <c r="AC198" s="2189"/>
      <c r="AD198" s="2189"/>
      <c r="AE198" s="2189"/>
      <c r="AF198" s="2189"/>
      <c r="AG198" s="2189"/>
      <c r="AH198" s="2189"/>
      <c r="AI198" s="2189"/>
      <c r="AJ198" s="2189"/>
      <c r="AK198" s="2189"/>
      <c r="AL198" s="2189"/>
      <c r="AM198" s="2189"/>
      <c r="AN198" s="2189"/>
      <c r="AO198" s="2189"/>
      <c r="AP198" s="2189"/>
      <c r="AQ198" s="2189"/>
      <c r="AR198" s="2189"/>
      <c r="AS198" s="2189"/>
      <c r="AT198" s="2189"/>
      <c r="AU198" s="2189"/>
      <c r="AV198" s="2189"/>
      <c r="AW198" s="2189"/>
      <c r="AX198" s="2189"/>
      <c r="AY198" s="2189"/>
      <c r="AZ198" s="2189"/>
      <c r="BA198" s="2189"/>
      <c r="BB198" s="2189"/>
      <c r="BC198" s="2189"/>
      <c r="BD198" s="2189"/>
      <c r="BE198" s="2189"/>
      <c r="BF198" s="2189"/>
      <c r="BG198" s="2189"/>
    </row>
    <row r="199" spans="1:59" ht="12">
      <c r="A199" s="2145" t="s">
        <v>1883</v>
      </c>
      <c r="B199" s="987">
        <f>-B149/1.248655-1</f>
        <v>0.33088563294104456</v>
      </c>
      <c r="C199" s="987">
        <f>-C149/1.316395-1</f>
        <v>0.54629271609205432</v>
      </c>
      <c r="D199" s="987">
        <f>-D149/1.302765-1</f>
        <v>0.47332020740501934</v>
      </c>
      <c r="E199" s="468">
        <f>-E149/1.411168-1</f>
        <v>0.36079687181115205</v>
      </c>
      <c r="F199" s="987">
        <f>F149/$B149-1</f>
        <v>0.2510402769980089</v>
      </c>
      <c r="G199" s="987">
        <f>G149/$C149-1</f>
        <v>1.5459349202076034E-2</v>
      </c>
      <c r="H199" s="987">
        <f>H149/$D149-1</f>
        <v>0.13994550351934731</v>
      </c>
      <c r="I199" s="468">
        <f>I149/$E149-1</f>
        <v>0.21542686010041079</v>
      </c>
      <c r="J199" s="987">
        <f>J149/$F149-1</f>
        <v>1.0846560846560842</v>
      </c>
      <c r="K199" s="2189">
        <f>K149/$G149-1</f>
        <v>5.999032414126737E-2</v>
      </c>
      <c r="L199" s="2189">
        <f>L149/$H149-1</f>
        <v>0.14076782449725767</v>
      </c>
      <c r="M199" s="2190">
        <f>M149/$I149-1</f>
        <v>0.4468723221936588</v>
      </c>
      <c r="N199" s="2189">
        <f>N149/$J149-1</f>
        <v>3.9926165205353028</v>
      </c>
      <c r="O199" s="2189">
        <f>O149/$K149-1</f>
        <v>2.39890460976723</v>
      </c>
      <c r="P199" s="2189">
        <f>P149/$L149-1</f>
        <v>2.0877403846153846</v>
      </c>
      <c r="Q199" s="2190">
        <f t="shared" si="96"/>
        <v>1.0524133846609418</v>
      </c>
      <c r="R199" s="2189">
        <f t="shared" si="96"/>
        <v>-0.50887327849154262</v>
      </c>
      <c r="S199" s="2189">
        <f t="shared" si="96"/>
        <v>-9.7891768497381459E-2</v>
      </c>
      <c r="T199" s="2189">
        <f t="shared" si="96"/>
        <v>-0.14233813416374719</v>
      </c>
      <c r="U199" s="2190">
        <f t="shared" si="96"/>
        <v>-4.9776367046602155E-2</v>
      </c>
      <c r="V199" s="2189">
        <f t="shared" si="96"/>
        <v>-0.35042815470029176</v>
      </c>
      <c r="W199" s="2189">
        <f t="shared" si="96"/>
        <v>0.21643346233998217</v>
      </c>
      <c r="X199" s="2189">
        <f t="shared" si="96"/>
        <v>0.29304084720121026</v>
      </c>
      <c r="Y199" s="2190">
        <f t="shared" si="96"/>
        <v>0.28940176131187378</v>
      </c>
      <c r="Z199" s="2189">
        <f t="shared" si="96"/>
        <v>0.22714761697812547</v>
      </c>
      <c r="AA199" s="2189">
        <f t="shared" si="96"/>
        <v>3.805677924620654E-2</v>
      </c>
      <c r="AB199" s="2189">
        <f t="shared" si="96"/>
        <v>3.7791037791037541E-2</v>
      </c>
      <c r="AC199" s="2189"/>
      <c r="AD199" s="2189"/>
      <c r="AE199" s="2189"/>
      <c r="AF199" s="2189"/>
      <c r="AG199" s="2189"/>
      <c r="AH199" s="2189"/>
      <c r="AI199" s="2189"/>
      <c r="AJ199" s="2189"/>
      <c r="AK199" s="2189"/>
      <c r="AL199" s="2189"/>
      <c r="AM199" s="2189"/>
      <c r="AN199" s="2189"/>
      <c r="AO199" s="2189"/>
      <c r="AP199" s="2189"/>
      <c r="AQ199" s="2189"/>
      <c r="AR199" s="2189"/>
      <c r="AS199" s="2189"/>
      <c r="AT199" s="2189"/>
      <c r="AU199" s="2189"/>
      <c r="AV199" s="2189"/>
      <c r="AW199" s="2189"/>
      <c r="AX199" s="2189"/>
      <c r="AY199" s="2189"/>
      <c r="AZ199" s="2189"/>
      <c r="BA199" s="2189"/>
      <c r="BB199" s="2189"/>
      <c r="BC199" s="2189"/>
      <c r="BD199" s="2189"/>
      <c r="BE199" s="2189"/>
      <c r="BF199" s="2189"/>
      <c r="BG199" s="2189"/>
    </row>
    <row r="200" spans="1:59" ht="12">
      <c r="A200" s="2143" t="s">
        <v>1884</v>
      </c>
      <c r="B200" s="987">
        <f>B150/2.867133-1</f>
        <v>-0.28097685039375564</v>
      </c>
      <c r="C200" s="987">
        <f>C150/3.009379-1</f>
        <v>-0.14686584840261074</v>
      </c>
      <c r="D200" s="987">
        <f>D150/4.010111-1</f>
        <v>-0.36578289229400385</v>
      </c>
      <c r="E200" s="468">
        <f>E150/2.015778-1</f>
        <v>0.7943434247223653</v>
      </c>
      <c r="F200" s="987">
        <f>F150/$B150-1</f>
        <v>0.73657008006170144</v>
      </c>
      <c r="G200" s="987">
        <f>G150/$C150-1</f>
        <v>0.52488661698743178</v>
      </c>
      <c r="H200" s="987">
        <f>H150/$D150-1</f>
        <v>0.51890412423951582</v>
      </c>
      <c r="I200" s="468">
        <f>I150/$E150-1</f>
        <v>-0.13215323868025375</v>
      </c>
      <c r="J200" s="987">
        <f>J150/$F150-1</f>
        <v>-0.22653631284916198</v>
      </c>
      <c r="K200" s="2189">
        <f>K150/$G150-1</f>
        <v>-0.19463601532567054</v>
      </c>
      <c r="L200" s="2189">
        <f>L150/$H150-1</f>
        <v>-0.161273621537665</v>
      </c>
      <c r="M200" s="2190">
        <f>M150/$I150-1</f>
        <v>-0.12774769034724431</v>
      </c>
      <c r="N200" s="2189">
        <f>N150/$J150-1</f>
        <v>5.3795594077284212</v>
      </c>
      <c r="O200" s="2189">
        <f>O150/$K150-1</f>
        <v>2.8024104027909931</v>
      </c>
      <c r="P200" s="2189">
        <f>P150/$L150-1</f>
        <v>2.2999999999999998</v>
      </c>
      <c r="Q200" s="2190">
        <f>Q150/$M150-1</f>
        <v>2.8688823959094227</v>
      </c>
      <c r="R200" s="2189">
        <f>R150/N150-1</f>
        <v>-0.3441268044155108</v>
      </c>
      <c r="S200" s="2189">
        <f t="shared" si="96"/>
        <v>-0.23346400867461847</v>
      </c>
      <c r="T200" s="2189">
        <f t="shared" si="96"/>
        <v>0.24897119341563778</v>
      </c>
      <c r="U200" s="2189">
        <f t="shared" si="96"/>
        <v>0.34692721608609456</v>
      </c>
      <c r="V200" s="2189">
        <f t="shared" si="96"/>
        <v>-0.22345934748834806</v>
      </c>
      <c r="W200" s="2189">
        <f t="shared" si="96"/>
        <v>-9.5756256800869632E-3</v>
      </c>
      <c r="X200" s="2189">
        <f t="shared" si="96"/>
        <v>-0.86019170286056612</v>
      </c>
      <c r="Y200" s="2189">
        <f t="shared" si="96"/>
        <v>-0.69238856181665265</v>
      </c>
      <c r="Z200" s="2189">
        <f t="shared" si="96"/>
        <v>0.48605090585750799</v>
      </c>
      <c r="AA200" s="2189">
        <f t="shared" si="96"/>
        <v>7.5258185014282608E-2</v>
      </c>
      <c r="AB200" s="2189">
        <f t="shared" si="96"/>
        <v>4.1505088377075516</v>
      </c>
      <c r="AC200" s="2189"/>
      <c r="AD200" s="2189"/>
      <c r="AE200" s="2189"/>
      <c r="AF200" s="2189"/>
      <c r="AG200" s="2189"/>
      <c r="AH200" s="2189"/>
      <c r="AI200" s="2189"/>
      <c r="AJ200" s="2189"/>
      <c r="AK200" s="2189"/>
      <c r="AL200" s="2189"/>
      <c r="AM200" s="2189"/>
      <c r="AN200" s="2189"/>
      <c r="AO200" s="2189"/>
      <c r="AP200" s="2189"/>
      <c r="AQ200" s="2189"/>
      <c r="AR200" s="2189"/>
      <c r="AS200" s="2189"/>
      <c r="AT200" s="2189"/>
      <c r="AU200" s="2189"/>
      <c r="AV200" s="2189"/>
      <c r="AW200" s="2189"/>
      <c r="AX200" s="2189"/>
      <c r="AY200" s="2189"/>
      <c r="AZ200" s="2189"/>
      <c r="BA200" s="2189"/>
      <c r="BB200" s="2189"/>
      <c r="BC200" s="2189"/>
      <c r="BD200" s="2189"/>
      <c r="BE200" s="2189"/>
      <c r="BF200" s="2189"/>
      <c r="BG200" s="2189"/>
    </row>
    <row r="201" spans="1:59" s="2170" customFormat="1" ht="12">
      <c r="A201" s="2151" t="s">
        <v>1231</v>
      </c>
      <c r="B201" s="987">
        <f>B157/-8.69277-1</f>
        <v>-0.6762488826921691</v>
      </c>
      <c r="C201" s="987">
        <f>C157/-5.447684-1</f>
        <v>-0.38285810997847969</v>
      </c>
      <c r="D201" s="987">
        <f>D157/-5.8835-1</f>
        <v>-0.44180096881108111</v>
      </c>
      <c r="E201" s="468">
        <f>E157/-1.176112-1</f>
        <v>1.4754521678207508</v>
      </c>
      <c r="F201" s="987">
        <f t="shared" ref="F201:M201" si="97">F157/B157-1</f>
        <v>5.2736871130024205</v>
      </c>
      <c r="G201" s="987">
        <f t="shared" si="97"/>
        <v>-10.688892960546641</v>
      </c>
      <c r="H201" s="987">
        <f t="shared" si="97"/>
        <v>6.2806960919125752</v>
      </c>
      <c r="I201" s="468">
        <f t="shared" si="97"/>
        <v>14.804718608756113</v>
      </c>
      <c r="J201" s="987">
        <f t="shared" si="97"/>
        <v>0.95395333031264351</v>
      </c>
      <c r="K201" s="2189">
        <f t="shared" si="97"/>
        <v>-1.8538097869466448</v>
      </c>
      <c r="L201" s="2189">
        <f t="shared" si="97"/>
        <v>0.21759859478900867</v>
      </c>
      <c r="M201" s="2190">
        <f t="shared" si="97"/>
        <v>-0.93165123658017102</v>
      </c>
      <c r="N201" s="2189">
        <f t="shared" ref="N201:AB201" si="98">N157/J157-1</f>
        <v>1.1831357430650153</v>
      </c>
      <c r="O201" s="2189">
        <f t="shared" si="98"/>
        <v>1.0138069897885784</v>
      </c>
      <c r="P201" s="2189">
        <f t="shared" si="98"/>
        <v>1.115236655904376</v>
      </c>
      <c r="Q201" s="2190">
        <f t="shared" si="98"/>
        <v>14.315739268680407</v>
      </c>
      <c r="R201" s="2189">
        <f t="shared" si="98"/>
        <v>-0.44643900366455957</v>
      </c>
      <c r="S201" s="2189">
        <f t="shared" si="98"/>
        <v>-0.18684830738465852</v>
      </c>
      <c r="T201" s="2189">
        <f t="shared" si="98"/>
        <v>-0.35185034831041007</v>
      </c>
      <c r="U201" s="2190">
        <f t="shared" si="98"/>
        <v>-0.24059541604384782</v>
      </c>
      <c r="V201" s="2189">
        <f t="shared" si="98"/>
        <v>-0.25690780005756542</v>
      </c>
      <c r="W201" s="2189">
        <f t="shared" si="98"/>
        <v>-5.8076982192653337E-2</v>
      </c>
      <c r="X201" s="2189">
        <f t="shared" si="98"/>
        <v>-0.20130276838281369</v>
      </c>
      <c r="Y201" s="2190">
        <f t="shared" si="98"/>
        <v>-0.33366139041526588</v>
      </c>
      <c r="Z201" s="2189">
        <f t="shared" si="98"/>
        <v>9.6600174300377635</v>
      </c>
      <c r="AA201" s="2189">
        <f t="shared" si="98"/>
        <v>-0.19373863583383821</v>
      </c>
      <c r="AB201" s="2189">
        <f t="shared" si="98"/>
        <v>-0.18224592220828117</v>
      </c>
      <c r="AC201" s="2189"/>
      <c r="AD201" s="2189"/>
      <c r="AE201" s="2189"/>
      <c r="AF201" s="2189"/>
      <c r="AG201" s="2189"/>
      <c r="AH201" s="2189"/>
      <c r="AI201" s="2189"/>
      <c r="AJ201" s="2189"/>
      <c r="AK201" s="2189"/>
      <c r="AL201" s="2189"/>
      <c r="AM201" s="2189"/>
      <c r="AN201" s="2189"/>
      <c r="AO201" s="2189"/>
      <c r="AP201" s="2189"/>
      <c r="AQ201" s="2189"/>
      <c r="AR201" s="2189"/>
      <c r="AS201" s="2189"/>
      <c r="AT201" s="2189"/>
      <c r="AU201" s="2189"/>
      <c r="AV201" s="2189"/>
      <c r="AW201" s="2189"/>
      <c r="AX201" s="2189"/>
      <c r="AY201" s="2189"/>
      <c r="AZ201" s="2189"/>
      <c r="BA201" s="2189"/>
      <c r="BB201" s="2189"/>
      <c r="BC201" s="2189"/>
      <c r="BD201" s="2189"/>
      <c r="BE201" s="2189"/>
      <c r="BF201" s="2189"/>
      <c r="BG201" s="2189"/>
    </row>
    <row r="202" spans="1:59" s="2243" customFormat="1" ht="12">
      <c r="A202" s="2151" t="s">
        <v>1247</v>
      </c>
      <c r="B202" s="987">
        <f>B166/-20.407056-1</f>
        <v>-0.86734735279797337</v>
      </c>
      <c r="C202" s="987">
        <f>C166/-9.141832-1</f>
        <v>-0.56554036433835142</v>
      </c>
      <c r="D202" s="987">
        <f>D166/-7.45201-1</f>
        <v>-0.36326279755394852</v>
      </c>
      <c r="E202" s="468">
        <f>E166/-1.633438-1</f>
        <v>1.2105748733652582</v>
      </c>
      <c r="F202" s="987">
        <f>F166/B166-1</f>
        <v>1.1972257623612421</v>
      </c>
      <c r="G202" s="987">
        <f t="shared" ref="G202:M202" si="99">G166/C166-1</f>
        <v>0.74028773663645575</v>
      </c>
      <c r="H202" s="987">
        <f t="shared" si="99"/>
        <v>1.5749361640068691</v>
      </c>
      <c r="I202" s="468">
        <f t="shared" si="99"/>
        <v>4.3921016096821868</v>
      </c>
      <c r="J202" s="987">
        <f t="shared" si="99"/>
        <v>7.3925689307330185</v>
      </c>
      <c r="K202" s="2189">
        <f t="shared" si="99"/>
        <v>1.0708912037037037</v>
      </c>
      <c r="L202" s="2189">
        <f t="shared" si="99"/>
        <v>2.2258143722376817</v>
      </c>
      <c r="M202" s="2190">
        <f t="shared" si="99"/>
        <v>-1.8503338469440165</v>
      </c>
      <c r="N202" s="2189">
        <f t="shared" ref="N202:AB202" si="100">N166/J166-1</f>
        <v>0.46433221819347348</v>
      </c>
      <c r="O202" s="2189">
        <f t="shared" si="100"/>
        <v>3.6671091239346101</v>
      </c>
      <c r="P202" s="2189">
        <f t="shared" si="100"/>
        <v>0.82992921117397844</v>
      </c>
      <c r="Q202" s="2190">
        <f t="shared" si="100"/>
        <v>-2.0310461464121765</v>
      </c>
      <c r="R202" s="2189">
        <f t="shared" si="100"/>
        <v>-0.12744534734192459</v>
      </c>
      <c r="S202" s="2189">
        <f t="shared" si="100"/>
        <v>0.60185614849187918</v>
      </c>
      <c r="T202" s="2189">
        <f t="shared" si="100"/>
        <v>0.47787806940920352</v>
      </c>
      <c r="U202" s="2190">
        <f t="shared" si="100"/>
        <v>-1.7041593438781488</v>
      </c>
      <c r="V202" s="2189">
        <f t="shared" si="100"/>
        <v>-0.36794079834436044</v>
      </c>
      <c r="W202" s="2189">
        <f t="shared" si="100"/>
        <v>-0.6694202519343625</v>
      </c>
      <c r="X202" s="2189">
        <f t="shared" si="100"/>
        <v>-0.44241901134263384</v>
      </c>
      <c r="Y202" s="2190">
        <f t="shared" si="100"/>
        <v>-4.3272878535773707</v>
      </c>
      <c r="Z202" s="2189">
        <f t="shared" si="100"/>
        <v>8.6316912238924441</v>
      </c>
      <c r="AA202" s="2189">
        <f t="shared" si="100"/>
        <v>9.5516734509272005E-2</v>
      </c>
      <c r="AB202" s="2189">
        <f t="shared" si="100"/>
        <v>-0.90523623637097861</v>
      </c>
      <c r="AC202" s="2189"/>
      <c r="AD202" s="2189"/>
      <c r="AE202" s="2189"/>
      <c r="AF202" s="2189"/>
      <c r="AG202" s="2189"/>
      <c r="AH202" s="2189"/>
      <c r="AI202" s="2189"/>
      <c r="AJ202" s="2189"/>
      <c r="AK202" s="2189"/>
      <c r="AL202" s="2189"/>
      <c r="AM202" s="2189"/>
      <c r="AN202" s="2189"/>
      <c r="AO202" s="2189"/>
      <c r="AP202" s="2189"/>
      <c r="AQ202" s="2189"/>
      <c r="AR202" s="2189"/>
      <c r="AS202" s="2189"/>
      <c r="AT202" s="2189"/>
      <c r="AU202" s="2189"/>
      <c r="AV202" s="2189"/>
      <c r="AW202" s="2189"/>
      <c r="AX202" s="2189"/>
      <c r="AY202" s="2189"/>
      <c r="AZ202" s="2189"/>
      <c r="BA202" s="2189"/>
      <c r="BB202" s="2189"/>
      <c r="BC202" s="2189"/>
      <c r="BD202" s="2189"/>
      <c r="BE202" s="2189"/>
      <c r="BF202" s="2189"/>
      <c r="BG202" s="2189"/>
    </row>
    <row r="203" spans="1:59" s="2229" customFormat="1" ht="15">
      <c r="A203" s="2196"/>
      <c r="B203" s="2197"/>
      <c r="C203" s="2197"/>
      <c r="D203" s="2197"/>
      <c r="E203" s="2198"/>
      <c r="F203" s="2197"/>
      <c r="G203" s="2197"/>
      <c r="H203" s="2197"/>
      <c r="I203" s="2198"/>
      <c r="J203" s="2197"/>
      <c r="K203" s="2197"/>
      <c r="L203" s="2197"/>
      <c r="M203" s="2198"/>
      <c r="N203" s="2197"/>
      <c r="O203" s="2197"/>
      <c r="P203" s="2197"/>
      <c r="Q203" s="2198"/>
      <c r="R203" s="2197"/>
      <c r="S203" s="2197"/>
      <c r="T203" s="2197"/>
      <c r="U203" s="2198"/>
      <c r="V203" s="2197"/>
      <c r="W203" s="2199"/>
      <c r="X203" s="2199"/>
      <c r="Y203" s="2644" t="s">
        <v>305</v>
      </c>
      <c r="Z203" s="2197"/>
      <c r="AA203" s="2197"/>
      <c r="AB203" s="2197"/>
      <c r="AC203" s="2197"/>
      <c r="AD203" s="2197"/>
      <c r="AE203" s="2197"/>
      <c r="AF203" s="2197"/>
      <c r="AG203" s="2197"/>
      <c r="AH203" s="2197"/>
      <c r="AI203" s="2197"/>
      <c r="AJ203" s="2197"/>
      <c r="AK203" s="2197"/>
      <c r="AL203" s="2197"/>
      <c r="AM203" s="2197"/>
      <c r="AN203" s="2197"/>
      <c r="AO203" s="2197"/>
      <c r="AP203" s="2197"/>
      <c r="AQ203" s="2197"/>
      <c r="AR203" s="2197"/>
      <c r="AS203" s="2197"/>
      <c r="AT203" s="2197"/>
      <c r="AU203" s="2197"/>
      <c r="AV203" s="2197"/>
      <c r="AW203" s="2197"/>
      <c r="AX203" s="2197"/>
      <c r="AY203" s="2197"/>
      <c r="AZ203" s="2197"/>
      <c r="BA203" s="2197"/>
      <c r="BB203" s="2197"/>
      <c r="BC203" s="2197"/>
      <c r="BD203" s="2197"/>
      <c r="BE203" s="2197"/>
      <c r="BF203" s="2197"/>
      <c r="BG203" s="2197"/>
    </row>
    <row r="204" spans="1:59" s="2248" customFormat="1" ht="15">
      <c r="A204" s="2196"/>
      <c r="B204" s="2093"/>
      <c r="C204" s="2093"/>
      <c r="D204" s="2093"/>
      <c r="E204" s="2094"/>
      <c r="F204" s="2093"/>
      <c r="G204" s="2093"/>
      <c r="H204" s="2093"/>
      <c r="I204" s="2094"/>
      <c r="J204" s="2197"/>
      <c r="K204" s="2197"/>
      <c r="L204" s="2197"/>
      <c r="M204" s="2198"/>
      <c r="N204" s="2197"/>
      <c r="O204" s="2197"/>
      <c r="P204" s="2197"/>
      <c r="Q204" s="2198"/>
      <c r="R204" s="2197"/>
      <c r="S204" s="2197"/>
      <c r="T204" s="2197"/>
      <c r="U204" s="2198"/>
      <c r="V204" s="2197"/>
      <c r="W204" s="2199"/>
      <c r="X204" s="2199"/>
      <c r="Y204" s="2644" t="s">
        <v>305</v>
      </c>
      <c r="Z204" s="2197"/>
      <c r="AA204" s="2197"/>
      <c r="AB204" s="2197"/>
      <c r="AC204" s="2197"/>
      <c r="AD204" s="2197"/>
      <c r="AE204" s="2197"/>
      <c r="AF204" s="2197"/>
      <c r="AG204" s="2197"/>
      <c r="AH204" s="2197"/>
      <c r="AI204" s="2197"/>
      <c r="AJ204" s="2197"/>
      <c r="AK204" s="2197"/>
      <c r="AL204" s="2197"/>
      <c r="AM204" s="2197"/>
      <c r="AN204" s="2197"/>
      <c r="AO204" s="2197"/>
      <c r="AP204" s="2197"/>
      <c r="AQ204" s="2197"/>
      <c r="AR204" s="2197"/>
      <c r="AS204" s="2197"/>
      <c r="AT204" s="2197"/>
      <c r="AU204" s="2197"/>
      <c r="AV204" s="2197"/>
      <c r="AW204" s="2197"/>
      <c r="AX204" s="2197"/>
      <c r="AY204" s="2197"/>
      <c r="AZ204" s="2197"/>
      <c r="BA204" s="2197"/>
      <c r="BB204" s="2197"/>
      <c r="BC204" s="2197"/>
      <c r="BD204" s="2197"/>
      <c r="BE204" s="2197"/>
      <c r="BF204" s="2197"/>
      <c r="BG204" s="2197"/>
    </row>
    <row r="205" spans="1:59" s="2241" customFormat="1" ht="12">
      <c r="A205" s="2095"/>
      <c r="B205" s="2096"/>
      <c r="C205" s="2096"/>
      <c r="D205" s="2096"/>
      <c r="E205" s="2097"/>
      <c r="F205" s="2096"/>
      <c r="G205" s="2096"/>
      <c r="H205" s="2096"/>
      <c r="I205" s="2097"/>
      <c r="J205" s="2098"/>
      <c r="K205" s="2098"/>
      <c r="L205" s="2098"/>
      <c r="M205" s="2099"/>
      <c r="N205" s="2098"/>
      <c r="O205" s="2098"/>
      <c r="P205" s="2098"/>
      <c r="Q205" s="2099"/>
      <c r="R205" s="2105"/>
      <c r="S205" s="2105"/>
      <c r="T205" s="2105"/>
      <c r="U205" s="2200"/>
      <c r="V205" s="2105"/>
      <c r="W205" s="2105"/>
      <c r="X205" s="2105"/>
      <c r="Y205" s="2200"/>
      <c r="Z205" s="2105"/>
      <c r="AA205" s="2105"/>
      <c r="AB205" s="2105"/>
      <c r="AC205" s="2090"/>
      <c r="AD205" s="2090"/>
      <c r="AE205" s="2090"/>
      <c r="AF205" s="2090"/>
      <c r="AG205" s="2090"/>
      <c r="AH205" s="2090"/>
      <c r="AI205" s="2090"/>
      <c r="AJ205" s="2090"/>
      <c r="AK205" s="2090"/>
      <c r="AL205" s="2090"/>
      <c r="AM205" s="2090"/>
      <c r="AN205" s="2090"/>
      <c r="AO205" s="2090"/>
      <c r="AP205" s="2090"/>
      <c r="AQ205" s="2090"/>
      <c r="AR205" s="2090"/>
      <c r="AS205" s="2090"/>
      <c r="AT205" s="2090"/>
      <c r="AU205" s="2090"/>
      <c r="AV205" s="2090"/>
      <c r="AW205" s="2090"/>
      <c r="AX205" s="2090"/>
      <c r="AY205" s="2090"/>
      <c r="AZ205" s="2090"/>
      <c r="BA205" s="2090"/>
      <c r="BB205" s="2090"/>
      <c r="BC205" s="2090"/>
      <c r="BD205" s="2090"/>
      <c r="BE205" s="2105"/>
      <c r="BF205" s="2105"/>
      <c r="BG205" s="2105"/>
    </row>
    <row r="206" spans="1:59" s="2252" customFormat="1">
      <c r="A206" s="2101" t="s">
        <v>1248</v>
      </c>
      <c r="B206" s="2096"/>
      <c r="C206" s="2096"/>
      <c r="D206" s="2096"/>
      <c r="E206" s="2097"/>
      <c r="F206" s="2096"/>
      <c r="G206" s="2096"/>
      <c r="H206" s="2096"/>
      <c r="I206" s="2097"/>
      <c r="J206" s="2098"/>
      <c r="K206" s="2098"/>
      <c r="L206" s="2098"/>
      <c r="M206" s="2099"/>
      <c r="N206" s="2098"/>
      <c r="O206" s="2098"/>
      <c r="P206" s="2098"/>
      <c r="Q206" s="2099"/>
      <c r="R206" s="2105"/>
      <c r="S206" s="2105"/>
      <c r="T206" s="2105"/>
      <c r="U206" s="2200"/>
      <c r="V206" s="2105"/>
      <c r="W206" s="2105"/>
      <c r="X206" s="2105"/>
      <c r="Y206" s="2200"/>
      <c r="Z206" s="2105"/>
      <c r="AA206" s="2105"/>
      <c r="AB206" s="2105"/>
      <c r="AC206" s="2090"/>
      <c r="AD206" s="2090"/>
      <c r="AE206" s="2090"/>
      <c r="AF206" s="2090"/>
      <c r="AG206" s="2090"/>
      <c r="AH206" s="2090"/>
      <c r="AI206" s="2090"/>
      <c r="AJ206" s="2090"/>
      <c r="AK206" s="2090"/>
      <c r="AL206" s="2090"/>
      <c r="AM206" s="2090"/>
      <c r="AN206" s="2090"/>
      <c r="AO206" s="2090"/>
      <c r="AP206" s="2090"/>
      <c r="AQ206" s="2090"/>
      <c r="AR206" s="2090"/>
      <c r="AS206" s="2090"/>
      <c r="AT206" s="2090"/>
      <c r="AU206" s="2090"/>
      <c r="AV206" s="2090"/>
      <c r="AW206" s="2090"/>
      <c r="AX206" s="2090"/>
      <c r="AY206" s="2090"/>
      <c r="AZ206" s="2090"/>
      <c r="BA206" s="2090"/>
      <c r="BB206" s="2090"/>
      <c r="BC206" s="2090"/>
      <c r="BD206" s="2090"/>
      <c r="BE206" s="2105"/>
      <c r="BF206" s="2105"/>
      <c r="BG206" s="2105"/>
    </row>
    <row r="207" spans="1:59" s="2252" customFormat="1">
      <c r="A207" s="2201" t="s">
        <v>0</v>
      </c>
      <c r="B207" s="2202"/>
      <c r="C207" s="2202"/>
      <c r="D207" s="2202"/>
      <c r="E207" s="2203"/>
      <c r="F207" s="2202"/>
      <c r="G207" s="2202"/>
      <c r="H207" s="2202"/>
      <c r="I207" s="2203"/>
      <c r="J207" s="2090"/>
      <c r="K207" s="2090"/>
      <c r="L207" s="2090"/>
      <c r="M207" s="2091"/>
      <c r="N207" s="2090"/>
      <c r="O207" s="2090"/>
      <c r="P207" s="2090"/>
      <c r="Q207" s="2091"/>
      <c r="R207" s="2090"/>
      <c r="S207" s="2090"/>
      <c r="T207" s="2090"/>
      <c r="U207" s="2091"/>
      <c r="V207" s="2090"/>
      <c r="W207" s="2090"/>
      <c r="X207" s="2090"/>
      <c r="Y207" s="2091"/>
      <c r="Z207" s="2090"/>
      <c r="AA207" s="2090"/>
      <c r="AB207" s="2090"/>
      <c r="AC207" s="2090"/>
      <c r="AD207" s="2090"/>
      <c r="AE207" s="2090"/>
      <c r="AF207" s="2090"/>
      <c r="AG207" s="2090"/>
      <c r="AH207" s="2090"/>
      <c r="AI207" s="2090"/>
      <c r="AJ207" s="2090"/>
      <c r="AK207" s="2090"/>
      <c r="AL207" s="2090"/>
      <c r="AM207" s="2090"/>
      <c r="AN207" s="2090"/>
      <c r="AO207" s="2090"/>
      <c r="AP207" s="2090"/>
      <c r="AQ207" s="2090"/>
      <c r="AR207" s="2090"/>
      <c r="AS207" s="2090"/>
      <c r="AT207" s="2090"/>
      <c r="AU207" s="2090"/>
      <c r="AV207" s="2090"/>
      <c r="AW207" s="2090"/>
      <c r="AX207" s="2090"/>
      <c r="AY207" s="2090"/>
      <c r="AZ207" s="2090"/>
      <c r="BA207" s="2090"/>
      <c r="BB207" s="2090"/>
      <c r="BC207" s="2090"/>
      <c r="BD207" s="2090"/>
      <c r="BE207" s="2090"/>
      <c r="BF207" s="2090"/>
      <c r="BG207" s="2090"/>
    </row>
    <row r="208" spans="1:59" s="2259" customFormat="1">
      <c r="A208" s="72" t="s">
        <v>1891</v>
      </c>
      <c r="B208" s="1485"/>
      <c r="C208" s="1485"/>
      <c r="D208" s="1485"/>
      <c r="E208" s="1486"/>
      <c r="F208" s="1485"/>
      <c r="G208" s="1485"/>
      <c r="H208" s="1485"/>
      <c r="I208" s="1486"/>
      <c r="J208" s="1464"/>
      <c r="K208" s="1464"/>
      <c r="L208" s="1464"/>
      <c r="M208" s="1465"/>
      <c r="N208" s="1464"/>
      <c r="O208" s="1464"/>
      <c r="P208" s="1464"/>
      <c r="Q208" s="1465"/>
      <c r="R208" s="1464"/>
      <c r="S208" s="1464"/>
      <c r="T208" s="1464"/>
      <c r="U208" s="1465"/>
      <c r="V208" s="1464"/>
      <c r="W208" s="1464"/>
      <c r="X208" s="1464"/>
      <c r="Y208" s="1465"/>
      <c r="Z208" s="1464"/>
      <c r="AA208" s="1464"/>
      <c r="AB208" s="1464"/>
      <c r="AC208" s="1464"/>
      <c r="AD208" s="1464"/>
      <c r="AE208" s="1464"/>
      <c r="AF208" s="1464"/>
      <c r="AG208" s="1464"/>
      <c r="AH208" s="1464"/>
      <c r="AI208" s="1464"/>
      <c r="AJ208" s="1464"/>
      <c r="AK208" s="1464"/>
      <c r="AL208" s="1464"/>
      <c r="AM208" s="1464"/>
      <c r="AN208" s="1464"/>
      <c r="AO208" s="1464"/>
      <c r="AP208" s="1464"/>
      <c r="AQ208" s="1464"/>
      <c r="AR208" s="1464"/>
      <c r="AS208" s="1464"/>
      <c r="AT208" s="1464"/>
      <c r="AU208" s="1464"/>
      <c r="AV208" s="1464"/>
      <c r="AW208" s="1464"/>
      <c r="AX208" s="1464"/>
      <c r="AY208" s="1464"/>
      <c r="AZ208" s="1464"/>
      <c r="BA208" s="1464"/>
      <c r="BB208" s="1464"/>
      <c r="BC208" s="1464"/>
      <c r="BD208" s="1464"/>
      <c r="BE208" s="1464"/>
      <c r="BF208" s="1464"/>
      <c r="BG208" s="1464"/>
    </row>
    <row r="209" spans="1:59" s="2259" customFormat="1">
      <c r="A209" s="75" t="s">
        <v>1892</v>
      </c>
      <c r="B209" s="1487">
        <v>38.011775</v>
      </c>
      <c r="C209" s="1487">
        <v>39.123317</v>
      </c>
      <c r="D209" s="1487">
        <v>35.770437999999999</v>
      </c>
      <c r="E209" s="1488">
        <v>44.039144</v>
      </c>
      <c r="F209" s="1487">
        <v>49.856999999999999</v>
      </c>
      <c r="G209" s="1487">
        <v>51.304000000000002</v>
      </c>
      <c r="H209" s="1487">
        <v>45.856999999999999</v>
      </c>
      <c r="I209" s="1488">
        <v>46.524999999999999</v>
      </c>
      <c r="J209" s="1464">
        <v>53.433999999999997</v>
      </c>
      <c r="K209" s="1464">
        <v>43.01</v>
      </c>
      <c r="L209" s="1464">
        <v>54.039000000000001</v>
      </c>
      <c r="M209" s="1465">
        <v>64.814999999999998</v>
      </c>
      <c r="N209" s="1464">
        <v>101.70399999999999</v>
      </c>
      <c r="O209" s="1464">
        <v>366.923</v>
      </c>
      <c r="P209" s="1464">
        <v>236.51400000000001</v>
      </c>
      <c r="Q209" s="1465">
        <v>226.25700000000001</v>
      </c>
      <c r="R209" s="1464">
        <v>187.64699999999999</v>
      </c>
      <c r="S209" s="1464">
        <v>158.89400000000001</v>
      </c>
      <c r="T209" s="1464">
        <v>218.00399999999999</v>
      </c>
      <c r="U209" s="1465">
        <v>141.63300000000001</v>
      </c>
      <c r="V209" s="1464">
        <v>177.99</v>
      </c>
      <c r="W209" s="1464">
        <v>187.29900000000001</v>
      </c>
      <c r="X209" s="1464">
        <v>171.852</v>
      </c>
      <c r="Y209" s="1465">
        <v>163.20599999999999</v>
      </c>
      <c r="Z209" s="1464">
        <v>129.881</v>
      </c>
      <c r="AA209" s="1464">
        <v>171.22300000000001</v>
      </c>
      <c r="AB209" s="1464">
        <v>168.07400000000001</v>
      </c>
      <c r="AC209" s="1464"/>
      <c r="AD209" s="1464"/>
      <c r="AE209" s="1464"/>
      <c r="AF209" s="1464"/>
      <c r="AG209" s="1464"/>
      <c r="AH209" s="1464"/>
      <c r="AI209" s="1464"/>
      <c r="AJ209" s="1464"/>
      <c r="AK209" s="1464"/>
      <c r="AL209" s="1464"/>
      <c r="AM209" s="1464"/>
      <c r="AN209" s="1464"/>
      <c r="AO209" s="1464"/>
      <c r="AP209" s="1464"/>
      <c r="AQ209" s="1464"/>
      <c r="AR209" s="1464"/>
      <c r="AS209" s="1464"/>
      <c r="AT209" s="1464"/>
      <c r="AU209" s="1464"/>
      <c r="AV209" s="1464"/>
      <c r="AW209" s="1464"/>
      <c r="AX209" s="1464"/>
      <c r="AY209" s="1464"/>
      <c r="AZ209" s="1464"/>
      <c r="BA209" s="1464"/>
      <c r="BB209" s="1464"/>
      <c r="BC209" s="1464"/>
      <c r="BD209" s="1464"/>
      <c r="BE209" s="1464"/>
      <c r="BF209" s="1464"/>
      <c r="BG209" s="1464"/>
    </row>
    <row r="210" spans="1:59" s="1715" customFormat="1">
      <c r="A210" s="75" t="s">
        <v>1893</v>
      </c>
      <c r="B210" s="1487"/>
      <c r="C210" s="1487"/>
      <c r="D210" s="1487"/>
      <c r="E210" s="1488"/>
      <c r="F210" s="1487"/>
      <c r="G210" s="1487"/>
      <c r="H210" s="1487"/>
      <c r="I210" s="1488"/>
      <c r="J210" s="1464"/>
      <c r="K210" s="1464"/>
      <c r="L210" s="1464"/>
      <c r="M210" s="1465"/>
      <c r="N210" s="1464"/>
      <c r="O210" s="1464"/>
      <c r="P210" s="1464"/>
      <c r="Q210" s="1465"/>
      <c r="R210" s="1464"/>
      <c r="S210" s="1464"/>
      <c r="T210" s="1464"/>
      <c r="U210" s="1465"/>
      <c r="V210" s="1464">
        <v>0</v>
      </c>
      <c r="W210" s="1464"/>
      <c r="X210" s="1464"/>
      <c r="Y210" s="1465"/>
      <c r="Z210" s="1464"/>
      <c r="AA210" s="1464"/>
      <c r="AB210" s="1464"/>
      <c r="AC210" s="1464"/>
      <c r="AD210" s="1464"/>
      <c r="AE210" s="1464"/>
      <c r="AF210" s="1464"/>
      <c r="AG210" s="1464"/>
      <c r="AH210" s="1464"/>
      <c r="AI210" s="1464"/>
      <c r="AJ210" s="1464"/>
      <c r="AK210" s="1464"/>
      <c r="AL210" s="1464"/>
      <c r="AM210" s="1464"/>
      <c r="AN210" s="1464"/>
      <c r="AO210" s="1464"/>
      <c r="AP210" s="1464"/>
      <c r="AQ210" s="1464"/>
      <c r="AR210" s="1464"/>
      <c r="AS210" s="1464"/>
      <c r="AT210" s="1464"/>
      <c r="AU210" s="1464"/>
      <c r="AV210" s="1464"/>
      <c r="AW210" s="1464"/>
      <c r="AX210" s="1464"/>
      <c r="AY210" s="1464"/>
      <c r="AZ210" s="1464"/>
      <c r="BA210" s="1464"/>
      <c r="BB210" s="1464"/>
      <c r="BC210" s="1464"/>
      <c r="BD210" s="1464"/>
      <c r="BE210" s="1464"/>
      <c r="BF210" s="1464"/>
      <c r="BG210" s="1464"/>
    </row>
    <row r="211" spans="1:59" s="822" customFormat="1" ht="12">
      <c r="A211" s="75" t="s">
        <v>2101</v>
      </c>
      <c r="B211" s="1487">
        <v>29.513593</v>
      </c>
      <c r="C211" s="1487">
        <v>33.039394999999999</v>
      </c>
      <c r="D211" s="1487">
        <v>31.790324999999999</v>
      </c>
      <c r="E211" s="1488">
        <v>26.468012999999999</v>
      </c>
      <c r="F211" s="1487">
        <v>92.628</v>
      </c>
      <c r="G211" s="1487">
        <v>77.481999999999999</v>
      </c>
      <c r="H211" s="1487">
        <v>61.219000000000001</v>
      </c>
      <c r="I211" s="1488">
        <v>38.426000000000002</v>
      </c>
      <c r="J211" s="1464">
        <v>148.55500000000001</v>
      </c>
      <c r="K211" s="1464">
        <v>132.452</v>
      </c>
      <c r="L211" s="1464">
        <v>92.531999999999996</v>
      </c>
      <c r="M211" s="1465">
        <v>68.878</v>
      </c>
      <c r="N211" s="1464">
        <v>75.510999999999996</v>
      </c>
      <c r="O211" s="1464">
        <v>125.49299999999999</v>
      </c>
      <c r="P211" s="1464">
        <v>204.863</v>
      </c>
      <c r="Q211" s="1465">
        <v>188.99199999999999</v>
      </c>
      <c r="R211" s="1464">
        <v>202.17</v>
      </c>
      <c r="S211" s="1464">
        <v>196.87200000000001</v>
      </c>
      <c r="T211" s="1464">
        <v>113.968</v>
      </c>
      <c r="U211" s="1465">
        <v>159.14699999999999</v>
      </c>
      <c r="V211" s="1464">
        <v>133.994</v>
      </c>
      <c r="W211" s="1464">
        <v>79.459000000000003</v>
      </c>
      <c r="X211" s="1464">
        <v>77.760999999999996</v>
      </c>
      <c r="Y211" s="1465">
        <v>57.866999999999997</v>
      </c>
      <c r="Z211" s="1464">
        <v>37.823</v>
      </c>
      <c r="AA211" s="1464">
        <v>2.3679999999999999</v>
      </c>
      <c r="AB211" s="1464">
        <v>29.504999999999999</v>
      </c>
      <c r="AC211" s="1464"/>
      <c r="AD211" s="1464"/>
      <c r="AE211" s="1464"/>
      <c r="AF211" s="1464"/>
      <c r="AG211" s="1464"/>
      <c r="AH211" s="1464"/>
      <c r="AI211" s="1464"/>
      <c r="AJ211" s="1464"/>
      <c r="AK211" s="1464"/>
      <c r="AL211" s="1464"/>
      <c r="AM211" s="1464"/>
      <c r="AN211" s="1464"/>
      <c r="AO211" s="1464"/>
      <c r="AP211" s="1464"/>
      <c r="AQ211" s="1464"/>
      <c r="AR211" s="1464"/>
      <c r="AS211" s="1464"/>
      <c r="AT211" s="1464"/>
      <c r="AU211" s="1464"/>
      <c r="AV211" s="1464"/>
      <c r="AW211" s="1464"/>
      <c r="AX211" s="1464"/>
      <c r="AY211" s="1464"/>
      <c r="AZ211" s="1464"/>
      <c r="BA211" s="1464"/>
      <c r="BB211" s="1464"/>
      <c r="BC211" s="1464"/>
      <c r="BD211" s="1464"/>
      <c r="BE211" s="1464"/>
      <c r="BF211" s="1464"/>
      <c r="BG211" s="1464"/>
    </row>
    <row r="212" spans="1:59" s="2264" customFormat="1" ht="23">
      <c r="A212" s="1385" t="s">
        <v>1896</v>
      </c>
      <c r="B212" s="30">
        <f>SUM(B209:B211)</f>
        <v>67.525368</v>
      </c>
      <c r="C212" s="30">
        <f t="shared" ref="C212:M212" si="101">SUM(C209:C211)</f>
        <v>72.162711999999999</v>
      </c>
      <c r="D212" s="30">
        <f t="shared" si="101"/>
        <v>67.560762999999994</v>
      </c>
      <c r="E212" s="105">
        <f t="shared" si="101"/>
        <v>70.507157000000007</v>
      </c>
      <c r="F212" s="30">
        <f t="shared" si="101"/>
        <v>142.48500000000001</v>
      </c>
      <c r="G212" s="30">
        <f t="shared" si="101"/>
        <v>128.786</v>
      </c>
      <c r="H212" s="30">
        <f t="shared" si="101"/>
        <v>107.07599999999999</v>
      </c>
      <c r="I212" s="105">
        <f t="shared" si="101"/>
        <v>84.950999999999993</v>
      </c>
      <c r="J212" s="30">
        <f t="shared" si="101"/>
        <v>201.989</v>
      </c>
      <c r="K212" s="30">
        <f t="shared" si="101"/>
        <v>175.46199999999999</v>
      </c>
      <c r="L212" s="30">
        <f t="shared" si="101"/>
        <v>146.571</v>
      </c>
      <c r="M212" s="105">
        <f t="shared" si="101"/>
        <v>133.69299999999998</v>
      </c>
      <c r="N212" s="30">
        <f t="shared" ref="N212:AB212" si="102">SUM(N209:N211)</f>
        <v>177.21499999999997</v>
      </c>
      <c r="O212" s="30">
        <f t="shared" si="102"/>
        <v>492.416</v>
      </c>
      <c r="P212" s="30">
        <f t="shared" si="102"/>
        <v>441.37700000000001</v>
      </c>
      <c r="Q212" s="105">
        <f t="shared" si="102"/>
        <v>415.24900000000002</v>
      </c>
      <c r="R212" s="30">
        <f t="shared" si="102"/>
        <v>389.81700000000001</v>
      </c>
      <c r="S212" s="30">
        <f t="shared" si="102"/>
        <v>355.76600000000002</v>
      </c>
      <c r="T212" s="30">
        <f t="shared" si="102"/>
        <v>331.97199999999998</v>
      </c>
      <c r="U212" s="105">
        <f t="shared" si="102"/>
        <v>300.77999999999997</v>
      </c>
      <c r="V212" s="30">
        <f t="shared" si="102"/>
        <v>311.98400000000004</v>
      </c>
      <c r="W212" s="30">
        <f t="shared" si="102"/>
        <v>266.75800000000004</v>
      </c>
      <c r="X212" s="30">
        <f t="shared" si="102"/>
        <v>249.613</v>
      </c>
      <c r="Y212" s="105">
        <f t="shared" si="102"/>
        <v>221.07299999999998</v>
      </c>
      <c r="Z212" s="30">
        <f t="shared" si="102"/>
        <v>167.70400000000001</v>
      </c>
      <c r="AA212" s="30">
        <f t="shared" si="102"/>
        <v>173.59100000000001</v>
      </c>
      <c r="AB212" s="30">
        <f t="shared" si="102"/>
        <v>197.57900000000001</v>
      </c>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row>
    <row r="213" spans="1:59" s="2248" customFormat="1">
      <c r="A213" s="1386" t="s">
        <v>1250</v>
      </c>
      <c r="B213" s="30"/>
      <c r="C213" s="30"/>
      <c r="D213" s="30"/>
      <c r="E213" s="105"/>
      <c r="F213" s="30"/>
      <c r="G213" s="30"/>
      <c r="H213" s="30"/>
      <c r="I213" s="105"/>
      <c r="J213" s="30"/>
      <c r="K213" s="30"/>
      <c r="L213" s="30"/>
      <c r="M213" s="105"/>
      <c r="N213" s="30"/>
      <c r="O213" s="30"/>
      <c r="P213" s="30"/>
      <c r="Q213" s="105"/>
      <c r="R213" s="30"/>
      <c r="S213" s="30"/>
      <c r="T213" s="30"/>
      <c r="U213" s="105"/>
      <c r="V213" s="30"/>
      <c r="W213" s="30"/>
      <c r="X213" s="30"/>
      <c r="Y213" s="105"/>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row>
    <row r="214" spans="1:59" s="2119" customFormat="1" ht="12">
      <c r="A214" s="1389" t="s">
        <v>409</v>
      </c>
      <c r="B214" s="1487">
        <v>269.83701600000001</v>
      </c>
      <c r="C214" s="1487">
        <v>267.18964899999997</v>
      </c>
      <c r="D214" s="1487">
        <v>269.91632399999997</v>
      </c>
      <c r="E214" s="1488">
        <v>263.56784299999998</v>
      </c>
      <c r="F214" s="1487">
        <v>280.40499999999997</v>
      </c>
      <c r="G214" s="1487">
        <v>270.13900000000001</v>
      </c>
      <c r="H214" s="1487">
        <v>264.86399999999998</v>
      </c>
      <c r="I214" s="1488">
        <v>248.44399999999999</v>
      </c>
      <c r="J214" s="1464">
        <v>400.98899999999998</v>
      </c>
      <c r="K214" s="1464">
        <v>362.70499999999998</v>
      </c>
      <c r="L214" s="1464">
        <v>337.80399999999997</v>
      </c>
      <c r="M214" s="1465">
        <v>313.69299999999998</v>
      </c>
      <c r="N214" s="1464">
        <v>1544.7840000000001</v>
      </c>
      <c r="O214" s="1464">
        <v>1839.692</v>
      </c>
      <c r="P214" s="1464">
        <v>1793.97</v>
      </c>
      <c r="Q214" s="1465">
        <v>1801.8309999999999</v>
      </c>
      <c r="R214" s="1464">
        <v>1765.4559999999999</v>
      </c>
      <c r="S214" s="1464">
        <v>1659.7929999999999</v>
      </c>
      <c r="T214" s="1464">
        <v>1578.9960000000001</v>
      </c>
      <c r="U214" s="1465">
        <v>1580.4449999999999</v>
      </c>
      <c r="V214" s="1464">
        <v>1570.2860000000001</v>
      </c>
      <c r="W214" s="1464">
        <v>1582.008</v>
      </c>
      <c r="X214" s="1464">
        <v>1546.547</v>
      </c>
      <c r="Y214" s="1465">
        <v>1517.7750000000001</v>
      </c>
      <c r="Z214" s="1464">
        <v>1083.211</v>
      </c>
      <c r="AA214" s="1464">
        <v>1036.6869999999999</v>
      </c>
      <c r="AB214" s="1464">
        <v>1042.6690000000001</v>
      </c>
      <c r="AC214" s="1464"/>
      <c r="AD214" s="1464"/>
      <c r="AE214" s="1464"/>
      <c r="AF214" s="1464"/>
      <c r="AG214" s="1464"/>
      <c r="AH214" s="1464"/>
      <c r="AI214" s="1464"/>
      <c r="AJ214" s="1464"/>
      <c r="AK214" s="1464"/>
      <c r="AL214" s="1464"/>
      <c r="AM214" s="1464"/>
      <c r="AN214" s="1464"/>
      <c r="AO214" s="1464"/>
      <c r="AP214" s="1464"/>
      <c r="AQ214" s="1464"/>
      <c r="AR214" s="1464"/>
      <c r="AS214" s="1464"/>
      <c r="AT214" s="1464"/>
      <c r="AU214" s="1464"/>
      <c r="AV214" s="1464"/>
      <c r="AW214" s="1464"/>
      <c r="AX214" s="1464"/>
      <c r="AY214" s="1464"/>
      <c r="AZ214" s="1464"/>
      <c r="BA214" s="1464"/>
      <c r="BB214" s="1464"/>
      <c r="BC214" s="1464"/>
      <c r="BD214" s="1464"/>
      <c r="BE214" s="1464"/>
      <c r="BF214" s="1464"/>
      <c r="BG214" s="1464"/>
    </row>
    <row r="215" spans="1:59" s="2270" customFormat="1" ht="12">
      <c r="A215" s="1389"/>
      <c r="B215" s="34"/>
      <c r="C215" s="34"/>
      <c r="D215" s="34"/>
      <c r="E215" s="106"/>
      <c r="F215" s="34"/>
      <c r="G215" s="34"/>
      <c r="H215" s="34"/>
      <c r="I215" s="106"/>
      <c r="J215" s="30"/>
      <c r="K215" s="30"/>
      <c r="L215" s="30"/>
      <c r="M215" s="105"/>
      <c r="N215" s="30"/>
      <c r="O215" s="30"/>
      <c r="P215" s="30"/>
      <c r="Q215" s="105"/>
      <c r="R215" s="30"/>
      <c r="S215" s="30"/>
      <c r="T215" s="30"/>
      <c r="U215" s="105"/>
      <c r="V215" s="30"/>
      <c r="W215" s="30"/>
      <c r="X215" s="30"/>
      <c r="Y215" s="105"/>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row>
    <row r="216" spans="1:59" s="2252" customFormat="1">
      <c r="A216" s="75" t="s">
        <v>5</v>
      </c>
      <c r="B216" s="40"/>
      <c r="C216" s="40"/>
      <c r="D216" s="40"/>
      <c r="E216" s="114"/>
      <c r="F216" s="40"/>
      <c r="G216" s="40"/>
      <c r="H216" s="40"/>
      <c r="I216" s="114"/>
      <c r="J216" s="30"/>
      <c r="K216" s="30"/>
      <c r="L216" s="30"/>
      <c r="M216" s="105"/>
      <c r="N216" s="30"/>
      <c r="O216" s="30"/>
      <c r="P216" s="30"/>
      <c r="Q216" s="105"/>
      <c r="R216" s="30"/>
      <c r="S216" s="30"/>
      <c r="T216" s="30"/>
      <c r="U216" s="105"/>
      <c r="V216" s="30"/>
      <c r="W216" s="30"/>
      <c r="X216" s="30"/>
      <c r="Y216" s="105"/>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row>
    <row r="217" spans="1:59" s="2248" customFormat="1">
      <c r="A217" s="75" t="s">
        <v>1251</v>
      </c>
      <c r="B217" s="89"/>
      <c r="C217" s="89"/>
      <c r="D217" s="89"/>
      <c r="E217" s="110"/>
      <c r="F217" s="89"/>
      <c r="G217" s="89"/>
      <c r="H217" s="89"/>
      <c r="I217" s="110"/>
      <c r="J217" s="30"/>
      <c r="K217" s="30"/>
      <c r="L217" s="30"/>
      <c r="M217" s="105"/>
      <c r="N217" s="30"/>
      <c r="O217" s="30"/>
      <c r="P217" s="30"/>
      <c r="Q217" s="105"/>
      <c r="R217" s="30"/>
      <c r="S217" s="30"/>
      <c r="T217" s="30"/>
      <c r="U217" s="105"/>
      <c r="V217" s="30"/>
      <c r="W217" s="30"/>
      <c r="X217" s="30"/>
      <c r="Y217" s="105"/>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row>
    <row r="218" spans="1:59" s="2270" customFormat="1" ht="12">
      <c r="A218" s="1387" t="s">
        <v>1897</v>
      </c>
      <c r="B218" s="1679">
        <v>0.115005</v>
      </c>
      <c r="C218" s="1679">
        <v>0.13350100000000001</v>
      </c>
      <c r="D218" s="1679">
        <v>0.140427</v>
      </c>
      <c r="E218" s="1680">
        <v>0.136823</v>
      </c>
      <c r="F218" s="1679">
        <v>0.13700000000000001</v>
      </c>
      <c r="G218" s="1679">
        <v>0.14799999999999999</v>
      </c>
      <c r="H218" s="1679">
        <v>0.14699999999999999</v>
      </c>
      <c r="I218" s="1680">
        <v>0.13300000000000001</v>
      </c>
      <c r="J218" s="1497">
        <v>2.0169999999999999</v>
      </c>
      <c r="K218" s="1497">
        <v>3.9350000000000001</v>
      </c>
      <c r="L218" s="1497">
        <v>0.49199999999999999</v>
      </c>
      <c r="M218" s="1498">
        <v>0.47899999999999998</v>
      </c>
      <c r="N218" s="1497">
        <v>0.52300000000000002</v>
      </c>
      <c r="O218" s="1497">
        <v>0.65500000000000003</v>
      </c>
      <c r="P218" s="1497">
        <v>0.58899999999999997</v>
      </c>
      <c r="Q218" s="1498">
        <v>0.53700000000000003</v>
      </c>
      <c r="R218" s="1497">
        <v>0.42399999999999999</v>
      </c>
      <c r="S218" s="1497">
        <v>0.35199999999999998</v>
      </c>
      <c r="T218" s="1497">
        <v>0.35</v>
      </c>
      <c r="U218" s="1498">
        <v>0.46500000000000002</v>
      </c>
      <c r="V218" s="1497">
        <v>0.47399999999999998</v>
      </c>
      <c r="W218" s="1497">
        <v>23.050999999999998</v>
      </c>
      <c r="X218" s="1497">
        <v>22.596</v>
      </c>
      <c r="Y218" s="1498">
        <v>22.707000000000001</v>
      </c>
      <c r="Z218" s="1497">
        <v>21.613</v>
      </c>
      <c r="AA218" s="1497">
        <v>15.436</v>
      </c>
      <c r="AB218" s="1497">
        <v>14.968999999999999</v>
      </c>
      <c r="AC218" s="1497"/>
      <c r="AD218" s="1497"/>
      <c r="AE218" s="1497"/>
      <c r="AF218" s="1497"/>
      <c r="AG218" s="1497"/>
      <c r="AH218" s="1497"/>
      <c r="AI218" s="1497"/>
      <c r="AJ218" s="1497"/>
      <c r="AK218" s="1497"/>
      <c r="AL218" s="1497"/>
      <c r="AM218" s="1497"/>
      <c r="AN218" s="1497"/>
      <c r="AO218" s="1497"/>
      <c r="AP218" s="1497"/>
      <c r="AQ218" s="1497"/>
      <c r="AR218" s="1497"/>
      <c r="AS218" s="1497"/>
      <c r="AT218" s="1497"/>
      <c r="AU218" s="1497"/>
      <c r="AV218" s="1497"/>
      <c r="AW218" s="1497"/>
      <c r="AX218" s="1497"/>
      <c r="AY218" s="1497"/>
      <c r="AZ218" s="1497"/>
      <c r="BA218" s="1497"/>
      <c r="BB218" s="1497"/>
      <c r="BC218" s="1497"/>
      <c r="BD218" s="1497"/>
      <c r="BE218" s="1497"/>
      <c r="BF218" s="1497"/>
      <c r="BG218" s="1497"/>
    </row>
    <row r="219" spans="1:59" s="2248" customFormat="1">
      <c r="A219" s="1387" t="s">
        <v>1898</v>
      </c>
      <c r="B219" s="1681">
        <v>0.20310800000000001</v>
      </c>
      <c r="C219" s="1681">
        <v>0.29781000000000002</v>
      </c>
      <c r="D219" s="1681">
        <v>0.28686899999999999</v>
      </c>
      <c r="E219" s="1682">
        <v>0.327571</v>
      </c>
      <c r="F219" s="1681">
        <v>0.36199999999999999</v>
      </c>
      <c r="G219" s="1681">
        <v>0.432</v>
      </c>
      <c r="H219" s="1681">
        <v>0.39400000000000002</v>
      </c>
      <c r="I219" s="1682">
        <v>0.36799999999999999</v>
      </c>
      <c r="J219" s="1497">
        <v>195.28299999999999</v>
      </c>
      <c r="K219" s="1497">
        <v>176.98099999999999</v>
      </c>
      <c r="L219" s="1497">
        <v>186.047</v>
      </c>
      <c r="M219" s="1498">
        <v>0.19400000000000001</v>
      </c>
      <c r="N219" s="1497">
        <v>0.22600000000000001</v>
      </c>
      <c r="O219" s="1497">
        <v>0.254</v>
      </c>
      <c r="P219" s="1497">
        <v>0.25</v>
      </c>
      <c r="Q219" s="1498">
        <v>0.252</v>
      </c>
      <c r="R219" s="1497">
        <v>0.22800000000000001</v>
      </c>
      <c r="S219" s="1497">
        <v>0.19800000000000001</v>
      </c>
      <c r="T219" s="1497">
        <v>0.19500000000000001</v>
      </c>
      <c r="U219" s="1498">
        <v>0.23300000000000001</v>
      </c>
      <c r="V219" s="1497">
        <v>0.23300000000000001</v>
      </c>
      <c r="W219" s="1497">
        <v>3.4470000000000001</v>
      </c>
      <c r="X219" s="1497">
        <v>3.6840000000000002</v>
      </c>
      <c r="Y219" s="1498">
        <v>3.9830000000000001</v>
      </c>
      <c r="Z219" s="1497">
        <v>3.9710000000000001</v>
      </c>
      <c r="AA219" s="1497">
        <v>3.2770000000000001</v>
      </c>
      <c r="AB219" s="1497">
        <v>2.976</v>
      </c>
      <c r="AC219" s="1497"/>
      <c r="AD219" s="1497"/>
      <c r="AE219" s="1497"/>
      <c r="AF219" s="1497"/>
      <c r="AG219" s="1497"/>
      <c r="AH219" s="1497"/>
      <c r="AI219" s="1497"/>
      <c r="AJ219" s="1497"/>
      <c r="AK219" s="1497"/>
      <c r="AL219" s="1497"/>
      <c r="AM219" s="1497"/>
      <c r="AN219" s="1497"/>
      <c r="AO219" s="1497"/>
      <c r="AP219" s="1497"/>
      <c r="AQ219" s="1497"/>
      <c r="AR219" s="1497"/>
      <c r="AS219" s="1497"/>
      <c r="AT219" s="1497"/>
      <c r="AU219" s="1497"/>
      <c r="AV219" s="1497"/>
      <c r="AW219" s="1497"/>
      <c r="AX219" s="1497"/>
      <c r="AY219" s="1497"/>
      <c r="AZ219" s="1497"/>
      <c r="BA219" s="1497"/>
      <c r="BB219" s="1497"/>
      <c r="BC219" s="1497"/>
      <c r="BD219" s="1497"/>
      <c r="BE219" s="1497">
        <v>1000</v>
      </c>
      <c r="BF219" s="1497"/>
      <c r="BG219" s="1497"/>
    </row>
    <row r="220" spans="1:59" s="2270" customFormat="1" ht="12">
      <c r="A220" s="1388" t="s">
        <v>1252</v>
      </c>
      <c r="B220" s="700">
        <f>SUM(B218:B219)</f>
        <v>0.31811299999999998</v>
      </c>
      <c r="C220" s="700">
        <f t="shared" ref="C220:M220" si="103">SUM(C218:C219)</f>
        <v>0.431311</v>
      </c>
      <c r="D220" s="700">
        <f t="shared" si="103"/>
        <v>0.42729600000000001</v>
      </c>
      <c r="E220" s="701">
        <f t="shared" si="103"/>
        <v>0.46439399999999997</v>
      </c>
      <c r="F220" s="700">
        <f t="shared" si="103"/>
        <v>0.499</v>
      </c>
      <c r="G220" s="700">
        <f t="shared" si="103"/>
        <v>0.57999999999999996</v>
      </c>
      <c r="H220" s="700">
        <f t="shared" si="103"/>
        <v>0.54100000000000004</v>
      </c>
      <c r="I220" s="701">
        <f t="shared" si="103"/>
        <v>0.501</v>
      </c>
      <c r="J220" s="700">
        <f t="shared" si="103"/>
        <v>197.29999999999998</v>
      </c>
      <c r="K220" s="700">
        <f t="shared" si="103"/>
        <v>180.916</v>
      </c>
      <c r="L220" s="700">
        <f t="shared" si="103"/>
        <v>186.53899999999999</v>
      </c>
      <c r="M220" s="699">
        <f t="shared" si="103"/>
        <v>0.67300000000000004</v>
      </c>
      <c r="N220" s="698">
        <f t="shared" ref="N220:AB220" si="104">SUM(N218:N219)</f>
        <v>0.749</v>
      </c>
      <c r="O220" s="698">
        <f t="shared" si="104"/>
        <v>0.90900000000000003</v>
      </c>
      <c r="P220" s="698">
        <f t="shared" si="104"/>
        <v>0.83899999999999997</v>
      </c>
      <c r="Q220" s="699">
        <f t="shared" si="104"/>
        <v>0.78900000000000003</v>
      </c>
      <c r="R220" s="698">
        <f t="shared" si="104"/>
        <v>0.65200000000000002</v>
      </c>
      <c r="S220" s="698">
        <f t="shared" si="104"/>
        <v>0.55000000000000004</v>
      </c>
      <c r="T220" s="698">
        <f t="shared" si="104"/>
        <v>0.54499999999999993</v>
      </c>
      <c r="U220" s="699">
        <f t="shared" si="104"/>
        <v>0.69800000000000006</v>
      </c>
      <c r="V220" s="698">
        <f t="shared" si="104"/>
        <v>0.70699999999999996</v>
      </c>
      <c r="W220" s="698">
        <f t="shared" si="104"/>
        <v>26.497999999999998</v>
      </c>
      <c r="X220" s="698">
        <f t="shared" si="104"/>
        <v>26.28</v>
      </c>
      <c r="Y220" s="699">
        <f t="shared" si="104"/>
        <v>26.69</v>
      </c>
      <c r="Z220" s="698">
        <f t="shared" si="104"/>
        <v>25.584</v>
      </c>
      <c r="AA220" s="698">
        <f t="shared" si="104"/>
        <v>18.713000000000001</v>
      </c>
      <c r="AB220" s="698">
        <f t="shared" si="104"/>
        <v>17.945</v>
      </c>
      <c r="AC220" s="698"/>
      <c r="AD220" s="698"/>
      <c r="AE220" s="698"/>
      <c r="AF220" s="698"/>
      <c r="AG220" s="698"/>
      <c r="AH220" s="698"/>
      <c r="AI220" s="698"/>
      <c r="AJ220" s="698"/>
      <c r="AK220" s="698"/>
      <c r="AL220" s="698"/>
      <c r="AM220" s="698"/>
      <c r="AN220" s="698"/>
      <c r="AO220" s="698"/>
      <c r="AP220" s="698"/>
      <c r="AQ220" s="698"/>
      <c r="AR220" s="698"/>
      <c r="AS220" s="698"/>
      <c r="AT220" s="698"/>
      <c r="AU220" s="698"/>
      <c r="AV220" s="698"/>
      <c r="AW220" s="698"/>
      <c r="AX220" s="698"/>
      <c r="AY220" s="698"/>
      <c r="AZ220" s="698"/>
      <c r="BA220" s="698"/>
      <c r="BB220" s="698"/>
      <c r="BC220" s="698"/>
      <c r="BD220" s="698"/>
      <c r="BE220" s="698"/>
      <c r="BF220" s="698"/>
      <c r="BG220" s="698"/>
    </row>
    <row r="221" spans="1:59" s="2277" customFormat="1" ht="12">
      <c r="A221" s="1010" t="s">
        <v>1253</v>
      </c>
      <c r="B221" s="1464">
        <v>107.537491</v>
      </c>
      <c r="C221" s="1464">
        <v>105.39501300000001</v>
      </c>
      <c r="D221" s="1464">
        <v>111.358053</v>
      </c>
      <c r="E221" s="1465">
        <v>105.23380899999999</v>
      </c>
      <c r="F221" s="1464">
        <v>122.551</v>
      </c>
      <c r="G221" s="1464">
        <v>117.512</v>
      </c>
      <c r="H221" s="1464">
        <v>128.483</v>
      </c>
      <c r="I221" s="1465">
        <v>128.10300000000001</v>
      </c>
      <c r="J221" s="1464">
        <v>323.38</v>
      </c>
      <c r="K221" s="1464">
        <v>298.78300000000002</v>
      </c>
      <c r="L221" s="1464">
        <v>309.99200000000002</v>
      </c>
      <c r="M221" s="1465">
        <v>109.321</v>
      </c>
      <c r="N221" s="1464">
        <v>139.322</v>
      </c>
      <c r="O221" s="1464">
        <v>163.18299999999999</v>
      </c>
      <c r="P221" s="1464">
        <v>176.197</v>
      </c>
      <c r="Q221" s="1465">
        <v>190.738</v>
      </c>
      <c r="R221" s="1464">
        <v>206.524</v>
      </c>
      <c r="S221" s="1464">
        <v>198.38300000000001</v>
      </c>
      <c r="T221" s="1464">
        <v>213.226</v>
      </c>
      <c r="U221" s="1465">
        <v>191.75700000000001</v>
      </c>
      <c r="V221" s="1464">
        <v>212.91800000000001</v>
      </c>
      <c r="W221" s="1464">
        <v>264.74</v>
      </c>
      <c r="X221" s="1464">
        <v>279.69</v>
      </c>
      <c r="Y221" s="1465">
        <v>280.56099999999998</v>
      </c>
      <c r="Z221" s="1464">
        <v>220.91900000000001</v>
      </c>
      <c r="AA221" s="1464">
        <v>200.554</v>
      </c>
      <c r="AB221" s="1464">
        <v>202.55099999999999</v>
      </c>
      <c r="AC221" s="1464"/>
      <c r="AD221" s="1464"/>
      <c r="AE221" s="1464"/>
      <c r="AF221" s="1464"/>
      <c r="AG221" s="1464"/>
      <c r="AH221" s="1464"/>
      <c r="AI221" s="1464"/>
      <c r="AJ221" s="1464"/>
      <c r="AK221" s="1464"/>
      <c r="AL221" s="1464"/>
      <c r="AM221" s="1464"/>
      <c r="AN221" s="1464"/>
      <c r="AO221" s="1464"/>
      <c r="AP221" s="1464"/>
      <c r="AQ221" s="1464"/>
      <c r="AR221" s="1464"/>
      <c r="AS221" s="1464"/>
      <c r="AT221" s="1464"/>
      <c r="AU221" s="1464"/>
      <c r="AV221" s="1464"/>
      <c r="AW221" s="1464"/>
      <c r="AX221" s="1464"/>
      <c r="AY221" s="1464"/>
      <c r="AZ221" s="1464"/>
      <c r="BA221" s="1464"/>
      <c r="BB221" s="1464"/>
      <c r="BC221" s="1464"/>
      <c r="BD221" s="1464"/>
      <c r="BE221" s="1464"/>
      <c r="BF221" s="1464"/>
      <c r="BG221" s="1464"/>
    </row>
    <row r="222" spans="1:59" s="1715" customFormat="1">
      <c r="A222" s="1010"/>
      <c r="B222" s="30"/>
      <c r="C222" s="30"/>
      <c r="D222" s="30"/>
      <c r="E222" s="105"/>
      <c r="F222" s="30"/>
      <c r="G222" s="30"/>
      <c r="H222" s="30"/>
      <c r="I222" s="105"/>
      <c r="J222" s="30"/>
      <c r="K222" s="30"/>
      <c r="L222" s="30"/>
      <c r="M222" s="105"/>
      <c r="N222" s="30"/>
      <c r="O222" s="30"/>
      <c r="P222" s="30"/>
      <c r="Q222" s="105"/>
      <c r="R222" s="30"/>
      <c r="S222" s="30"/>
      <c r="T222" s="30"/>
      <c r="U222" s="105"/>
      <c r="V222" s="30"/>
      <c r="W222" s="30"/>
      <c r="X222" s="30"/>
      <c r="Y222" s="105"/>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row>
    <row r="223" spans="1:59" s="822" customFormat="1">
      <c r="A223" s="1010" t="s">
        <v>1254</v>
      </c>
      <c r="B223" s="34">
        <v>162.29952499999999</v>
      </c>
      <c r="C223" s="34">
        <v>267.18964899999997</v>
      </c>
      <c r="D223" s="34">
        <v>269.91632399999997</v>
      </c>
      <c r="E223" s="106">
        <v>263.56784299999998</v>
      </c>
      <c r="F223" s="34">
        <v>280.40499999999997</v>
      </c>
      <c r="G223" s="34">
        <v>270.13900000000001</v>
      </c>
      <c r="H223" s="34">
        <v>264.86399999999998</v>
      </c>
      <c r="I223" s="106">
        <v>248.44399999999999</v>
      </c>
      <c r="J223" s="30">
        <v>400.98899999999998</v>
      </c>
      <c r="K223" s="30">
        <v>362.70499999999998</v>
      </c>
      <c r="L223" s="30">
        <v>337.80399999999997</v>
      </c>
      <c r="M223" s="105">
        <v>313.69299999999998</v>
      </c>
      <c r="N223" s="30">
        <v>1404.8009999999999</v>
      </c>
      <c r="O223" s="30">
        <v>1676.09</v>
      </c>
      <c r="P223" s="30">
        <v>1617.7729999999999</v>
      </c>
      <c r="Q223" s="105">
        <v>1611.0930000000001</v>
      </c>
      <c r="R223" s="30">
        <f t="shared" ref="R223:AB223" si="105">R214-R221</f>
        <v>1558.9319999999998</v>
      </c>
      <c r="S223" s="30">
        <f t="shared" si="105"/>
        <v>1461.4099999999999</v>
      </c>
      <c r="T223" s="30">
        <f t="shared" si="105"/>
        <v>1365.77</v>
      </c>
      <c r="U223" s="105">
        <f t="shared" si="105"/>
        <v>1388.6879999999999</v>
      </c>
      <c r="V223" s="30">
        <f t="shared" si="105"/>
        <v>1357.3679999999999</v>
      </c>
      <c r="W223" s="30">
        <f t="shared" si="105"/>
        <v>1317.268</v>
      </c>
      <c r="X223" s="30">
        <f t="shared" si="105"/>
        <v>1266.857</v>
      </c>
      <c r="Y223" s="105">
        <f t="shared" si="105"/>
        <v>1237.2140000000002</v>
      </c>
      <c r="Z223" s="30">
        <f t="shared" si="105"/>
        <v>862.29200000000003</v>
      </c>
      <c r="AA223" s="30">
        <f t="shared" si="105"/>
        <v>836.13299999999992</v>
      </c>
      <c r="AB223" s="30">
        <f t="shared" si="105"/>
        <v>840.11800000000017</v>
      </c>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row>
    <row r="224" spans="1:59" s="822" customFormat="1">
      <c r="A224" s="72" t="s">
        <v>1255</v>
      </c>
      <c r="B224" s="34">
        <f>SUM(B221:B223)</f>
        <v>269.83701600000001</v>
      </c>
      <c r="C224" s="34">
        <f t="shared" ref="C224:J224" si="106">SUM(C221:C223)</f>
        <v>372.58466199999998</v>
      </c>
      <c r="D224" s="34">
        <f t="shared" si="106"/>
        <v>381.27437699999996</v>
      </c>
      <c r="E224" s="106">
        <f t="shared" si="106"/>
        <v>368.80165199999999</v>
      </c>
      <c r="F224" s="34">
        <f t="shared" si="106"/>
        <v>402.95599999999996</v>
      </c>
      <c r="G224" s="34">
        <f t="shared" si="106"/>
        <v>387.65100000000001</v>
      </c>
      <c r="H224" s="34">
        <f t="shared" si="106"/>
        <v>393.34699999999998</v>
      </c>
      <c r="I224" s="106">
        <f t="shared" si="106"/>
        <v>376.54700000000003</v>
      </c>
      <c r="J224" s="34">
        <f t="shared" si="106"/>
        <v>724.36899999999991</v>
      </c>
      <c r="K224" s="30">
        <f>K221+K223</f>
        <v>661.48800000000006</v>
      </c>
      <c r="L224" s="30">
        <f>L221+L223</f>
        <v>647.79600000000005</v>
      </c>
      <c r="M224" s="105">
        <f>M221+M223</f>
        <v>423.01400000000001</v>
      </c>
      <c r="N224" s="30">
        <f t="shared" ref="N224:AB224" si="107">N221+N223</f>
        <v>1544.123</v>
      </c>
      <c r="O224" s="30">
        <f t="shared" si="107"/>
        <v>1839.2729999999999</v>
      </c>
      <c r="P224" s="30">
        <f t="shared" si="107"/>
        <v>1793.9699999999998</v>
      </c>
      <c r="Q224" s="105">
        <f t="shared" si="107"/>
        <v>1801.8310000000001</v>
      </c>
      <c r="R224" s="30">
        <f t="shared" si="107"/>
        <v>1765.4559999999997</v>
      </c>
      <c r="S224" s="30">
        <f t="shared" si="107"/>
        <v>1659.7929999999999</v>
      </c>
      <c r="T224" s="30">
        <f t="shared" si="107"/>
        <v>1578.9960000000001</v>
      </c>
      <c r="U224" s="105">
        <f t="shared" si="107"/>
        <v>1580.4449999999999</v>
      </c>
      <c r="V224" s="30">
        <f t="shared" si="107"/>
        <v>1570.2860000000001</v>
      </c>
      <c r="W224" s="30">
        <f t="shared" si="107"/>
        <v>1582.008</v>
      </c>
      <c r="X224" s="30">
        <f t="shared" si="107"/>
        <v>1546.547</v>
      </c>
      <c r="Y224" s="105">
        <f t="shared" si="107"/>
        <v>1517.7750000000001</v>
      </c>
      <c r="Z224" s="30">
        <f t="shared" si="107"/>
        <v>1083.211</v>
      </c>
      <c r="AA224" s="30">
        <f t="shared" si="107"/>
        <v>1036.6869999999999</v>
      </c>
      <c r="AB224" s="30">
        <f t="shared" si="107"/>
        <v>1042.6690000000001</v>
      </c>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row>
    <row r="225" spans="1:59" s="822" customFormat="1">
      <c r="A225" s="2201"/>
      <c r="B225" s="91"/>
      <c r="C225" s="91"/>
      <c r="D225" s="91"/>
      <c r="E225" s="108"/>
      <c r="F225" s="91"/>
      <c r="G225" s="91"/>
      <c r="H225" s="91"/>
      <c r="I225" s="108"/>
      <c r="J225" s="2090"/>
      <c r="K225" s="2090"/>
      <c r="L225" s="2090"/>
      <c r="M225" s="2091"/>
      <c r="N225" s="2090"/>
      <c r="O225" s="2090"/>
      <c r="P225" s="2090"/>
      <c r="Q225" s="2091"/>
      <c r="R225" s="2090"/>
      <c r="S225" s="2090"/>
      <c r="T225" s="2090"/>
      <c r="U225" s="2091"/>
      <c r="V225" s="2090"/>
      <c r="W225" s="2090"/>
      <c r="X225" s="2090"/>
      <c r="Y225" s="2091"/>
      <c r="Z225" s="2090"/>
      <c r="AA225" s="2090"/>
      <c r="AB225" s="2090"/>
      <c r="AC225" s="2090"/>
      <c r="AD225" s="2090"/>
      <c r="AE225" s="2090"/>
      <c r="AF225" s="2090"/>
      <c r="AG225" s="2090"/>
      <c r="AH225" s="2090"/>
      <c r="AI225" s="2090"/>
      <c r="AJ225" s="2090"/>
      <c r="AK225" s="2090"/>
      <c r="AL225" s="2090"/>
      <c r="AM225" s="2090"/>
      <c r="AN225" s="2090"/>
      <c r="AO225" s="2090"/>
      <c r="AP225" s="2090"/>
      <c r="AQ225" s="2090"/>
      <c r="AR225" s="2090"/>
      <c r="AS225" s="2090"/>
      <c r="AT225" s="2090"/>
      <c r="AU225" s="2090"/>
      <c r="AV225" s="2090"/>
      <c r="AW225" s="2090"/>
      <c r="AX225" s="2090"/>
      <c r="AY225" s="2090"/>
      <c r="AZ225" s="2090"/>
      <c r="BA225" s="2090"/>
      <c r="BB225" s="2090"/>
      <c r="BC225" s="2090"/>
      <c r="BD225" s="2090"/>
      <c r="BE225" s="2090"/>
      <c r="BF225" s="2090"/>
      <c r="BG225" s="2090"/>
    </row>
    <row r="226" spans="1:59" s="1715" customFormat="1">
      <c r="A226" s="2204" t="s">
        <v>1256</v>
      </c>
      <c r="B226" s="498">
        <f>B220/B214</f>
        <v>1.1789079375232937E-3</v>
      </c>
      <c r="C226" s="498">
        <f t="shared" ref="C226:M226" si="108">C220/C214</f>
        <v>1.614250408330751E-3</v>
      </c>
      <c r="D226" s="498">
        <f t="shared" si="108"/>
        <v>1.5830683882609488E-3</v>
      </c>
      <c r="E226" s="500">
        <f t="shared" si="108"/>
        <v>1.7619524245224406E-3</v>
      </c>
      <c r="F226" s="498">
        <f t="shared" si="108"/>
        <v>1.7795688379308502E-3</v>
      </c>
      <c r="G226" s="498">
        <f t="shared" si="108"/>
        <v>2.1470428186970408E-3</v>
      </c>
      <c r="H226" s="498">
        <f t="shared" si="108"/>
        <v>2.0425576899842941E-3</v>
      </c>
      <c r="I226" s="500">
        <f t="shared" si="108"/>
        <v>2.0165510135080745E-3</v>
      </c>
      <c r="J226" s="498">
        <f t="shared" si="108"/>
        <v>0.49203344730154691</v>
      </c>
      <c r="K226" s="498">
        <f t="shared" si="108"/>
        <v>0.49879654264484913</v>
      </c>
      <c r="L226" s="498">
        <f t="shared" si="108"/>
        <v>0.55221074942866277</v>
      </c>
      <c r="M226" s="2152">
        <f t="shared" si="108"/>
        <v>2.1454096839903986E-3</v>
      </c>
      <c r="N226" s="2153">
        <f t="shared" ref="N226:AB226" si="109">N220/N214</f>
        <v>4.8485742990605801E-4</v>
      </c>
      <c r="O226" s="2153">
        <f t="shared" si="109"/>
        <v>4.9410444791845589E-4</v>
      </c>
      <c r="P226" s="2153">
        <f t="shared" si="109"/>
        <v>4.676778318478012E-4</v>
      </c>
      <c r="Q226" s="2152">
        <f t="shared" si="109"/>
        <v>4.378879040265153E-4</v>
      </c>
      <c r="R226" s="2153">
        <f t="shared" si="109"/>
        <v>3.6930968542971338E-4</v>
      </c>
      <c r="S226" s="2153">
        <f t="shared" si="109"/>
        <v>3.3136662222337367E-4</v>
      </c>
      <c r="T226" s="2153">
        <f t="shared" si="109"/>
        <v>3.4515603586076211E-4</v>
      </c>
      <c r="U226" s="2152">
        <f t="shared" si="109"/>
        <v>4.4164776376273777E-4</v>
      </c>
      <c r="V226" s="2153">
        <f t="shared" si="109"/>
        <v>4.5023645374154766E-4</v>
      </c>
      <c r="W226" s="2153">
        <f t="shared" si="109"/>
        <v>1.6749599243493077E-2</v>
      </c>
      <c r="X226" s="2153">
        <f t="shared" si="109"/>
        <v>1.6992694046802329E-2</v>
      </c>
      <c r="Y226" s="2152">
        <f t="shared" si="109"/>
        <v>1.7584951656207277E-2</v>
      </c>
      <c r="Z226" s="2153">
        <f t="shared" si="109"/>
        <v>2.3618667092560913E-2</v>
      </c>
      <c r="AA226" s="2153">
        <f t="shared" si="109"/>
        <v>1.8050771351430087E-2</v>
      </c>
      <c r="AB226" s="2153">
        <f t="shared" si="109"/>
        <v>1.721063923450299E-2</v>
      </c>
      <c r="AC226" s="2153"/>
      <c r="AD226" s="2153"/>
      <c r="AE226" s="2153"/>
      <c r="AF226" s="2153"/>
      <c r="AG226" s="2153"/>
      <c r="AH226" s="2153"/>
      <c r="AI226" s="2153"/>
      <c r="AJ226" s="2153"/>
      <c r="AK226" s="2153"/>
      <c r="AL226" s="2153"/>
      <c r="AM226" s="2153"/>
      <c r="AN226" s="2153"/>
      <c r="AO226" s="2153"/>
      <c r="AP226" s="2153"/>
      <c r="AQ226" s="2153"/>
      <c r="AR226" s="2153"/>
      <c r="AS226" s="2153"/>
      <c r="AT226" s="2153"/>
      <c r="AU226" s="2153"/>
      <c r="AV226" s="2153"/>
      <c r="AW226" s="2153"/>
      <c r="AX226" s="2153"/>
      <c r="AY226" s="2153"/>
      <c r="AZ226" s="2153"/>
      <c r="BA226" s="2153"/>
      <c r="BB226" s="2153"/>
      <c r="BC226" s="2153"/>
      <c r="BD226" s="2153"/>
      <c r="BE226" s="2153"/>
      <c r="BF226" s="2153"/>
      <c r="BG226" s="2153"/>
    </row>
    <row r="227" spans="1:59" s="822" customFormat="1">
      <c r="A227" s="2205"/>
      <c r="B227" s="2202"/>
      <c r="C227" s="2202"/>
      <c r="D227" s="2202"/>
      <c r="E227" s="2203"/>
      <c r="F227" s="2202"/>
      <c r="G227" s="2202"/>
      <c r="H227" s="2202"/>
      <c r="I227" s="2203"/>
      <c r="J227" s="2090"/>
      <c r="K227" s="2090"/>
      <c r="L227" s="2090"/>
      <c r="M227" s="2091"/>
      <c r="N227" s="2090"/>
      <c r="O227" s="2090"/>
      <c r="P227" s="2090"/>
      <c r="Q227" s="2091"/>
      <c r="R227" s="2090"/>
      <c r="S227" s="2090"/>
      <c r="T227" s="2090"/>
      <c r="U227" s="2091"/>
      <c r="V227" s="2090"/>
      <c r="W227" s="2090"/>
      <c r="X227" s="2090"/>
      <c r="Y227" s="2091"/>
      <c r="Z227" s="2090"/>
      <c r="AA227" s="2090"/>
      <c r="AB227" s="2090"/>
      <c r="AC227" s="2090"/>
      <c r="AD227" s="2090"/>
      <c r="AE227" s="2090"/>
      <c r="AF227" s="2090"/>
      <c r="AG227" s="2090"/>
      <c r="AH227" s="2090"/>
      <c r="AI227" s="2090"/>
      <c r="AJ227" s="2090"/>
      <c r="AK227" s="2090"/>
      <c r="AL227" s="2090"/>
      <c r="AM227" s="2090"/>
      <c r="AN227" s="2090"/>
      <c r="AO227" s="2090"/>
      <c r="AP227" s="2090"/>
      <c r="AQ227" s="2090"/>
      <c r="AR227" s="2090"/>
      <c r="AS227" s="2090"/>
      <c r="AT227" s="2090"/>
      <c r="AU227" s="2090"/>
      <c r="AV227" s="2090"/>
      <c r="AW227" s="2090"/>
      <c r="AX227" s="2090"/>
      <c r="AY227" s="2090"/>
      <c r="AZ227" s="2090"/>
      <c r="BA227" s="2090"/>
      <c r="BB227" s="2090"/>
      <c r="BC227" s="2090"/>
      <c r="BD227" s="2090"/>
      <c r="BE227" s="2090"/>
      <c r="BF227" s="2090"/>
      <c r="BG227" s="2090"/>
    </row>
    <row r="228" spans="1:59" s="822" customFormat="1">
      <c r="A228" s="2205"/>
      <c r="B228" s="2202"/>
      <c r="C228" s="2202"/>
      <c r="D228" s="2202"/>
      <c r="E228" s="2203"/>
      <c r="F228" s="2202"/>
      <c r="G228" s="2202"/>
      <c r="H228" s="2202"/>
      <c r="I228" s="2203"/>
      <c r="J228" s="2090"/>
      <c r="K228" s="2090"/>
      <c r="L228" s="2090"/>
      <c r="M228" s="2091"/>
      <c r="N228" s="2090"/>
      <c r="O228" s="2090"/>
      <c r="P228" s="2090"/>
      <c r="Q228" s="2091"/>
      <c r="R228" s="2090"/>
      <c r="S228" s="2090"/>
      <c r="T228" s="2090"/>
      <c r="U228" s="2091"/>
      <c r="V228" s="2090"/>
      <c r="W228" s="2090"/>
      <c r="X228" s="2090"/>
      <c r="Y228" s="2091"/>
      <c r="Z228" s="2090"/>
      <c r="AA228" s="2090"/>
      <c r="AB228" s="2090"/>
      <c r="AC228" s="2090"/>
      <c r="AD228" s="2090"/>
      <c r="AE228" s="2090"/>
      <c r="AF228" s="2090"/>
      <c r="AG228" s="2090"/>
      <c r="AH228" s="2090"/>
      <c r="AI228" s="2090"/>
      <c r="AJ228" s="2090"/>
      <c r="AK228" s="2090"/>
      <c r="AL228" s="2090"/>
      <c r="AM228" s="2090"/>
      <c r="AN228" s="2090"/>
      <c r="AO228" s="2090"/>
      <c r="AP228" s="2090"/>
      <c r="AQ228" s="2090"/>
      <c r="AR228" s="2090"/>
      <c r="AS228" s="2090"/>
      <c r="AT228" s="2090"/>
      <c r="AU228" s="2090"/>
      <c r="AV228" s="2090"/>
      <c r="AW228" s="2090"/>
      <c r="AX228" s="2090"/>
      <c r="AY228" s="2090"/>
      <c r="AZ228" s="2090"/>
      <c r="BA228" s="2090"/>
      <c r="BB228" s="2090"/>
      <c r="BC228" s="2090"/>
      <c r="BD228" s="2090"/>
      <c r="BE228" s="2090"/>
      <c r="BF228" s="2090"/>
      <c r="BG228" s="2090"/>
    </row>
    <row r="229" spans="1:59" s="822" customFormat="1">
      <c r="A229" s="2095" t="s">
        <v>1257</v>
      </c>
      <c r="B229" s="2096"/>
      <c r="C229" s="2096"/>
      <c r="D229" s="2096"/>
      <c r="E229" s="2097"/>
      <c r="F229" s="2096"/>
      <c r="G229" s="2096"/>
      <c r="H229" s="2096"/>
      <c r="I229" s="2097"/>
      <c r="J229" s="2098"/>
      <c r="K229" s="2098"/>
      <c r="L229" s="2098"/>
      <c r="M229" s="2099"/>
      <c r="N229" s="2098"/>
      <c r="O229" s="2098"/>
      <c r="P229" s="2098"/>
      <c r="Q229" s="2099"/>
      <c r="R229" s="2105"/>
      <c r="S229" s="2105"/>
      <c r="T229" s="2105"/>
      <c r="U229" s="2200"/>
      <c r="V229" s="2105"/>
      <c r="W229" s="2105"/>
      <c r="X229" s="2105"/>
      <c r="Y229" s="2200"/>
      <c r="Z229" s="2105"/>
      <c r="AA229" s="2105"/>
      <c r="AB229" s="2105"/>
      <c r="AC229" s="2090"/>
      <c r="AD229" s="2090"/>
      <c r="AE229" s="2090"/>
      <c r="AF229" s="2090"/>
      <c r="AG229" s="2090"/>
      <c r="AH229" s="2090"/>
      <c r="AI229" s="2090"/>
      <c r="AJ229" s="2090"/>
      <c r="AK229" s="2090"/>
      <c r="AL229" s="2090"/>
      <c r="AM229" s="2090"/>
      <c r="AN229" s="2090"/>
      <c r="AO229" s="2090"/>
      <c r="AP229" s="2090"/>
      <c r="AQ229" s="2090"/>
      <c r="AR229" s="2090"/>
      <c r="AS229" s="2090"/>
      <c r="AT229" s="2090"/>
      <c r="AU229" s="2090"/>
      <c r="AV229" s="2090"/>
      <c r="AW229" s="2090"/>
      <c r="AX229" s="2090"/>
      <c r="AY229" s="2090"/>
      <c r="AZ229" s="2090"/>
      <c r="BA229" s="2090"/>
      <c r="BB229" s="2090"/>
      <c r="BC229" s="2090"/>
      <c r="BD229" s="2090"/>
      <c r="BE229" s="2105"/>
      <c r="BF229" s="2105"/>
      <c r="BG229" s="2105"/>
    </row>
    <row r="230" spans="1:59" s="2055" customFormat="1" ht="34.5">
      <c r="A230" s="2101" t="s">
        <v>1967</v>
      </c>
      <c r="B230" s="2096"/>
      <c r="C230" s="2096"/>
      <c r="D230" s="2096"/>
      <c r="E230" s="2097"/>
      <c r="F230" s="2096"/>
      <c r="G230" s="2096"/>
      <c r="H230" s="2096"/>
      <c r="I230" s="2097"/>
      <c r="J230" s="2098"/>
      <c r="K230" s="2098"/>
      <c r="L230" s="2098"/>
      <c r="M230" s="2099"/>
      <c r="N230" s="2098"/>
      <c r="O230" s="2098"/>
      <c r="P230" s="2098"/>
      <c r="Q230" s="2099"/>
      <c r="R230" s="2105"/>
      <c r="S230" s="2105"/>
      <c r="T230" s="2105"/>
      <c r="U230" s="2200"/>
      <c r="V230" s="2105"/>
      <c r="W230" s="2105"/>
      <c r="X230" s="2206" t="s">
        <v>2074</v>
      </c>
      <c r="Y230" s="2722" t="s">
        <v>2102</v>
      </c>
      <c r="Z230" s="2206" t="s">
        <v>2599</v>
      </c>
      <c r="AA230" s="2206"/>
      <c r="AB230" s="2206" t="s">
        <v>2074</v>
      </c>
      <c r="AC230" s="2705"/>
      <c r="AD230" s="2705"/>
      <c r="AE230" s="2705"/>
      <c r="AF230" s="2705"/>
      <c r="AG230" s="2705"/>
      <c r="AH230" s="2705"/>
      <c r="AI230" s="2705"/>
      <c r="AJ230" s="2705"/>
      <c r="AK230" s="2705"/>
      <c r="AL230" s="2705"/>
      <c r="AM230" s="2705"/>
      <c r="AN230" s="2705"/>
      <c r="AO230" s="2705"/>
      <c r="AP230" s="2705"/>
      <c r="AQ230" s="2705"/>
      <c r="AR230" s="2705"/>
      <c r="AS230" s="2705"/>
      <c r="AT230" s="2705"/>
      <c r="AU230" s="2705"/>
      <c r="AV230" s="2705"/>
      <c r="AW230" s="2705"/>
      <c r="AX230" s="2705"/>
      <c r="AY230" s="2705"/>
      <c r="AZ230" s="2705"/>
      <c r="BA230" s="2705"/>
      <c r="BB230" s="2705"/>
      <c r="BC230" s="2705"/>
      <c r="BD230" s="2705"/>
      <c r="BE230" s="2206"/>
      <c r="BF230" s="2206"/>
      <c r="BG230" s="2105"/>
    </row>
    <row r="231" spans="1:59" s="2170" customFormat="1">
      <c r="A231" s="2207" t="s">
        <v>1258</v>
      </c>
      <c r="B231" s="2130">
        <v>-3.9575960000000001</v>
      </c>
      <c r="C231" s="2130">
        <v>4.2121130000000004</v>
      </c>
      <c r="D231" s="2130">
        <f>1.509075-C231</f>
        <v>-2.7030380000000003</v>
      </c>
      <c r="E231" s="2131">
        <f>4.86319-SUM(C231:D231)</f>
        <v>3.3541150000000002</v>
      </c>
      <c r="F231" s="2130">
        <f>10.827-SUM(C231:E231)</f>
        <v>5.9638099999999996</v>
      </c>
      <c r="G231" s="2130">
        <f>-0.224</f>
        <v>-0.224</v>
      </c>
      <c r="H231" s="2130">
        <f>-1.415-G231</f>
        <v>-1.1910000000000001</v>
      </c>
      <c r="I231" s="2131">
        <f>-20.024-SUM(G231:H231)</f>
        <v>-18.609000000000002</v>
      </c>
      <c r="J231" s="2130">
        <f>-66-SUM(G231:I231)</f>
        <v>-45.975999999999999</v>
      </c>
      <c r="K231" s="2130">
        <v>-14.073</v>
      </c>
      <c r="L231" s="2130">
        <f>-36.371-K231</f>
        <v>-22.298000000000002</v>
      </c>
      <c r="M231" s="2131">
        <f>-46.086-SUM(K231:L231)</f>
        <v>-9.7149999999999963</v>
      </c>
      <c r="N231" s="2130">
        <f>-108.457-SUM(K231:M231)</f>
        <v>-62.370999999999995</v>
      </c>
      <c r="O231" s="2130">
        <v>-26.062999999999999</v>
      </c>
      <c r="P231" s="2130">
        <f>-78.259-O231</f>
        <v>-52.195999999999998</v>
      </c>
      <c r="Q231" s="2131">
        <f>-102.073-SUM(O231:P231)</f>
        <v>-23.813999999999993</v>
      </c>
      <c r="R231" s="2130">
        <f>-125.478-SUM(P231:Q231)</f>
        <v>-49.468000000000004</v>
      </c>
      <c r="S231" s="2130">
        <v>-34.329000000000001</v>
      </c>
      <c r="T231" s="2130">
        <f>-64.244-S231</f>
        <v>-29.914999999999999</v>
      </c>
      <c r="U231" s="2131">
        <v>-92.174999999999997</v>
      </c>
      <c r="V231" s="2130">
        <v>-78.927000000000007</v>
      </c>
      <c r="W231" s="2130">
        <v>-23.911999999999999</v>
      </c>
      <c r="X231" s="2130">
        <v>-37.378</v>
      </c>
      <c r="Y231" s="2131">
        <v>-60.393999999999998</v>
      </c>
      <c r="Z231" s="2130">
        <v>-112.733</v>
      </c>
      <c r="AA231" s="2130">
        <v>7.4980000000000002</v>
      </c>
      <c r="AB231" s="2130">
        <v>32.411999999999999</v>
      </c>
      <c r="AC231" s="2130"/>
      <c r="AD231" s="2130"/>
      <c r="AE231" s="2130"/>
      <c r="AF231" s="2130"/>
      <c r="AG231" s="2130"/>
      <c r="AH231" s="2130"/>
      <c r="AI231" s="2130"/>
      <c r="AJ231" s="2130"/>
      <c r="AK231" s="2130"/>
      <c r="AL231" s="2130"/>
      <c r="AM231" s="2130"/>
      <c r="AN231" s="2130"/>
      <c r="AO231" s="2130"/>
      <c r="AP231" s="2130"/>
      <c r="AQ231" s="2130"/>
      <c r="AR231" s="2130"/>
      <c r="AS231" s="2130"/>
      <c r="AT231" s="2130"/>
      <c r="AU231" s="2130"/>
      <c r="AV231" s="2130"/>
      <c r="AW231" s="2130"/>
      <c r="AX231" s="2130"/>
      <c r="AY231" s="2130"/>
      <c r="AZ231" s="2130"/>
      <c r="BA231" s="2130"/>
      <c r="BB231" s="2130"/>
      <c r="BC231" s="2130"/>
      <c r="BD231" s="2130"/>
      <c r="BE231" s="2130"/>
      <c r="BF231" s="2130"/>
      <c r="BG231" s="2130"/>
    </row>
    <row r="232" spans="1:59" s="2119" customFormat="1" ht="12">
      <c r="A232" s="2207" t="s">
        <v>1259</v>
      </c>
      <c r="B232" s="2130">
        <v>-64.451925000000003</v>
      </c>
      <c r="C232" s="2130">
        <v>-1.784098</v>
      </c>
      <c r="D232" s="2130">
        <f>-1.411116-C232</f>
        <v>0.37298199999999992</v>
      </c>
      <c r="E232" s="2131">
        <f>5.115726-SUM(C232,D232)</f>
        <v>6.5268420000000003</v>
      </c>
      <c r="F232" s="2130">
        <f>5.418-SUM(C232:E232)</f>
        <v>0.30227399999999971</v>
      </c>
      <c r="G232" s="2130">
        <v>4.24</v>
      </c>
      <c r="H232" s="2130">
        <f>7.397-G232</f>
        <v>3.157</v>
      </c>
      <c r="I232" s="2131">
        <f>28.031-SUM(G232:H232)</f>
        <v>20.634</v>
      </c>
      <c r="J232" s="2130">
        <f>-103.646-SUM(G232:I232)</f>
        <v>-131.67699999999999</v>
      </c>
      <c r="K232" s="2130">
        <v>13.595000000000001</v>
      </c>
      <c r="L232" s="2130">
        <f>51.225-K232</f>
        <v>37.630000000000003</v>
      </c>
      <c r="M232" s="2131">
        <f>72.305-SUM(K232:L232)</f>
        <v>21.080000000000005</v>
      </c>
      <c r="N232" s="2130">
        <f>163.011-SUM(K232:M232)</f>
        <v>90.705999999999989</v>
      </c>
      <c r="O232" s="2130">
        <v>-34.469000000000001</v>
      </c>
      <c r="P232" s="2130">
        <f>-115.153-O232</f>
        <v>-80.683999999999997</v>
      </c>
      <c r="Q232" s="2131">
        <f>-100.214-SUM(O232:P232)</f>
        <v>14.938999999999993</v>
      </c>
      <c r="R232" s="2130">
        <f>-115.09-SUM(P232:Q232)</f>
        <v>-49.344999999999999</v>
      </c>
      <c r="S232" s="2130">
        <v>4.6369999999999996</v>
      </c>
      <c r="T232" s="2130">
        <f>93.926-S232</f>
        <v>89.289000000000001</v>
      </c>
      <c r="U232" s="2131">
        <v>46.252000000000002</v>
      </c>
      <c r="V232" s="2130">
        <v>70.010999999999996</v>
      </c>
      <c r="W232" s="2130">
        <v>38.957999999999998</v>
      </c>
      <c r="X232" s="2130">
        <v>38.881</v>
      </c>
      <c r="Y232" s="2131">
        <v>56.015000000000001</v>
      </c>
      <c r="Z232" s="2130">
        <v>73.832999999999998</v>
      </c>
      <c r="AA232" s="2130">
        <v>35.127000000000002</v>
      </c>
      <c r="AB232" s="2130">
        <v>8.5649999999999995</v>
      </c>
      <c r="AC232" s="2130"/>
      <c r="AD232" s="2130"/>
      <c r="AE232" s="2130"/>
      <c r="AF232" s="2130"/>
      <c r="AG232" s="2130"/>
      <c r="AH232" s="2130"/>
      <c r="AI232" s="2130"/>
      <c r="AJ232" s="2130"/>
      <c r="AK232" s="2130"/>
      <c r="AL232" s="2130"/>
      <c r="AM232" s="2130"/>
      <c r="AN232" s="2130"/>
      <c r="AO232" s="2130"/>
      <c r="AP232" s="2130"/>
      <c r="AQ232" s="2130"/>
      <c r="AR232" s="2130"/>
      <c r="AS232" s="2130"/>
      <c r="AT232" s="2130"/>
      <c r="AU232" s="2130"/>
      <c r="AV232" s="2130"/>
      <c r="AW232" s="2130"/>
      <c r="AX232" s="2130"/>
      <c r="AY232" s="2130"/>
      <c r="AZ232" s="2130"/>
      <c r="BA232" s="2130"/>
      <c r="BB232" s="2130"/>
      <c r="BC232" s="2130"/>
      <c r="BD232" s="2130"/>
      <c r="BE232" s="2130"/>
      <c r="BF232" s="2130"/>
      <c r="BG232" s="2130"/>
    </row>
    <row r="233" spans="1:59" s="2285" customFormat="1" ht="12">
      <c r="A233" s="2207" t="s">
        <v>1260</v>
      </c>
      <c r="B233" s="2130">
        <v>72.458995000000002</v>
      </c>
      <c r="C233" s="2130">
        <v>-1.1626069999999999</v>
      </c>
      <c r="D233" s="2130">
        <f>-1.460524-C233</f>
        <v>-0.29791699999999999</v>
      </c>
      <c r="E233" s="2131">
        <f>-1.52351-SUM(C233,D233)</f>
        <v>-6.2985999999999986E-2</v>
      </c>
      <c r="F233" s="2130">
        <f>-2.721-SUM(C233:E233)</f>
        <v>-1.1974900000000002</v>
      </c>
      <c r="G233" s="2130">
        <v>-2.6779999999999999</v>
      </c>
      <c r="H233" s="2130">
        <f>-9.528-G233</f>
        <v>-6.8500000000000005</v>
      </c>
      <c r="I233" s="2131">
        <f>-10.042-SUM(G233:H233)</f>
        <v>-0.51399999999999935</v>
      </c>
      <c r="J233" s="2130">
        <f>164.614-SUM(G233:I233)</f>
        <v>174.65600000000001</v>
      </c>
      <c r="K233" s="2130">
        <v>-2.5230000000000001</v>
      </c>
      <c r="L233" s="2130">
        <f>-6.503-K233</f>
        <v>-3.98</v>
      </c>
      <c r="M233" s="2131">
        <f>-6.651-SUM(K233:L233)</f>
        <v>-0.14799999999999969</v>
      </c>
      <c r="N233" s="2130">
        <f>2.159-SUM(K233:M233)</f>
        <v>8.8099999999999987</v>
      </c>
      <c r="O233" s="2130">
        <v>326.13900000000001</v>
      </c>
      <c r="P233" s="2130">
        <f>328.849-O233</f>
        <v>2.7099999999999795</v>
      </c>
      <c r="Q233" s="2131">
        <f>328.194-SUM(O233:P233)</f>
        <v>-0.65499999999997272</v>
      </c>
      <c r="R233" s="2130">
        <f>327.899-SUM(P233:Q233)</f>
        <v>325.84399999999999</v>
      </c>
      <c r="S233" s="2130">
        <v>8.9999999999999993E-3</v>
      </c>
      <c r="T233" s="2130">
        <f>-0.155-S233</f>
        <v>-0.16400000000000001</v>
      </c>
      <c r="U233" s="2131">
        <v>-0.219</v>
      </c>
      <c r="V233" s="2130">
        <v>-0.33500000000000002</v>
      </c>
      <c r="W233" s="2130">
        <v>-5.3940000000000001</v>
      </c>
      <c r="X233" s="2130">
        <v>-7.1210000000000004</v>
      </c>
      <c r="Y233" s="2131">
        <v>-8.9390000000000001</v>
      </c>
      <c r="Z233" s="2130">
        <v>-10.988</v>
      </c>
      <c r="AA233" s="2130">
        <v>-1.23</v>
      </c>
      <c r="AB233" s="2130">
        <v>-2.456</v>
      </c>
      <c r="AC233" s="2130"/>
      <c r="AD233" s="2130"/>
      <c r="AE233" s="2130"/>
      <c r="AF233" s="2130"/>
      <c r="AG233" s="2130"/>
      <c r="AH233" s="2130"/>
      <c r="AI233" s="2130"/>
      <c r="AJ233" s="2130"/>
      <c r="AK233" s="2130"/>
      <c r="AL233" s="2130"/>
      <c r="AM233" s="2130"/>
      <c r="AN233" s="2130"/>
      <c r="AO233" s="2130"/>
      <c r="AP233" s="2130"/>
      <c r="AQ233" s="2130"/>
      <c r="AR233" s="2130"/>
      <c r="AS233" s="2130"/>
      <c r="AT233" s="2130"/>
      <c r="AU233" s="2130"/>
      <c r="AV233" s="2130"/>
      <c r="AW233" s="2130"/>
      <c r="AX233" s="2130"/>
      <c r="AY233" s="2130"/>
      <c r="AZ233" s="2130"/>
      <c r="BA233" s="2130"/>
      <c r="BB233" s="2130"/>
      <c r="BC233" s="2130"/>
      <c r="BD233" s="2130"/>
      <c r="BE233" s="2130"/>
      <c r="BF233" s="2130"/>
      <c r="BG233" s="2130"/>
    </row>
    <row r="234" spans="1:59" s="2218" customFormat="1">
      <c r="A234" s="2208" t="s">
        <v>1261</v>
      </c>
      <c r="B234" s="2209"/>
      <c r="C234" s="2209"/>
      <c r="D234" s="2209"/>
      <c r="E234" s="2210"/>
      <c r="F234" s="2209"/>
      <c r="G234" s="2209"/>
      <c r="H234" s="2209"/>
      <c r="I234" s="2210"/>
      <c r="J234" s="2211"/>
      <c r="K234" s="2211"/>
      <c r="L234" s="2211"/>
      <c r="M234" s="2212"/>
      <c r="N234" s="2211"/>
      <c r="O234" s="2211"/>
      <c r="P234" s="2211"/>
      <c r="Q234" s="2212"/>
      <c r="R234" s="2211"/>
      <c r="S234" s="2211"/>
      <c r="T234" s="2211"/>
      <c r="U234" s="2212"/>
      <c r="V234" s="2211"/>
      <c r="W234" s="2211"/>
      <c r="X234" s="2211"/>
      <c r="Y234" s="2212"/>
      <c r="Z234" s="2211"/>
      <c r="AA234" s="2211"/>
      <c r="AB234" s="2211"/>
      <c r="AC234" s="2211"/>
      <c r="AD234" s="2211"/>
      <c r="AE234" s="2211"/>
      <c r="AF234" s="2211"/>
      <c r="AG234" s="2211"/>
      <c r="AH234" s="2211"/>
      <c r="AI234" s="2211"/>
      <c r="AJ234" s="2211"/>
      <c r="AK234" s="2211"/>
      <c r="AL234" s="2211"/>
      <c r="AM234" s="2211"/>
      <c r="AN234" s="2211"/>
      <c r="AO234" s="2211"/>
      <c r="AP234" s="2211"/>
      <c r="AQ234" s="2211"/>
      <c r="AR234" s="2211"/>
      <c r="AS234" s="2211"/>
      <c r="AT234" s="2211"/>
      <c r="AU234" s="2211"/>
      <c r="AV234" s="2211"/>
      <c r="AW234" s="2211"/>
      <c r="AX234" s="2211"/>
      <c r="AY234" s="2211"/>
      <c r="AZ234" s="2211"/>
      <c r="BA234" s="2211"/>
      <c r="BB234" s="2211"/>
      <c r="BC234" s="2211"/>
      <c r="BD234" s="2211"/>
      <c r="BE234" s="2211"/>
      <c r="BF234" s="2211"/>
      <c r="BG234" s="2211"/>
    </row>
    <row r="235" spans="1:59" s="2119" customFormat="1" ht="12">
      <c r="A235" s="2092"/>
      <c r="B235" s="2090"/>
      <c r="C235" s="2090"/>
      <c r="D235" s="2090"/>
      <c r="E235" s="2091"/>
      <c r="F235" s="2090"/>
      <c r="G235" s="2090"/>
      <c r="H235" s="2090"/>
      <c r="I235" s="2091"/>
      <c r="J235" s="2090"/>
      <c r="K235" s="2090"/>
      <c r="L235" s="2090"/>
      <c r="M235" s="2091"/>
      <c r="N235" s="2090"/>
      <c r="O235" s="2090"/>
      <c r="P235" s="2090"/>
      <c r="Q235" s="2091"/>
      <c r="R235" s="2090"/>
      <c r="S235" s="2090"/>
      <c r="T235" s="2090"/>
      <c r="U235" s="2091"/>
      <c r="V235" s="2090"/>
      <c r="W235" s="2090"/>
      <c r="X235" s="2090"/>
      <c r="Y235" s="2091"/>
      <c r="Z235" s="2090"/>
      <c r="AA235" s="2090"/>
      <c r="AB235" s="2090"/>
      <c r="AC235" s="2090"/>
      <c r="AD235" s="2090"/>
      <c r="AE235" s="2090"/>
      <c r="AF235" s="2090"/>
      <c r="AG235" s="2090"/>
      <c r="AH235" s="2090"/>
      <c r="AI235" s="2090"/>
      <c r="AJ235" s="2090"/>
      <c r="AK235" s="2090"/>
      <c r="AL235" s="2090"/>
      <c r="AM235" s="2090"/>
      <c r="AN235" s="2090"/>
      <c r="AO235" s="2090"/>
      <c r="AP235" s="2090"/>
      <c r="AQ235" s="2090"/>
      <c r="AR235" s="2090"/>
      <c r="AS235" s="2090"/>
      <c r="AT235" s="2090"/>
      <c r="AU235" s="2090"/>
      <c r="AV235" s="2090"/>
      <c r="AW235" s="2090"/>
      <c r="AX235" s="2090"/>
      <c r="AY235" s="2090"/>
      <c r="AZ235" s="2090"/>
      <c r="BA235" s="2090"/>
      <c r="BB235" s="2090"/>
      <c r="BC235" s="2090"/>
      <c r="BD235" s="2090"/>
      <c r="BE235" s="2090"/>
      <c r="BF235" s="2090"/>
      <c r="BG235" s="2090"/>
    </row>
    <row r="236" spans="1:59" s="2285" customFormat="1" ht="12">
      <c r="A236" s="2095"/>
      <c r="B236" s="2096"/>
      <c r="C236" s="2096"/>
      <c r="D236" s="2096"/>
      <c r="E236" s="2097"/>
      <c r="F236" s="2096"/>
      <c r="G236" s="2096"/>
      <c r="H236" s="2096"/>
      <c r="I236" s="2097"/>
      <c r="J236" s="2098"/>
      <c r="K236" s="2098"/>
      <c r="L236" s="2098"/>
      <c r="M236" s="2099"/>
      <c r="N236" s="2098"/>
      <c r="O236" s="2098"/>
      <c r="P236" s="2098"/>
      <c r="Q236" s="2099"/>
      <c r="R236" s="2105"/>
      <c r="S236" s="2105"/>
      <c r="T236" s="2105"/>
      <c r="U236" s="2200"/>
      <c r="V236" s="2105"/>
      <c r="W236" s="2105"/>
      <c r="X236" s="2105"/>
      <c r="Y236" s="2200"/>
      <c r="Z236" s="2105"/>
      <c r="AA236" s="2105"/>
      <c r="AB236" s="2105"/>
      <c r="AC236" s="2090"/>
      <c r="AD236" s="2090"/>
      <c r="AE236" s="2090"/>
      <c r="AF236" s="2090"/>
      <c r="AG236" s="2090"/>
      <c r="AH236" s="2090"/>
      <c r="AI236" s="2090"/>
      <c r="AJ236" s="2090"/>
      <c r="AK236" s="2090"/>
      <c r="AL236" s="2090"/>
      <c r="AM236" s="2090"/>
      <c r="AN236" s="2090"/>
      <c r="AO236" s="2090"/>
      <c r="AP236" s="2090"/>
      <c r="AQ236" s="2090"/>
      <c r="AR236" s="2090"/>
      <c r="AS236" s="2090"/>
      <c r="AT236" s="2090"/>
      <c r="AU236" s="2090"/>
      <c r="AV236" s="2090"/>
      <c r="AW236" s="2090"/>
      <c r="AX236" s="2090"/>
      <c r="AY236" s="2090"/>
      <c r="AZ236" s="2090"/>
      <c r="BA236" s="2090"/>
      <c r="BB236" s="2090"/>
      <c r="BC236" s="2090"/>
      <c r="BD236" s="2090"/>
      <c r="BE236" s="2105"/>
      <c r="BF236" s="2105"/>
      <c r="BG236" s="2105"/>
    </row>
    <row r="237" spans="1:59" s="2170" customFormat="1">
      <c r="A237" s="2213" t="s">
        <v>1262</v>
      </c>
      <c r="B237" s="2096"/>
      <c r="C237" s="2096"/>
      <c r="D237" s="2096"/>
      <c r="E237" s="2097"/>
      <c r="F237" s="2096"/>
      <c r="G237" s="2096"/>
      <c r="H237" s="2096"/>
      <c r="I237" s="2097"/>
      <c r="J237" s="2098"/>
      <c r="K237" s="2098"/>
      <c r="L237" s="2098"/>
      <c r="M237" s="2099"/>
      <c r="N237" s="2098"/>
      <c r="O237" s="2098"/>
      <c r="P237" s="2098"/>
      <c r="Q237" s="2099"/>
      <c r="R237" s="2105"/>
      <c r="S237" s="2105"/>
      <c r="T237" s="2105"/>
      <c r="U237" s="2200"/>
      <c r="V237" s="2105"/>
      <c r="W237" s="2105"/>
      <c r="X237" s="2105"/>
      <c r="Y237" s="2200"/>
      <c r="Z237" s="2105"/>
      <c r="AA237" s="2105"/>
      <c r="AB237" s="2105"/>
      <c r="AC237" s="2090"/>
      <c r="AD237" s="2090"/>
      <c r="AE237" s="2090"/>
      <c r="AF237" s="2090"/>
      <c r="AG237" s="2090"/>
      <c r="AH237" s="2090"/>
      <c r="AI237" s="2090"/>
      <c r="AJ237" s="2090"/>
      <c r="AK237" s="2090"/>
      <c r="AL237" s="2090"/>
      <c r="AM237" s="2090"/>
      <c r="AN237" s="2090"/>
      <c r="AO237" s="2090"/>
      <c r="AP237" s="2090"/>
      <c r="AQ237" s="2090"/>
      <c r="AR237" s="2090"/>
      <c r="AS237" s="2090"/>
      <c r="AT237" s="2090"/>
      <c r="AU237" s="2090"/>
      <c r="AV237" s="2090"/>
      <c r="AW237" s="2090"/>
      <c r="AX237" s="2090"/>
      <c r="AY237" s="2090"/>
      <c r="AZ237" s="2090"/>
      <c r="BA237" s="2090"/>
      <c r="BB237" s="2090"/>
      <c r="BC237" s="2090"/>
      <c r="BD237" s="2090"/>
      <c r="BE237" s="2105"/>
      <c r="BF237" s="2105"/>
      <c r="BG237" s="2105"/>
    </row>
    <row r="238" spans="1:59" s="2119" customFormat="1" ht="12">
      <c r="A238" s="2092" t="s">
        <v>1263</v>
      </c>
      <c r="B238" s="712"/>
      <c r="C238" s="712"/>
      <c r="D238" s="712"/>
      <c r="E238" s="713"/>
      <c r="F238" s="712"/>
      <c r="G238" s="712"/>
      <c r="H238" s="712"/>
      <c r="I238" s="713"/>
      <c r="J238" s="712"/>
      <c r="K238" s="712"/>
      <c r="L238" s="712"/>
      <c r="M238" s="713"/>
      <c r="N238" s="712"/>
      <c r="O238" s="2090"/>
      <c r="P238" s="2090"/>
      <c r="Q238" s="2091"/>
      <c r="R238" s="2090"/>
      <c r="S238" s="2090"/>
      <c r="T238" s="2090"/>
      <c r="U238" s="2091"/>
      <c r="V238" s="2090"/>
      <c r="W238" s="2090"/>
      <c r="X238" s="2090"/>
      <c r="Y238" s="2091"/>
      <c r="Z238" s="2090"/>
      <c r="AA238" s="2090"/>
      <c r="AB238" s="2090"/>
      <c r="AC238" s="2090"/>
      <c r="AD238" s="2090"/>
      <c r="AE238" s="2090"/>
      <c r="AF238" s="2090"/>
      <c r="AG238" s="2090"/>
      <c r="AH238" s="2090"/>
      <c r="AI238" s="2090"/>
      <c r="AJ238" s="2090"/>
      <c r="AK238" s="2090"/>
      <c r="AL238" s="2090"/>
      <c r="AM238" s="2090"/>
      <c r="AN238" s="2090"/>
      <c r="AO238" s="2090"/>
      <c r="AP238" s="2090"/>
      <c r="AQ238" s="2090"/>
      <c r="AR238" s="2090"/>
      <c r="AS238" s="2090"/>
      <c r="AT238" s="2090"/>
      <c r="AU238" s="2090"/>
      <c r="AV238" s="2090"/>
      <c r="AW238" s="2090"/>
      <c r="AX238" s="2090"/>
      <c r="AY238" s="2090"/>
      <c r="AZ238" s="2090"/>
      <c r="BA238" s="2090"/>
      <c r="BB238" s="2090"/>
      <c r="BC238" s="2090"/>
      <c r="BD238" s="2090"/>
      <c r="BE238" s="2090"/>
      <c r="BF238" s="2090"/>
      <c r="BG238" s="2090"/>
    </row>
    <row r="239" spans="1:59" s="2285" customFormat="1" ht="12">
      <c r="A239" s="2092"/>
      <c r="B239" s="712"/>
      <c r="C239" s="712"/>
      <c r="D239" s="712"/>
      <c r="E239" s="713"/>
      <c r="F239" s="712"/>
      <c r="G239" s="712"/>
      <c r="H239" s="712"/>
      <c r="I239" s="713"/>
      <c r="J239" s="712"/>
      <c r="K239" s="712"/>
      <c r="L239" s="712"/>
      <c r="M239" s="713"/>
      <c r="N239" s="712"/>
      <c r="O239" s="2090"/>
      <c r="P239" s="2090"/>
      <c r="Q239" s="2091"/>
      <c r="R239" s="2090"/>
      <c r="S239" s="2090"/>
      <c r="T239" s="2090"/>
      <c r="U239" s="2091"/>
      <c r="V239" s="2090"/>
      <c r="W239" s="2090"/>
      <c r="X239" s="2090"/>
      <c r="Y239" s="2091"/>
      <c r="Z239" s="2090"/>
      <c r="AA239" s="2090"/>
      <c r="AB239" s="2090"/>
      <c r="AC239" s="2090"/>
      <c r="AD239" s="2090"/>
      <c r="AE239" s="2090"/>
      <c r="AF239" s="2090"/>
      <c r="AG239" s="2090"/>
      <c r="AH239" s="2090"/>
      <c r="AI239" s="2090"/>
      <c r="AJ239" s="2090"/>
      <c r="AK239" s="2090"/>
      <c r="AL239" s="2090"/>
      <c r="AM239" s="2090"/>
      <c r="AN239" s="2090"/>
      <c r="AO239" s="2090"/>
      <c r="AP239" s="2090"/>
      <c r="AQ239" s="2090"/>
      <c r="AR239" s="2090"/>
      <c r="AS239" s="2090"/>
      <c r="AT239" s="2090"/>
      <c r="AU239" s="2090"/>
      <c r="AV239" s="2090"/>
      <c r="AW239" s="2090"/>
      <c r="AX239" s="2090"/>
      <c r="AY239" s="2090"/>
      <c r="AZ239" s="2090"/>
      <c r="BA239" s="2090"/>
      <c r="BB239" s="2090"/>
      <c r="BC239" s="2090"/>
      <c r="BD239" s="2090"/>
      <c r="BE239" s="2090"/>
      <c r="BF239" s="2090"/>
      <c r="BG239" s="2090"/>
    </row>
    <row r="240" spans="1:59" s="2218" customFormat="1">
      <c r="A240" s="2214" t="s">
        <v>1264</v>
      </c>
      <c r="B240" s="1684"/>
      <c r="C240" s="1684"/>
      <c r="D240" s="1684"/>
      <c r="E240" s="1685"/>
      <c r="F240" s="1684"/>
      <c r="G240" s="1684"/>
      <c r="H240" s="1684"/>
      <c r="I240" s="1685"/>
      <c r="J240" s="2215"/>
      <c r="K240" s="2215"/>
      <c r="L240" s="2215"/>
      <c r="M240" s="2216"/>
      <c r="N240" s="2217"/>
      <c r="O240" s="2215"/>
      <c r="Q240" s="2219"/>
      <c r="U240" s="2219"/>
      <c r="Y240" s="2219"/>
    </row>
    <row r="241" spans="1:59" s="2285" customFormat="1" ht="12">
      <c r="A241" s="2220" t="s">
        <v>1913</v>
      </c>
      <c r="B241" s="2221">
        <f t="shared" ref="B241:H241" si="110">B242+B243</f>
        <v>11.4</v>
      </c>
      <c r="C241" s="2221">
        <f t="shared" si="110"/>
        <v>13</v>
      </c>
      <c r="D241" s="2221">
        <f t="shared" si="110"/>
        <v>15.5</v>
      </c>
      <c r="E241" s="2222">
        <f t="shared" si="110"/>
        <v>20</v>
      </c>
      <c r="F241" s="2221">
        <f t="shared" si="110"/>
        <v>24</v>
      </c>
      <c r="G241" s="2221">
        <f t="shared" si="110"/>
        <v>25.5</v>
      </c>
      <c r="H241" s="2221">
        <f t="shared" si="110"/>
        <v>27</v>
      </c>
      <c r="I241" s="2222"/>
      <c r="J241" s="2221">
        <v>11.4</v>
      </c>
      <c r="K241" s="2221">
        <v>13</v>
      </c>
      <c r="L241" s="2221">
        <v>15.5</v>
      </c>
      <c r="M241" s="2222">
        <v>20</v>
      </c>
      <c r="N241" s="2221">
        <f>N242+N243</f>
        <v>53.5</v>
      </c>
      <c r="O241" s="2221">
        <f>O242+O243</f>
        <v>58.5</v>
      </c>
      <c r="P241" s="2221">
        <f>P242+P243</f>
        <v>58.5</v>
      </c>
      <c r="Q241" s="2124"/>
      <c r="R241" s="2123">
        <f>R242+R243</f>
        <v>53</v>
      </c>
      <c r="S241" s="2123"/>
      <c r="T241" s="2123">
        <f>T242+T243</f>
        <v>58</v>
      </c>
      <c r="U241" s="2124">
        <f>U242+U243</f>
        <v>60</v>
      </c>
      <c r="V241" s="2223">
        <v>61.5</v>
      </c>
      <c r="W241" s="2223">
        <v>63</v>
      </c>
      <c r="X241" s="2223">
        <v>66.5</v>
      </c>
      <c r="Y241" s="2645"/>
      <c r="Z241" s="2123"/>
      <c r="AA241" s="2123"/>
      <c r="AB241" s="2123"/>
      <c r="AC241" s="2123"/>
      <c r="AD241" s="2123"/>
      <c r="AE241" s="2123"/>
      <c r="AF241" s="2123"/>
      <c r="AG241" s="2123"/>
      <c r="AH241" s="2123"/>
      <c r="AI241" s="2123"/>
      <c r="AJ241" s="2123"/>
      <c r="AK241" s="2123"/>
      <c r="AL241" s="2123"/>
      <c r="AM241" s="2123"/>
      <c r="AN241" s="2123"/>
      <c r="AO241" s="2123"/>
      <c r="AP241" s="2123"/>
      <c r="AQ241" s="2123"/>
      <c r="AR241" s="2123"/>
      <c r="AS241" s="2123"/>
      <c r="AT241" s="2123"/>
      <c r="AU241" s="2123"/>
      <c r="AV241" s="2123"/>
      <c r="AW241" s="2123"/>
      <c r="AX241" s="2123"/>
      <c r="AY241" s="2123"/>
      <c r="AZ241" s="2123"/>
      <c r="BA241" s="2123"/>
      <c r="BB241" s="2123"/>
      <c r="BC241" s="2123"/>
      <c r="BD241" s="2123"/>
      <c r="BE241" s="2123"/>
      <c r="BF241" s="2123"/>
      <c r="BG241" s="2123"/>
    </row>
    <row r="242" spans="1:59" s="2285" customFormat="1" ht="12">
      <c r="A242" s="2224" t="s">
        <v>1449</v>
      </c>
      <c r="B242" s="2225">
        <v>11.4</v>
      </c>
      <c r="C242" s="2225">
        <v>13</v>
      </c>
      <c r="D242" s="2225">
        <v>15.5</v>
      </c>
      <c r="E242" s="2226">
        <v>20</v>
      </c>
      <c r="F242" s="2225">
        <v>24</v>
      </c>
      <c r="G242" s="2225">
        <v>25.5</v>
      </c>
      <c r="H242" s="2225">
        <v>27</v>
      </c>
      <c r="I242" s="2226"/>
      <c r="J242" s="2225">
        <v>30</v>
      </c>
      <c r="K242" s="2225">
        <v>33</v>
      </c>
      <c r="L242" s="2225"/>
      <c r="M242" s="2226">
        <v>34</v>
      </c>
      <c r="N242" s="2225">
        <v>40</v>
      </c>
      <c r="O242" s="2225">
        <v>45</v>
      </c>
      <c r="P242" s="2218">
        <v>45</v>
      </c>
      <c r="Q242" s="2219"/>
      <c r="R242" s="2218">
        <v>53</v>
      </c>
      <c r="S242" s="2218"/>
      <c r="T242" s="2218">
        <v>58</v>
      </c>
      <c r="U242" s="2219">
        <f>60-U243</f>
        <v>45.5</v>
      </c>
      <c r="V242" s="2123">
        <f>V241-V243</f>
        <v>45.5</v>
      </c>
      <c r="W242" s="2123">
        <f>W241-W243</f>
        <v>46.5</v>
      </c>
      <c r="X242" s="2123">
        <f>X241-X243</f>
        <v>50</v>
      </c>
      <c r="Y242" s="2124"/>
      <c r="Z242" s="2218"/>
      <c r="AA242" s="2218"/>
      <c r="AB242" s="2218"/>
      <c r="AC242" s="2218"/>
      <c r="AD242" s="2218"/>
      <c r="AE242" s="2218"/>
      <c r="AF242" s="2218"/>
      <c r="AG242" s="2218"/>
      <c r="AH242" s="2218"/>
      <c r="AI242" s="2218"/>
      <c r="AJ242" s="2218"/>
      <c r="AK242" s="2218"/>
      <c r="AL242" s="2218"/>
      <c r="AM242" s="2218"/>
      <c r="AN242" s="2218"/>
      <c r="AO242" s="2218"/>
      <c r="AP242" s="2218"/>
      <c r="AQ242" s="2218"/>
      <c r="AR242" s="2218"/>
      <c r="AS242" s="2218"/>
      <c r="AT242" s="2218"/>
      <c r="AU242" s="2218"/>
      <c r="AV242" s="2218"/>
      <c r="AW242" s="2218"/>
      <c r="AX242" s="2218"/>
      <c r="AY242" s="2218"/>
      <c r="AZ242" s="2218"/>
      <c r="BA242" s="2218"/>
      <c r="BB242" s="2218"/>
      <c r="BC242" s="2218"/>
      <c r="BD242" s="2218"/>
      <c r="BE242" s="2218"/>
      <c r="BF242" s="2218"/>
      <c r="BG242" s="2218"/>
    </row>
    <row r="243" spans="1:59" s="2285" customFormat="1" ht="12">
      <c r="A243" s="2224" t="s">
        <v>1914</v>
      </c>
      <c r="B243" s="1684"/>
      <c r="C243" s="1684"/>
      <c r="D243" s="1684"/>
      <c r="E243" s="1685"/>
      <c r="F243" s="1684"/>
      <c r="G243" s="1684"/>
      <c r="H243" s="1684"/>
      <c r="I243" s="1685"/>
      <c r="J243" s="2215"/>
      <c r="K243" s="2215"/>
      <c r="L243" s="2215"/>
      <c r="M243" s="2216"/>
      <c r="N243" s="2225">
        <v>13.5</v>
      </c>
      <c r="O243" s="2225">
        <v>13.5</v>
      </c>
      <c r="P243" s="2218">
        <v>13.5</v>
      </c>
      <c r="Q243" s="2219"/>
      <c r="R243" s="2218"/>
      <c r="S243" s="2218"/>
      <c r="T243" s="2218"/>
      <c r="U243" s="2219">
        <v>14.5</v>
      </c>
      <c r="V243" s="2218">
        <v>16</v>
      </c>
      <c r="W243" s="2218">
        <v>16.5</v>
      </c>
      <c r="X243" s="2218">
        <v>16.5</v>
      </c>
      <c r="Y243" s="2219"/>
      <c r="Z243" s="2218"/>
      <c r="AA243" s="2218"/>
      <c r="AB243" s="2218"/>
      <c r="AC243" s="2218"/>
      <c r="AD243" s="2218"/>
      <c r="AE243" s="2218"/>
      <c r="AF243" s="2218"/>
      <c r="AG243" s="2218"/>
      <c r="AH243" s="2218"/>
      <c r="AI243" s="2218"/>
      <c r="AJ243" s="2218"/>
      <c r="AK243" s="2218"/>
      <c r="AL243" s="2218"/>
      <c r="AM243" s="2218"/>
      <c r="AN243" s="2218"/>
      <c r="AO243" s="2218"/>
      <c r="AP243" s="2218"/>
      <c r="AQ243" s="2218"/>
      <c r="AR243" s="2218"/>
      <c r="AS243" s="2218"/>
      <c r="AT243" s="2218"/>
      <c r="AU243" s="2218"/>
      <c r="AV243" s="2218"/>
      <c r="AW243" s="2218"/>
      <c r="AX243" s="2218"/>
      <c r="AY243" s="2218"/>
      <c r="AZ243" s="2218"/>
      <c r="BA243" s="2218"/>
      <c r="BB243" s="2218"/>
      <c r="BC243" s="2218"/>
      <c r="BD243" s="2218"/>
      <c r="BE243" s="2218"/>
      <c r="BF243" s="2218"/>
      <c r="BG243" s="2218"/>
    </row>
    <row r="244" spans="1:59">
      <c r="A244" s="2220" t="s">
        <v>1265</v>
      </c>
      <c r="B244" s="2225">
        <v>170</v>
      </c>
      <c r="C244" s="2225">
        <v>184</v>
      </c>
      <c r="D244" s="2225"/>
      <c r="E244" s="2226">
        <v>190</v>
      </c>
      <c r="F244" s="2225">
        <v>205</v>
      </c>
      <c r="G244" s="2225">
        <v>250</v>
      </c>
      <c r="H244" s="2225"/>
      <c r="I244" s="2226"/>
      <c r="J244" s="2225">
        <v>300</v>
      </c>
      <c r="K244" s="2225">
        <v>310</v>
      </c>
      <c r="L244" s="2225"/>
      <c r="M244" s="2226"/>
      <c r="N244" s="2225">
        <v>240</v>
      </c>
      <c r="O244" s="2225">
        <v>500</v>
      </c>
      <c r="P244" s="2218"/>
      <c r="Q244" s="2219">
        <v>500</v>
      </c>
      <c r="R244" s="2218"/>
      <c r="S244" s="2218"/>
      <c r="T244" s="2218"/>
      <c r="U244" s="2219">
        <v>500</v>
      </c>
      <c r="V244" s="2218">
        <v>500</v>
      </c>
      <c r="W244" s="2218">
        <v>500</v>
      </c>
      <c r="X244" s="2218">
        <v>500</v>
      </c>
      <c r="Y244" s="2219"/>
      <c r="Z244" s="2218"/>
      <c r="AA244" s="2218"/>
      <c r="AB244" s="2218"/>
      <c r="AC244" s="2218"/>
      <c r="AD244" s="2218"/>
      <c r="AE244" s="2218"/>
      <c r="AF244" s="2218"/>
      <c r="AG244" s="2218"/>
      <c r="AH244" s="2218"/>
      <c r="AI244" s="2218"/>
      <c r="AJ244" s="2218"/>
      <c r="AK244" s="2218"/>
      <c r="AL244" s="2218"/>
      <c r="AM244" s="2218"/>
      <c r="AN244" s="2218"/>
      <c r="AO244" s="2218"/>
      <c r="AP244" s="2218"/>
      <c r="AQ244" s="2218"/>
      <c r="AR244" s="2218"/>
      <c r="AS244" s="2218"/>
      <c r="AT244" s="2218"/>
      <c r="AU244" s="2218"/>
      <c r="AV244" s="2218"/>
      <c r="AW244" s="2218"/>
      <c r="AX244" s="2218"/>
      <c r="AY244" s="2218"/>
      <c r="AZ244" s="2218"/>
      <c r="BA244" s="2218"/>
      <c r="BB244" s="2218"/>
      <c r="BC244" s="2218"/>
      <c r="BD244" s="2218"/>
      <c r="BE244" s="2218"/>
      <c r="BF244" s="2218"/>
      <c r="BG244" s="2218"/>
    </row>
    <row r="245" spans="1:59" s="2123" customFormat="1">
      <c r="A245" s="2092" t="s">
        <v>1266</v>
      </c>
      <c r="B245" s="2227"/>
      <c r="C245" s="2227"/>
      <c r="D245" s="2227"/>
      <c r="E245" s="2228"/>
      <c r="F245" s="2227"/>
      <c r="G245" s="2227"/>
      <c r="H245" s="2227"/>
      <c r="I245" s="2228"/>
      <c r="J245" s="2227"/>
      <c r="K245" s="2227"/>
      <c r="L245" s="2227"/>
      <c r="M245" s="2228"/>
      <c r="N245" s="2227"/>
      <c r="O245" s="2225">
        <v>100</v>
      </c>
      <c r="P245" s="2229"/>
      <c r="Q245" s="2171"/>
      <c r="R245" s="2170"/>
      <c r="S245" s="2218"/>
      <c r="T245" s="2170"/>
      <c r="U245" s="2171"/>
      <c r="V245" s="2170"/>
      <c r="W245" s="2170"/>
      <c r="X245" s="2170"/>
      <c r="Y245" s="2171"/>
      <c r="Z245" s="2170"/>
      <c r="AA245" s="2170"/>
      <c r="AB245" s="2170"/>
      <c r="AC245" s="2170"/>
      <c r="AD245" s="2170"/>
      <c r="AE245" s="2170"/>
      <c r="AF245" s="2170"/>
      <c r="AG245" s="2170"/>
      <c r="AH245" s="2170"/>
      <c r="AI245" s="2170"/>
      <c r="AJ245" s="2170"/>
      <c r="AK245" s="2170"/>
      <c r="AL245" s="2170"/>
      <c r="AM245" s="2170"/>
      <c r="AN245" s="2170"/>
      <c r="AO245" s="2170"/>
      <c r="AP245" s="2170"/>
      <c r="AQ245" s="2170"/>
      <c r="AR245" s="2170"/>
      <c r="AS245" s="2170"/>
      <c r="AT245" s="2170"/>
      <c r="AU245" s="2170"/>
      <c r="AV245" s="2170"/>
      <c r="AW245" s="2170"/>
      <c r="AX245" s="2170"/>
      <c r="AY245" s="2170"/>
      <c r="AZ245" s="2170"/>
      <c r="BA245" s="2170"/>
      <c r="BB245" s="2170"/>
      <c r="BC245" s="2170"/>
      <c r="BD245" s="2170"/>
      <c r="BE245" s="2170"/>
      <c r="BF245" s="2170"/>
      <c r="BG245" s="2170"/>
    </row>
    <row r="246" spans="1:59" s="2123" customFormat="1">
      <c r="A246" s="2092"/>
      <c r="B246" s="2227"/>
      <c r="C246" s="2227"/>
      <c r="D246" s="2227"/>
      <c r="E246" s="2228"/>
      <c r="F246" s="2227"/>
      <c r="G246" s="2227"/>
      <c r="H246" s="2227"/>
      <c r="I246" s="2228"/>
      <c r="J246" s="2227"/>
      <c r="K246" s="2227"/>
      <c r="L246" s="2227"/>
      <c r="M246" s="2228"/>
      <c r="N246" s="2227"/>
      <c r="O246" s="2229"/>
      <c r="P246" s="2229"/>
      <c r="Q246" s="2171"/>
      <c r="R246" s="2170"/>
      <c r="S246" s="2170"/>
      <c r="T246" s="2170"/>
      <c r="U246" s="2171"/>
      <c r="V246" s="2170"/>
      <c r="W246" s="2170"/>
      <c r="X246" s="2170"/>
      <c r="Y246" s="2171"/>
      <c r="Z246" s="2170"/>
      <c r="AA246" s="2170"/>
      <c r="AB246" s="2170"/>
      <c r="AC246" s="2170"/>
      <c r="AD246" s="2170"/>
      <c r="AE246" s="2170"/>
      <c r="AF246" s="2170"/>
      <c r="AG246" s="2170"/>
      <c r="AH246" s="2170"/>
      <c r="AI246" s="2170"/>
      <c r="AJ246" s="2170"/>
      <c r="AK246" s="2170"/>
      <c r="AL246" s="2170"/>
      <c r="AM246" s="2170"/>
      <c r="AN246" s="2170"/>
      <c r="AO246" s="2170"/>
      <c r="AP246" s="2170"/>
      <c r="AQ246" s="2170"/>
      <c r="AR246" s="2170"/>
      <c r="AS246" s="2170"/>
      <c r="AT246" s="2170"/>
      <c r="AU246" s="2170"/>
      <c r="AV246" s="2170"/>
      <c r="AW246" s="2170"/>
      <c r="AX246" s="2170"/>
      <c r="AY246" s="2170"/>
      <c r="AZ246" s="2170"/>
      <c r="BA246" s="2170"/>
      <c r="BB246" s="2170"/>
      <c r="BC246" s="2170"/>
      <c r="BD246" s="2170"/>
      <c r="BE246" s="2170"/>
      <c r="BF246" s="2170"/>
      <c r="BG246" s="2170"/>
    </row>
    <row r="247" spans="1:59" s="2123" customFormat="1">
      <c r="A247" s="2120" t="s">
        <v>1869</v>
      </c>
      <c r="B247" s="2233"/>
      <c r="C247" s="2233"/>
      <c r="D247" s="2233"/>
      <c r="E247" s="2234"/>
      <c r="F247" s="2233"/>
      <c r="G247" s="2233"/>
      <c r="H247" s="2233"/>
      <c r="I247" s="2234"/>
      <c r="J247" s="2233"/>
      <c r="K247" s="2233"/>
      <c r="L247" s="2233"/>
      <c r="M247" s="2234"/>
      <c r="N247" s="2233"/>
      <c r="O247" s="2233"/>
      <c r="P247" s="2233"/>
      <c r="Q247" s="2234"/>
      <c r="R247" s="2090"/>
      <c r="S247" s="2090"/>
      <c r="T247" s="2090"/>
      <c r="U247" s="2091"/>
      <c r="V247" s="2090"/>
      <c r="W247" s="2090"/>
      <c r="X247" s="2090"/>
      <c r="Y247" s="2091"/>
      <c r="Z247" s="2090"/>
      <c r="AA247" s="2090"/>
      <c r="AB247" s="2090"/>
      <c r="AC247" s="2090"/>
      <c r="AD247" s="2090"/>
      <c r="AE247" s="2090"/>
      <c r="AF247" s="2090"/>
      <c r="AG247" s="2090"/>
      <c r="AH247" s="2090"/>
      <c r="AI247" s="2090"/>
      <c r="AJ247" s="2090"/>
      <c r="AK247" s="2090"/>
      <c r="AL247" s="2090"/>
      <c r="AM247" s="2090"/>
      <c r="AN247" s="2090"/>
      <c r="AO247" s="2090"/>
      <c r="AP247" s="2090"/>
      <c r="AQ247" s="2090"/>
      <c r="AR247" s="2090"/>
      <c r="AS247" s="2090"/>
      <c r="AT247" s="2090"/>
      <c r="AU247" s="2090"/>
      <c r="AV247" s="2090"/>
      <c r="AW247" s="2090"/>
      <c r="AX247" s="2090"/>
      <c r="AY247" s="2090"/>
      <c r="AZ247" s="2090"/>
      <c r="BA247" s="2090"/>
      <c r="BB247" s="2090"/>
      <c r="BC247" s="2090"/>
      <c r="BD247" s="2090"/>
      <c r="BE247" s="2090"/>
      <c r="BF247" s="2090"/>
      <c r="BG247" s="2090"/>
    </row>
    <row r="248" spans="1:59" s="2123" customFormat="1" ht="12.5" outlineLevel="1">
      <c r="A248" s="2235" t="s">
        <v>1313</v>
      </c>
      <c r="B248" s="2215"/>
      <c r="C248" s="2215"/>
      <c r="D248" s="2215"/>
      <c r="E248" s="2216"/>
      <c r="F248" s="2215"/>
      <c r="G248" s="2215"/>
      <c r="H248" s="1696">
        <v>1443</v>
      </c>
      <c r="I248" s="1697">
        <v>1424</v>
      </c>
      <c r="J248" s="1696">
        <v>1.4810000000000001</v>
      </c>
      <c r="K248" s="1696">
        <v>1.633</v>
      </c>
      <c r="L248" s="1696">
        <v>1.66</v>
      </c>
      <c r="M248" s="1697">
        <v>1.7609999999999999</v>
      </c>
      <c r="N248" s="1696">
        <v>1.8140000000000001</v>
      </c>
      <c r="O248" s="1696">
        <v>1.873</v>
      </c>
      <c r="P248" s="1696">
        <v>2.1869999999999998</v>
      </c>
      <c r="Q248" s="1697">
        <v>2.3079999999999998</v>
      </c>
      <c r="R248" s="1696">
        <v>2.5070000000000001</v>
      </c>
      <c r="S248" s="1696">
        <v>2.3660000000000001</v>
      </c>
      <c r="T248" s="1696">
        <v>2.6709999999999998</v>
      </c>
      <c r="U248" s="1697">
        <v>2.4870000000000001</v>
      </c>
      <c r="V248" s="1696"/>
      <c r="W248" s="2170"/>
      <c r="X248" s="2170"/>
      <c r="Y248" s="2171"/>
      <c r="Z248" s="2170"/>
      <c r="AA248" s="2170"/>
      <c r="AB248" s="2170"/>
      <c r="AC248" s="2170"/>
      <c r="AD248" s="2170"/>
      <c r="AE248" s="2170"/>
      <c r="AF248" s="2170"/>
      <c r="AG248" s="2170"/>
      <c r="AH248" s="2170"/>
      <c r="AI248" s="2170"/>
      <c r="AJ248" s="2170"/>
      <c r="AK248" s="2170"/>
      <c r="AL248" s="2170"/>
      <c r="AM248" s="2170"/>
      <c r="AN248" s="2170"/>
      <c r="AO248" s="2170"/>
      <c r="AP248" s="2170"/>
      <c r="AQ248" s="2170"/>
      <c r="AR248" s="2170"/>
      <c r="AS248" s="2170"/>
      <c r="AT248" s="2170"/>
      <c r="AU248" s="2170"/>
      <c r="AV248" s="2170"/>
      <c r="AW248" s="2170"/>
      <c r="AX248" s="2170"/>
      <c r="AY248" s="2170"/>
      <c r="AZ248" s="2170"/>
      <c r="BA248" s="2170"/>
      <c r="BB248" s="2170"/>
      <c r="BC248" s="2170"/>
      <c r="BD248" s="2170"/>
      <c r="BE248" s="2170"/>
      <c r="BF248" s="2170"/>
      <c r="BG248" s="2170"/>
    </row>
    <row r="249" spans="1:59" s="376" customFormat="1" ht="13" outlineLevel="1">
      <c r="A249" s="2110" t="s">
        <v>1450</v>
      </c>
      <c r="B249" s="2233"/>
      <c r="C249" s="2233"/>
      <c r="D249" s="2233"/>
      <c r="E249" s="2234"/>
      <c r="F249" s="2233"/>
      <c r="G249" s="2233"/>
      <c r="H249" s="2233"/>
      <c r="I249" s="2234"/>
      <c r="J249" s="2233"/>
      <c r="K249" s="2233"/>
      <c r="L249" s="969">
        <f>L248/H248-1</f>
        <v>-0.99884961884961887</v>
      </c>
      <c r="M249" s="970">
        <f>M248/I248-1</f>
        <v>-0.99876334269662925</v>
      </c>
      <c r="N249" s="969">
        <f t="shared" ref="N249:V249" si="111">N248/J248-1</f>
        <v>0.22484807562457787</v>
      </c>
      <c r="O249" s="969">
        <f t="shared" si="111"/>
        <v>0.14696876913655843</v>
      </c>
      <c r="P249" s="969">
        <f t="shared" si="111"/>
        <v>0.31746987951807215</v>
      </c>
      <c r="Q249" s="970">
        <f t="shared" si="111"/>
        <v>0.31061896649630882</v>
      </c>
      <c r="R249" s="969">
        <f t="shared" si="111"/>
        <v>0.38202866593164275</v>
      </c>
      <c r="S249" s="969">
        <f t="shared" si="111"/>
        <v>0.26321409503470372</v>
      </c>
      <c r="T249" s="969">
        <f t="shared" si="111"/>
        <v>0.22130772748056704</v>
      </c>
      <c r="U249" s="970">
        <f t="shared" si="111"/>
        <v>7.7556325823223693E-2</v>
      </c>
      <c r="V249" s="969">
        <f t="shared" si="111"/>
        <v>-1</v>
      </c>
      <c r="W249" s="2090"/>
      <c r="X249" s="2090"/>
      <c r="Y249" s="2091"/>
      <c r="Z249" s="2090"/>
      <c r="AA249" s="2090"/>
      <c r="AB249" s="2090"/>
      <c r="AC249" s="2090"/>
      <c r="AD249" s="2090"/>
      <c r="AE249" s="2090"/>
      <c r="AF249" s="2090"/>
      <c r="AG249" s="2090"/>
      <c r="AH249" s="2090"/>
      <c r="AI249" s="2090"/>
      <c r="AJ249" s="2090"/>
      <c r="AK249" s="2090"/>
      <c r="AL249" s="2090"/>
      <c r="AM249" s="2090"/>
      <c r="AN249" s="2090"/>
      <c r="AO249" s="2090"/>
      <c r="AP249" s="2090"/>
      <c r="AQ249" s="2090"/>
      <c r="AR249" s="2090"/>
      <c r="AS249" s="2090"/>
      <c r="AT249" s="2090"/>
      <c r="AU249" s="2090"/>
      <c r="AV249" s="2090"/>
      <c r="AW249" s="2090"/>
      <c r="AX249" s="2090"/>
      <c r="AY249" s="2090"/>
      <c r="AZ249" s="2090"/>
      <c r="BA249" s="2090"/>
      <c r="BB249" s="2090"/>
      <c r="BC249" s="2090"/>
      <c r="BD249" s="2090"/>
      <c r="BE249" s="2090"/>
      <c r="BF249" s="2090"/>
      <c r="BG249" s="2090"/>
    </row>
    <row r="250" spans="1:59" ht="12.5" outlineLevel="1">
      <c r="A250" s="2090" t="s">
        <v>1312</v>
      </c>
      <c r="B250" s="2215"/>
      <c r="C250" s="2215"/>
      <c r="D250" s="2215"/>
      <c r="E250" s="2216"/>
      <c r="F250" s="2215"/>
      <c r="G250" s="2215"/>
      <c r="H250" s="1696">
        <v>313</v>
      </c>
      <c r="I250" s="1697">
        <v>301</v>
      </c>
      <c r="J250" s="1696">
        <v>287</v>
      </c>
      <c r="K250" s="1696">
        <v>275</v>
      </c>
      <c r="L250" s="1696">
        <v>300</v>
      </c>
      <c r="M250" s="1697">
        <v>365</v>
      </c>
      <c r="N250" s="1696">
        <v>442</v>
      </c>
      <c r="O250" s="1696">
        <v>469</v>
      </c>
      <c r="P250" s="1696">
        <v>443</v>
      </c>
      <c r="Q250" s="1697">
        <v>504</v>
      </c>
      <c r="R250" s="1696">
        <v>682</v>
      </c>
      <c r="S250" s="1696">
        <v>579</v>
      </c>
      <c r="T250" s="1696">
        <v>577</v>
      </c>
      <c r="U250" s="1697">
        <v>600</v>
      </c>
      <c r="V250" s="1696"/>
      <c r="W250" s="2170"/>
      <c r="X250" s="2170"/>
      <c r="Y250" s="2171"/>
      <c r="Z250" s="2170"/>
      <c r="AA250" s="2170"/>
      <c r="AB250" s="2170"/>
      <c r="AC250" s="2170"/>
      <c r="AD250" s="2170"/>
      <c r="AE250" s="2170"/>
      <c r="AF250" s="2170"/>
      <c r="AG250" s="2170"/>
      <c r="AH250" s="2170"/>
      <c r="AI250" s="2170"/>
      <c r="AJ250" s="2170"/>
      <c r="AK250" s="2170"/>
      <c r="AL250" s="2170"/>
      <c r="AM250" s="2170"/>
      <c r="AN250" s="2170"/>
      <c r="AO250" s="2170"/>
      <c r="AP250" s="2170"/>
      <c r="AQ250" s="2170"/>
      <c r="AR250" s="2170"/>
      <c r="AS250" s="2170"/>
      <c r="AT250" s="2170"/>
      <c r="AU250" s="2170"/>
      <c r="AV250" s="2170"/>
      <c r="AW250" s="2170"/>
      <c r="AX250" s="2170"/>
      <c r="AY250" s="2170"/>
      <c r="AZ250" s="2170"/>
      <c r="BA250" s="2170"/>
      <c r="BB250" s="2170"/>
      <c r="BC250" s="2170"/>
      <c r="BD250" s="2170"/>
      <c r="BE250" s="2170"/>
      <c r="BF250" s="2170"/>
      <c r="BG250" s="2170"/>
    </row>
    <row r="251" spans="1:59" ht="13" outlineLevel="1">
      <c r="A251" s="2110" t="s">
        <v>1450</v>
      </c>
      <c r="B251" s="2233"/>
      <c r="C251" s="2233"/>
      <c r="D251" s="2233"/>
      <c r="E251" s="2234"/>
      <c r="F251" s="2233"/>
      <c r="G251" s="2233"/>
      <c r="H251" s="2233"/>
      <c r="I251" s="2234"/>
      <c r="J251" s="2233"/>
      <c r="K251" s="2233"/>
      <c r="L251" s="969">
        <f>L250/H250-1</f>
        <v>-4.1533546325878579E-2</v>
      </c>
      <c r="M251" s="970">
        <f>M250/I250-1</f>
        <v>0.21262458471760803</v>
      </c>
      <c r="N251" s="969">
        <f t="shared" ref="N251:V251" si="112">N250/J250-1</f>
        <v>0.54006968641114983</v>
      </c>
      <c r="O251" s="969">
        <f t="shared" si="112"/>
        <v>0.70545454545454556</v>
      </c>
      <c r="P251" s="969">
        <f t="shared" si="112"/>
        <v>0.47666666666666657</v>
      </c>
      <c r="Q251" s="970">
        <f t="shared" si="112"/>
        <v>0.38082191780821928</v>
      </c>
      <c r="R251" s="969">
        <f t="shared" si="112"/>
        <v>0.54298642533936659</v>
      </c>
      <c r="S251" s="969">
        <f t="shared" si="112"/>
        <v>0.23454157782515983</v>
      </c>
      <c r="T251" s="969">
        <f t="shared" si="112"/>
        <v>0.30248306997742658</v>
      </c>
      <c r="U251" s="970">
        <f t="shared" si="112"/>
        <v>0.19047619047619047</v>
      </c>
      <c r="V251" s="969">
        <f t="shared" si="112"/>
        <v>-1</v>
      </c>
    </row>
    <row r="252" spans="1:59" s="2211" customFormat="1" ht="12.5" outlineLevel="1">
      <c r="A252" s="2235" t="s">
        <v>1451</v>
      </c>
      <c r="B252" s="2215"/>
      <c r="C252" s="2215"/>
      <c r="D252" s="2215"/>
      <c r="E252" s="2216"/>
      <c r="F252" s="2215"/>
      <c r="G252" s="2215"/>
      <c r="H252" s="1696">
        <v>21</v>
      </c>
      <c r="I252" s="1697">
        <v>36</v>
      </c>
      <c r="J252" s="1696">
        <v>31</v>
      </c>
      <c r="K252" s="1696">
        <v>48</v>
      </c>
      <c r="L252" s="1696">
        <v>26</v>
      </c>
      <c r="M252" s="1697">
        <v>36</v>
      </c>
      <c r="N252" s="1696">
        <v>33</v>
      </c>
      <c r="O252" s="1696">
        <v>54</v>
      </c>
      <c r="P252" s="1696">
        <v>32</v>
      </c>
      <c r="Q252" s="1697">
        <v>46</v>
      </c>
      <c r="R252" s="1696">
        <v>37</v>
      </c>
      <c r="S252" s="1696">
        <v>50</v>
      </c>
      <c r="T252" s="1696">
        <v>27</v>
      </c>
      <c r="U252" s="1697">
        <v>29</v>
      </c>
      <c r="V252" s="1696"/>
      <c r="W252" s="2170"/>
      <c r="X252" s="2170"/>
      <c r="Y252" s="2171"/>
      <c r="Z252" s="2170"/>
      <c r="AA252" s="2170"/>
      <c r="AB252" s="2170"/>
      <c r="AC252" s="2170"/>
      <c r="AD252" s="2170"/>
      <c r="AE252" s="2170"/>
      <c r="AF252" s="2170"/>
      <c r="AG252" s="2170"/>
      <c r="AH252" s="2170"/>
      <c r="AI252" s="2170"/>
      <c r="AJ252" s="2170"/>
      <c r="AK252" s="2170"/>
      <c r="AL252" s="2170"/>
      <c r="AM252" s="2170"/>
      <c r="AN252" s="2170"/>
      <c r="AO252" s="2170"/>
      <c r="AP252" s="2170"/>
      <c r="AQ252" s="2170"/>
      <c r="AR252" s="2170"/>
      <c r="AS252" s="2170"/>
      <c r="AT252" s="2170"/>
      <c r="AU252" s="2170"/>
      <c r="AV252" s="2170"/>
      <c r="AW252" s="2170"/>
      <c r="AX252" s="2170"/>
      <c r="AY252" s="2170"/>
      <c r="AZ252" s="2170"/>
      <c r="BA252" s="2170"/>
      <c r="BB252" s="2170"/>
      <c r="BC252" s="2170"/>
      <c r="BD252" s="2170"/>
      <c r="BE252" s="2170"/>
      <c r="BF252" s="2170"/>
      <c r="BG252" s="2170"/>
    </row>
    <row r="253" spans="1:59" ht="13">
      <c r="A253" s="2110" t="s">
        <v>1450</v>
      </c>
      <c r="B253" s="2233"/>
      <c r="C253" s="2233"/>
      <c r="D253" s="2233"/>
      <c r="E253" s="2234"/>
      <c r="F253" s="2233"/>
      <c r="G253" s="2233"/>
      <c r="H253" s="2233"/>
      <c r="I253" s="2234"/>
      <c r="J253" s="2233"/>
      <c r="K253" s="2233"/>
      <c r="L253" s="969">
        <f>L252/H252-1</f>
        <v>0.23809523809523814</v>
      </c>
      <c r="M253" s="970">
        <f>M252/I252-1</f>
        <v>0</v>
      </c>
      <c r="N253" s="969">
        <f t="shared" ref="N253:V253" si="113">N252/J252-1</f>
        <v>6.4516129032258007E-2</v>
      </c>
      <c r="O253" s="969">
        <f t="shared" si="113"/>
        <v>0.125</v>
      </c>
      <c r="P253" s="969">
        <f t="shared" si="113"/>
        <v>0.23076923076923084</v>
      </c>
      <c r="Q253" s="970">
        <f t="shared" si="113"/>
        <v>0.27777777777777768</v>
      </c>
      <c r="R253" s="969">
        <f t="shared" si="113"/>
        <v>0.1212121212121211</v>
      </c>
      <c r="S253" s="969">
        <f t="shared" si="113"/>
        <v>-7.407407407407407E-2</v>
      </c>
      <c r="T253" s="969">
        <f t="shared" si="113"/>
        <v>-0.15625</v>
      </c>
      <c r="U253" s="970">
        <f t="shared" si="113"/>
        <v>-0.36956521739130432</v>
      </c>
      <c r="V253" s="969">
        <f t="shared" si="113"/>
        <v>-1</v>
      </c>
    </row>
    <row r="254" spans="1:59" ht="12.5">
      <c r="A254" s="2235"/>
      <c r="B254" s="2233"/>
      <c r="C254" s="2233"/>
      <c r="D254" s="2233"/>
      <c r="E254" s="2234"/>
      <c r="F254" s="2233"/>
      <c r="G254" s="2233"/>
      <c r="H254" s="2233"/>
      <c r="I254" s="2234"/>
      <c r="J254" s="2233"/>
      <c r="K254" s="2233"/>
      <c r="L254" s="2233"/>
      <c r="M254" s="2234"/>
      <c r="N254" s="2233"/>
      <c r="O254" s="2233"/>
      <c r="P254" s="2233"/>
      <c r="Q254" s="2234"/>
    </row>
    <row r="255" spans="1:59" s="27" customFormat="1" ht="12.5">
      <c r="A255" s="2235"/>
      <c r="B255" s="2233"/>
      <c r="C255" s="2233"/>
      <c r="D255" s="2233"/>
      <c r="E255" s="2234"/>
      <c r="F255" s="2233"/>
      <c r="G255" s="2233"/>
      <c r="H255" s="2233"/>
      <c r="I255" s="2234"/>
      <c r="J255" s="2233"/>
      <c r="K255" s="2233"/>
      <c r="L255" s="2233"/>
      <c r="M255" s="2234"/>
      <c r="N255" s="2233"/>
      <c r="O255" s="2233"/>
      <c r="P255" s="2233"/>
      <c r="Q255" s="2234"/>
      <c r="R255" s="2090"/>
      <c r="S255" s="2090"/>
      <c r="T255" s="2090"/>
      <c r="U255" s="2091"/>
      <c r="V255" s="2090"/>
      <c r="W255" s="2090"/>
      <c r="X255" s="2090"/>
      <c r="Y255" s="2091"/>
      <c r="Z255" s="2090"/>
      <c r="AA255" s="2090"/>
      <c r="AB255" s="2090"/>
      <c r="AC255" s="2090"/>
      <c r="AD255" s="2090"/>
      <c r="AE255" s="2090"/>
      <c r="AF255" s="2090"/>
      <c r="AG255" s="2090"/>
      <c r="AH255" s="2090"/>
      <c r="AI255" s="2090"/>
      <c r="AJ255" s="2090"/>
      <c r="AK255" s="2090"/>
      <c r="AL255" s="2090"/>
      <c r="AM255" s="2090"/>
      <c r="AN255" s="2090"/>
      <c r="AO255" s="2090"/>
      <c r="AP255" s="2090"/>
      <c r="AQ255" s="2090"/>
      <c r="AR255" s="2090"/>
      <c r="AS255" s="2090"/>
      <c r="AT255" s="2090"/>
      <c r="AU255" s="2090"/>
      <c r="AV255" s="2090"/>
      <c r="AW255" s="2090"/>
      <c r="AX255" s="2090"/>
      <c r="AY255" s="2090"/>
      <c r="AZ255" s="2090"/>
      <c r="BA255" s="2090"/>
      <c r="BB255" s="2090"/>
      <c r="BC255" s="2090"/>
      <c r="BD255" s="2090"/>
      <c r="BE255" s="2090"/>
      <c r="BF255" s="2090"/>
      <c r="BG255" s="2090"/>
    </row>
    <row r="256" spans="1:59" s="444" customFormat="1">
      <c r="A256" s="2236" t="s">
        <v>1452</v>
      </c>
      <c r="B256" s="2215"/>
      <c r="C256" s="2215"/>
      <c r="D256" s="2215"/>
      <c r="E256" s="2216"/>
      <c r="F256" s="2215"/>
      <c r="G256" s="2215"/>
      <c r="H256" s="2215"/>
      <c r="I256" s="2216"/>
      <c r="J256" s="2215"/>
      <c r="K256" s="2215"/>
      <c r="L256" s="2215"/>
      <c r="M256" s="2216"/>
      <c r="N256" s="2215"/>
      <c r="O256" s="2215"/>
      <c r="P256" s="2215"/>
      <c r="Q256" s="2216"/>
      <c r="R256" s="2130">
        <v>31</v>
      </c>
      <c r="S256" s="2130">
        <v>33</v>
      </c>
      <c r="T256" s="2170"/>
      <c r="U256" s="2171"/>
      <c r="V256" s="2170"/>
      <c r="W256" s="2170"/>
      <c r="X256" s="2170"/>
      <c r="Y256" s="2171"/>
      <c r="Z256" s="2170"/>
      <c r="AA256" s="2170"/>
      <c r="AB256" s="2170"/>
      <c r="AC256" s="2170"/>
      <c r="AD256" s="2170"/>
      <c r="AE256" s="2170"/>
      <c r="AF256" s="2170"/>
      <c r="AG256" s="2170"/>
      <c r="AH256" s="2170"/>
      <c r="AI256" s="2170"/>
      <c r="AJ256" s="2170"/>
      <c r="AK256" s="2170"/>
      <c r="AL256" s="2170"/>
      <c r="AM256" s="2170"/>
      <c r="AN256" s="2170"/>
      <c r="AO256" s="2170"/>
      <c r="AP256" s="2170"/>
      <c r="AQ256" s="2170"/>
      <c r="AR256" s="2170"/>
      <c r="AS256" s="2170"/>
      <c r="AT256" s="2170"/>
      <c r="AU256" s="2170"/>
      <c r="AV256" s="2170"/>
      <c r="AW256" s="2170"/>
      <c r="AX256" s="2170"/>
      <c r="AY256" s="2170"/>
      <c r="AZ256" s="2170"/>
      <c r="BA256" s="2170"/>
      <c r="BB256" s="2170"/>
      <c r="BC256" s="2170"/>
      <c r="BD256" s="2170"/>
      <c r="BE256" s="2170"/>
      <c r="BF256" s="2170"/>
      <c r="BG256" s="2170"/>
    </row>
    <row r="257" spans="1:59" s="444" customFormat="1">
      <c r="A257" s="2092"/>
      <c r="B257" s="2215"/>
      <c r="C257" s="2215"/>
      <c r="D257" s="2215"/>
      <c r="E257" s="2216"/>
      <c r="F257" s="2215"/>
      <c r="G257" s="2215"/>
      <c r="H257" s="2215"/>
      <c r="I257" s="2216"/>
      <c r="J257" s="2215"/>
      <c r="K257" s="2215"/>
      <c r="L257" s="2215"/>
      <c r="M257" s="2216"/>
      <c r="N257" s="2215"/>
      <c r="O257" s="2215"/>
      <c r="P257" s="2215"/>
      <c r="Q257" s="2216"/>
      <c r="R257" s="2170"/>
      <c r="S257" s="2170"/>
      <c r="T257" s="2170"/>
      <c r="U257" s="2171"/>
      <c r="V257" s="2170"/>
      <c r="W257" s="2170"/>
      <c r="X257" s="2170"/>
      <c r="Y257" s="2171"/>
      <c r="Z257" s="2170"/>
      <c r="AA257" s="2170"/>
      <c r="AB257" s="2170"/>
      <c r="AC257" s="2170"/>
      <c r="AD257" s="2170"/>
      <c r="AE257" s="2170"/>
      <c r="AF257" s="2170"/>
      <c r="AG257" s="2170"/>
      <c r="AH257" s="2170"/>
      <c r="AI257" s="2170"/>
      <c r="AJ257" s="2170"/>
      <c r="AK257" s="2170"/>
      <c r="AL257" s="2170"/>
      <c r="AM257" s="2170"/>
      <c r="AN257" s="2170"/>
      <c r="AO257" s="2170"/>
      <c r="AP257" s="2170"/>
      <c r="AQ257" s="2170"/>
      <c r="AR257" s="2170"/>
      <c r="AS257" s="2170"/>
      <c r="AT257" s="2170"/>
      <c r="AU257" s="2170"/>
      <c r="AV257" s="2170"/>
      <c r="AW257" s="2170"/>
      <c r="AX257" s="2170"/>
      <c r="AY257" s="2170"/>
      <c r="AZ257" s="2170"/>
      <c r="BA257" s="2170"/>
      <c r="BB257" s="2170"/>
      <c r="BC257" s="2170"/>
      <c r="BD257" s="2170"/>
      <c r="BE257" s="2170"/>
      <c r="BF257" s="2170"/>
      <c r="BG257" s="2170"/>
    </row>
    <row r="258" spans="1:59" s="444" customFormat="1">
      <c r="A258" s="2236" t="s">
        <v>1453</v>
      </c>
      <c r="B258" s="2215"/>
      <c r="C258" s="2215"/>
      <c r="D258" s="2215"/>
      <c r="E258" s="2216"/>
      <c r="F258" s="2215"/>
      <c r="G258" s="2215"/>
      <c r="H258" s="2215"/>
      <c r="I258" s="2216"/>
      <c r="J258" s="2215"/>
      <c r="K258" s="2215"/>
      <c r="L258" s="2215"/>
      <c r="M258" s="2216"/>
      <c r="N258" s="2215"/>
      <c r="O258" s="2215"/>
      <c r="P258" s="2215"/>
      <c r="Q258" s="2216"/>
      <c r="R258" s="2170"/>
      <c r="S258" s="2170"/>
      <c r="T258" s="2170"/>
      <c r="U258" s="2171"/>
      <c r="V258" s="2170"/>
      <c r="W258" s="2170"/>
      <c r="X258" s="2170"/>
      <c r="Y258" s="2171"/>
      <c r="Z258" s="2170"/>
      <c r="AA258" s="2170"/>
      <c r="AB258" s="2170"/>
      <c r="AC258" s="2170"/>
      <c r="AD258" s="2170"/>
      <c r="AE258" s="2170"/>
      <c r="AF258" s="2170"/>
      <c r="AG258" s="2170"/>
      <c r="AH258" s="2170"/>
      <c r="AI258" s="2170"/>
      <c r="AJ258" s="2170"/>
      <c r="AK258" s="2170"/>
      <c r="AL258" s="2170"/>
      <c r="AM258" s="2170"/>
      <c r="AN258" s="2170"/>
      <c r="AO258" s="2170"/>
      <c r="AP258" s="2170"/>
      <c r="AQ258" s="2170"/>
      <c r="AR258" s="2170"/>
      <c r="AS258" s="2170"/>
      <c r="AT258" s="2170"/>
      <c r="AU258" s="2170"/>
      <c r="AV258" s="2170"/>
      <c r="AW258" s="2170"/>
      <c r="AX258" s="2170"/>
      <c r="AY258" s="2170"/>
      <c r="AZ258" s="2170"/>
      <c r="BA258" s="2170"/>
      <c r="BB258" s="2170"/>
      <c r="BC258" s="2170"/>
      <c r="BD258" s="2170"/>
      <c r="BE258" s="2170"/>
      <c r="BF258" s="2170"/>
      <c r="BG258" s="2170"/>
    </row>
    <row r="259" spans="1:59" s="444" customFormat="1">
      <c r="A259" s="2092" t="s">
        <v>1454</v>
      </c>
      <c r="B259" s="2215"/>
      <c r="C259" s="2215"/>
      <c r="D259" s="2215"/>
      <c r="E259" s="2216"/>
      <c r="F259" s="2215"/>
      <c r="G259" s="2215"/>
      <c r="H259" s="2215"/>
      <c r="I259" s="2216"/>
      <c r="J259" s="2215"/>
      <c r="K259" s="2215"/>
      <c r="L259" s="2215"/>
      <c r="M259" s="2216"/>
      <c r="N259" s="2215"/>
      <c r="O259" s="2215"/>
      <c r="P259" s="2215"/>
      <c r="Q259" s="2216"/>
      <c r="R259" s="2130">
        <v>750000</v>
      </c>
      <c r="S259" s="2130">
        <v>900000</v>
      </c>
      <c r="T259" s="2170"/>
      <c r="U259" s="2171"/>
      <c r="V259" s="2170"/>
      <c r="W259" s="2170"/>
      <c r="X259" s="2170"/>
      <c r="Y259" s="2171"/>
      <c r="Z259" s="2170"/>
      <c r="AA259" s="2170"/>
      <c r="AB259" s="2170"/>
      <c r="AC259" s="2170"/>
      <c r="AD259" s="2170"/>
      <c r="AE259" s="2170"/>
      <c r="AF259" s="2170"/>
      <c r="AG259" s="2170"/>
      <c r="AH259" s="2170"/>
      <c r="AI259" s="2170"/>
      <c r="AJ259" s="2170"/>
      <c r="AK259" s="2170"/>
      <c r="AL259" s="2170"/>
      <c r="AM259" s="2170"/>
      <c r="AN259" s="2170"/>
      <c r="AO259" s="2170"/>
      <c r="AP259" s="2170"/>
      <c r="AQ259" s="2170"/>
      <c r="AR259" s="2170"/>
      <c r="AS259" s="2170"/>
      <c r="AT259" s="2170"/>
      <c r="AU259" s="2170"/>
      <c r="AV259" s="2170"/>
      <c r="AW259" s="2170"/>
      <c r="AX259" s="2170"/>
      <c r="AY259" s="2170"/>
      <c r="AZ259" s="2170"/>
      <c r="BA259" s="2170"/>
      <c r="BB259" s="2170"/>
      <c r="BC259" s="2170"/>
      <c r="BD259" s="2170"/>
      <c r="BE259" s="2170"/>
      <c r="BF259" s="2170"/>
      <c r="BG259" s="2170"/>
    </row>
    <row r="260" spans="1:59" s="2123" customFormat="1">
      <c r="A260" s="2092" t="s">
        <v>1455</v>
      </c>
      <c r="B260" s="2215"/>
      <c r="C260" s="2215"/>
      <c r="D260" s="2215"/>
      <c r="E260" s="2216"/>
      <c r="F260" s="2215"/>
      <c r="G260" s="2215"/>
      <c r="H260" s="2215"/>
      <c r="I260" s="2216"/>
      <c r="J260" s="2215"/>
      <c r="K260" s="2215"/>
      <c r="L260" s="2215"/>
      <c r="M260" s="2216"/>
      <c r="N260" s="2215"/>
      <c r="O260" s="2215"/>
      <c r="P260" s="2215"/>
      <c r="Q260" s="2216"/>
      <c r="R260" s="2130">
        <v>30000</v>
      </c>
      <c r="S260" s="2130">
        <v>33000</v>
      </c>
      <c r="T260" s="2170"/>
      <c r="U260" s="2171"/>
      <c r="V260" s="2170"/>
      <c r="W260" s="2170"/>
      <c r="X260" s="2170"/>
      <c r="Y260" s="2171"/>
      <c r="Z260" s="2170"/>
      <c r="AA260" s="2170"/>
      <c r="AB260" s="2170"/>
      <c r="AC260" s="2170"/>
      <c r="AD260" s="2170"/>
      <c r="AE260" s="2170"/>
      <c r="AF260" s="2170"/>
      <c r="AG260" s="2170"/>
      <c r="AH260" s="2170"/>
      <c r="AI260" s="2170"/>
      <c r="AJ260" s="2170"/>
      <c r="AK260" s="2170"/>
      <c r="AL260" s="2170"/>
      <c r="AM260" s="2170"/>
      <c r="AN260" s="2170"/>
      <c r="AO260" s="2170"/>
      <c r="AP260" s="2170"/>
      <c r="AQ260" s="2170"/>
      <c r="AR260" s="2170"/>
      <c r="AS260" s="2170"/>
      <c r="AT260" s="2170"/>
      <c r="AU260" s="2170"/>
      <c r="AV260" s="2170"/>
      <c r="AW260" s="2170"/>
      <c r="AX260" s="2170"/>
      <c r="AY260" s="2170"/>
      <c r="AZ260" s="2170"/>
      <c r="BA260" s="2170"/>
      <c r="BB260" s="2170"/>
      <c r="BC260" s="2170"/>
      <c r="BD260" s="2170"/>
      <c r="BE260" s="2170"/>
      <c r="BF260" s="2170"/>
      <c r="BG260" s="2170"/>
    </row>
    <row r="261" spans="1:59" s="2296" customFormat="1" ht="11.25" customHeight="1">
      <c r="A261" s="2092"/>
      <c r="B261" s="2233"/>
      <c r="C261" s="2233"/>
      <c r="D261" s="2233"/>
      <c r="E261" s="2234"/>
      <c r="F261" s="2233"/>
      <c r="G261" s="2233"/>
      <c r="H261" s="2233"/>
      <c r="I261" s="2234"/>
      <c r="J261" s="2233"/>
      <c r="K261" s="2233"/>
      <c r="L261" s="2233"/>
      <c r="M261" s="2234"/>
      <c r="N261" s="2233"/>
      <c r="O261" s="2233"/>
      <c r="P261" s="2233"/>
      <c r="Q261" s="2234"/>
      <c r="R261" s="2090"/>
      <c r="S261" s="2090"/>
      <c r="T261" s="2090"/>
      <c r="U261" s="2091"/>
      <c r="V261" s="2090"/>
      <c r="W261" s="2090"/>
      <c r="X261" s="2090"/>
      <c r="Y261" s="2091"/>
      <c r="Z261" s="2090"/>
      <c r="AA261" s="2090"/>
      <c r="AB261" s="2090"/>
      <c r="AC261" s="2090"/>
      <c r="AD261" s="2090"/>
      <c r="AE261" s="2090"/>
      <c r="AF261" s="2090"/>
      <c r="AG261" s="2090"/>
      <c r="AH261" s="2090"/>
      <c r="AI261" s="2090"/>
      <c r="AJ261" s="2090"/>
      <c r="AK261" s="2090"/>
      <c r="AL261" s="2090"/>
      <c r="AM261" s="2090"/>
      <c r="AN261" s="2090"/>
      <c r="AO261" s="2090"/>
      <c r="AP261" s="2090"/>
      <c r="AQ261" s="2090"/>
      <c r="AR261" s="2090"/>
      <c r="AS261" s="2090"/>
      <c r="AT261" s="2090"/>
      <c r="AU261" s="2090"/>
      <c r="AV261" s="2090"/>
      <c r="AW261" s="2090"/>
      <c r="AX261" s="2090"/>
      <c r="AY261" s="2090"/>
      <c r="AZ261" s="2090"/>
      <c r="BA261" s="2090"/>
      <c r="BB261" s="2090"/>
      <c r="BC261" s="2090"/>
      <c r="BD261" s="2090"/>
      <c r="BE261" s="2090"/>
      <c r="BF261" s="2090"/>
      <c r="BG261" s="2090"/>
    </row>
    <row r="262" spans="1:59" s="2257" customFormat="1">
      <c r="A262" s="2092"/>
      <c r="B262" s="2233"/>
      <c r="C262" s="2233"/>
      <c r="D262" s="2233"/>
      <c r="E262" s="2234"/>
      <c r="F262" s="2233"/>
      <c r="G262" s="2233"/>
      <c r="H262" s="2233"/>
      <c r="I262" s="2234"/>
      <c r="J262" s="2233"/>
      <c r="K262" s="2233"/>
      <c r="L262" s="2233"/>
      <c r="M262" s="2234"/>
      <c r="N262" s="2233"/>
      <c r="O262" s="2233"/>
      <c r="P262" s="2233"/>
      <c r="Q262" s="2234"/>
      <c r="R262" s="2090"/>
      <c r="S262" s="2090"/>
      <c r="T262" s="2090"/>
      <c r="U262" s="2091"/>
      <c r="V262" s="2090"/>
      <c r="W262" s="2090"/>
      <c r="X262" s="2090"/>
      <c r="Y262" s="2091"/>
      <c r="Z262" s="2090"/>
      <c r="AA262" s="2090"/>
      <c r="AB262" s="2090"/>
      <c r="AC262" s="2090"/>
      <c r="AD262" s="2090"/>
      <c r="AE262" s="2090"/>
      <c r="AF262" s="2090"/>
      <c r="AG262" s="2090"/>
      <c r="AH262" s="2090"/>
      <c r="AI262" s="2090"/>
      <c r="AJ262" s="2090"/>
      <c r="AK262" s="2090"/>
      <c r="AL262" s="2090"/>
      <c r="AM262" s="2090"/>
      <c r="AN262" s="2090"/>
      <c r="AO262" s="2090"/>
      <c r="AP262" s="2090"/>
      <c r="AQ262" s="2090"/>
      <c r="AR262" s="2090"/>
      <c r="AS262" s="2090"/>
      <c r="AT262" s="2090"/>
      <c r="AU262" s="2090"/>
      <c r="AV262" s="2090"/>
      <c r="AW262" s="2090"/>
      <c r="AX262" s="2090"/>
      <c r="AY262" s="2090"/>
      <c r="AZ262" s="2090"/>
      <c r="BA262" s="2090"/>
      <c r="BB262" s="2090"/>
      <c r="BC262" s="2090"/>
      <c r="BD262" s="2090"/>
      <c r="BE262" s="2090"/>
      <c r="BF262" s="2090"/>
      <c r="BG262" s="2090"/>
    </row>
    <row r="263" spans="1:59" s="2257" customFormat="1">
      <c r="A263" s="2230" t="s">
        <v>1456</v>
      </c>
      <c r="B263" s="89"/>
      <c r="C263" s="89"/>
      <c r="D263" s="89"/>
      <c r="E263" s="110"/>
      <c r="F263" s="89"/>
      <c r="G263" s="89"/>
      <c r="H263" s="89"/>
      <c r="I263" s="110"/>
      <c r="J263" s="2090"/>
      <c r="K263" s="2090"/>
      <c r="L263" s="2090"/>
      <c r="M263" s="2091"/>
      <c r="N263" s="2090"/>
      <c r="O263" s="2090"/>
      <c r="P263" s="2090"/>
      <c r="Q263" s="2091"/>
      <c r="R263" s="2090"/>
      <c r="S263" s="2090"/>
      <c r="T263" s="2090"/>
      <c r="U263" s="2091"/>
      <c r="V263" s="2090"/>
      <c r="W263" s="2090"/>
      <c r="X263" s="2090"/>
      <c r="Y263" s="2091"/>
      <c r="Z263" s="2090"/>
      <c r="AA263" s="2090"/>
      <c r="AB263" s="2090"/>
      <c r="AC263" s="2090"/>
      <c r="AD263" s="2090"/>
      <c r="AE263" s="2090"/>
      <c r="AF263" s="2090"/>
      <c r="AG263" s="2090"/>
      <c r="AH263" s="2090"/>
      <c r="AI263" s="2090"/>
      <c r="AJ263" s="2090"/>
      <c r="AK263" s="2090"/>
      <c r="AL263" s="2090"/>
      <c r="AM263" s="2090"/>
      <c r="AN263" s="2090"/>
      <c r="AO263" s="2090"/>
      <c r="AP263" s="2090"/>
      <c r="AQ263" s="2090"/>
      <c r="AR263" s="2090"/>
      <c r="AS263" s="2090"/>
      <c r="AT263" s="2090"/>
      <c r="AU263" s="2090"/>
      <c r="AV263" s="2090"/>
      <c r="AW263" s="2090"/>
      <c r="AX263" s="2090"/>
      <c r="AY263" s="2090"/>
      <c r="AZ263" s="2090"/>
      <c r="BA263" s="2090"/>
      <c r="BB263" s="2090"/>
      <c r="BC263" s="2090"/>
      <c r="BD263" s="2090"/>
      <c r="BE263" s="2090"/>
      <c r="BF263" s="2090"/>
      <c r="BG263" s="2090"/>
    </row>
    <row r="264" spans="1:59" s="2257" customFormat="1" ht="12.75" customHeight="1">
      <c r="A264" s="2092" t="s">
        <v>1457</v>
      </c>
      <c r="B264" s="1679">
        <v>1.0354000000000001</v>
      </c>
      <c r="C264" s="1679">
        <v>1.1020000000000001</v>
      </c>
      <c r="D264" s="1679">
        <v>1.5649999999999999</v>
      </c>
      <c r="E264" s="1680">
        <v>1.3180000000000001</v>
      </c>
      <c r="F264" s="1679">
        <v>1.4478</v>
      </c>
      <c r="G264" s="1679">
        <v>1.605</v>
      </c>
      <c r="H264" s="1679">
        <v>1.6785000000000001</v>
      </c>
      <c r="I264" s="1680">
        <v>1.7738</v>
      </c>
      <c r="J264" s="2237">
        <v>1.9032</v>
      </c>
      <c r="K264" s="2237">
        <v>2.1503000000000001</v>
      </c>
      <c r="L264" s="2237">
        <v>2.1995</v>
      </c>
      <c r="M264" s="2238">
        <v>2.3191000000000002</v>
      </c>
      <c r="N264" s="2237">
        <v>2.7107999999999999</v>
      </c>
      <c r="O264" s="2237">
        <v>3.4201999999999999</v>
      </c>
      <c r="P264" s="2237">
        <v>3.5369999999999999</v>
      </c>
      <c r="Q264" s="2238">
        <v>3.98</v>
      </c>
      <c r="R264" s="2237">
        <v>4.2480000000000002</v>
      </c>
      <c r="S264" s="2239"/>
      <c r="T264" s="2170"/>
      <c r="U264" s="2171"/>
      <c r="V264" s="2170"/>
      <c r="W264" s="2170"/>
      <c r="X264" s="2170"/>
      <c r="Y264" s="2171"/>
      <c r="Z264" s="2170"/>
      <c r="AA264" s="2170"/>
      <c r="AB264" s="2170"/>
      <c r="AC264" s="2170"/>
      <c r="AD264" s="2170"/>
      <c r="AE264" s="2170"/>
      <c r="AF264" s="2170"/>
      <c r="AG264" s="2170"/>
      <c r="AH264" s="2170"/>
      <c r="AI264" s="2170"/>
      <c r="AJ264" s="2170"/>
      <c r="AK264" s="2170"/>
      <c r="AL264" s="2170"/>
      <c r="AM264" s="2170"/>
      <c r="AN264" s="2170"/>
      <c r="AO264" s="2170"/>
      <c r="AP264" s="2170"/>
      <c r="AQ264" s="2170"/>
      <c r="AR264" s="2170"/>
      <c r="AS264" s="2170"/>
      <c r="AT264" s="2170"/>
      <c r="AU264" s="2170"/>
      <c r="AV264" s="2170"/>
      <c r="AW264" s="2170"/>
      <c r="AX264" s="2170"/>
      <c r="AY264" s="2170"/>
      <c r="AZ264" s="2170"/>
      <c r="BA264" s="2170"/>
      <c r="BB264" s="2170"/>
      <c r="BC264" s="2170"/>
      <c r="BD264" s="2170"/>
      <c r="BE264" s="2170"/>
      <c r="BF264" s="2170"/>
      <c r="BG264" s="2170"/>
    </row>
    <row r="265" spans="1:59" s="1470" customFormat="1" ht="12">
      <c r="A265" s="2240" t="s">
        <v>1906</v>
      </c>
      <c r="B265" s="1705">
        <v>-1.7999999999999999E-2</v>
      </c>
      <c r="C265" s="1705">
        <v>0.161</v>
      </c>
      <c r="D265" s="1705">
        <v>0.39700000000000002</v>
      </c>
      <c r="E265" s="1706">
        <v>0.47299999999999998</v>
      </c>
      <c r="F265" s="1705">
        <v>0.39800000000000002</v>
      </c>
      <c r="G265" s="1705">
        <v>0.45600000000000002</v>
      </c>
      <c r="H265" s="1705">
        <v>7.1999999999999995E-2</v>
      </c>
      <c r="I265" s="1706">
        <v>0.34599999999999997</v>
      </c>
      <c r="J265" s="2241">
        <v>0.315</v>
      </c>
      <c r="K265" s="2241">
        <v>0.34</v>
      </c>
      <c r="L265" s="2241">
        <v>0.31</v>
      </c>
      <c r="M265" s="2242">
        <v>0.307</v>
      </c>
      <c r="N265" s="2241">
        <v>0.42399999999999999</v>
      </c>
      <c r="O265" s="2241">
        <v>0.59099999999999997</v>
      </c>
      <c r="P265" s="2241">
        <v>0.60799999999999998</v>
      </c>
      <c r="Q265" s="2242">
        <v>0.71599999999999997</v>
      </c>
      <c r="R265" s="2241">
        <v>0.56699999999999995</v>
      </c>
      <c r="S265" s="1709"/>
      <c r="T265" s="2243"/>
      <c r="U265" s="2244"/>
      <c r="V265" s="2243"/>
      <c r="W265" s="2243"/>
      <c r="X265" s="2243"/>
      <c r="Y265" s="2244"/>
      <c r="Z265" s="2243"/>
      <c r="AA265" s="2243"/>
      <c r="AB265" s="2243"/>
      <c r="AC265" s="2243"/>
      <c r="AD265" s="2243"/>
      <c r="AE265" s="2243"/>
      <c r="AF265" s="2243"/>
      <c r="AG265" s="2243"/>
      <c r="AH265" s="2243"/>
      <c r="AI265" s="2243"/>
      <c r="AJ265" s="2243"/>
      <c r="AK265" s="2243"/>
      <c r="AL265" s="2243"/>
      <c r="AM265" s="2243"/>
      <c r="AN265" s="2243"/>
      <c r="AO265" s="2243"/>
      <c r="AP265" s="2243"/>
      <c r="AQ265" s="2243"/>
      <c r="AR265" s="2243"/>
      <c r="AS265" s="2243"/>
      <c r="AT265" s="2243"/>
      <c r="AU265" s="2243"/>
      <c r="AV265" s="2243"/>
      <c r="AW265" s="2243"/>
      <c r="AX265" s="2243"/>
      <c r="AY265" s="2243"/>
      <c r="AZ265" s="2243"/>
      <c r="BA265" s="2243"/>
      <c r="BB265" s="2243"/>
      <c r="BC265" s="2243"/>
      <c r="BD265" s="2243"/>
      <c r="BE265" s="2243"/>
      <c r="BF265" s="2243"/>
      <c r="BG265" s="2243"/>
    </row>
    <row r="266" spans="1:59" s="1468" customFormat="1">
      <c r="A266" s="2245" t="s">
        <v>1905</v>
      </c>
      <c r="B266" s="1684"/>
      <c r="C266" s="1684"/>
      <c r="D266" s="1684"/>
      <c r="E266" s="1685"/>
      <c r="F266" s="1684"/>
      <c r="G266" s="1684"/>
      <c r="H266" s="1684"/>
      <c r="I266" s="1685"/>
      <c r="J266" s="2215"/>
      <c r="K266" s="2215"/>
      <c r="L266" s="2215"/>
      <c r="M266" s="2216"/>
      <c r="N266" s="2215"/>
      <c r="O266" s="2215"/>
      <c r="P266" s="2215"/>
      <c r="Q266" s="2216"/>
      <c r="R266" s="2229"/>
      <c r="S266" s="2229"/>
      <c r="T266" s="2229"/>
      <c r="U266" s="2246"/>
      <c r="V266" s="2229"/>
      <c r="W266" s="2229"/>
      <c r="X266" s="2229"/>
      <c r="Y266" s="2246"/>
      <c r="Z266" s="2229"/>
      <c r="AA266" s="2229"/>
      <c r="AB266" s="2229"/>
      <c r="AC266" s="2229"/>
      <c r="AD266" s="2229"/>
      <c r="AE266" s="2229"/>
      <c r="AF266" s="2229"/>
      <c r="AG266" s="2229"/>
      <c r="AH266" s="2229"/>
      <c r="AI266" s="2229"/>
      <c r="AJ266" s="2229"/>
      <c r="AK266" s="2229"/>
      <c r="AL266" s="2229"/>
      <c r="AM266" s="2229"/>
      <c r="AN266" s="2229"/>
      <c r="AO266" s="2229"/>
      <c r="AP266" s="2229"/>
      <c r="AQ266" s="2229"/>
      <c r="AR266" s="2229"/>
      <c r="AS266" s="2229"/>
      <c r="AT266" s="2229"/>
      <c r="AU266" s="2229"/>
      <c r="AV266" s="2229"/>
      <c r="AW266" s="2229"/>
      <c r="AX266" s="2229"/>
      <c r="AY266" s="2229"/>
      <c r="AZ266" s="2229"/>
      <c r="BA266" s="2229"/>
      <c r="BB266" s="2229"/>
      <c r="BC266" s="2229"/>
      <c r="BD266" s="2229"/>
      <c r="BE266" s="2229"/>
      <c r="BF266" s="2229"/>
      <c r="BG266" s="2229"/>
    </row>
    <row r="267" spans="1:59">
      <c r="A267" s="2247" t="s">
        <v>1267</v>
      </c>
      <c r="B267" s="2248">
        <v>0.28199999999999997</v>
      </c>
      <c r="C267" s="2248">
        <v>0.376</v>
      </c>
      <c r="D267" s="2248">
        <v>0.2949</v>
      </c>
      <c r="E267" s="2249">
        <v>0.34160000000000001</v>
      </c>
      <c r="F267" s="2248">
        <v>0.373</v>
      </c>
      <c r="G267" s="2248">
        <v>0.43009999999999998</v>
      </c>
      <c r="H267" s="2248">
        <v>0.53680000000000005</v>
      </c>
      <c r="I267" s="2249">
        <v>0.84789999999999999</v>
      </c>
      <c r="J267" s="2248">
        <v>1.3225</v>
      </c>
      <c r="K267" s="2248">
        <v>1.5494000000000001</v>
      </c>
      <c r="L267" s="2248">
        <v>1.4641999999999999</v>
      </c>
      <c r="M267" s="2249">
        <v>1.5074000000000001</v>
      </c>
      <c r="N267" s="2248">
        <v>2.3531</v>
      </c>
      <c r="O267" s="2248">
        <v>3.5748000000000002</v>
      </c>
      <c r="P267" s="2248">
        <v>3.524</v>
      </c>
      <c r="Q267" s="2249">
        <v>3.2389999999999999</v>
      </c>
      <c r="R267" s="2248">
        <v>3.0512100000000002</v>
      </c>
      <c r="S267" s="2250"/>
      <c r="T267" s="2248"/>
      <c r="U267" s="2249"/>
      <c r="V267" s="2248"/>
      <c r="W267" s="2248"/>
      <c r="X267" s="2248"/>
      <c r="Y267" s="2249"/>
      <c r="Z267" s="2248"/>
      <c r="AA267" s="2248"/>
      <c r="AB267" s="2248"/>
      <c r="AC267" s="2248"/>
      <c r="AD267" s="2248"/>
      <c r="AE267" s="2248"/>
      <c r="AF267" s="2248"/>
      <c r="AG267" s="2248"/>
      <c r="AH267" s="2248"/>
      <c r="AI267" s="2248"/>
      <c r="AJ267" s="2248"/>
      <c r="AK267" s="2248"/>
      <c r="AL267" s="2248"/>
      <c r="AM267" s="2248"/>
      <c r="AN267" s="2248"/>
      <c r="AO267" s="2248"/>
      <c r="AP267" s="2248"/>
      <c r="AQ267" s="2248"/>
      <c r="AR267" s="2248"/>
      <c r="AS267" s="2248"/>
      <c r="AT267" s="2248"/>
      <c r="AU267" s="2248"/>
      <c r="AV267" s="2248"/>
      <c r="AW267" s="2248"/>
      <c r="AX267" s="2248"/>
      <c r="AY267" s="2248"/>
      <c r="AZ267" s="2248"/>
      <c r="BA267" s="2248"/>
      <c r="BB267" s="2248"/>
      <c r="BC267" s="2248"/>
      <c r="BD267" s="2248"/>
      <c r="BE267" s="2248"/>
      <c r="BF267" s="2248"/>
      <c r="BG267" s="2248"/>
    </row>
    <row r="268" spans="1:59" s="2304" customFormat="1" ht="12">
      <c r="A268" s="2251" t="s">
        <v>1907</v>
      </c>
      <c r="B268" s="2241">
        <v>0.68899999999999995</v>
      </c>
      <c r="C268" s="2241">
        <v>1.0649999999999999</v>
      </c>
      <c r="D268" s="2241">
        <v>0.70899999999999996</v>
      </c>
      <c r="E268" s="2242">
        <v>0.46500000000000002</v>
      </c>
      <c r="F268" s="2241">
        <v>0.32200000000000001</v>
      </c>
      <c r="G268" s="2241">
        <v>0.14399999999999999</v>
      </c>
      <c r="H268" s="2241">
        <v>0.82</v>
      </c>
      <c r="I268" s="2242">
        <v>1.482</v>
      </c>
      <c r="J268" s="2241">
        <v>2.5449999999999999</v>
      </c>
      <c r="K268" s="2241">
        <v>2.6030000000000002</v>
      </c>
      <c r="L268" s="2241">
        <v>1.7270000000000001</v>
      </c>
      <c r="M268" s="2242">
        <v>0.77800000000000002</v>
      </c>
      <c r="N268" s="2241">
        <v>0.77900000000000003</v>
      </c>
      <c r="O268" s="2241">
        <v>1.3069999999999999</v>
      </c>
      <c r="P268" s="2241">
        <v>1.407</v>
      </c>
      <c r="Q268" s="2242">
        <v>1.149</v>
      </c>
      <c r="R268" s="2241">
        <v>0.42399999999999999</v>
      </c>
      <c r="S268" s="2241"/>
      <c r="T268" s="2241"/>
      <c r="U268" s="2242"/>
      <c r="V268" s="2241"/>
      <c r="W268" s="2241"/>
      <c r="X268" s="2241"/>
      <c r="Y268" s="2242"/>
      <c r="Z268" s="2241"/>
      <c r="AA268" s="2241"/>
      <c r="AB268" s="2241"/>
      <c r="AC268" s="2241"/>
      <c r="AD268" s="2241"/>
      <c r="AE268" s="2241"/>
      <c r="AF268" s="2241"/>
      <c r="AG268" s="2241"/>
      <c r="AH268" s="2241"/>
      <c r="AI268" s="2241"/>
      <c r="AJ268" s="2241"/>
      <c r="AK268" s="2241"/>
      <c r="AL268" s="2241"/>
      <c r="AM268" s="2241"/>
      <c r="AN268" s="2241"/>
      <c r="AO268" s="2241"/>
      <c r="AP268" s="2241"/>
      <c r="AQ268" s="2241"/>
      <c r="AR268" s="2241"/>
      <c r="AS268" s="2241"/>
      <c r="AT268" s="2241"/>
      <c r="AU268" s="2241"/>
      <c r="AV268" s="2241"/>
      <c r="AW268" s="2241"/>
      <c r="AX268" s="2241"/>
      <c r="AY268" s="2241"/>
      <c r="AZ268" s="2241"/>
      <c r="BA268" s="2241"/>
      <c r="BB268" s="2241"/>
      <c r="BC268" s="2241"/>
      <c r="BD268" s="2241"/>
      <c r="BE268" s="2241"/>
      <c r="BF268" s="2241"/>
      <c r="BG268" s="2241"/>
    </row>
    <row r="269" spans="1:59" s="2170" customFormat="1">
      <c r="A269" s="2247" t="s">
        <v>1463</v>
      </c>
      <c r="B269" s="2252"/>
      <c r="C269" s="2252"/>
      <c r="D269" s="2252"/>
      <c r="E269" s="2253"/>
      <c r="F269" s="2252"/>
      <c r="G269" s="2252"/>
      <c r="H269" s="2252"/>
      <c r="I269" s="2253"/>
      <c r="J269" s="2252">
        <v>17.5</v>
      </c>
      <c r="K269" s="2252"/>
      <c r="L269" s="2252"/>
      <c r="M269" s="2253"/>
      <c r="N269" s="2252"/>
      <c r="O269" s="2252"/>
      <c r="P269" s="2252"/>
      <c r="Q269" s="2253"/>
      <c r="R269" s="2252"/>
      <c r="S269" s="2252"/>
      <c r="T269" s="2252"/>
      <c r="U269" s="2253"/>
      <c r="V269" s="2252"/>
      <c r="W269" s="2252"/>
      <c r="X269" s="2252"/>
      <c r="Y269" s="2253"/>
      <c r="Z269" s="2252"/>
      <c r="AA269" s="2252"/>
      <c r="AB269" s="2252"/>
      <c r="AC269" s="2252"/>
      <c r="AD269" s="2252"/>
      <c r="AE269" s="2252"/>
      <c r="AF269" s="2252"/>
      <c r="AG269" s="2252"/>
      <c r="AH269" s="2252"/>
      <c r="AI269" s="2252"/>
      <c r="AJ269" s="2252"/>
      <c r="AK269" s="2252"/>
      <c r="AL269" s="2252"/>
      <c r="AM269" s="2252"/>
      <c r="AN269" s="2252"/>
      <c r="AO269" s="2252"/>
      <c r="AP269" s="2252"/>
      <c r="AQ269" s="2252"/>
      <c r="AR269" s="2252"/>
      <c r="AS269" s="2252"/>
      <c r="AT269" s="2252"/>
      <c r="AU269" s="2252"/>
      <c r="AV269" s="2252"/>
      <c r="AW269" s="2252"/>
      <c r="AX269" s="2252"/>
      <c r="AY269" s="2252"/>
      <c r="AZ269" s="2252"/>
      <c r="BA269" s="2252"/>
      <c r="BB269" s="2252"/>
      <c r="BC269" s="2252"/>
      <c r="BD269" s="2252"/>
      <c r="BE269" s="2252"/>
      <c r="BF269" s="2252"/>
      <c r="BG269" s="2252"/>
    </row>
    <row r="270" spans="1:59">
      <c r="A270" s="2247"/>
      <c r="B270" s="2252"/>
      <c r="C270" s="2252"/>
      <c r="D270" s="2252"/>
      <c r="E270" s="2253"/>
      <c r="F270" s="2252"/>
      <c r="G270" s="2252"/>
      <c r="H270" s="2252"/>
      <c r="I270" s="2253"/>
      <c r="J270" s="2252"/>
      <c r="K270" s="2252"/>
      <c r="L270" s="2252"/>
      <c r="M270" s="2253"/>
      <c r="N270" s="2252"/>
      <c r="O270" s="822"/>
      <c r="P270" s="2252"/>
      <c r="Q270" s="2253"/>
      <c r="R270" s="2252"/>
      <c r="S270" s="2252"/>
      <c r="T270" s="2252"/>
      <c r="U270" s="2253"/>
      <c r="V270" s="2252"/>
      <c r="W270" s="2252"/>
      <c r="X270" s="2252"/>
      <c r="Y270" s="2253"/>
      <c r="Z270" s="2252"/>
      <c r="AA270" s="2252"/>
      <c r="AB270" s="2252"/>
      <c r="AC270" s="2252"/>
      <c r="AD270" s="2252"/>
      <c r="AE270" s="2252"/>
      <c r="AF270" s="2252"/>
      <c r="AG270" s="2252"/>
      <c r="AH270" s="2252"/>
      <c r="AI270" s="2252"/>
      <c r="AJ270" s="2252"/>
      <c r="AK270" s="2252"/>
      <c r="AL270" s="2252"/>
      <c r="AM270" s="2252"/>
      <c r="AN270" s="2252"/>
      <c r="AO270" s="2252"/>
      <c r="AP270" s="2252"/>
      <c r="AQ270" s="2252"/>
      <c r="AR270" s="2252"/>
      <c r="AS270" s="2252"/>
      <c r="AT270" s="2252"/>
      <c r="AU270" s="2252"/>
      <c r="AV270" s="2252"/>
      <c r="AW270" s="2252"/>
      <c r="AX270" s="2252"/>
      <c r="AY270" s="2252"/>
      <c r="AZ270" s="2252"/>
      <c r="BA270" s="2252"/>
      <c r="BB270" s="2252"/>
      <c r="BC270" s="2252"/>
      <c r="BD270" s="2252"/>
      <c r="BE270" s="2252"/>
      <c r="BF270" s="2252"/>
      <c r="BG270" s="2252"/>
    </row>
    <row r="271" spans="1:59" s="1466" customFormat="1">
      <c r="A271" s="2254" t="s">
        <v>1268</v>
      </c>
      <c r="B271" s="2255"/>
      <c r="C271" s="2255">
        <v>0.13789999999999999</v>
      </c>
      <c r="D271" s="2255">
        <v>0.12959999999999999</v>
      </c>
      <c r="E271" s="2256">
        <v>0.159</v>
      </c>
      <c r="F271" s="2257"/>
      <c r="G271" s="2257">
        <v>0.2457</v>
      </c>
      <c r="H271" s="2257">
        <v>0.34710000000000002</v>
      </c>
      <c r="I271" s="2258">
        <v>0.67789999999999995</v>
      </c>
      <c r="J271" s="2257">
        <v>1.1729000000000001</v>
      </c>
      <c r="K271" s="2257">
        <v>1.4206000000000001</v>
      </c>
      <c r="L271" s="2257">
        <v>1.3631</v>
      </c>
      <c r="M271" s="2258">
        <v>1.3919999999999999</v>
      </c>
      <c r="N271" s="2257">
        <v>2.2915999999999999</v>
      </c>
      <c r="O271" s="1715"/>
      <c r="P271" s="2259"/>
      <c r="Q271" s="2260"/>
      <c r="R271" s="2259"/>
      <c r="S271" s="2229"/>
      <c r="T271" s="2259"/>
      <c r="U271" s="2260"/>
      <c r="V271" s="2259"/>
      <c r="W271" s="2259"/>
      <c r="X271" s="2259"/>
      <c r="Y271" s="2260"/>
      <c r="Z271" s="2259"/>
      <c r="AA271" s="2259"/>
      <c r="AB271" s="2259"/>
      <c r="AC271" s="2259"/>
      <c r="AD271" s="2259"/>
      <c r="AE271" s="2259"/>
      <c r="AF271" s="2259"/>
      <c r="AG271" s="2259"/>
      <c r="AH271" s="2259"/>
      <c r="AI271" s="2259"/>
      <c r="AJ271" s="2259"/>
      <c r="AK271" s="2259"/>
      <c r="AL271" s="2259"/>
      <c r="AM271" s="2259"/>
      <c r="AN271" s="2259"/>
      <c r="AO271" s="2259"/>
      <c r="AP271" s="2259"/>
      <c r="AQ271" s="2259"/>
      <c r="AR271" s="2259"/>
      <c r="AS271" s="2259"/>
      <c r="AT271" s="2259"/>
      <c r="AU271" s="2259"/>
      <c r="AV271" s="2259"/>
      <c r="AW271" s="2259"/>
      <c r="AX271" s="2259"/>
      <c r="AY271" s="2259"/>
      <c r="AZ271" s="2259"/>
      <c r="BA271" s="2259"/>
      <c r="BB271" s="2259"/>
      <c r="BC271" s="2259"/>
      <c r="BD271" s="2259"/>
      <c r="BE271" s="2259"/>
      <c r="BF271" s="2259"/>
      <c r="BG271" s="2259"/>
    </row>
    <row r="272" spans="1:59" s="1470" customFormat="1">
      <c r="A272" s="2110" t="s">
        <v>1269</v>
      </c>
      <c r="B272" s="2255"/>
      <c r="C272" s="2255"/>
      <c r="D272" s="2255"/>
      <c r="E272" s="2256"/>
      <c r="F272" s="2257"/>
      <c r="G272" s="1468">
        <v>0.78100000000000003</v>
      </c>
      <c r="H272" s="2261">
        <v>1.679</v>
      </c>
      <c r="I272" s="2262">
        <v>3.2629999999999999</v>
      </c>
      <c r="J272" s="2261">
        <v>5.069</v>
      </c>
      <c r="K272" s="2261">
        <v>4.782</v>
      </c>
      <c r="L272" s="2261">
        <v>2.927</v>
      </c>
      <c r="M272" s="1469">
        <f>M271/I271-1</f>
        <v>1.0534002065201356</v>
      </c>
      <c r="N272" s="2261">
        <v>0.95399999999999996</v>
      </c>
      <c r="O272" s="1720"/>
      <c r="P272" s="2261"/>
      <c r="Q272" s="2262"/>
      <c r="R272" s="2261"/>
      <c r="S272" s="2229"/>
      <c r="T272" s="2259"/>
      <c r="U272" s="2260"/>
      <c r="V272" s="2259"/>
      <c r="W272" s="2259"/>
      <c r="X272" s="2259"/>
      <c r="Y272" s="2260"/>
      <c r="Z272" s="2259"/>
      <c r="AA272" s="2259"/>
      <c r="AB272" s="2259"/>
      <c r="AC272" s="2259"/>
      <c r="AD272" s="2259"/>
      <c r="AE272" s="2259"/>
      <c r="AF272" s="2259"/>
      <c r="AG272" s="2259"/>
      <c r="AH272" s="2259"/>
      <c r="AI272" s="2259"/>
      <c r="AJ272" s="2259"/>
      <c r="AK272" s="2259"/>
      <c r="AL272" s="2259"/>
      <c r="AM272" s="2259"/>
      <c r="AN272" s="2259"/>
      <c r="AO272" s="2259"/>
      <c r="AP272" s="2259"/>
      <c r="AQ272" s="2259"/>
      <c r="AR272" s="2259"/>
      <c r="AS272" s="2259"/>
      <c r="AT272" s="2259"/>
      <c r="AU272" s="2259"/>
      <c r="AV272" s="2259"/>
      <c r="AW272" s="2259"/>
      <c r="AX272" s="2259"/>
      <c r="AY272" s="2259"/>
      <c r="AZ272" s="2259"/>
      <c r="BA272" s="2259"/>
      <c r="BB272" s="2259"/>
      <c r="BC272" s="2259"/>
      <c r="BD272" s="2259"/>
      <c r="BE272" s="2259"/>
      <c r="BF272" s="2259">
        <v>1000</v>
      </c>
      <c r="BG272" s="2259"/>
    </row>
    <row r="273" spans="1:59" s="1470" customFormat="1">
      <c r="A273" s="2254" t="s">
        <v>1270</v>
      </c>
      <c r="B273" s="1721"/>
      <c r="C273" s="1721">
        <v>3.3799999999999997E-2</v>
      </c>
      <c r="D273" s="1721">
        <v>3.73E-2</v>
      </c>
      <c r="E273" s="1722">
        <v>4.7899999999999998E-2</v>
      </c>
      <c r="F273" s="1723"/>
      <c r="G273" s="1723">
        <v>0.1069</v>
      </c>
      <c r="H273" s="1723">
        <v>0.18779999999999999</v>
      </c>
      <c r="I273" s="1724">
        <v>0.4103</v>
      </c>
      <c r="J273" s="1723">
        <v>0.82740000000000002</v>
      </c>
      <c r="K273" s="1723">
        <v>1.0374000000000001</v>
      </c>
      <c r="L273" s="1723">
        <v>1.0397000000000001</v>
      </c>
      <c r="M273" s="1724">
        <v>1.024</v>
      </c>
      <c r="N273" s="1723">
        <v>1.7625</v>
      </c>
      <c r="O273" s="1715"/>
      <c r="P273" s="1715"/>
      <c r="Q273" s="1725"/>
      <c r="R273" s="1715"/>
      <c r="S273" s="1715"/>
      <c r="T273" s="1715"/>
      <c r="U273" s="1725"/>
      <c r="V273" s="1715"/>
      <c r="W273" s="1715"/>
      <c r="X273" s="1715"/>
      <c r="Y273" s="1725"/>
      <c r="Z273" s="1715"/>
      <c r="AA273" s="1715"/>
      <c r="AB273" s="1715"/>
      <c r="AC273" s="1715"/>
      <c r="AD273" s="1715"/>
      <c r="AE273" s="1715"/>
      <c r="AF273" s="1715"/>
      <c r="AG273" s="1715"/>
      <c r="AH273" s="1715"/>
      <c r="AI273" s="1715"/>
      <c r="AJ273" s="1715"/>
      <c r="AK273" s="1715"/>
      <c r="AL273" s="1715"/>
      <c r="AM273" s="1715"/>
      <c r="AN273" s="1715"/>
      <c r="AO273" s="1715"/>
      <c r="AP273" s="1715"/>
      <c r="AQ273" s="1715"/>
      <c r="AR273" s="1715"/>
      <c r="AS273" s="1715"/>
      <c r="AT273" s="1715"/>
      <c r="AU273" s="1715"/>
      <c r="AV273" s="1715"/>
      <c r="AW273" s="1715"/>
      <c r="AX273" s="1715"/>
      <c r="AY273" s="1715"/>
      <c r="AZ273" s="1715"/>
      <c r="BA273" s="1715"/>
      <c r="BB273" s="1715"/>
      <c r="BC273" s="1715"/>
      <c r="BD273" s="1715"/>
      <c r="BE273" s="1715"/>
      <c r="BF273" s="1715"/>
      <c r="BG273" s="1715"/>
    </row>
    <row r="274" spans="1:59" s="1470" customFormat="1">
      <c r="A274" s="2254"/>
      <c r="B274" s="823"/>
      <c r="C274" s="823"/>
      <c r="D274" s="823"/>
      <c r="E274" s="824"/>
      <c r="F274" s="825"/>
      <c r="G274" s="825"/>
      <c r="H274" s="825"/>
      <c r="I274" s="826"/>
      <c r="J274" s="825"/>
      <c r="K274" s="825"/>
      <c r="L274" s="825"/>
      <c r="M274" s="826"/>
      <c r="N274" s="825"/>
      <c r="O274" s="822"/>
      <c r="P274" s="822"/>
      <c r="Q274" s="1047"/>
      <c r="R274" s="822"/>
      <c r="S274" s="822"/>
      <c r="T274" s="822"/>
      <c r="U274" s="1047"/>
      <c r="V274" s="822"/>
      <c r="W274" s="822"/>
      <c r="X274" s="822"/>
      <c r="Y274" s="1047"/>
      <c r="Z274" s="822"/>
      <c r="AA274" s="822"/>
      <c r="AB274" s="822"/>
      <c r="AC274" s="822"/>
      <c r="AD274" s="822"/>
      <c r="AE274" s="822"/>
      <c r="AF274" s="822"/>
      <c r="AG274" s="822"/>
      <c r="AH274" s="822"/>
      <c r="AI274" s="822"/>
      <c r="AJ274" s="822"/>
      <c r="AK274" s="822"/>
      <c r="AL274" s="822"/>
      <c r="AM274" s="822"/>
      <c r="AN274" s="822"/>
      <c r="AO274" s="822"/>
      <c r="AP274" s="822"/>
      <c r="AQ274" s="822"/>
      <c r="AR274" s="822"/>
      <c r="AS274" s="822"/>
      <c r="AT274" s="822"/>
      <c r="AU274" s="822"/>
      <c r="AV274" s="822"/>
      <c r="AW274" s="822"/>
      <c r="AX274" s="822"/>
      <c r="AY274" s="822"/>
      <c r="AZ274" s="822"/>
      <c r="BA274" s="822"/>
      <c r="BB274" s="822"/>
      <c r="BC274" s="822"/>
      <c r="BD274" s="822"/>
      <c r="BE274" s="822"/>
      <c r="BF274" s="822"/>
      <c r="BG274" s="822"/>
    </row>
    <row r="275" spans="1:59" s="1466" customFormat="1">
      <c r="A275" s="2282"/>
      <c r="B275" s="703"/>
      <c r="C275" s="703"/>
      <c r="D275" s="703"/>
      <c r="E275" s="704"/>
      <c r="F275" s="703"/>
      <c r="G275" s="703"/>
      <c r="H275" s="703"/>
      <c r="I275" s="704"/>
      <c r="J275" s="2233"/>
      <c r="K275" s="2233"/>
      <c r="L275" s="2233"/>
      <c r="M275" s="2234"/>
      <c r="N275" s="2185"/>
      <c r="O275" s="2233"/>
      <c r="P275" s="2123"/>
      <c r="Q275" s="2124"/>
      <c r="R275" s="2123"/>
      <c r="S275" s="2123"/>
      <c r="T275" s="2123"/>
      <c r="U275" s="2124"/>
      <c r="V275" s="2123"/>
      <c r="W275" s="2123"/>
      <c r="X275" s="2123"/>
      <c r="Y275" s="2124"/>
      <c r="Z275" s="2123"/>
      <c r="AA275" s="2123"/>
      <c r="AB275" s="2123"/>
      <c r="AC275" s="2123"/>
      <c r="AD275" s="2123"/>
      <c r="AE275" s="2123"/>
      <c r="AF275" s="2123"/>
      <c r="AG275" s="2123"/>
      <c r="AH275" s="2123"/>
      <c r="AI275" s="2123"/>
      <c r="AJ275" s="2123"/>
      <c r="AK275" s="2123"/>
      <c r="AL275" s="2123"/>
      <c r="AM275" s="2123"/>
      <c r="AN275" s="2123"/>
      <c r="AO275" s="2123"/>
      <c r="AP275" s="2123"/>
      <c r="AQ275" s="2123"/>
      <c r="AR275" s="2123"/>
      <c r="AS275" s="2123"/>
      <c r="AT275" s="2123"/>
      <c r="AU275" s="2123"/>
      <c r="AV275" s="2123"/>
      <c r="AW275" s="2123"/>
      <c r="AX275" s="2123"/>
      <c r="AY275" s="2123"/>
      <c r="AZ275" s="2123"/>
      <c r="BA275" s="2123"/>
      <c r="BB275" s="2123"/>
      <c r="BC275" s="2123"/>
      <c r="BD275" s="2123"/>
      <c r="BE275" s="2123"/>
      <c r="BF275" s="2123"/>
      <c r="BG275" s="2123"/>
    </row>
    <row r="276" spans="1:59" s="1751" customFormat="1">
      <c r="A276" s="2293" t="s">
        <v>1464</v>
      </c>
      <c r="B276" s="1377">
        <v>3</v>
      </c>
      <c r="C276" s="1377">
        <v>3.2</v>
      </c>
      <c r="D276" s="1377">
        <v>4.0999999999999996</v>
      </c>
      <c r="E276" s="1378">
        <v>5.5</v>
      </c>
      <c r="F276" s="1377">
        <v>7</v>
      </c>
      <c r="G276" s="1377">
        <v>8.5</v>
      </c>
      <c r="H276" s="1377">
        <v>12.5</v>
      </c>
      <c r="I276" s="1378">
        <v>15</v>
      </c>
      <c r="J276" s="2294">
        <v>18.5</v>
      </c>
      <c r="K276" s="2294">
        <v>23</v>
      </c>
      <c r="L276" s="2294">
        <v>27.5</v>
      </c>
      <c r="M276" s="2295">
        <v>33.5</v>
      </c>
      <c r="N276" s="2294">
        <v>71</v>
      </c>
      <c r="O276" s="2294">
        <v>90</v>
      </c>
      <c r="P276" s="2294">
        <v>101</v>
      </c>
      <c r="Q276" s="2295">
        <v>115</v>
      </c>
      <c r="R276" s="2296"/>
      <c r="S276" s="2296"/>
      <c r="T276" s="2296"/>
      <c r="U276" s="2297"/>
      <c r="V276" s="2296"/>
      <c r="W276" s="2296"/>
      <c r="X276" s="2296"/>
      <c r="Y276" s="2297"/>
      <c r="Z276" s="2296"/>
      <c r="AA276" s="2296"/>
      <c r="AB276" s="2296"/>
      <c r="AC276" s="2296"/>
      <c r="AD276" s="2296"/>
      <c r="AE276" s="2296"/>
      <c r="AF276" s="2296"/>
      <c r="AG276" s="2296"/>
      <c r="AH276" s="2296"/>
      <c r="AI276" s="2296"/>
      <c r="AJ276" s="2296"/>
      <c r="AK276" s="2296"/>
      <c r="AL276" s="2296"/>
      <c r="AM276" s="2296"/>
      <c r="AN276" s="2296"/>
      <c r="AO276" s="2296"/>
      <c r="AP276" s="2296"/>
      <c r="AQ276" s="2296"/>
      <c r="AR276" s="2296"/>
      <c r="AS276" s="2296"/>
      <c r="AT276" s="2296"/>
      <c r="AU276" s="2296"/>
      <c r="AV276" s="2296"/>
      <c r="AW276" s="2296"/>
      <c r="AX276" s="2296"/>
      <c r="AY276" s="2296"/>
      <c r="AZ276" s="2296"/>
      <c r="BA276" s="2296"/>
      <c r="BB276" s="2296"/>
      <c r="BC276" s="2296"/>
      <c r="BD276" s="2296"/>
      <c r="BE276" s="2296"/>
      <c r="BF276" s="2296"/>
      <c r="BG276" s="2296"/>
    </row>
    <row r="277" spans="1:59" s="1466" customFormat="1">
      <c r="A277" s="2092" t="s">
        <v>1465</v>
      </c>
      <c r="B277" s="1489"/>
      <c r="C277" s="1489"/>
      <c r="D277" s="1489"/>
      <c r="E277" s="1490"/>
      <c r="F277" s="1489"/>
      <c r="G277" s="1489"/>
      <c r="H277" s="1489"/>
      <c r="I277" s="1490"/>
      <c r="J277" s="2170"/>
      <c r="K277" s="2170"/>
      <c r="L277" s="2257"/>
      <c r="M277" s="2258"/>
      <c r="N277" s="2257"/>
      <c r="O277" s="2257"/>
      <c r="P277" s="2257">
        <v>154</v>
      </c>
      <c r="Q277" s="2258"/>
      <c r="R277" s="2257">
        <v>167</v>
      </c>
      <c r="S277" s="2257">
        <v>204</v>
      </c>
      <c r="T277" s="2257"/>
      <c r="U277" s="2258"/>
      <c r="V277" s="2257"/>
      <c r="W277" s="2257"/>
      <c r="X277" s="2257"/>
      <c r="Y277" s="2258"/>
      <c r="Z277" s="2257"/>
      <c r="AA277" s="2257"/>
      <c r="AB277" s="2257"/>
      <c r="AC277" s="2257"/>
      <c r="AD277" s="2257"/>
      <c r="AE277" s="2257"/>
      <c r="AF277" s="2257"/>
      <c r="AG277" s="2257"/>
      <c r="AH277" s="2257"/>
      <c r="AI277" s="2257"/>
      <c r="AJ277" s="2257"/>
      <c r="AK277" s="2257"/>
      <c r="AL277" s="2257"/>
      <c r="AM277" s="2257"/>
      <c r="AN277" s="2257"/>
      <c r="AO277" s="2257"/>
      <c r="AP277" s="2257"/>
      <c r="AQ277" s="2257"/>
      <c r="AR277" s="2257"/>
      <c r="AS277" s="2257"/>
      <c r="AT277" s="2257"/>
      <c r="AU277" s="2257"/>
      <c r="AV277" s="2257"/>
      <c r="AW277" s="2257"/>
      <c r="AX277" s="2257"/>
      <c r="AY277" s="2257"/>
      <c r="AZ277" s="2257"/>
      <c r="BA277" s="2257"/>
      <c r="BB277" s="2257"/>
      <c r="BC277" s="2257"/>
      <c r="BD277" s="2257"/>
      <c r="BE277" s="2257"/>
      <c r="BF277" s="2257"/>
      <c r="BG277" s="2257"/>
    </row>
    <row r="278" spans="1:59" s="376" customFormat="1">
      <c r="A278" s="2298" t="s">
        <v>1466</v>
      </c>
      <c r="B278" s="1684"/>
      <c r="C278" s="1684"/>
      <c r="D278" s="1684"/>
      <c r="E278" s="1685"/>
      <c r="F278" s="1684"/>
      <c r="G278" s="1684"/>
      <c r="H278" s="1684"/>
      <c r="I278" s="1685"/>
      <c r="J278" s="2215"/>
      <c r="K278" s="2215"/>
      <c r="L278" s="1743"/>
      <c r="M278" s="2299"/>
      <c r="N278" s="2300"/>
      <c r="O278" s="2300"/>
      <c r="P278" s="2300">
        <v>87</v>
      </c>
      <c r="Q278" s="2299">
        <v>94</v>
      </c>
      <c r="R278" s="2257"/>
      <c r="S278" s="2257"/>
      <c r="T278" s="2257"/>
      <c r="U278" s="2258"/>
      <c r="V278" s="2257"/>
      <c r="W278" s="2257"/>
      <c r="X278" s="2257"/>
      <c r="Y278" s="2258"/>
      <c r="Z278" s="2257"/>
      <c r="AA278" s="2257"/>
      <c r="AB278" s="2257"/>
      <c r="AC278" s="2257"/>
      <c r="AD278" s="2257"/>
      <c r="AE278" s="2257"/>
      <c r="AF278" s="2257"/>
      <c r="AG278" s="2257"/>
      <c r="AH278" s="2257"/>
      <c r="AI278" s="2257"/>
      <c r="AJ278" s="2257"/>
      <c r="AK278" s="2257"/>
      <c r="AL278" s="2257"/>
      <c r="AM278" s="2257"/>
      <c r="AN278" s="2257"/>
      <c r="AO278" s="2257"/>
      <c r="AP278" s="2257"/>
      <c r="AQ278" s="2257"/>
      <c r="AR278" s="2257"/>
      <c r="AS278" s="2257"/>
      <c r="AT278" s="2257"/>
      <c r="AU278" s="2257"/>
      <c r="AV278" s="2257"/>
      <c r="AW278" s="2257"/>
      <c r="AX278" s="2257"/>
      <c r="AY278" s="2257"/>
      <c r="AZ278" s="2257"/>
      <c r="BA278" s="2257"/>
      <c r="BB278" s="2257"/>
      <c r="BC278" s="2257"/>
      <c r="BD278" s="2257"/>
      <c r="BE278" s="2257"/>
      <c r="BF278" s="2257"/>
      <c r="BG278" s="2257"/>
    </row>
    <row r="279" spans="1:59" s="2105" customFormat="1">
      <c r="A279" s="2298" t="s">
        <v>1467</v>
      </c>
      <c r="B279" s="1489"/>
      <c r="C279" s="1489"/>
      <c r="D279" s="1489"/>
      <c r="E279" s="1490"/>
      <c r="F279" s="1489"/>
      <c r="G279" s="1489"/>
      <c r="H279" s="1489"/>
      <c r="I279" s="1490"/>
      <c r="J279" s="2170"/>
      <c r="K279" s="2170"/>
      <c r="L279" s="2257">
        <v>5.4</v>
      </c>
      <c r="M279" s="2258">
        <v>7</v>
      </c>
      <c r="N279" s="2257">
        <v>11</v>
      </c>
      <c r="O279" s="2257">
        <v>15</v>
      </c>
      <c r="P279" s="2257">
        <v>15</v>
      </c>
      <c r="Q279" s="2258">
        <v>17</v>
      </c>
      <c r="R279" s="2257">
        <v>18</v>
      </c>
      <c r="S279" s="2300">
        <v>21</v>
      </c>
      <c r="T279" s="2257"/>
      <c r="U279" s="2258"/>
      <c r="V279" s="2257"/>
      <c r="W279" s="2257"/>
      <c r="X279" s="2257"/>
      <c r="Y279" s="2258"/>
      <c r="Z279" s="2257"/>
      <c r="AA279" s="2257"/>
      <c r="AB279" s="2257"/>
      <c r="AC279" s="2257"/>
      <c r="AD279" s="2257"/>
      <c r="AE279" s="2257"/>
      <c r="AF279" s="2257"/>
      <c r="AG279" s="2257"/>
      <c r="AH279" s="2257"/>
      <c r="AI279" s="2257"/>
      <c r="AJ279" s="2257"/>
      <c r="AK279" s="2257"/>
      <c r="AL279" s="2257"/>
      <c r="AM279" s="2257"/>
      <c r="AN279" s="2257"/>
      <c r="AO279" s="2257"/>
      <c r="AP279" s="2257"/>
      <c r="AQ279" s="2257"/>
      <c r="AR279" s="2257"/>
      <c r="AS279" s="2257"/>
      <c r="AT279" s="2257"/>
      <c r="AU279" s="2257"/>
      <c r="AV279" s="2257"/>
      <c r="AW279" s="2257"/>
      <c r="AX279" s="2257"/>
      <c r="AY279" s="2257"/>
      <c r="AZ279" s="2257"/>
      <c r="BA279" s="2257"/>
      <c r="BB279" s="2257"/>
      <c r="BC279" s="2257"/>
      <c r="BD279" s="2257"/>
      <c r="BE279" s="2257"/>
      <c r="BF279" s="2257"/>
      <c r="BG279" s="2257"/>
    </row>
    <row r="280" spans="1:59" s="2105" customFormat="1">
      <c r="A280" s="702" t="s">
        <v>1911</v>
      </c>
      <c r="B280" s="1551">
        <v>0.19</v>
      </c>
      <c r="C280" s="1551">
        <v>0.28999999999999998</v>
      </c>
      <c r="D280" s="1551">
        <v>0.33</v>
      </c>
      <c r="E280" s="1554">
        <v>0.4</v>
      </c>
      <c r="F280" s="1551">
        <v>0.4</v>
      </c>
      <c r="G280" s="1551"/>
      <c r="H280" s="1551">
        <v>0.47</v>
      </c>
      <c r="I280" s="1554"/>
      <c r="J280" s="2229"/>
      <c r="K280" s="1551"/>
      <c r="L280" s="1551"/>
      <c r="M280" s="1554"/>
      <c r="N280" s="1551"/>
      <c r="O280" s="1551"/>
      <c r="P280" s="1551"/>
      <c r="Q280" s="1554"/>
      <c r="R280" s="1470"/>
      <c r="S280" s="1470"/>
      <c r="T280" s="1470"/>
      <c r="U280" s="1471"/>
      <c r="V280" s="1470"/>
      <c r="W280" s="1470"/>
      <c r="X280" s="1470"/>
      <c r="Y280" s="1471"/>
      <c r="Z280" s="1470"/>
      <c r="AA280" s="1470"/>
      <c r="AB280" s="1470"/>
      <c r="AC280" s="1470"/>
      <c r="AD280" s="1470"/>
      <c r="AE280" s="1470"/>
      <c r="AF280" s="1470"/>
      <c r="AG280" s="1470"/>
      <c r="AH280" s="1470"/>
      <c r="AI280" s="1470"/>
      <c r="AJ280" s="1470"/>
      <c r="AK280" s="1470"/>
      <c r="AL280" s="1470"/>
      <c r="AM280" s="1470"/>
      <c r="AN280" s="1470"/>
      <c r="AO280" s="1470"/>
      <c r="AP280" s="1470"/>
      <c r="AQ280" s="1470"/>
      <c r="AR280" s="1470"/>
      <c r="AS280" s="1470"/>
      <c r="AT280" s="1470"/>
      <c r="AU280" s="1470"/>
      <c r="AV280" s="1470"/>
      <c r="AW280" s="1470"/>
      <c r="AX280" s="1470"/>
      <c r="AY280" s="1470"/>
      <c r="AZ280" s="1470"/>
      <c r="BA280" s="1470"/>
      <c r="BB280" s="1470"/>
      <c r="BC280" s="1470"/>
      <c r="BD280" s="1470"/>
      <c r="BE280" s="1470"/>
      <c r="BF280" s="1470"/>
      <c r="BG280" s="1470"/>
    </row>
    <row r="281" spans="1:59">
      <c r="A281" s="1381" t="s">
        <v>1912</v>
      </c>
      <c r="B281" s="1472">
        <v>0.15</v>
      </c>
      <c r="C281" s="1472">
        <v>0.14000000000000001</v>
      </c>
      <c r="D281" s="1472"/>
      <c r="E281" s="1540">
        <v>0.2</v>
      </c>
      <c r="F281" s="1472">
        <v>0.38</v>
      </c>
      <c r="G281" s="1472">
        <v>0.43</v>
      </c>
      <c r="H281" s="1472">
        <v>0.54</v>
      </c>
      <c r="I281" s="1540"/>
      <c r="J281" s="1472">
        <v>0.7</v>
      </c>
      <c r="K281" s="1472"/>
      <c r="L281" s="1472"/>
      <c r="M281" s="1540"/>
      <c r="N281" s="1472"/>
      <c r="O281" s="1472"/>
      <c r="P281" s="1472"/>
      <c r="Q281" s="1540"/>
      <c r="R281" s="1468"/>
      <c r="S281" s="1468"/>
      <c r="T281" s="1468"/>
      <c r="U281" s="1469">
        <v>0.66700000000000004</v>
      </c>
      <c r="V281" s="1468"/>
      <c r="W281" s="1468"/>
      <c r="X281" s="1468"/>
      <c r="Y281" s="1469"/>
      <c r="Z281" s="1468"/>
      <c r="AA281" s="1468"/>
      <c r="AB281" s="1468"/>
      <c r="AC281" s="1468"/>
      <c r="AD281" s="1468"/>
      <c r="AE281" s="1468"/>
      <c r="AF281" s="1468"/>
      <c r="AG281" s="1468"/>
      <c r="AH281" s="1468"/>
      <c r="AI281" s="1468"/>
      <c r="AJ281" s="1468"/>
      <c r="AK281" s="1468"/>
      <c r="AL281" s="1468"/>
      <c r="AM281" s="1468"/>
      <c r="AN281" s="1468"/>
      <c r="AO281" s="1468"/>
      <c r="AP281" s="1468"/>
      <c r="AQ281" s="1468"/>
      <c r="AR281" s="1468"/>
      <c r="AS281" s="1468"/>
      <c r="AT281" s="1468"/>
      <c r="AU281" s="1468"/>
      <c r="AV281" s="1468"/>
      <c r="AW281" s="1468"/>
      <c r="AX281" s="1468"/>
      <c r="AY281" s="1468"/>
      <c r="AZ281" s="1468"/>
      <c r="BA281" s="1468"/>
      <c r="BB281" s="1468"/>
      <c r="BC281" s="1468"/>
      <c r="BD281" s="1468"/>
      <c r="BE281" s="1468"/>
      <c r="BF281" s="1468"/>
      <c r="BG281" s="1468"/>
    </row>
    <row r="282" spans="1:59" s="2170" customFormat="1">
      <c r="A282" s="2298"/>
      <c r="B282" s="703"/>
      <c r="C282" s="703"/>
      <c r="D282" s="703"/>
      <c r="E282" s="704"/>
      <c r="F282" s="703"/>
      <c r="G282" s="703"/>
      <c r="H282" s="703"/>
      <c r="I282" s="704"/>
      <c r="J282" s="2233"/>
      <c r="K282" s="2233"/>
      <c r="L282" s="666"/>
      <c r="M282" s="2234"/>
      <c r="N282" s="2233"/>
      <c r="O282" s="2112"/>
      <c r="P282" s="2112"/>
      <c r="Q282" s="2113"/>
      <c r="R282" s="2090"/>
      <c r="S282" s="2090"/>
      <c r="T282" s="2090"/>
      <c r="U282" s="2091"/>
      <c r="V282" s="2090"/>
      <c r="W282" s="2090"/>
      <c r="X282" s="2090"/>
      <c r="Y282" s="2091"/>
      <c r="Z282" s="2090"/>
      <c r="AA282" s="2090"/>
      <c r="AB282" s="2090"/>
      <c r="AC282" s="2090"/>
      <c r="AD282" s="2090"/>
      <c r="AE282" s="2090"/>
      <c r="AF282" s="2090"/>
      <c r="AG282" s="2090"/>
      <c r="AH282" s="2090"/>
      <c r="AI282" s="2090"/>
      <c r="AJ282" s="2090"/>
      <c r="AK282" s="2090"/>
      <c r="AL282" s="2090"/>
      <c r="AM282" s="2090"/>
      <c r="AN282" s="2090"/>
      <c r="AO282" s="2090"/>
      <c r="AP282" s="2090"/>
      <c r="AQ282" s="2090"/>
      <c r="AR282" s="2090"/>
      <c r="AS282" s="2090"/>
      <c r="AT282" s="2090"/>
      <c r="AU282" s="2090"/>
      <c r="AV282" s="2090"/>
      <c r="AW282" s="2090"/>
      <c r="AX282" s="2090"/>
      <c r="AY282" s="2090"/>
      <c r="AZ282" s="2090"/>
      <c r="BA282" s="2090"/>
      <c r="BB282" s="2090"/>
      <c r="BC282" s="2090"/>
      <c r="BD282" s="2090"/>
      <c r="BE282" s="2090"/>
      <c r="BF282" s="2090"/>
      <c r="BG282" s="2090"/>
    </row>
    <row r="283" spans="1:59">
      <c r="A283" s="2301" t="s">
        <v>1468</v>
      </c>
      <c r="B283" s="1746"/>
      <c r="C283" s="1746"/>
      <c r="D283" s="1746"/>
      <c r="E283" s="1747"/>
      <c r="F283" s="1746"/>
      <c r="G283" s="1746"/>
      <c r="H283" s="1746"/>
      <c r="I283" s="1747"/>
      <c r="J283" s="2302"/>
      <c r="K283" s="2302"/>
      <c r="L283" s="1749"/>
      <c r="M283" s="2303"/>
      <c r="N283" s="2302"/>
      <c r="O283" s="2302"/>
      <c r="P283" s="2302">
        <v>27</v>
      </c>
      <c r="Q283" s="2303"/>
      <c r="R283" s="2304">
        <v>31</v>
      </c>
      <c r="S283" s="2304"/>
      <c r="T283" s="2304"/>
      <c r="U283" s="2305">
        <v>37</v>
      </c>
      <c r="V283" s="2304"/>
      <c r="W283" s="2304"/>
      <c r="X283" s="2304"/>
      <c r="Y283" s="2305"/>
      <c r="Z283" s="2304"/>
      <c r="AA283" s="2304"/>
      <c r="AB283" s="2304"/>
      <c r="AC283" s="2304"/>
      <c r="AD283" s="2304"/>
      <c r="AE283" s="2304"/>
      <c r="AF283" s="2304"/>
      <c r="AG283" s="2304"/>
      <c r="AH283" s="2304"/>
      <c r="AI283" s="2304"/>
      <c r="AJ283" s="2304"/>
      <c r="AK283" s="2304"/>
      <c r="AL283" s="2304"/>
      <c r="AM283" s="2304"/>
      <c r="AN283" s="2304"/>
      <c r="AO283" s="2304"/>
      <c r="AP283" s="2304"/>
      <c r="AQ283" s="2304"/>
      <c r="AR283" s="2304"/>
      <c r="AS283" s="2304"/>
      <c r="AT283" s="2304"/>
      <c r="AU283" s="2304"/>
      <c r="AV283" s="2304"/>
      <c r="AW283" s="2304"/>
      <c r="AX283" s="2304"/>
      <c r="AY283" s="2304"/>
      <c r="AZ283" s="2304"/>
      <c r="BA283" s="2304"/>
      <c r="BB283" s="2304"/>
      <c r="BC283" s="2304"/>
      <c r="BD283" s="2304"/>
      <c r="BE283" s="2304"/>
      <c r="BF283" s="2304"/>
      <c r="BG283" s="2304"/>
    </row>
    <row r="284" spans="1:59">
      <c r="A284" s="2092" t="s">
        <v>1289</v>
      </c>
      <c r="B284" s="2170"/>
      <c r="C284" s="2170"/>
      <c r="D284" s="2170"/>
      <c r="E284" s="2171"/>
      <c r="F284" s="2170"/>
      <c r="G284" s="2170"/>
      <c r="H284" s="2170"/>
      <c r="I284" s="2171"/>
      <c r="J284" s="2170"/>
      <c r="K284" s="2170"/>
      <c r="L284" s="2170"/>
      <c r="M284" s="2171"/>
      <c r="N284" s="2170"/>
      <c r="O284" s="2170"/>
      <c r="P284" s="2170"/>
      <c r="Q284" s="2171"/>
      <c r="R284" s="2170"/>
      <c r="S284" s="2170"/>
      <c r="T284" s="2170"/>
      <c r="U284" s="2171"/>
      <c r="V284" s="2170"/>
      <c r="W284" s="2170"/>
      <c r="X284" s="2170"/>
      <c r="Y284" s="2171"/>
      <c r="Z284" s="2170"/>
      <c r="AA284" s="2170"/>
      <c r="AB284" s="2170"/>
      <c r="AC284" s="2170"/>
      <c r="AD284" s="2170"/>
      <c r="AE284" s="2170"/>
      <c r="AF284" s="2170"/>
      <c r="AG284" s="2170"/>
      <c r="AH284" s="2170"/>
      <c r="AI284" s="2170"/>
      <c r="AJ284" s="2170"/>
      <c r="AK284" s="2170"/>
      <c r="AL284" s="2170"/>
      <c r="AM284" s="2170"/>
      <c r="AN284" s="2170"/>
      <c r="AO284" s="2170"/>
      <c r="AP284" s="2170"/>
      <c r="AQ284" s="2170"/>
      <c r="AR284" s="2170"/>
      <c r="AS284" s="2170"/>
      <c r="AT284" s="2170"/>
      <c r="AU284" s="2170"/>
      <c r="AV284" s="2170"/>
      <c r="AW284" s="2170"/>
      <c r="AX284" s="2170"/>
      <c r="AY284" s="2170"/>
      <c r="AZ284" s="2170"/>
      <c r="BA284" s="2170"/>
      <c r="BB284" s="2170"/>
      <c r="BC284" s="2170"/>
      <c r="BD284" s="2170"/>
      <c r="BE284" s="2170"/>
      <c r="BF284" s="2170"/>
      <c r="BG284" s="2170"/>
    </row>
    <row r="286" spans="1:59">
      <c r="A286" s="832" t="s">
        <v>1469</v>
      </c>
      <c r="B286" s="1466"/>
      <c r="C286" s="1466"/>
      <c r="D286" s="1466"/>
      <c r="E286" s="1478"/>
      <c r="F286" s="1466"/>
      <c r="G286" s="1466"/>
      <c r="H286" s="1466"/>
      <c r="I286" s="1478"/>
      <c r="J286" s="1466"/>
      <c r="K286" s="1466"/>
      <c r="L286" s="1466"/>
      <c r="M286" s="1478"/>
      <c r="N286" s="1466"/>
      <c r="O286" s="1466"/>
      <c r="P286" s="1466"/>
      <c r="Q286" s="1478"/>
      <c r="R286" s="1466"/>
      <c r="S286" s="1466"/>
      <c r="T286" s="1466"/>
      <c r="U286" s="1478"/>
      <c r="V286" s="1466"/>
      <c r="W286" s="1466"/>
      <c r="X286" s="1466"/>
      <c r="Y286" s="1478"/>
      <c r="Z286" s="1466"/>
      <c r="AA286" s="1466"/>
      <c r="AB286" s="1466"/>
      <c r="AC286" s="1466"/>
      <c r="AD286" s="1466"/>
      <c r="AE286" s="1466"/>
      <c r="AF286" s="1466"/>
      <c r="AG286" s="1466"/>
      <c r="AH286" s="1466"/>
      <c r="AI286" s="1466"/>
      <c r="AJ286" s="1466"/>
      <c r="AK286" s="1466"/>
      <c r="AL286" s="1466"/>
      <c r="AM286" s="1466"/>
      <c r="AN286" s="1466"/>
      <c r="AO286" s="1466"/>
      <c r="AP286" s="1466"/>
      <c r="AQ286" s="1466"/>
      <c r="AR286" s="1466"/>
      <c r="AS286" s="1466"/>
      <c r="AT286" s="1466"/>
      <c r="AU286" s="1466"/>
      <c r="AV286" s="1466"/>
      <c r="AW286" s="1466"/>
      <c r="AX286" s="1466"/>
      <c r="AY286" s="1466"/>
      <c r="AZ286" s="1466"/>
      <c r="BA286" s="1466"/>
      <c r="BB286" s="1466"/>
      <c r="BC286" s="1466"/>
      <c r="BD286" s="1466"/>
      <c r="BE286" s="1466"/>
      <c r="BF286" s="1466"/>
      <c r="BG286" s="1466"/>
    </row>
    <row r="287" spans="1:59">
      <c r="A287" s="731" t="s">
        <v>1470</v>
      </c>
      <c r="B287" s="1470">
        <v>0.15</v>
      </c>
      <c r="C287" s="1470">
        <v>0.13</v>
      </c>
      <c r="D287" s="1470">
        <v>0.16</v>
      </c>
      <c r="E287" s="1471"/>
      <c r="F287" s="1470"/>
      <c r="G287" s="1470"/>
      <c r="H287" s="1470"/>
      <c r="I287" s="1471"/>
      <c r="J287" s="1470">
        <v>0.43</v>
      </c>
      <c r="K287" s="1470">
        <v>0.44</v>
      </c>
      <c r="L287" s="1470">
        <v>0.49</v>
      </c>
      <c r="M287" s="1471">
        <v>0.52</v>
      </c>
      <c r="N287" s="1470">
        <v>0.56999999999999995</v>
      </c>
      <c r="O287" s="1470">
        <v>0.59</v>
      </c>
      <c r="P287" s="1470">
        <v>0.59</v>
      </c>
      <c r="Q287" s="1471">
        <v>0.62</v>
      </c>
      <c r="R287" s="1470"/>
      <c r="S287" s="1466"/>
      <c r="T287" s="1470"/>
      <c r="U287" s="1471"/>
      <c r="V287" s="1470"/>
      <c r="W287" s="1470"/>
      <c r="X287" s="1470"/>
      <c r="Y287" s="1471"/>
      <c r="Z287" s="1470"/>
      <c r="AA287" s="1470"/>
      <c r="AB287" s="1470"/>
      <c r="AC287" s="1470"/>
      <c r="AD287" s="1470"/>
      <c r="AE287" s="1470"/>
      <c r="AF287" s="1470"/>
      <c r="AG287" s="1470"/>
      <c r="AH287" s="1470"/>
      <c r="AI287" s="1470"/>
      <c r="AJ287" s="1470"/>
      <c r="AK287" s="1470"/>
      <c r="AL287" s="1470"/>
      <c r="AM287" s="1470"/>
      <c r="AN287" s="1470"/>
      <c r="AO287" s="1470"/>
      <c r="AP287" s="1470"/>
      <c r="AQ287" s="1470"/>
      <c r="AR287" s="1470"/>
      <c r="AS287" s="1470"/>
      <c r="AT287" s="1470"/>
      <c r="AU287" s="1470"/>
      <c r="AV287" s="1470"/>
      <c r="AW287" s="1470"/>
      <c r="AX287" s="1470"/>
      <c r="AY287" s="1470"/>
      <c r="AZ287" s="1470"/>
      <c r="BA287" s="1470"/>
      <c r="BB287" s="1470"/>
      <c r="BC287" s="1470"/>
      <c r="BD287" s="1470"/>
      <c r="BE287" s="1470"/>
      <c r="BF287" s="1470"/>
      <c r="BG287" s="1470"/>
    </row>
    <row r="288" spans="1:59" s="2314" customFormat="1">
      <c r="A288" s="731" t="s">
        <v>1909</v>
      </c>
      <c r="B288" s="1470">
        <v>0.27</v>
      </c>
      <c r="C288" s="1470">
        <v>0.25</v>
      </c>
      <c r="D288" s="1470">
        <v>0.34</v>
      </c>
      <c r="E288" s="1471">
        <v>0.34</v>
      </c>
      <c r="F288" s="1470">
        <v>0.38</v>
      </c>
      <c r="G288" s="1470"/>
      <c r="H288" s="1470"/>
      <c r="I288" s="1471">
        <v>0.61</v>
      </c>
      <c r="J288" s="1470">
        <v>0.74</v>
      </c>
      <c r="K288" s="1470">
        <v>0.73</v>
      </c>
      <c r="L288" s="1470">
        <v>0.76</v>
      </c>
      <c r="M288" s="1471">
        <v>0.74</v>
      </c>
      <c r="N288" s="1470">
        <v>0.77</v>
      </c>
      <c r="O288" s="1470">
        <v>0.78</v>
      </c>
      <c r="P288" s="1470">
        <v>0.79</v>
      </c>
      <c r="Q288" s="1471">
        <v>0.76</v>
      </c>
      <c r="R288" s="1470"/>
      <c r="S288" s="1466"/>
      <c r="T288" s="1470"/>
      <c r="U288" s="1471"/>
      <c r="V288" s="1470"/>
      <c r="W288" s="1470"/>
      <c r="X288" s="1470"/>
      <c r="Y288" s="1471"/>
      <c r="Z288" s="1470"/>
      <c r="AA288" s="1470"/>
      <c r="AB288" s="1470"/>
      <c r="AC288" s="1470"/>
      <c r="AD288" s="1470"/>
      <c r="AE288" s="1470"/>
      <c r="AF288" s="1470"/>
      <c r="AG288" s="1470"/>
      <c r="AH288" s="1470"/>
      <c r="AI288" s="1470"/>
      <c r="AJ288" s="1470"/>
      <c r="AK288" s="1470"/>
      <c r="AL288" s="1470"/>
      <c r="AM288" s="1470"/>
      <c r="AN288" s="1470"/>
      <c r="AO288" s="1470"/>
      <c r="AP288" s="1470"/>
      <c r="AQ288" s="1470"/>
      <c r="AR288" s="1470"/>
      <c r="AS288" s="1470"/>
      <c r="AT288" s="1470"/>
      <c r="AU288" s="1470"/>
      <c r="AV288" s="1470"/>
      <c r="AW288" s="1470"/>
      <c r="AX288" s="1470"/>
      <c r="AY288" s="1470"/>
      <c r="AZ288" s="1470"/>
      <c r="BA288" s="1470"/>
      <c r="BB288" s="1470"/>
      <c r="BC288" s="1470"/>
      <c r="BD288" s="1470"/>
      <c r="BE288" s="1470"/>
      <c r="BF288" s="1470"/>
      <c r="BG288" s="1470"/>
    </row>
    <row r="289" spans="1:59">
      <c r="A289" s="732" t="s">
        <v>1910</v>
      </c>
      <c r="B289" s="1470"/>
      <c r="C289" s="1470"/>
      <c r="D289" s="1470"/>
      <c r="E289" s="1471"/>
      <c r="F289" s="1470"/>
      <c r="G289" s="1470"/>
      <c r="H289" s="1470"/>
      <c r="I289" s="1471"/>
      <c r="J289" s="1470"/>
      <c r="K289" s="1470"/>
      <c r="L289" s="1470"/>
      <c r="M289" s="1471"/>
      <c r="N289" s="1470">
        <v>0.5</v>
      </c>
      <c r="O289" s="1470">
        <v>0.47</v>
      </c>
      <c r="P289" s="1470">
        <v>0.74</v>
      </c>
      <c r="Q289" s="1471">
        <v>0.6</v>
      </c>
      <c r="R289" s="1470"/>
      <c r="S289" s="1466"/>
      <c r="T289" s="1470"/>
      <c r="U289" s="1471"/>
      <c r="V289" s="1470"/>
      <c r="W289" s="1470"/>
      <c r="X289" s="1470"/>
      <c r="Y289" s="1471"/>
      <c r="Z289" s="1470"/>
      <c r="AA289" s="1470"/>
      <c r="AB289" s="1470"/>
      <c r="AC289" s="1470"/>
      <c r="AD289" s="1470"/>
      <c r="AE289" s="1470"/>
      <c r="AF289" s="1470"/>
      <c r="AG289" s="1470"/>
      <c r="AH289" s="1470"/>
      <c r="AI289" s="1470"/>
      <c r="AJ289" s="1470"/>
      <c r="AK289" s="1470"/>
      <c r="AL289" s="1470"/>
      <c r="AM289" s="1470"/>
      <c r="AN289" s="1470"/>
      <c r="AO289" s="1470"/>
      <c r="AP289" s="1470"/>
      <c r="AQ289" s="1470"/>
      <c r="AR289" s="1470"/>
      <c r="AS289" s="1470"/>
      <c r="AT289" s="1470"/>
      <c r="AU289" s="1470"/>
      <c r="AV289" s="1470"/>
      <c r="AW289" s="1470"/>
      <c r="AX289" s="1470"/>
      <c r="AY289" s="1470"/>
      <c r="AZ289" s="1470"/>
      <c r="BA289" s="1470"/>
      <c r="BB289" s="1470"/>
      <c r="BC289" s="1470"/>
      <c r="BD289" s="1470"/>
      <c r="BE289" s="1470"/>
      <c r="BF289" s="1470"/>
      <c r="BG289" s="1470"/>
    </row>
    <row r="290" spans="1:59">
      <c r="A290" s="832"/>
      <c r="B290" s="1466"/>
      <c r="C290" s="1466"/>
      <c r="D290" s="1466"/>
      <c r="E290" s="1478"/>
      <c r="F290" s="1466"/>
      <c r="G290" s="1466"/>
      <c r="H290" s="1466"/>
      <c r="I290" s="1478"/>
      <c r="J290" s="1466"/>
      <c r="K290" s="1466"/>
      <c r="L290" s="1466"/>
      <c r="M290" s="1478"/>
      <c r="N290" s="1466"/>
      <c r="O290" s="1466"/>
      <c r="P290" s="1466"/>
      <c r="Q290" s="1478"/>
      <c r="R290" s="1466"/>
      <c r="S290" s="1466"/>
      <c r="T290" s="1466"/>
      <c r="U290" s="1478"/>
      <c r="V290" s="1466"/>
      <c r="W290" s="1466"/>
      <c r="X290" s="1466"/>
      <c r="Y290" s="1478"/>
      <c r="Z290" s="1466"/>
      <c r="AA290" s="1466"/>
      <c r="AB290" s="1466"/>
      <c r="AC290" s="1466"/>
      <c r="AD290" s="1466"/>
      <c r="AE290" s="1466"/>
      <c r="AF290" s="1466"/>
      <c r="AG290" s="1466"/>
      <c r="AH290" s="1466"/>
      <c r="AI290" s="1466"/>
      <c r="AJ290" s="1466"/>
      <c r="AK290" s="1466"/>
      <c r="AL290" s="1466"/>
      <c r="AM290" s="1466"/>
      <c r="AN290" s="1466"/>
      <c r="AO290" s="1466"/>
      <c r="AP290" s="1466"/>
      <c r="AQ290" s="1466"/>
      <c r="AR290" s="1466"/>
      <c r="AS290" s="1466"/>
      <c r="AT290" s="1466"/>
      <c r="AU290" s="1466"/>
      <c r="AV290" s="1466"/>
      <c r="AW290" s="1466"/>
      <c r="AX290" s="1466"/>
      <c r="AY290" s="1466"/>
      <c r="AZ290" s="1466"/>
      <c r="BA290" s="1466"/>
      <c r="BB290" s="1466"/>
      <c r="BC290" s="1466"/>
      <c r="BD290" s="1466"/>
      <c r="BE290" s="1466"/>
      <c r="BF290" s="1466"/>
      <c r="BG290" s="1466"/>
    </row>
    <row r="291" spans="1:59">
      <c r="A291" s="832" t="s">
        <v>1290</v>
      </c>
      <c r="B291" s="1751"/>
      <c r="C291" s="1751"/>
      <c r="D291" s="1751"/>
      <c r="E291" s="1752"/>
      <c r="F291" s="1751"/>
      <c r="G291" s="1751"/>
      <c r="H291" s="1751"/>
      <c r="I291" s="1752"/>
      <c r="J291" s="1751"/>
      <c r="K291" s="1751"/>
      <c r="L291" s="1751"/>
      <c r="M291" s="1752"/>
      <c r="N291" s="1751">
        <v>0.158</v>
      </c>
      <c r="O291" s="1751"/>
      <c r="P291" s="1751"/>
      <c r="Q291" s="1752"/>
      <c r="R291" s="1751"/>
      <c r="S291" s="1466"/>
      <c r="T291" s="1751"/>
      <c r="U291" s="1752"/>
      <c r="V291" s="1751"/>
      <c r="W291" s="1751"/>
      <c r="X291" s="1751"/>
      <c r="Y291" s="1752"/>
      <c r="Z291" s="1751"/>
      <c r="AA291" s="1751"/>
      <c r="AB291" s="1751"/>
      <c r="AC291" s="1751"/>
      <c r="AD291" s="1751"/>
      <c r="AE291" s="1751"/>
      <c r="AF291" s="1751"/>
      <c r="AG291" s="1751"/>
      <c r="AH291" s="1751"/>
      <c r="AI291" s="1751"/>
      <c r="AJ291" s="1751"/>
      <c r="AK291" s="1751"/>
      <c r="AL291" s="1751"/>
      <c r="AM291" s="1751"/>
      <c r="AN291" s="1751"/>
      <c r="AO291" s="1751"/>
      <c r="AP291" s="1751"/>
      <c r="AQ291" s="1751"/>
      <c r="AR291" s="1751"/>
      <c r="AS291" s="1751"/>
      <c r="AT291" s="1751"/>
      <c r="AU291" s="1751"/>
      <c r="AV291" s="1751"/>
      <c r="AW291" s="1751"/>
      <c r="AX291" s="1751"/>
      <c r="AY291" s="1751"/>
      <c r="AZ291" s="1751"/>
      <c r="BA291" s="1751"/>
      <c r="BB291" s="1751"/>
      <c r="BC291" s="1751"/>
      <c r="BD291" s="1751"/>
      <c r="BE291" s="1751"/>
      <c r="BF291" s="1751"/>
      <c r="BG291" s="1751"/>
    </row>
    <row r="292" spans="1:59">
      <c r="A292" s="832" t="s">
        <v>1291</v>
      </c>
      <c r="B292" s="1466"/>
      <c r="C292" s="1466"/>
      <c r="D292" s="1466"/>
      <c r="E292" s="1478"/>
      <c r="F292" s="1466"/>
      <c r="G292" s="1466"/>
      <c r="H292" s="1466"/>
      <c r="I292" s="1478"/>
      <c r="J292" s="1466"/>
      <c r="K292" s="1466"/>
      <c r="L292" s="1466"/>
      <c r="M292" s="1478"/>
      <c r="N292" s="1466"/>
      <c r="O292" s="1466"/>
      <c r="P292" s="1466"/>
      <c r="Q292" s="1478"/>
      <c r="R292" s="1466"/>
      <c r="S292" s="1466"/>
      <c r="T292" s="1466"/>
      <c r="U292" s="1478"/>
      <c r="V292" s="1466"/>
      <c r="W292" s="1466"/>
      <c r="X292" s="1466"/>
      <c r="Y292" s="1478"/>
      <c r="Z292" s="1466"/>
      <c r="AA292" s="1466"/>
      <c r="AB292" s="1466"/>
      <c r="AC292" s="1466"/>
      <c r="AD292" s="1466"/>
      <c r="AE292" s="1466"/>
      <c r="AF292" s="1466"/>
      <c r="AG292" s="1466"/>
      <c r="AH292" s="1466"/>
      <c r="AI292" s="1466"/>
      <c r="AJ292" s="1466"/>
      <c r="AK292" s="1466"/>
      <c r="AL292" s="1466"/>
      <c r="AM292" s="1466"/>
      <c r="AN292" s="1466"/>
      <c r="AO292" s="1466"/>
      <c r="AP292" s="1466"/>
      <c r="AQ292" s="1466"/>
      <c r="AR292" s="1466"/>
      <c r="AS292" s="1466"/>
      <c r="AT292" s="1466"/>
      <c r="AU292" s="1466"/>
      <c r="AV292" s="1466"/>
      <c r="AW292" s="1466"/>
      <c r="AX292" s="1466"/>
      <c r="AY292" s="1466"/>
      <c r="AZ292" s="1466"/>
      <c r="BA292" s="1466"/>
      <c r="BB292" s="1466"/>
      <c r="BC292" s="1466"/>
      <c r="BD292" s="1466"/>
      <c r="BE292" s="1466"/>
      <c r="BF292" s="1466"/>
      <c r="BG292" s="1466"/>
    </row>
    <row r="293" spans="1:59">
      <c r="A293" s="832"/>
      <c r="B293" s="376"/>
      <c r="C293" s="376"/>
      <c r="D293" s="376"/>
      <c r="E293" s="829"/>
      <c r="F293" s="376"/>
      <c r="G293" s="376"/>
      <c r="H293" s="376"/>
      <c r="I293" s="829"/>
      <c r="J293" s="376"/>
      <c r="K293" s="376"/>
      <c r="L293" s="376"/>
      <c r="M293" s="829"/>
      <c r="N293" s="376"/>
      <c r="O293" s="376"/>
      <c r="P293" s="376"/>
      <c r="Q293" s="829"/>
      <c r="R293" s="376"/>
      <c r="S293" s="376"/>
      <c r="T293" s="376"/>
      <c r="U293" s="829"/>
      <c r="V293" s="376"/>
      <c r="W293" s="376"/>
      <c r="X293" s="376"/>
      <c r="Y293" s="829"/>
      <c r="Z293" s="376"/>
      <c r="AA293" s="376"/>
      <c r="AB293" s="376"/>
      <c r="AC293" s="376"/>
      <c r="AD293" s="376"/>
      <c r="AE293" s="376"/>
      <c r="AF293" s="376"/>
      <c r="AG293" s="376"/>
      <c r="AH293" s="376"/>
      <c r="AI293" s="376"/>
      <c r="AJ293" s="376"/>
      <c r="AK293" s="376"/>
      <c r="AL293" s="376"/>
      <c r="AM293" s="376"/>
      <c r="AN293" s="376"/>
      <c r="AO293" s="376"/>
      <c r="AP293" s="376"/>
      <c r="AQ293" s="376"/>
      <c r="AR293" s="376"/>
      <c r="AS293" s="376"/>
      <c r="AT293" s="376"/>
      <c r="AU293" s="376"/>
      <c r="AV293" s="376"/>
      <c r="AW293" s="376"/>
      <c r="AX293" s="376"/>
      <c r="AY293" s="376"/>
      <c r="AZ293" s="376"/>
      <c r="BA293" s="376"/>
      <c r="BB293" s="376"/>
      <c r="BC293" s="376"/>
      <c r="BD293" s="376"/>
      <c r="BE293" s="376"/>
      <c r="BF293" s="376"/>
      <c r="BG293" s="376"/>
    </row>
    <row r="294" spans="1:59">
      <c r="A294" s="2306"/>
      <c r="B294" s="2096"/>
      <c r="C294" s="2096"/>
      <c r="D294" s="2096"/>
      <c r="E294" s="2097"/>
      <c r="F294" s="2096"/>
      <c r="G294" s="2096"/>
      <c r="H294" s="2096"/>
      <c r="I294" s="2097"/>
      <c r="J294" s="2307"/>
      <c r="K294" s="2307"/>
      <c r="L294" s="2307"/>
      <c r="M294" s="2308"/>
      <c r="N294" s="2307"/>
      <c r="O294" s="2307"/>
      <c r="P294" s="2307"/>
      <c r="Q294" s="2308"/>
      <c r="R294" s="2105"/>
      <c r="S294" s="2105"/>
      <c r="T294" s="2105"/>
      <c r="U294" s="2200"/>
      <c r="V294" s="2105"/>
      <c r="W294" s="2105"/>
      <c r="X294" s="2105"/>
      <c r="Y294" s="2200"/>
      <c r="Z294" s="2105"/>
      <c r="AA294" s="2105"/>
      <c r="AB294" s="2105"/>
      <c r="BE294" s="2105"/>
      <c r="BF294" s="2105"/>
      <c r="BG294" s="2105"/>
    </row>
    <row r="295" spans="1:59">
      <c r="A295" s="2101" t="s">
        <v>1292</v>
      </c>
      <c r="B295" s="2096"/>
      <c r="C295" s="2096"/>
      <c r="D295" s="2096"/>
      <c r="E295" s="2097"/>
      <c r="F295" s="2096"/>
      <c r="G295" s="2096"/>
      <c r="H295" s="2096"/>
      <c r="I295" s="2097"/>
      <c r="J295" s="2098"/>
      <c r="K295" s="2098"/>
      <c r="L295" s="2098"/>
      <c r="M295" s="2099"/>
      <c r="N295" s="2098"/>
      <c r="O295" s="2098"/>
      <c r="P295" s="2098"/>
      <c r="Q295" s="2099"/>
      <c r="R295" s="2105"/>
      <c r="S295" s="2105"/>
      <c r="T295" s="2105"/>
      <c r="U295" s="2200"/>
      <c r="V295" s="2105"/>
      <c r="W295" s="2105"/>
      <c r="X295" s="2105"/>
      <c r="Y295" s="2200"/>
      <c r="Z295" s="2105"/>
      <c r="AA295" s="2105"/>
      <c r="AB295" s="2105"/>
      <c r="BE295" s="2105"/>
      <c r="BF295" s="2105"/>
      <c r="BG295" s="2105"/>
    </row>
    <row r="296" spans="1:59">
      <c r="A296" s="2092" t="s">
        <v>1293</v>
      </c>
      <c r="B296" s="89">
        <f t="shared" ref="B296:M296" si="114">B297*B176</f>
        <v>1037.4196081199998</v>
      </c>
      <c r="C296" s="89">
        <f t="shared" si="114"/>
        <v>1464.44741247</v>
      </c>
      <c r="D296" s="89">
        <f t="shared" si="114"/>
        <v>1162.9667191999999</v>
      </c>
      <c r="E296" s="110">
        <f t="shared" si="114"/>
        <v>1087.4063698599998</v>
      </c>
      <c r="F296" s="89">
        <f t="shared" si="114"/>
        <v>920.61080928000001</v>
      </c>
      <c r="G296" s="89">
        <f t="shared" si="114"/>
        <v>825.22931712000002</v>
      </c>
      <c r="H296" s="89">
        <f t="shared" si="114"/>
        <v>574.26509249999992</v>
      </c>
      <c r="I296" s="110">
        <f t="shared" si="114"/>
        <v>712.29581279999991</v>
      </c>
      <c r="J296" s="734">
        <f t="shared" si="114"/>
        <v>753.55369334999989</v>
      </c>
      <c r="K296" s="734">
        <f t="shared" si="114"/>
        <v>619.34882549999998</v>
      </c>
      <c r="L296" s="734">
        <f t="shared" si="114"/>
        <v>982.41298840000002</v>
      </c>
      <c r="M296" s="110">
        <f t="shared" si="114"/>
        <v>1104.4981295999999</v>
      </c>
      <c r="N296" s="89">
        <f t="shared" ref="N296:V296" si="115">N297*N176</f>
        <v>2700.9624308000002</v>
      </c>
      <c r="O296" s="89">
        <f t="shared" si="115"/>
        <v>3268.6638055499998</v>
      </c>
      <c r="P296" s="2309">
        <f t="shared" si="115"/>
        <v>2906.8047162500002</v>
      </c>
      <c r="Q296" s="2310">
        <f t="shared" si="115"/>
        <v>3025.1409069000001</v>
      </c>
      <c r="R296" s="2309">
        <f t="shared" si="115"/>
        <v>3527.8011780000002</v>
      </c>
      <c r="S296" s="89">
        <f t="shared" si="115"/>
        <v>3228.8990265000002</v>
      </c>
      <c r="T296" s="89">
        <f t="shared" si="115"/>
        <v>2875.22474895</v>
      </c>
      <c r="U296" s="110">
        <f t="shared" si="115"/>
        <v>0</v>
      </c>
      <c r="V296" s="89">
        <f t="shared" si="115"/>
        <v>0</v>
      </c>
    </row>
    <row r="297" spans="1:59">
      <c r="A297" s="2092" t="s">
        <v>1471</v>
      </c>
      <c r="B297" s="1753">
        <v>27.08</v>
      </c>
      <c r="C297" s="1753">
        <v>35.130000000000003</v>
      </c>
      <c r="D297" s="1753">
        <v>27.83</v>
      </c>
      <c r="E297" s="1754">
        <v>25.99</v>
      </c>
      <c r="F297" s="1753">
        <v>21.96</v>
      </c>
      <c r="G297" s="1753">
        <v>19.68</v>
      </c>
      <c r="H297" s="1753">
        <v>13.75</v>
      </c>
      <c r="I297" s="1754">
        <v>17.16</v>
      </c>
      <c r="J297" s="2170">
        <v>18.09</v>
      </c>
      <c r="K297" s="2170">
        <v>14.86</v>
      </c>
      <c r="L297" s="2170">
        <v>23.6</v>
      </c>
      <c r="M297" s="2171">
        <v>22.2</v>
      </c>
      <c r="N297" s="2170">
        <v>34.6</v>
      </c>
      <c r="O297" s="2170">
        <v>33.549999999999997</v>
      </c>
      <c r="P297" s="2170">
        <v>28.75</v>
      </c>
      <c r="Q297" s="2171">
        <v>29.85</v>
      </c>
      <c r="R297" s="2170">
        <v>34.700000000000003</v>
      </c>
      <c r="S297" s="2170">
        <v>31.5</v>
      </c>
      <c r="T297" s="2170">
        <v>27.45</v>
      </c>
      <c r="U297" s="2171"/>
      <c r="V297" s="2170"/>
      <c r="W297" s="2170"/>
      <c r="X297" s="2170"/>
      <c r="Y297" s="2171"/>
      <c r="Z297" s="2170"/>
      <c r="AA297" s="2170"/>
      <c r="AB297" s="2170"/>
      <c r="AC297" s="2170"/>
      <c r="AD297" s="2170"/>
      <c r="AE297" s="2170"/>
      <c r="AF297" s="2170"/>
      <c r="AG297" s="2170"/>
      <c r="AH297" s="2170"/>
      <c r="AI297" s="2170"/>
      <c r="AJ297" s="2170"/>
      <c r="AK297" s="2170"/>
      <c r="AL297" s="2170"/>
      <c r="AM297" s="2170"/>
      <c r="AN297" s="2170"/>
      <c r="AO297" s="2170"/>
      <c r="AP297" s="2170"/>
      <c r="AQ297" s="2170"/>
      <c r="AR297" s="2170"/>
      <c r="AS297" s="2170"/>
      <c r="AT297" s="2170"/>
      <c r="AU297" s="2170"/>
      <c r="AV297" s="2170"/>
      <c r="AW297" s="2170"/>
      <c r="AX297" s="2170"/>
      <c r="AY297" s="2170"/>
      <c r="AZ297" s="2170"/>
      <c r="BA297" s="2170"/>
      <c r="BB297" s="2170"/>
      <c r="BC297" s="2170"/>
      <c r="BD297" s="2170"/>
      <c r="BE297" s="2170"/>
      <c r="BF297" s="2170"/>
      <c r="BG297" s="2170"/>
    </row>
    <row r="298" spans="1:59">
      <c r="B298" s="89"/>
      <c r="C298" s="89"/>
      <c r="D298" s="89"/>
      <c r="E298" s="110"/>
      <c r="F298" s="89"/>
      <c r="G298" s="89"/>
      <c r="H298" s="89"/>
      <c r="I298" s="110"/>
    </row>
    <row r="299" spans="1:59">
      <c r="A299" s="2092" t="s">
        <v>1294</v>
      </c>
      <c r="B299" s="89">
        <f t="shared" ref="B299:M299" si="116">B296+B220-B212</f>
        <v>970.21235311999988</v>
      </c>
      <c r="C299" s="89">
        <f t="shared" si="116"/>
        <v>1392.71601147</v>
      </c>
      <c r="D299" s="89">
        <f t="shared" si="116"/>
        <v>1095.8332522000001</v>
      </c>
      <c r="E299" s="110">
        <f t="shared" si="116"/>
        <v>1017.3636068599999</v>
      </c>
      <c r="F299" s="89">
        <f t="shared" si="116"/>
        <v>778.62480928000002</v>
      </c>
      <c r="G299" s="89">
        <f t="shared" si="116"/>
        <v>697.02331712</v>
      </c>
      <c r="H299" s="89">
        <f t="shared" si="116"/>
        <v>467.73009249999996</v>
      </c>
      <c r="I299" s="110">
        <f t="shared" si="116"/>
        <v>627.84581279999986</v>
      </c>
      <c r="J299" s="89">
        <f t="shared" si="116"/>
        <v>748.86469334999981</v>
      </c>
      <c r="K299" s="89">
        <f t="shared" si="116"/>
        <v>624.80282549999993</v>
      </c>
      <c r="L299" s="89">
        <f t="shared" si="116"/>
        <v>1022.3809884000001</v>
      </c>
      <c r="M299" s="657">
        <f t="shared" si="116"/>
        <v>971.47812959999987</v>
      </c>
      <c r="N299" s="89">
        <f t="shared" ref="N299:T299" si="117">N296+N220-N212</f>
        <v>2524.4964307999999</v>
      </c>
      <c r="O299" s="89">
        <f t="shared" si="117"/>
        <v>2777.1568055499997</v>
      </c>
      <c r="P299" s="89">
        <f t="shared" si="117"/>
        <v>2466.2667162500002</v>
      </c>
      <c r="Q299" s="657">
        <f t="shared" si="117"/>
        <v>2610.6809069000001</v>
      </c>
      <c r="R299" s="638">
        <f t="shared" si="117"/>
        <v>3138.6361780000002</v>
      </c>
      <c r="S299" s="638">
        <f t="shared" si="117"/>
        <v>2873.6830265000003</v>
      </c>
      <c r="T299" s="638">
        <f t="shared" si="117"/>
        <v>2543.7977489499999</v>
      </c>
      <c r="U299" s="657"/>
      <c r="V299" s="638"/>
    </row>
    <row r="300" spans="1:59">
      <c r="A300" s="2092" t="s">
        <v>1295</v>
      </c>
      <c r="B300" s="129"/>
      <c r="C300" s="129"/>
      <c r="D300" s="129"/>
      <c r="E300" s="697">
        <f t="shared" ref="E300:M300" si="118">E299/SUM(B136:E136)</f>
        <v>7.7596497649006668</v>
      </c>
      <c r="F300" s="129">
        <f t="shared" si="118"/>
        <v>5.6037217521975871</v>
      </c>
      <c r="G300" s="129">
        <f t="shared" si="118"/>
        <v>4.820016389028833</v>
      </c>
      <c r="H300" s="129">
        <f t="shared" si="118"/>
        <v>3.208796075084674</v>
      </c>
      <c r="I300" s="408">
        <f t="shared" si="118"/>
        <v>4.2717283166753974</v>
      </c>
      <c r="J300" s="637">
        <f t="shared" si="118"/>
        <v>4.6204539435203236</v>
      </c>
      <c r="K300" s="637">
        <f t="shared" si="118"/>
        <v>3.4744275144720818</v>
      </c>
      <c r="L300" s="637">
        <f t="shared" si="118"/>
        <v>5.1164841953548441</v>
      </c>
      <c r="M300" s="657">
        <f t="shared" si="118"/>
        <v>4.046577845164407</v>
      </c>
      <c r="N300" s="637">
        <f t="shared" ref="N300:T300" si="119">N299/SUM(K136:N136)</f>
        <v>9.2236905439226593</v>
      </c>
      <c r="O300" s="637">
        <f t="shared" si="119"/>
        <v>7.7604126885503346</v>
      </c>
      <c r="P300" s="637">
        <f t="shared" si="119"/>
        <v>5.5392596168531609</v>
      </c>
      <c r="Q300" s="657">
        <f t="shared" si="119"/>
        <v>5.2464397960250002</v>
      </c>
      <c r="R300" s="638">
        <f t="shared" si="119"/>
        <v>5.6265202741341893</v>
      </c>
      <c r="S300" s="637">
        <f t="shared" si="119"/>
        <v>4.9188792251140434</v>
      </c>
      <c r="T300" s="637">
        <f t="shared" si="119"/>
        <v>4.2183601959272341</v>
      </c>
      <c r="U300" s="1008"/>
      <c r="V300" s="637"/>
    </row>
    <row r="301" spans="1:59">
      <c r="A301" s="2092" t="s">
        <v>1296</v>
      </c>
      <c r="B301" s="129"/>
      <c r="C301" s="129"/>
      <c r="D301" s="129"/>
      <c r="E301" s="697">
        <f t="shared" ref="E301:M301" si="120">E296/SUM(B136:E136)</f>
        <v>8.2938808950306591</v>
      </c>
      <c r="F301" s="129">
        <f t="shared" si="120"/>
        <v>6.6255875176145276</v>
      </c>
      <c r="G301" s="129">
        <f t="shared" si="120"/>
        <v>5.7065793001881504</v>
      </c>
      <c r="H301" s="129">
        <f t="shared" si="120"/>
        <v>3.9396643586111302</v>
      </c>
      <c r="I301" s="408">
        <f t="shared" si="120"/>
        <v>4.8463080128183318</v>
      </c>
      <c r="J301" s="637">
        <f t="shared" si="120"/>
        <v>4.6493848154569468</v>
      </c>
      <c r="K301" s="637">
        <f t="shared" si="120"/>
        <v>3.4440987021003289</v>
      </c>
      <c r="L301" s="637">
        <f t="shared" si="120"/>
        <v>4.9164651783346107</v>
      </c>
      <c r="M301" s="657">
        <f t="shared" si="120"/>
        <v>4.6006570040904053</v>
      </c>
      <c r="N301" s="637">
        <f t="shared" ref="N301:T301" si="121">N296/SUM(K136:N136)</f>
        <v>9.8684400296678447</v>
      </c>
      <c r="O301" s="637">
        <f t="shared" si="121"/>
        <v>9.1338667015497599</v>
      </c>
      <c r="P301" s="637">
        <f t="shared" si="121"/>
        <v>6.5287123540655037</v>
      </c>
      <c r="Q301" s="657">
        <f t="shared" si="121"/>
        <v>6.079341064086333</v>
      </c>
      <c r="R301" s="638">
        <f t="shared" si="121"/>
        <v>6.3241623830958957</v>
      </c>
      <c r="S301" s="637">
        <f t="shared" si="121"/>
        <v>5.5269019564715061</v>
      </c>
      <c r="T301" s="637">
        <f t="shared" si="121"/>
        <v>4.7679630349236364</v>
      </c>
      <c r="U301" s="1008"/>
      <c r="V301" s="637"/>
    </row>
    <row r="302" spans="1:59">
      <c r="B302" s="89"/>
      <c r="C302" s="89"/>
      <c r="D302" s="89"/>
      <c r="E302" s="110"/>
      <c r="F302" s="89"/>
      <c r="G302" s="89"/>
      <c r="H302" s="89"/>
      <c r="I302" s="110"/>
    </row>
    <row r="303" spans="1:59">
      <c r="A303" s="2311" t="s">
        <v>1297</v>
      </c>
      <c r="B303" s="2312"/>
      <c r="C303" s="2312"/>
      <c r="D303" s="2312"/>
      <c r="E303" s="2313"/>
      <c r="F303" s="2312"/>
      <c r="G303" s="2312"/>
      <c r="H303" s="2312"/>
      <c r="I303" s="2313"/>
      <c r="J303" s="2314"/>
      <c r="K303" s="2314"/>
      <c r="L303" s="2314"/>
      <c r="M303" s="2315"/>
      <c r="N303" s="2314"/>
      <c r="O303" s="2314"/>
      <c r="P303" s="2314"/>
      <c r="Q303" s="2315"/>
      <c r="R303" s="2314"/>
      <c r="S303" s="2314"/>
      <c r="T303" s="2314"/>
      <c r="U303" s="2315"/>
      <c r="V303" s="2314"/>
      <c r="W303" s="2314"/>
      <c r="X303" s="2314"/>
      <c r="Y303" s="2315"/>
      <c r="Z303" s="2314"/>
      <c r="AA303" s="2314"/>
      <c r="AB303" s="2314"/>
      <c r="BE303" s="2314"/>
      <c r="BF303" s="2314"/>
      <c r="BG303" s="2314"/>
    </row>
    <row r="304" spans="1:59">
      <c r="A304" s="2092" t="s">
        <v>1298</v>
      </c>
      <c r="B304" s="89"/>
      <c r="C304" s="89"/>
      <c r="D304" s="89"/>
      <c r="E304" s="110"/>
      <c r="F304" s="89"/>
      <c r="G304" s="89"/>
      <c r="H304" s="89"/>
      <c r="I304" s="110"/>
    </row>
    <row r="305" spans="1:9">
      <c r="A305" s="2092" t="s">
        <v>11</v>
      </c>
      <c r="B305" s="89"/>
      <c r="C305" s="89"/>
      <c r="D305" s="89"/>
      <c r="E305" s="110"/>
      <c r="F305" s="89"/>
      <c r="G305" s="89"/>
      <c r="H305" s="89"/>
      <c r="I305" s="110"/>
    </row>
    <row r="306" spans="1:9">
      <c r="A306" s="2092" t="s">
        <v>1299</v>
      </c>
      <c r="B306" s="89"/>
      <c r="C306" s="89"/>
      <c r="D306" s="89"/>
      <c r="E306" s="110"/>
      <c r="F306" s="89"/>
      <c r="G306" s="89"/>
      <c r="H306" s="89"/>
      <c r="I306" s="110"/>
    </row>
  </sheetData>
  <phoneticPr fontId="11" type="noConversion"/>
  <pageMargins left="0.69930555555555596" right="0.69930555555555596"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C3:AR153"/>
  <sheetViews>
    <sheetView workbookViewId="0"/>
  </sheetViews>
  <sheetFormatPr defaultColWidth="9" defaultRowHeight="15"/>
  <cols>
    <col min="1" max="28" width="9" style="2319"/>
    <col min="29" max="29" width="35" style="2319" customWidth="1"/>
    <col min="30" max="30" width="9" style="2319" hidden="1" customWidth="1"/>
    <col min="31" max="33" width="0" style="2319" hidden="1" customWidth="1"/>
    <col min="34" max="16384" width="9" style="2319"/>
  </cols>
  <sheetData>
    <row r="3" spans="29:44" ht="15.5" thickBot="1">
      <c r="AC3" s="2316" t="s">
        <v>1300</v>
      </c>
      <c r="AD3" s="2317" t="s">
        <v>794</v>
      </c>
      <c r="AE3" s="2318" t="s">
        <v>804</v>
      </c>
      <c r="AF3" s="2318" t="s">
        <v>805</v>
      </c>
      <c r="AG3" s="2318" t="s">
        <v>806</v>
      </c>
      <c r="AH3" s="2727" t="s">
        <v>1301</v>
      </c>
      <c r="AI3" s="2727" t="s">
        <v>1302</v>
      </c>
      <c r="AJ3" s="2727" t="s">
        <v>1310</v>
      </c>
      <c r="AK3" s="2727" t="s">
        <v>1475</v>
      </c>
      <c r="AL3" s="2727" t="s">
        <v>1956</v>
      </c>
      <c r="AM3" s="2727" t="s">
        <v>2050</v>
      </c>
      <c r="AN3" s="2727" t="s">
        <v>2071</v>
      </c>
      <c r="AO3" s="2727" t="s">
        <v>2105</v>
      </c>
      <c r="AP3" s="2727" t="s">
        <v>2600</v>
      </c>
      <c r="AQ3" s="2727" t="s">
        <v>2637</v>
      </c>
      <c r="AR3" s="2727" t="s">
        <v>2638</v>
      </c>
    </row>
    <row r="4" spans="29:44" ht="3.75" customHeight="1" thickTop="1">
      <c r="AC4" s="2320"/>
      <c r="AD4" s="2320"/>
      <c r="AE4" s="2320"/>
      <c r="AF4" s="2320"/>
      <c r="AG4" s="2320"/>
    </row>
    <row r="5" spans="29:44">
      <c r="AC5" s="2320" t="s">
        <v>1303</v>
      </c>
      <c r="AD5" s="2320">
        <v>4.7275</v>
      </c>
      <c r="AE5" s="2320">
        <f>'MMYT (2)'!O213</f>
        <v>0</v>
      </c>
      <c r="AF5" s="2320">
        <f>'MMYT (2)'!P213</f>
        <v>0</v>
      </c>
      <c r="AG5" s="2320">
        <f>'MMYT (2)'!Q213</f>
        <v>0</v>
      </c>
      <c r="AH5" s="2320">
        <f>'[29]MMYT (2)'!R55</f>
        <v>9.3179999999999996</v>
      </c>
      <c r="AI5" s="2320">
        <f>'[29]MMYT (2)'!S55</f>
        <v>9.1709999999999994</v>
      </c>
      <c r="AJ5" s="2320">
        <f>'[29]MMYT (2)'!T55</f>
        <v>10.005000000000001</v>
      </c>
      <c r="AK5" s="2320">
        <f>'[29]MMYT (2)'!U55</f>
        <v>10.103999999999999</v>
      </c>
      <c r="AL5" s="2320">
        <f>'[29]MMYT (2)'!V55</f>
        <v>10.205</v>
      </c>
      <c r="AM5" s="2320">
        <f>'[29]MMYT (2)'!W55</f>
        <v>10.609</v>
      </c>
      <c r="AN5" s="2320">
        <f>'[29]MMYT (2)'!X55</f>
        <v>11.161</v>
      </c>
      <c r="AO5" s="2320">
        <f>'[29]MMYT (2)'!Y55</f>
        <v>11.648</v>
      </c>
      <c r="AP5" s="2320">
        <f>'[29]MMYT (2)'!Z55</f>
        <v>8.6370000000000005</v>
      </c>
      <c r="AQ5" s="2320">
        <f>'[29]MMYT (2)'!AA55</f>
        <v>0.877</v>
      </c>
      <c r="AR5" s="2320">
        <f>'[29]MMYT (2)'!AB55</f>
        <v>2.3460000000000001</v>
      </c>
    </row>
    <row r="6" spans="29:44">
      <c r="AC6" s="2321" t="s">
        <v>1218</v>
      </c>
      <c r="AD6" s="2322"/>
      <c r="AE6" s="2323">
        <f>'MMYT (2)'!O214</f>
        <v>1839.692</v>
      </c>
      <c r="AF6" s="2323">
        <f>'MMYT (2)'!P214</f>
        <v>1793.97</v>
      </c>
      <c r="AG6" s="2323">
        <f>'MMYT (2)'!Q214</f>
        <v>1801.8309999999999</v>
      </c>
      <c r="AH6" s="2323">
        <f>'[29]MMYT (2)'!R56</f>
        <v>0.55100000000000005</v>
      </c>
      <c r="AI6" s="2323">
        <f>'[29]MMYT (2)'!S56</f>
        <v>0.17053185107659319</v>
      </c>
      <c r="AJ6" s="2323">
        <f>'[29]MMYT (2)'!T56</f>
        <v>0.29548103068755682</v>
      </c>
      <c r="AK6" s="2323">
        <f>'[29]MMYT (2)'!U56</f>
        <v>0.19390287132222617</v>
      </c>
      <c r="AL6" s="2323">
        <f>'[29]MMYT (2)'!V56</f>
        <v>9.5192101309293786E-2</v>
      </c>
      <c r="AM6" s="2323">
        <f>'[29]MMYT (2)'!W56</f>
        <v>0.15679860429615089</v>
      </c>
      <c r="AN6" s="2323">
        <f>'[29]MMYT (2)'!X56</f>
        <v>0.11554222888555699</v>
      </c>
      <c r="AO6" s="2323">
        <f>'[29]MMYT (2)'!Y56</f>
        <v>0.15281076801266824</v>
      </c>
      <c r="AP6" s="2323">
        <f>'[29]MMYT (2)'!Z56</f>
        <v>-0.15365017148456639</v>
      </c>
      <c r="AQ6" s="2323">
        <f>'[29]MMYT (2)'!AA56</f>
        <v>-0.91733433876896975</v>
      </c>
      <c r="AR6" s="2323">
        <f>'[29]MMYT (2)'!AB56</f>
        <v>-0.78980378102320581</v>
      </c>
    </row>
    <row r="7" spans="29:44" ht="15.5" thickBot="1">
      <c r="AC7" s="2324" t="s">
        <v>2106</v>
      </c>
      <c r="AD7" s="2325"/>
      <c r="AE7" s="2326">
        <f>'MMYT (2)'!O215</f>
        <v>0</v>
      </c>
      <c r="AF7" s="2326">
        <f>'MMYT (2)'!P215</f>
        <v>0</v>
      </c>
      <c r="AG7" s="2326">
        <f>'MMYT (2)'!Q215</f>
        <v>0</v>
      </c>
      <c r="AH7" s="2326">
        <f>'[29]MMYT (2)'!R57</f>
        <v>0.4</v>
      </c>
      <c r="AI7" s="2326">
        <f>'[29]MMYT (2)'!S57</f>
        <v>0.17053185107659319</v>
      </c>
      <c r="AJ7" s="2326">
        <f>'[29]MMYT (2)'!T57</f>
        <v>0.29548103068755682</v>
      </c>
      <c r="AK7" s="2326">
        <f>'[29]MMYT (2)'!U57</f>
        <v>0.19390287132222617</v>
      </c>
      <c r="AL7" s="2326">
        <f>'[29]MMYT (2)'!V57</f>
        <v>9.5192101309293786E-2</v>
      </c>
      <c r="AM7" s="2326">
        <f>'[29]MMYT (2)'!W57</f>
        <v>0.15679860429615089</v>
      </c>
      <c r="AN7" s="2326">
        <f>'[29]MMYT (2)'!X57</f>
        <v>0.11554222888555699</v>
      </c>
      <c r="AO7" s="2326">
        <f>'[29]MMYT (2)'!Y57</f>
        <v>0.15281076801266824</v>
      </c>
      <c r="AP7" s="2326">
        <f>'[29]MMYT (2)'!Z57</f>
        <v>-0.15365017148456639</v>
      </c>
      <c r="AQ7" s="2326">
        <f>'[29]MMYT (2)'!AA57</f>
        <v>-0.91733433876896975</v>
      </c>
      <c r="AR7" s="2326">
        <f>'[29]MMYT (2)'!AB57</f>
        <v>-0.78980378102320581</v>
      </c>
    </row>
    <row r="8" spans="29:44" ht="15.5" thickTop="1">
      <c r="AC8" s="2327" t="s">
        <v>1304</v>
      </c>
      <c r="AD8" s="2327">
        <v>2.3451</v>
      </c>
      <c r="AE8" s="2327">
        <f>'MMYT (2)'!O217</f>
        <v>0</v>
      </c>
      <c r="AF8" s="2327">
        <f>'MMYT (2)'!P217</f>
        <v>0</v>
      </c>
      <c r="AG8" s="2327">
        <f>'MMYT (2)'!Q217</f>
        <v>0</v>
      </c>
      <c r="AH8" s="2327">
        <f>'[29]MMYT (2)'!R59</f>
        <v>4.8869999999999996</v>
      </c>
      <c r="AI8" s="2327">
        <f>'[29]MMYT (2)'!S59</f>
        <v>6.7460000000000004</v>
      </c>
      <c r="AJ8" s="2327">
        <f>'[29]MMYT (2)'!T59</f>
        <v>6.7060000000000004</v>
      </c>
      <c r="AK8" s="2327">
        <f>'[29]MMYT (2)'!U59</f>
        <v>7.0179999999999998</v>
      </c>
      <c r="AL8" s="2327">
        <f>'[29]MMYT (2)'!V59</f>
        <v>6.141</v>
      </c>
      <c r="AM8" s="2327">
        <f>'[29]MMYT (2)'!W59</f>
        <v>7.5579999999999998</v>
      </c>
      <c r="AN8" s="2327">
        <f>'[29]MMYT (2)'!X59</f>
        <v>7.51</v>
      </c>
      <c r="AO8" s="2327">
        <f>'[29]MMYT (2)'!Y59</f>
        <v>8.4719999999999995</v>
      </c>
      <c r="AP8" s="2327">
        <f>'[29]MMYT (2)'!Z59</f>
        <v>6.1070000000000002</v>
      </c>
      <c r="AQ8" s="2327">
        <f>'[29]MMYT (2)'!AA59</f>
        <v>0.13300000000000001</v>
      </c>
      <c r="AR8" s="2327">
        <f>'[29]MMYT (2)'!AB59</f>
        <v>0.85499999999999998</v>
      </c>
    </row>
    <row r="9" spans="29:44">
      <c r="AC9" s="2321" t="s">
        <v>1218</v>
      </c>
      <c r="AD9" s="2328"/>
      <c r="AE9" s="2323">
        <f>'MMYT (2)'!O218</f>
        <v>0.65500000000000003</v>
      </c>
      <c r="AF9" s="2323">
        <f>'MMYT (2)'!P218</f>
        <v>0.58899999999999997</v>
      </c>
      <c r="AG9" s="2323">
        <f>'MMYT (2)'!Q218</f>
        <v>0.53700000000000003</v>
      </c>
      <c r="AH9" s="2323">
        <f>'[29]MMYT (2)'!R60</f>
        <v>0.37</v>
      </c>
      <c r="AI9" s="2323">
        <f>'[29]MMYT (2)'!S60</f>
        <v>0.1631435566743682</v>
      </c>
      <c r="AJ9" s="2323">
        <f>'[29]MMYT (2)'!T60</f>
        <v>0.19069602272727293</v>
      </c>
      <c r="AK9" s="2323">
        <f>'[29]MMYT (2)'!U60</f>
        <v>0.25500715307582267</v>
      </c>
      <c r="AL9" s="2323">
        <f>'[29]MMYT (2)'!V60</f>
        <v>0.25659914057704114</v>
      </c>
      <c r="AM9" s="2323">
        <f>'[29]MMYT (2)'!W60</f>
        <v>0.1203676252594128</v>
      </c>
      <c r="AN9" s="2323">
        <f>'[29]MMYT (2)'!X60</f>
        <v>0.11989263346257073</v>
      </c>
      <c r="AO9" s="2323">
        <f>'[29]MMYT (2)'!Y60</f>
        <v>0.20718153320034194</v>
      </c>
      <c r="AP9" s="2323">
        <f>'[29]MMYT (2)'!Z60</f>
        <v>-5.5365575639146902E-3</v>
      </c>
      <c r="AQ9" s="2323">
        <f>'[29]MMYT (2)'!AA60</f>
        <v>-0.98240275205080707</v>
      </c>
      <c r="AR9" s="2323">
        <f>'[29]MMYT (2)'!AB60</f>
        <v>-0.88615179760319573</v>
      </c>
    </row>
    <row r="10" spans="29:44">
      <c r="AC10" s="2329" t="s">
        <v>1305</v>
      </c>
      <c r="AD10" s="2329">
        <v>1.8814</v>
      </c>
      <c r="AE10" s="2329">
        <f>'MMYT (2)'!O219</f>
        <v>0.254</v>
      </c>
      <c r="AF10" s="2329">
        <f>'MMYT (2)'!P219</f>
        <v>0.25</v>
      </c>
      <c r="AG10" s="2329">
        <f>'MMYT (2)'!Q219</f>
        <v>0.252</v>
      </c>
      <c r="AH10" s="2329">
        <f>'[29]MMYT (2)'!R61</f>
        <v>4.7119999999999997</v>
      </c>
      <c r="AI10" s="2329">
        <f>'[29]MMYT (2)'!S61</f>
        <v>6.4939999999999998</v>
      </c>
      <c r="AJ10" s="2329">
        <f>'[29]MMYT (2)'!T61</f>
        <v>6.5739999999999998</v>
      </c>
      <c r="AK10" s="2329">
        <f>'[29]MMYT (2)'!U61</f>
        <v>6.851</v>
      </c>
      <c r="AL10" s="2329">
        <f>'[29]MMYT (2)'!V61</f>
        <v>5.9930000000000003</v>
      </c>
      <c r="AM10" s="2329">
        <f>'[29]MMYT (2)'!W61</f>
        <v>7.38</v>
      </c>
      <c r="AN10" s="2329">
        <f>'[29]MMYT (2)'!X61</f>
        <v>7.3849999999999998</v>
      </c>
      <c r="AO10" s="2329">
        <f>'[29]MMYT (2)'!Y61</f>
        <v>8.2949999999999999</v>
      </c>
      <c r="AP10" s="2329">
        <f>'[29]MMYT (2)'!Z61</f>
        <v>5.9829999999999997</v>
      </c>
      <c r="AQ10" s="2329">
        <f>'[29]MMYT (2)'!AA61</f>
        <v>0.13300000000000001</v>
      </c>
      <c r="AR10" s="2329">
        <f>'[29]MMYT (2)'!AB61</f>
        <v>0.85399999999999998</v>
      </c>
    </row>
    <row r="11" spans="29:44">
      <c r="AC11" s="2321" t="s">
        <v>1218</v>
      </c>
      <c r="AD11" s="2328"/>
      <c r="AE11" s="2323">
        <f>'MMYT (2)'!O220</f>
        <v>0.90900000000000003</v>
      </c>
      <c r="AF11" s="2323">
        <f>'MMYT (2)'!P220</f>
        <v>0.83899999999999997</v>
      </c>
      <c r="AG11" s="2323">
        <f>'MMYT (2)'!Q220</f>
        <v>0.78900000000000003</v>
      </c>
      <c r="AH11" s="2323">
        <f>'[29]MMYT (2)'!R62</f>
        <v>1.327</v>
      </c>
      <c r="AI11" s="2323">
        <f>'[29]MMYT (2)'!S62</f>
        <v>0.18130718716460792</v>
      </c>
      <c r="AJ11" s="2323">
        <f>'[29]MMYT (2)'!T62</f>
        <v>0.21785846609855497</v>
      </c>
      <c r="AK11" s="2323">
        <f>'[29]MMYT (2)'!U62</f>
        <v>0.27058605341246289</v>
      </c>
      <c r="AL11" s="2323">
        <f>'[29]MMYT (2)'!V62</f>
        <v>0.27185908319185081</v>
      </c>
      <c r="AM11" s="2323">
        <f>'[29]MMYT (2)'!W62</f>
        <v>0.1364336310440406</v>
      </c>
      <c r="AN11" s="2323">
        <f>'[29]MMYT (2)'!X62</f>
        <v>0.12336477030727111</v>
      </c>
      <c r="AO11" s="2323">
        <f>'[29]MMYT (2)'!Y62</f>
        <v>0.21077215005108751</v>
      </c>
      <c r="AP11" s="2323">
        <f>'[29]MMYT (2)'!Z62</f>
        <v>-1.6686133822794158E-3</v>
      </c>
      <c r="AQ11" s="2323">
        <f>'[29]MMYT (2)'!AA62</f>
        <v>-0.98197831978319783</v>
      </c>
      <c r="AR11" s="2323">
        <f>'[29]MMYT (2)'!AB62</f>
        <v>-0.88436018957345974</v>
      </c>
    </row>
    <row r="12" spans="29:44" ht="15.5" thickBot="1">
      <c r="AC12" s="2324" t="s">
        <v>2107</v>
      </c>
      <c r="AD12" s="2330"/>
      <c r="AE12" s="2326">
        <f>'MMYT (2)'!O221</f>
        <v>163.18299999999999</v>
      </c>
      <c r="AF12" s="2326">
        <f>'MMYT (2)'!P221</f>
        <v>176.197</v>
      </c>
      <c r="AG12" s="2326">
        <f>'MMYT (2)'!Q221</f>
        <v>190.738</v>
      </c>
      <c r="AH12" s="2326">
        <f>'[29]MMYT (2)'!R63</f>
        <v>0.19</v>
      </c>
      <c r="AI12" s="2326">
        <f>'[29]MMYT (2)'!S63</f>
        <v>0.18130718716460792</v>
      </c>
      <c r="AJ12" s="2326">
        <f>'[29]MMYT (2)'!T63</f>
        <v>0.21785846609855497</v>
      </c>
      <c r="AK12" s="2326">
        <f>'[29]MMYT (2)'!U63</f>
        <v>0.27058605341246289</v>
      </c>
      <c r="AL12" s="2326">
        <f>'[29]MMYT (2)'!V63</f>
        <v>0.27185908319185081</v>
      </c>
      <c r="AM12" s="2326">
        <f>'[29]MMYT (2)'!W63</f>
        <v>0.1364336310440406</v>
      </c>
      <c r="AN12" s="2326">
        <f>'[29]MMYT (2)'!X63</f>
        <v>0.12336477030727111</v>
      </c>
      <c r="AO12" s="2326">
        <f>'[29]MMYT (2)'!Y63</f>
        <v>0.21077215005108751</v>
      </c>
      <c r="AP12" s="2326">
        <f>'[29]MMYT (2)'!Z63</f>
        <v>-1.6686133822794158E-3</v>
      </c>
      <c r="AQ12" s="2326">
        <f>'[29]MMYT (2)'!AA63</f>
        <v>-0.98197831978319783</v>
      </c>
      <c r="AR12" s="2326">
        <f>'[29]MMYT (2)'!AB63</f>
        <v>-0.88436018957345974</v>
      </c>
    </row>
    <row r="13" spans="29:44" ht="15.5" thickTop="1">
      <c r="AC13" s="2331" t="s">
        <v>1306</v>
      </c>
      <c r="AD13" s="2331"/>
      <c r="AE13" s="2329">
        <f>'MMYT (2)'!O222</f>
        <v>0</v>
      </c>
      <c r="AF13" s="2329">
        <f>'MMYT (2)'!P222</f>
        <v>0</v>
      </c>
      <c r="AG13" s="2329">
        <f>'MMYT (2)'!Q222</f>
        <v>0</v>
      </c>
      <c r="AH13" s="2329">
        <f>'[29]MMYT (2)'!R64</f>
        <v>11.013</v>
      </c>
      <c r="AI13" s="2329">
        <f>'[29]MMYT (2)'!S64</f>
        <v>14.894</v>
      </c>
      <c r="AJ13" s="2329">
        <f>'[29]MMYT (2)'!T64</f>
        <v>13.24</v>
      </c>
      <c r="AK13" s="2329">
        <f>'[29]MMYT (2)'!U64</f>
        <v>16.219000000000001</v>
      </c>
      <c r="AL13" s="2329">
        <f>'[29]MMYT (2)'!V64</f>
        <v>17.111000000000001</v>
      </c>
      <c r="AM13" s="2329">
        <f>'[29]MMYT (2)'!W64</f>
        <v>20.98</v>
      </c>
      <c r="AN13" s="2329">
        <f>'[29]MMYT (2)'!X64</f>
        <v>17.681999999999999</v>
      </c>
      <c r="AO13" s="2329">
        <f>'[29]MMYT (2)'!Y64</f>
        <v>21.338000000000001</v>
      </c>
      <c r="AP13" s="2329">
        <f>'[29]MMYT (2)'!Z64</f>
        <v>18.582000000000001</v>
      </c>
      <c r="AQ13" s="2329">
        <f>'[29]MMYT (2)'!AA64</f>
        <v>0.42899999999999999</v>
      </c>
      <c r="AR13" s="2329">
        <f>'[29]MMYT (2)'!AB64</f>
        <v>2.972</v>
      </c>
    </row>
    <row r="14" spans="29:44">
      <c r="AC14" s="2321" t="s">
        <v>2108</v>
      </c>
      <c r="AD14" s="2328"/>
      <c r="AE14" s="2323"/>
      <c r="AF14" s="2323">
        <f>'MMYT (2)'!P224</f>
        <v>1793.9699999999998</v>
      </c>
      <c r="AG14" s="2323">
        <f>'MMYT (2)'!Q224</f>
        <v>1801.8310000000001</v>
      </c>
      <c r="AH14" s="2323">
        <f>'[29]MMYT (2)'!R66</f>
        <v>0.55000000000000004</v>
      </c>
      <c r="AI14" s="2323">
        <f>'[29]MMYT (2)'!S66</f>
        <v>0.54006824526936215</v>
      </c>
      <c r="AJ14" s="2323">
        <f>'[29]MMYT (2)'!T66</f>
        <v>0.53276221347534158</v>
      </c>
      <c r="AK14" s="2323">
        <f>'[29]MMYT (2)'!U66</f>
        <v>0.58265027322404395</v>
      </c>
      <c r="AL14" s="2323">
        <f>'[29]MMYT (2)'!V66</f>
        <v>0.55370925270135296</v>
      </c>
      <c r="AM14" s="2323">
        <f>'[29]MMYT (2)'!W66</f>
        <v>0.40862092117631255</v>
      </c>
      <c r="AN14" s="2323">
        <f>'[29]MMYT (2)'!X66</f>
        <v>0.33549848942598182</v>
      </c>
      <c r="AO14" s="2323">
        <f>'[29]MMYT (2)'!Y66</f>
        <v>0.31561748566496073</v>
      </c>
      <c r="AP14" s="2323">
        <f>'[29]MMYT (2)'!Z66</f>
        <v>8.5968090701887601E-2</v>
      </c>
      <c r="AQ14" s="2323">
        <f>'[29]MMYT (2)'!AA66</f>
        <v>-0.97955195424213537</v>
      </c>
      <c r="AR14" s="2323">
        <f>'[29]MMYT (2)'!AB66</f>
        <v>-0.83191946612374168</v>
      </c>
    </row>
    <row r="15" spans="29:44">
      <c r="AC15" s="2332"/>
      <c r="AD15" s="2332"/>
      <c r="AE15" s="2332"/>
      <c r="AF15" s="2332"/>
    </row>
    <row r="16" spans="29:44">
      <c r="AC16" s="2333"/>
      <c r="AD16" s="2333"/>
      <c r="AE16" s="2333"/>
      <c r="AF16" s="2333"/>
    </row>
    <row r="17" spans="44:44">
      <c r="AR17" s="2334"/>
    </row>
    <row r="153" s="2335" customFormat="1"/>
  </sheetData>
  <phoneticPr fontId="11" type="noConversion"/>
  <pageMargins left="0.69930555555555596" right="0.69930555555555596"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pageSetUpPr fitToPage="1"/>
  </sheetPr>
  <dimension ref="A1:BW323"/>
  <sheetViews>
    <sheetView workbookViewId="0">
      <pane xSplit="34" ySplit="5" topLeftCell="BF6" activePane="bottomRight" state="frozen"/>
      <selection pane="topRight" activeCell="AI1" sqref="AI1"/>
      <selection pane="bottomLeft" activeCell="A6" sqref="A6"/>
      <selection pane="bottomRight" activeCell="BL169" sqref="BL169"/>
    </sheetView>
  </sheetViews>
  <sheetFormatPr defaultColWidth="9" defaultRowHeight="11.5" outlineLevelRow="1" outlineLevelCol="1"/>
  <cols>
    <col min="1" max="1" width="37.6640625" style="159" customWidth="1"/>
    <col min="2" max="2" width="10.25" style="135" hidden="1" customWidth="1" outlineLevel="1"/>
    <col min="3" max="3" width="12.25" style="135" hidden="1" customWidth="1" outlineLevel="1"/>
    <col min="4" max="12" width="12.25" style="133" hidden="1" customWidth="1" outlineLevel="1"/>
    <col min="13" max="17" width="10.33203125" style="133" hidden="1" customWidth="1" outlineLevel="1"/>
    <col min="18" max="18" width="10.33203125" style="133" hidden="1" customWidth="1" outlineLevel="1" collapsed="1"/>
    <col min="19" max="21" width="10.33203125" style="133" hidden="1" customWidth="1" outlineLevel="1"/>
    <col min="22" max="22" width="12.83203125" style="136" hidden="1" customWidth="1" outlineLevel="1"/>
    <col min="23" max="23" width="12.25" style="376" hidden="1" customWidth="1" outlineLevel="1" collapsed="1"/>
    <col min="24" max="24" width="11.08203125" style="133" hidden="1" customWidth="1" outlineLevel="1"/>
    <col min="25" max="25" width="11.5" style="133" hidden="1" customWidth="1" outlineLevel="1"/>
    <col min="26" max="26" width="12.25" style="136" hidden="1" customWidth="1" outlineLevel="1"/>
    <col min="27" max="28" width="11.33203125" style="133" hidden="1" customWidth="1" outlineLevel="1"/>
    <col min="29" max="29" width="11.25" style="133" hidden="1" customWidth="1" outlineLevel="1"/>
    <col min="30" max="30" width="11" style="136" hidden="1" customWidth="1" outlineLevel="1"/>
    <col min="31" max="33" width="11.25" style="133" hidden="1" customWidth="1" outlineLevel="1"/>
    <col min="34" max="34" width="11.25" style="136" hidden="1" customWidth="1" outlineLevel="1"/>
    <col min="35" max="35" width="11.25" style="133" bestFit="1" customWidth="1" collapsed="1"/>
    <col min="36" max="36" width="10.83203125" style="133" bestFit="1" customWidth="1"/>
    <col min="37" max="37" width="10.83203125" style="133" customWidth="1"/>
    <col min="38" max="38" width="10.83203125" style="136" customWidth="1"/>
    <col min="39" max="39" width="10.83203125" style="133" customWidth="1"/>
    <col min="40" max="40" width="10" style="133" hidden="1" customWidth="1" outlineLevel="1"/>
    <col min="41" max="41" width="10.83203125" style="133" hidden="1" customWidth="1" outlineLevel="1"/>
    <col min="42" max="43" width="10" style="133" hidden="1" customWidth="1" outlineLevel="1"/>
    <col min="44" max="45" width="10.83203125" style="133" hidden="1" customWidth="1" outlineLevel="1"/>
    <col min="46" max="46" width="10.83203125" style="136" hidden="1" customWidth="1" outlineLevel="1"/>
    <col min="47" max="47" width="10.58203125" style="137" hidden="1" customWidth="1" outlineLevel="1"/>
    <col min="48" max="49" width="10.58203125" style="133" hidden="1" customWidth="1" outlineLevel="1"/>
    <col min="50" max="50" width="10.58203125" style="136" hidden="1" customWidth="1" outlineLevel="1"/>
    <col min="51" max="51" width="10.58203125" style="137" bestFit="1" customWidth="1" collapsed="1"/>
    <col min="52" max="52" width="12.58203125" style="163" bestFit="1" customWidth="1"/>
    <col min="53" max="53" width="11.1640625" style="163" bestFit="1" customWidth="1"/>
    <col min="54" max="54" width="11.1640625" style="164" bestFit="1" customWidth="1"/>
    <col min="55" max="55" width="11.1640625" style="163" bestFit="1" customWidth="1"/>
    <col min="56" max="57" width="11.1640625" style="163" customWidth="1"/>
    <col min="58" max="58" width="10.5" style="164" bestFit="1" customWidth="1"/>
    <col min="59" max="59" width="11.1640625" style="163" bestFit="1" customWidth="1"/>
    <col min="60" max="64" width="11.1640625" style="163" customWidth="1"/>
    <col min="65" max="65" width="1.9140625" style="164" customWidth="1"/>
    <col min="66" max="66" width="11" style="159" customWidth="1"/>
    <col min="67" max="68" width="13.08203125" style="159" bestFit="1" customWidth="1"/>
    <col min="69" max="69" width="13.08203125" style="133" bestFit="1" customWidth="1"/>
    <col min="70" max="70" width="10.83203125" style="159" bestFit="1" customWidth="1"/>
    <col min="71" max="71" width="11.25" style="159" bestFit="1" customWidth="1"/>
    <col min="72" max="72" width="10.58203125" style="159" bestFit="1" customWidth="1"/>
    <col min="73" max="73" width="11.9140625" style="133" bestFit="1" customWidth="1"/>
    <col min="74" max="74" width="12.08203125" style="133" bestFit="1" customWidth="1"/>
    <col min="75" max="75" width="12.08203125" style="133" customWidth="1"/>
    <col min="76" max="16384" width="9" style="133"/>
  </cols>
  <sheetData>
    <row r="1" spans="1:75">
      <c r="A1" s="819"/>
      <c r="B1" s="12"/>
      <c r="M1" s="834"/>
      <c r="N1" s="834"/>
      <c r="O1" s="834"/>
      <c r="P1" s="834"/>
      <c r="Q1" s="834"/>
      <c r="R1" s="834"/>
      <c r="S1" s="834"/>
      <c r="T1" s="834"/>
      <c r="U1" s="834"/>
      <c r="V1" s="1501"/>
      <c r="AM1" s="2816"/>
      <c r="BF1" s="3105"/>
    </row>
    <row r="2" spans="1:75" ht="12">
      <c r="A2" s="66" t="s">
        <v>1415</v>
      </c>
      <c r="B2" s="2815" t="s">
        <v>2699</v>
      </c>
      <c r="BF2" s="3394"/>
    </row>
    <row r="3" spans="1:75">
      <c r="A3" s="3532" t="s">
        <v>1416</v>
      </c>
      <c r="B3" s="80" t="s">
        <v>979</v>
      </c>
      <c r="C3" s="80" t="s">
        <v>979</v>
      </c>
      <c r="D3" s="5" t="s">
        <v>979</v>
      </c>
      <c r="E3" s="5" t="s">
        <v>979</v>
      </c>
      <c r="F3" s="5" t="s">
        <v>979</v>
      </c>
      <c r="G3" s="5" t="s">
        <v>979</v>
      </c>
      <c r="H3" s="5" t="s">
        <v>979</v>
      </c>
      <c r="I3" s="5" t="s">
        <v>979</v>
      </c>
      <c r="J3" s="5" t="s">
        <v>979</v>
      </c>
      <c r="K3" s="5" t="s">
        <v>979</v>
      </c>
      <c r="L3" s="5" t="s">
        <v>979</v>
      </c>
      <c r="M3" s="5" t="s">
        <v>979</v>
      </c>
      <c r="N3" s="5" t="s">
        <v>979</v>
      </c>
      <c r="O3" s="5" t="s">
        <v>979</v>
      </c>
      <c r="P3" s="5" t="s">
        <v>979</v>
      </c>
      <c r="Q3" s="5" t="s">
        <v>979</v>
      </c>
      <c r="R3" s="5" t="s">
        <v>697</v>
      </c>
      <c r="S3" s="5" t="s">
        <v>697</v>
      </c>
      <c r="T3" s="5" t="s">
        <v>697</v>
      </c>
      <c r="U3" s="5" t="s">
        <v>697</v>
      </c>
      <c r="V3" s="96" t="s">
        <v>979</v>
      </c>
      <c r="W3" s="835" t="s">
        <v>979</v>
      </c>
      <c r="X3" s="835" t="s">
        <v>979</v>
      </c>
      <c r="Y3" s="835" t="s">
        <v>979</v>
      </c>
      <c r="Z3" s="836" t="s">
        <v>979</v>
      </c>
      <c r="AA3" s="835" t="s">
        <v>979</v>
      </c>
      <c r="AB3" s="835" t="s">
        <v>979</v>
      </c>
      <c r="AC3" s="835" t="s">
        <v>979</v>
      </c>
      <c r="AD3" s="836" t="s">
        <v>979</v>
      </c>
      <c r="AE3" s="835" t="s">
        <v>979</v>
      </c>
      <c r="AF3" s="835" t="s">
        <v>979</v>
      </c>
      <c r="AG3" s="835" t="s">
        <v>399</v>
      </c>
      <c r="AH3" s="836" t="s">
        <v>399</v>
      </c>
      <c r="AI3" s="835" t="s">
        <v>399</v>
      </c>
      <c r="AJ3" s="835" t="s">
        <v>399</v>
      </c>
      <c r="AK3" s="835" t="s">
        <v>399</v>
      </c>
      <c r="AL3" s="836" t="s">
        <v>399</v>
      </c>
      <c r="AM3" s="835" t="s">
        <v>399</v>
      </c>
      <c r="AN3" s="835" t="s">
        <v>399</v>
      </c>
      <c r="AO3" s="835" t="s">
        <v>399</v>
      </c>
      <c r="AP3" s="835" t="s">
        <v>399</v>
      </c>
      <c r="AQ3" s="835" t="s">
        <v>399</v>
      </c>
      <c r="AR3" s="835" t="s">
        <v>399</v>
      </c>
      <c r="AS3" s="835" t="s">
        <v>399</v>
      </c>
      <c r="AT3" s="836" t="s">
        <v>399</v>
      </c>
      <c r="AU3" s="2817" t="s">
        <v>399</v>
      </c>
      <c r="AV3" s="835" t="s">
        <v>399</v>
      </c>
      <c r="AW3" s="835" t="s">
        <v>399</v>
      </c>
      <c r="AX3" s="836" t="s">
        <v>399</v>
      </c>
      <c r="AY3" s="2817" t="s">
        <v>399</v>
      </c>
      <c r="AZ3" s="835" t="s">
        <v>399</v>
      </c>
      <c r="BA3" s="835" t="s">
        <v>399</v>
      </c>
      <c r="BB3" s="836" t="s">
        <v>399</v>
      </c>
      <c r="BC3" s="1442" t="s">
        <v>697</v>
      </c>
      <c r="BD3" s="1442" t="s">
        <v>697</v>
      </c>
      <c r="BE3" s="1442" t="s">
        <v>697</v>
      </c>
      <c r="BF3" s="1443" t="s">
        <v>697</v>
      </c>
      <c r="BG3" s="2945" t="s">
        <v>697</v>
      </c>
      <c r="BH3" s="2945" t="s">
        <v>697</v>
      </c>
      <c r="BI3" s="2945" t="s">
        <v>697</v>
      </c>
      <c r="BJ3" s="2945" t="s">
        <v>697</v>
      </c>
      <c r="BK3" s="2945" t="s">
        <v>697</v>
      </c>
      <c r="BL3" s="2945" t="s">
        <v>399</v>
      </c>
      <c r="BM3" s="1445"/>
      <c r="BN3" s="2875" t="s">
        <v>979</v>
      </c>
      <c r="BO3" s="2875" t="s">
        <v>979</v>
      </c>
      <c r="BP3" s="2875" t="s">
        <v>1421</v>
      </c>
      <c r="BQ3" s="2876" t="s">
        <v>1421</v>
      </c>
      <c r="BR3" s="2875" t="s">
        <v>1421</v>
      </c>
      <c r="BS3" s="2875" t="s">
        <v>1421</v>
      </c>
      <c r="BT3" s="2875" t="s">
        <v>1421</v>
      </c>
      <c r="BU3" s="2875" t="s">
        <v>1421</v>
      </c>
      <c r="BV3" s="2875" t="s">
        <v>1421</v>
      </c>
      <c r="BW3" s="2875" t="s">
        <v>1421</v>
      </c>
    </row>
    <row r="4" spans="1:75">
      <c r="A4" s="3532"/>
      <c r="B4" s="2869">
        <v>1999</v>
      </c>
      <c r="C4" s="2869">
        <v>2000</v>
      </c>
      <c r="D4" s="2869">
        <v>2001</v>
      </c>
      <c r="E4" s="2869">
        <v>2002</v>
      </c>
      <c r="F4" s="2869">
        <v>2003</v>
      </c>
      <c r="G4" s="2869">
        <v>2004</v>
      </c>
      <c r="H4" s="2869">
        <v>2005</v>
      </c>
      <c r="I4" s="2869">
        <v>2006</v>
      </c>
      <c r="J4" s="2869">
        <v>2007</v>
      </c>
      <c r="K4" s="2869">
        <v>2008</v>
      </c>
      <c r="L4" s="2869">
        <v>2009</v>
      </c>
      <c r="M4" s="2869">
        <v>2010</v>
      </c>
      <c r="N4" s="2869">
        <v>2011</v>
      </c>
      <c r="O4" s="2869">
        <v>2012</v>
      </c>
      <c r="P4" s="2869">
        <v>2013</v>
      </c>
      <c r="Q4" s="2869">
        <v>2014</v>
      </c>
      <c r="R4" s="5" t="s">
        <v>749</v>
      </c>
      <c r="S4" s="5" t="s">
        <v>701</v>
      </c>
      <c r="T4" s="5" t="s">
        <v>980</v>
      </c>
      <c r="U4" s="5" t="s">
        <v>981</v>
      </c>
      <c r="V4" s="2076">
        <v>2015</v>
      </c>
      <c r="W4" s="835" t="s">
        <v>695</v>
      </c>
      <c r="X4" s="835" t="s">
        <v>983</v>
      </c>
      <c r="Y4" s="835" t="s">
        <v>1039</v>
      </c>
      <c r="Z4" s="836" t="s">
        <v>747</v>
      </c>
      <c r="AA4" s="835" t="s">
        <v>984</v>
      </c>
      <c r="AB4" s="835" t="s">
        <v>772</v>
      </c>
      <c r="AC4" s="835" t="s">
        <v>773</v>
      </c>
      <c r="AD4" s="836" t="s">
        <v>774</v>
      </c>
      <c r="AE4" s="835" t="s">
        <v>1181</v>
      </c>
      <c r="AF4" s="835" t="s">
        <v>1177</v>
      </c>
      <c r="AG4" s="835" t="s">
        <v>1178</v>
      </c>
      <c r="AH4" s="836" t="s">
        <v>1414</v>
      </c>
      <c r="AI4" s="835" t="s">
        <v>1922</v>
      </c>
      <c r="AJ4" s="835" t="s">
        <v>2042</v>
      </c>
      <c r="AK4" s="835" t="s">
        <v>2076</v>
      </c>
      <c r="AL4" s="836" t="s">
        <v>2114</v>
      </c>
      <c r="AM4" s="835" t="s">
        <v>2083</v>
      </c>
      <c r="AN4" s="835" t="s">
        <v>2761</v>
      </c>
      <c r="AO4" s="835" t="s">
        <v>2762</v>
      </c>
      <c r="AP4" s="835" t="s">
        <v>2763</v>
      </c>
      <c r="AQ4" s="835" t="s">
        <v>2700</v>
      </c>
      <c r="AR4" s="835" t="s">
        <v>2703</v>
      </c>
      <c r="AS4" s="835" t="s">
        <v>2706</v>
      </c>
      <c r="AT4" s="836" t="s">
        <v>2708</v>
      </c>
      <c r="AU4" s="2817" t="s">
        <v>2714</v>
      </c>
      <c r="AV4" s="835" t="s">
        <v>2745</v>
      </c>
      <c r="AW4" s="835" t="s">
        <v>2746</v>
      </c>
      <c r="AX4" s="836" t="s">
        <v>2775</v>
      </c>
      <c r="AY4" s="2817" t="s">
        <v>2752</v>
      </c>
      <c r="AZ4" s="835" t="s">
        <v>2759</v>
      </c>
      <c r="BA4" s="835" t="s">
        <v>2774</v>
      </c>
      <c r="BB4" s="836" t="s">
        <v>2784</v>
      </c>
      <c r="BC4" s="1442" t="s">
        <v>2785</v>
      </c>
      <c r="BD4" s="1442" t="s">
        <v>2794</v>
      </c>
      <c r="BE4" s="1442" t="s">
        <v>2814</v>
      </c>
      <c r="BF4" s="1443" t="s">
        <v>2823</v>
      </c>
      <c r="BG4" s="2945" t="s">
        <v>2824</v>
      </c>
      <c r="BH4" s="2945" t="s">
        <v>2828</v>
      </c>
      <c r="BI4" s="2945" t="s">
        <v>2852</v>
      </c>
      <c r="BJ4" s="2945" t="s">
        <v>2879</v>
      </c>
      <c r="BK4" s="2945" t="s">
        <v>2881</v>
      </c>
      <c r="BL4" s="2945" t="s">
        <v>2883</v>
      </c>
      <c r="BM4" s="1445"/>
      <c r="BN4" s="2877">
        <v>2016</v>
      </c>
      <c r="BO4" s="2877">
        <v>2017</v>
      </c>
      <c r="BP4" s="2877">
        <v>2018</v>
      </c>
      <c r="BQ4" s="2878">
        <v>2019</v>
      </c>
      <c r="BR4" s="2877">
        <v>2020</v>
      </c>
      <c r="BS4" s="2877">
        <v>2021</v>
      </c>
      <c r="BT4" s="2877">
        <v>2022</v>
      </c>
      <c r="BU4" s="2877">
        <v>2023</v>
      </c>
      <c r="BV4" s="2877">
        <v>2024</v>
      </c>
      <c r="BW4" s="2877">
        <v>2025</v>
      </c>
    </row>
    <row r="5" spans="1:75" s="3190" customFormat="1" ht="15.5" customHeight="1">
      <c r="A5" s="3188" t="s">
        <v>43</v>
      </c>
      <c r="B5" s="3185"/>
      <c r="C5" s="3185"/>
      <c r="D5" s="3186"/>
      <c r="E5" s="3186"/>
      <c r="F5" s="3186"/>
      <c r="G5" s="3186"/>
      <c r="H5" s="3186"/>
      <c r="I5" s="3186"/>
      <c r="J5" s="3186"/>
      <c r="K5" s="3186"/>
      <c r="L5" s="3186"/>
      <c r="M5" s="3186"/>
      <c r="N5" s="3186"/>
      <c r="O5" s="3186"/>
      <c r="P5" s="3186"/>
      <c r="Q5" s="3186"/>
      <c r="R5" s="3186"/>
      <c r="S5" s="3186"/>
      <c r="T5" s="3186"/>
      <c r="U5" s="3186"/>
      <c r="V5" s="3187"/>
      <c r="W5" s="3179"/>
      <c r="X5" s="3179"/>
      <c r="Y5" s="3179"/>
      <c r="Z5" s="3180"/>
      <c r="AA5" s="3179"/>
      <c r="AB5" s="3179"/>
      <c r="AC5" s="3179"/>
      <c r="AD5" s="3180"/>
      <c r="AE5" s="3179"/>
      <c r="AF5" s="3179"/>
      <c r="AG5" s="3179"/>
      <c r="AH5" s="3180"/>
      <c r="AI5" s="3179"/>
      <c r="AJ5" s="3179"/>
      <c r="AK5" s="3179"/>
      <c r="AL5" s="3180"/>
      <c r="AM5" s="3179"/>
      <c r="AN5" s="3179"/>
      <c r="AO5" s="3179"/>
      <c r="AP5" s="3179"/>
      <c r="AQ5" s="3179"/>
      <c r="AR5" s="3179"/>
      <c r="AS5" s="3179"/>
      <c r="AT5" s="3180"/>
      <c r="AU5" s="3181"/>
      <c r="AV5" s="3182"/>
      <c r="AW5" s="3183"/>
      <c r="AX5" s="3184"/>
      <c r="AY5" s="3266"/>
      <c r="AZ5" s="3183"/>
      <c r="BA5" s="3183"/>
      <c r="BB5" s="3184"/>
      <c r="BC5" s="3183"/>
      <c r="BD5" s="3183"/>
      <c r="BE5" s="3183"/>
      <c r="BF5" s="3184"/>
      <c r="BG5" s="3183"/>
      <c r="BH5" s="3183"/>
      <c r="BI5" s="3183"/>
      <c r="BJ5" s="3183"/>
      <c r="BK5" s="3183"/>
      <c r="BL5" s="3183"/>
      <c r="BM5" s="3408"/>
      <c r="BN5" s="3189"/>
      <c r="BO5" s="3189"/>
      <c r="BP5" s="3189"/>
      <c r="BR5" s="3191"/>
      <c r="BS5" s="3191"/>
      <c r="BT5" s="3191"/>
    </row>
    <row r="6" spans="1:75" s="1773" customFormat="1">
      <c r="A6" s="62" t="s">
        <v>1389</v>
      </c>
      <c r="B6" s="1771"/>
      <c r="C6" s="1772"/>
      <c r="K6" s="1773">
        <f>61%*M6</f>
        <v>8324.06</v>
      </c>
      <c r="L6" s="1773">
        <v>9310</v>
      </c>
      <c r="M6" s="1773">
        <v>13646</v>
      </c>
      <c r="N6" s="1773">
        <v>21657</v>
      </c>
      <c r="O6" s="1773">
        <v>28500</v>
      </c>
      <c r="P6" s="1773">
        <f>9153+10118+10765+9138</f>
        <v>39174</v>
      </c>
      <c r="Q6" s="1773">
        <v>50300</v>
      </c>
      <c r="R6" s="1773">
        <v>13775</v>
      </c>
      <c r="S6" s="1773">
        <v>14960</v>
      </c>
      <c r="T6" s="1773">
        <v>14778</v>
      </c>
      <c r="U6" s="1773">
        <v>12015</v>
      </c>
      <c r="V6" s="1774">
        <v>55528</v>
      </c>
      <c r="W6" s="1775">
        <v>16653</v>
      </c>
      <c r="X6" s="1773">
        <v>17862</v>
      </c>
      <c r="Y6" s="1773">
        <v>18460</v>
      </c>
      <c r="Z6" s="1774">
        <v>15112</v>
      </c>
      <c r="AA6" s="1773">
        <v>20687</v>
      </c>
      <c r="AB6" s="1773">
        <v>20797</v>
      </c>
      <c r="AC6" s="1773">
        <v>21762</v>
      </c>
      <c r="AD6" s="1774">
        <v>17980</v>
      </c>
      <c r="AE6" s="1773">
        <v>25009</v>
      </c>
      <c r="AF6" s="1773">
        <v>23896</v>
      </c>
      <c r="AG6" s="1773">
        <v>24274</v>
      </c>
      <c r="AH6" s="1774">
        <v>19552</v>
      </c>
      <c r="AI6" s="1773">
        <v>25410</v>
      </c>
      <c r="AJ6" s="1773">
        <v>25039</v>
      </c>
      <c r="AK6" s="1773">
        <v>25281</v>
      </c>
      <c r="AL6" s="1774">
        <v>20713</v>
      </c>
      <c r="AM6" s="1773">
        <v>12393</v>
      </c>
      <c r="AN6" s="1773">
        <v>2306</v>
      </c>
      <c r="AO6" s="1773">
        <v>13382</v>
      </c>
      <c r="AP6" s="1773">
        <v>7313</v>
      </c>
      <c r="AQ6" s="1773">
        <v>11935</v>
      </c>
      <c r="AR6" s="1773">
        <v>21956</v>
      </c>
      <c r="AS6" s="1773">
        <v>23684</v>
      </c>
      <c r="AT6" s="1774">
        <v>19011</v>
      </c>
      <c r="AU6" s="1837">
        <v>27293</v>
      </c>
      <c r="AV6" s="1773">
        <v>34545</v>
      </c>
      <c r="AW6" s="1773">
        <v>32120</v>
      </c>
      <c r="AX6" s="1774">
        <v>27294</v>
      </c>
      <c r="AY6" s="1837">
        <v>39427</v>
      </c>
      <c r="AZ6" s="3103">
        <v>39692</v>
      </c>
      <c r="BA6" s="3103">
        <v>39813</v>
      </c>
      <c r="BB6" s="3100">
        <f>BU6-SUM(AY6:BA6)</f>
        <v>31695</v>
      </c>
      <c r="BC6" s="3103">
        <v>43535</v>
      </c>
      <c r="BD6" s="3103">
        <v>41431</v>
      </c>
      <c r="BE6" s="3103">
        <v>43447</v>
      </c>
      <c r="BF6" s="3100">
        <f>BV6-SUM(BC6:BE6)</f>
        <v>37167</v>
      </c>
      <c r="BG6" s="3103">
        <v>46669</v>
      </c>
      <c r="BH6" s="3103">
        <v>46736</v>
      </c>
      <c r="BI6" s="3103">
        <v>49668</v>
      </c>
      <c r="BJ6" s="3103">
        <f>BW6-SUM(BG6:BI6)</f>
        <v>43034</v>
      </c>
      <c r="BK6" s="3103">
        <v>53758</v>
      </c>
      <c r="BL6" s="3103">
        <v>51000</v>
      </c>
      <c r="BM6" s="3100"/>
      <c r="BN6" s="1776">
        <f>SUM(W6:Z6)</f>
        <v>68087</v>
      </c>
      <c r="BO6" s="1776">
        <f>SUM(AA6:AD6)</f>
        <v>81226</v>
      </c>
      <c r="BP6" s="1776">
        <f>SUM(AE6:AH6)</f>
        <v>92731</v>
      </c>
      <c r="BQ6" s="1773">
        <f>SUM(AI6:AL6)</f>
        <v>96443</v>
      </c>
      <c r="BR6" s="1776">
        <v>35395</v>
      </c>
      <c r="BS6" s="1776">
        <v>76586</v>
      </c>
      <c r="BT6" s="1776">
        <f>SUM(AU6:AX6)</f>
        <v>121252</v>
      </c>
      <c r="BU6" s="1773">
        <v>150627</v>
      </c>
      <c r="BV6" s="1773">
        <v>165580</v>
      </c>
      <c r="BW6" s="1773">
        <v>186107</v>
      </c>
    </row>
    <row r="7" spans="1:75" s="1779" customFormat="1" ht="24">
      <c r="A7" s="1755" t="s">
        <v>969</v>
      </c>
      <c r="B7" s="1777"/>
      <c r="C7" s="1778"/>
      <c r="Q7" s="1780">
        <v>0.28000000000000003</v>
      </c>
      <c r="R7" s="1780">
        <v>0.12</v>
      </c>
      <c r="S7" s="1780">
        <v>0.11</v>
      </c>
      <c r="T7" s="1780">
        <v>7.0000000000000007E-2</v>
      </c>
      <c r="U7" s="1780">
        <v>0.13</v>
      </c>
      <c r="V7" s="1781">
        <v>0.1</v>
      </c>
      <c r="W7" s="1780">
        <v>0.21</v>
      </c>
      <c r="X7" s="1780">
        <v>0.19</v>
      </c>
      <c r="Y7" s="1780">
        <v>0.25</v>
      </c>
      <c r="Z7" s="1781">
        <v>0.26</v>
      </c>
      <c r="AA7" s="1780">
        <v>0.24</v>
      </c>
      <c r="AB7" s="1782">
        <v>0.16400000000000001</v>
      </c>
      <c r="AC7" s="1782">
        <v>0.18</v>
      </c>
      <c r="AD7" s="1783">
        <v>0.19</v>
      </c>
      <c r="AE7" s="1780">
        <v>0.20899999999999999</v>
      </c>
      <c r="AF7" s="1780">
        <v>0.14899999999999999</v>
      </c>
      <c r="AG7" s="1780">
        <v>0.115</v>
      </c>
      <c r="AH7" s="1781">
        <v>8.6999999999999994E-2</v>
      </c>
      <c r="AI7" s="3410">
        <v>1.6E-2</v>
      </c>
      <c r="AJ7" s="3410">
        <v>4.8000000000000001E-2</v>
      </c>
      <c r="AK7" s="3410">
        <v>4.1000000000000002E-2</v>
      </c>
      <c r="AL7" s="3411">
        <v>5.8999999999999997E-2</v>
      </c>
      <c r="AM7" s="3410">
        <v>-0.51200000000000001</v>
      </c>
      <c r="AN7" s="3410">
        <v>-0.90800000000000003</v>
      </c>
      <c r="AO7" s="3410">
        <v>-0.47099999999999997</v>
      </c>
      <c r="AP7" s="3410">
        <v>-0.64700000000000002</v>
      </c>
      <c r="AQ7" s="3410">
        <v>-3.6999999999999998E-2</v>
      </c>
      <c r="AR7" s="3410">
        <v>8.5169999999999995</v>
      </c>
      <c r="AS7" s="3410">
        <v>0.77</v>
      </c>
      <c r="AT7" s="3411">
        <v>1.6</v>
      </c>
      <c r="AU7" s="3412">
        <v>1.2869999999999999</v>
      </c>
      <c r="AV7" s="3410">
        <v>0.57299999999999995</v>
      </c>
      <c r="AW7" s="3410">
        <f>AW6/AS6-1</f>
        <v>0.35618983279851379</v>
      </c>
      <c r="AX7" s="3411">
        <v>0.436</v>
      </c>
      <c r="AY7" s="3412">
        <v>0.44500000000000001</v>
      </c>
      <c r="AZ7" s="3410">
        <v>0.14899999999999999</v>
      </c>
      <c r="BA7" s="3410">
        <f t="shared" ref="BA7:BI7" si="0">BA6/AW6-1</f>
        <v>0.23950809464508094</v>
      </c>
      <c r="BB7" s="3411">
        <f t="shared" si="0"/>
        <v>0.16124422950098927</v>
      </c>
      <c r="BC7" s="3410">
        <f t="shared" si="0"/>
        <v>0.1041925583990666</v>
      </c>
      <c r="BD7" s="3410">
        <f t="shared" si="0"/>
        <v>4.3812355134535963E-2</v>
      </c>
      <c r="BE7" s="3410">
        <f t="shared" si="0"/>
        <v>9.1276718659734302E-2</v>
      </c>
      <c r="BF7" s="3411">
        <f t="shared" si="0"/>
        <v>0.17264552768575481</v>
      </c>
      <c r="BG7" s="3410">
        <f t="shared" si="0"/>
        <v>7.1988055587458355E-2</v>
      </c>
      <c r="BH7" s="3410">
        <f t="shared" si="0"/>
        <v>0.12804421809755984</v>
      </c>
      <c r="BI7" s="3410">
        <f t="shared" si="0"/>
        <v>0.14318595069855222</v>
      </c>
      <c r="BJ7" s="3410">
        <f>BJ6/BF6-1</f>
        <v>0.15785508650146629</v>
      </c>
      <c r="BK7" s="3410">
        <f>BK6/BG6-1</f>
        <v>0.15189954787974891</v>
      </c>
      <c r="BL7" s="3410">
        <f>BL6/BH6-1</f>
        <v>9.1235878123930192E-2</v>
      </c>
      <c r="BM7" s="1856"/>
      <c r="BN7" s="1784">
        <v>0.23</v>
      </c>
      <c r="BO7" s="1784">
        <v>0.19</v>
      </c>
      <c r="BP7" s="1784">
        <v>0.14000000000000001</v>
      </c>
      <c r="BQ7" s="2818">
        <v>0.04</v>
      </c>
      <c r="BR7" s="1784">
        <f t="shared" ref="BR7:BW7" si="1">BR6/BQ6-1</f>
        <v>-0.63299565546488601</v>
      </c>
      <c r="BS7" s="1784">
        <f t="shared" si="1"/>
        <v>1.1637519423647409</v>
      </c>
      <c r="BT7" s="1784">
        <f t="shared" si="1"/>
        <v>0.58321364218003291</v>
      </c>
      <c r="BU7" s="1784">
        <f t="shared" si="1"/>
        <v>0.24226404512915245</v>
      </c>
      <c r="BV7" s="1784">
        <f t="shared" si="1"/>
        <v>9.9271710915041833E-2</v>
      </c>
      <c r="BW7" s="1784">
        <f t="shared" si="1"/>
        <v>0.12397028626645734</v>
      </c>
    </row>
    <row r="8" spans="1:75" s="1780" customFormat="1" ht="24">
      <c r="A8" s="1755" t="s">
        <v>986</v>
      </c>
      <c r="B8" s="1785"/>
      <c r="C8" s="1785"/>
      <c r="N8" s="1780">
        <v>0.53100000000000003</v>
      </c>
      <c r="O8" s="1780">
        <v>0.37</v>
      </c>
      <c r="P8" s="1780">
        <v>0.38</v>
      </c>
      <c r="Q8" s="1780">
        <v>0.3</v>
      </c>
      <c r="R8" s="1780">
        <v>0.26</v>
      </c>
      <c r="S8" s="1780">
        <v>0.26</v>
      </c>
      <c r="T8" s="1780">
        <v>0.22</v>
      </c>
      <c r="U8" s="1780">
        <v>0.24</v>
      </c>
      <c r="V8" s="1781">
        <v>0.25</v>
      </c>
      <c r="W8" s="1780">
        <v>0.26</v>
      </c>
      <c r="X8" s="1780">
        <v>0.21</v>
      </c>
      <c r="Y8" s="1780">
        <v>0.26</v>
      </c>
      <c r="Z8" s="1781">
        <v>0.28000000000000003</v>
      </c>
      <c r="AA8" s="1780">
        <v>0.27</v>
      </c>
      <c r="AB8" s="1782">
        <v>0.19</v>
      </c>
      <c r="AC8" s="1782">
        <v>0.16</v>
      </c>
      <c r="AD8" s="1781">
        <v>0.14000000000000001</v>
      </c>
      <c r="AE8" s="1780">
        <v>0.12</v>
      </c>
      <c r="AF8" s="1780">
        <v>0.11</v>
      </c>
      <c r="AG8" s="1780">
        <v>0.14000000000000001</v>
      </c>
      <c r="AH8" s="1781">
        <v>0.13</v>
      </c>
      <c r="AI8" s="1780">
        <v>0.08</v>
      </c>
      <c r="AJ8" s="1780">
        <v>0.1</v>
      </c>
      <c r="AK8" s="1780">
        <v>7.0000000000000007E-2</v>
      </c>
      <c r="AL8" s="1781">
        <v>7.0000000000000007E-2</v>
      </c>
      <c r="AM8" s="1780">
        <v>-0.5</v>
      </c>
      <c r="AN8" s="1780">
        <v>-0.91</v>
      </c>
      <c r="AO8" s="1780">
        <v>-0.48</v>
      </c>
      <c r="AP8" s="1780">
        <v>-0.65</v>
      </c>
      <c r="AQ8" s="1780">
        <v>-0.06</v>
      </c>
      <c r="AR8" s="1780">
        <v>8.02</v>
      </c>
      <c r="AS8" s="1780">
        <v>0.75</v>
      </c>
      <c r="AT8" s="1781">
        <v>1.64</v>
      </c>
      <c r="AU8" s="2818">
        <v>1.38</v>
      </c>
      <c r="AV8" s="1780">
        <v>0.71</v>
      </c>
      <c r="AW8" s="1780">
        <v>0.5</v>
      </c>
      <c r="AX8" s="1781">
        <v>0.56000000000000005</v>
      </c>
      <c r="AY8" s="2818">
        <v>0.51</v>
      </c>
      <c r="AZ8" s="1780">
        <v>0.15</v>
      </c>
      <c r="BA8" s="1780">
        <v>0.2</v>
      </c>
      <c r="BB8" s="1781">
        <v>0.13</v>
      </c>
      <c r="BC8" s="1780">
        <v>0.1</v>
      </c>
      <c r="BD8" s="1780">
        <v>0.06</v>
      </c>
      <c r="BE8" s="1780">
        <v>0.09</v>
      </c>
      <c r="BF8" s="1781">
        <v>0.18</v>
      </c>
      <c r="BG8" s="1780">
        <v>0.1</v>
      </c>
      <c r="BH8" s="1780">
        <v>0.09</v>
      </c>
      <c r="BI8" s="1780">
        <v>0.1</v>
      </c>
      <c r="BJ8" s="1780">
        <v>0.11</v>
      </c>
      <c r="BK8" s="1780">
        <v>0.08</v>
      </c>
      <c r="BL8" s="3165">
        <v>0.08</v>
      </c>
      <c r="BM8" s="1856"/>
      <c r="BN8" s="1784">
        <v>0.25</v>
      </c>
      <c r="BO8" s="1784">
        <v>0.19</v>
      </c>
      <c r="BP8" s="1784">
        <v>0.13</v>
      </c>
      <c r="BQ8" s="2818">
        <v>0.08</v>
      </c>
      <c r="BR8" s="1784">
        <v>-0.63</v>
      </c>
      <c r="BS8" s="1784"/>
      <c r="BT8" s="1784"/>
      <c r="BW8" s="1780">
        <v>0.1</v>
      </c>
    </row>
    <row r="9" spans="1:75" s="1780" customFormat="1" ht="12">
      <c r="A9" s="3227" t="s">
        <v>2715</v>
      </c>
      <c r="B9" s="3228"/>
      <c r="C9" s="3228"/>
      <c r="D9" s="3229"/>
      <c r="E9" s="3229"/>
      <c r="F9" s="3229"/>
      <c r="G9" s="3229"/>
      <c r="H9" s="3229"/>
      <c r="I9" s="3229"/>
      <c r="J9" s="3229"/>
      <c r="K9" s="3229"/>
      <c r="L9" s="3229"/>
      <c r="M9" s="3229"/>
      <c r="N9" s="3229"/>
      <c r="O9" s="3229"/>
      <c r="P9" s="3229"/>
      <c r="Q9" s="3229"/>
      <c r="R9" s="3229"/>
      <c r="S9" s="3229"/>
      <c r="T9" s="3229"/>
      <c r="U9" s="3229"/>
      <c r="V9" s="3230"/>
      <c r="W9" s="3229"/>
      <c r="X9" s="3229"/>
      <c r="Y9" s="3229"/>
      <c r="Z9" s="3230"/>
      <c r="AA9" s="3229"/>
      <c r="AB9" s="3231"/>
      <c r="AC9" s="3231"/>
      <c r="AD9" s="3230"/>
      <c r="AE9" s="3229"/>
      <c r="AF9" s="3229"/>
      <c r="AG9" s="3229"/>
      <c r="AH9" s="3230"/>
      <c r="AI9" s="3229"/>
      <c r="AJ9" s="3229"/>
      <c r="AK9" s="3229"/>
      <c r="AL9" s="3230"/>
      <c r="AM9" s="3229"/>
      <c r="AN9" s="3229"/>
      <c r="AO9" s="3229"/>
      <c r="AP9" s="3229"/>
      <c r="AQ9" s="3232">
        <f>AQ6/AI6-1</f>
        <v>-0.53030303030303028</v>
      </c>
      <c r="AR9" s="3232">
        <f>AR6/AJ6-1</f>
        <v>-0.12312792044410714</v>
      </c>
      <c r="AS9" s="3232">
        <f>AS6/AK6-1</f>
        <v>-6.3169969542344107E-2</v>
      </c>
      <c r="AT9" s="3261">
        <f>AT6/AL6-1</f>
        <v>-8.2170617486602593E-2</v>
      </c>
      <c r="AU9" s="3262">
        <f>AU6/AI6-1</f>
        <v>7.4104683195592269E-2</v>
      </c>
      <c r="AV9" s="3232">
        <f>AV6/AJ6-1</f>
        <v>0.3796477495107633</v>
      </c>
      <c r="AW9" s="3232">
        <f>AW6/AK6-1</f>
        <v>0.27051936236699503</v>
      </c>
      <c r="AX9" s="3261">
        <f>AX6/AL6-1</f>
        <v>0.31772316902428432</v>
      </c>
      <c r="AY9" s="3262">
        <f>AY6/AI6-1</f>
        <v>0.55163321526957887</v>
      </c>
      <c r="AZ9" s="3233">
        <f>AZ6/AJ6-1</f>
        <v>0.58520707695994245</v>
      </c>
      <c r="BA9" s="3233">
        <f>BA6/AK6-1</f>
        <v>0.57481903405719703</v>
      </c>
      <c r="BB9" s="3267">
        <f>BB6/AL6-1</f>
        <v>0.53019842610920676</v>
      </c>
      <c r="BC9" s="3233">
        <f>BC6/AI6-1</f>
        <v>0.71330184966548593</v>
      </c>
      <c r="BD9" s="3233">
        <f>BD6/AJ6-1</f>
        <v>0.65465873237749106</v>
      </c>
      <c r="BE9" s="3233">
        <f>BE6/AK6-1</f>
        <v>0.71856334796883026</v>
      </c>
      <c r="BF9" s="3267">
        <f>BF6/AL6-1</f>
        <v>0.79438034084874243</v>
      </c>
      <c r="BG9" s="3233">
        <f>BG6/$AI6-1</f>
        <v>0.83663911845730032</v>
      </c>
      <c r="BH9" s="3233">
        <f>BH6/AJ6-1</f>
        <v>0.86652821598306651</v>
      </c>
      <c r="BI9" s="3233">
        <f>BI6/AK6-1</f>
        <v>0.96463747478343409</v>
      </c>
      <c r="BJ9" s="3233">
        <f>BJ6/AL6-1</f>
        <v>1.0776324047699513</v>
      </c>
      <c r="BK9" s="3233">
        <f>BK6/$AI6-1</f>
        <v>1.1156237701692246</v>
      </c>
      <c r="BL9" s="3233">
        <f>BL6/$AJ6-1</f>
        <v>1.0368225568113743</v>
      </c>
      <c r="BM9" s="1856"/>
      <c r="BN9" s="1781"/>
      <c r="BO9" s="1784"/>
      <c r="BP9" s="1784"/>
      <c r="BQ9" s="2818"/>
      <c r="BR9" s="1784"/>
      <c r="BS9" s="1784"/>
      <c r="BT9" s="1784"/>
    </row>
    <row r="10" spans="1:75" s="473" customFormat="1">
      <c r="A10" s="464" t="s">
        <v>987</v>
      </c>
      <c r="B10" s="469"/>
      <c r="C10" s="444"/>
      <c r="D10" s="444"/>
      <c r="E10" s="444"/>
      <c r="F10" s="444"/>
      <c r="G10" s="444"/>
      <c r="H10" s="444"/>
      <c r="I10" s="444"/>
      <c r="J10" s="444"/>
      <c r="K10" s="444"/>
      <c r="L10" s="444">
        <f t="shared" ref="L10:Q10" si="2">L30/L6</f>
        <v>0.25115059076262086</v>
      </c>
      <c r="M10" s="469">
        <f t="shared" si="2"/>
        <v>0.22606661292686503</v>
      </c>
      <c r="N10" s="469">
        <f t="shared" si="2"/>
        <v>0.20111788336334671</v>
      </c>
      <c r="O10" s="469">
        <f t="shared" si="2"/>
        <v>0.18459494736842105</v>
      </c>
      <c r="P10" s="469">
        <f t="shared" si="2"/>
        <v>0.1734136417011283</v>
      </c>
      <c r="Q10" s="469">
        <f t="shared" si="2"/>
        <v>0.16783242544731611</v>
      </c>
      <c r="R10" s="469"/>
      <c r="S10" s="469">
        <f t="shared" ref="S10:AD10" si="3">S30/S6</f>
        <v>0.15243295454545455</v>
      </c>
      <c r="T10" s="469">
        <f t="shared" si="3"/>
        <v>0.20996758695357964</v>
      </c>
      <c r="U10" s="469">
        <f t="shared" si="3"/>
        <v>0.16645817727840198</v>
      </c>
      <c r="V10" s="504">
        <f t="shared" si="3"/>
        <v>0.16611415862267684</v>
      </c>
      <c r="W10" s="469">
        <f t="shared" si="3"/>
        <v>0.12899291418963552</v>
      </c>
      <c r="X10" s="473">
        <f t="shared" si="3"/>
        <v>0.14309159108722427</v>
      </c>
      <c r="Y10" s="473">
        <f t="shared" si="3"/>
        <v>0.19992156013001083</v>
      </c>
      <c r="Z10" s="486">
        <f t="shared" si="3"/>
        <v>0.15540186606670195</v>
      </c>
      <c r="AA10" s="473">
        <f t="shared" si="3"/>
        <v>0.11695286895151544</v>
      </c>
      <c r="AB10" s="473">
        <f t="shared" si="3"/>
        <v>0.14543232196951483</v>
      </c>
      <c r="AC10" s="473">
        <f t="shared" si="3"/>
        <v>0.2037509879606654</v>
      </c>
      <c r="AD10" s="486">
        <f t="shared" si="3"/>
        <v>0.15590061179087875</v>
      </c>
      <c r="AE10" s="473">
        <f t="shared" ref="AE10:AK10" si="4">AE30/AE6</f>
        <v>0.11708588907993123</v>
      </c>
      <c r="AF10" s="473">
        <f t="shared" si="4"/>
        <v>0.14802033813190493</v>
      </c>
      <c r="AG10" s="473">
        <f t="shared" si="4"/>
        <v>0.19976106121776385</v>
      </c>
      <c r="AH10" s="486">
        <f t="shared" si="4"/>
        <v>0.1643310147299509</v>
      </c>
      <c r="AI10" s="473">
        <f t="shared" si="4"/>
        <v>0.11164895710350256</v>
      </c>
      <c r="AJ10" s="473">
        <f t="shared" si="4"/>
        <v>0.15376013419066256</v>
      </c>
      <c r="AK10" s="473">
        <f t="shared" si="4"/>
        <v>0.19935920256318976</v>
      </c>
      <c r="AL10" s="486">
        <f t="shared" ref="AL10:AW10" si="5">AL30/AL6</f>
        <v>0.1612031091584995</v>
      </c>
      <c r="AM10" s="473">
        <f t="shared" si="5"/>
        <v>0.18462035019769224</v>
      </c>
      <c r="AN10" s="473">
        <f t="shared" si="5"/>
        <v>0.27320034692107548</v>
      </c>
      <c r="AO10" s="473">
        <f t="shared" si="5"/>
        <v>0.19727992826184426</v>
      </c>
      <c r="AP10" s="473">
        <f t="shared" si="5"/>
        <v>0.16928757008067824</v>
      </c>
      <c r="AQ10" s="473">
        <f t="shared" si="5"/>
        <v>9.5601173020527855E-2</v>
      </c>
      <c r="AR10" s="473">
        <f t="shared" si="5"/>
        <v>9.8378575332483148E-2</v>
      </c>
      <c r="AS10" s="473">
        <f t="shared" si="5"/>
        <v>0.19743286606992061</v>
      </c>
      <c r="AT10" s="486">
        <f t="shared" si="5"/>
        <v>0.15680395560464994</v>
      </c>
      <c r="AU10" s="2819">
        <f t="shared" si="5"/>
        <v>9.8743267504488336E-2</v>
      </c>
      <c r="AV10" s="473">
        <f t="shared" si="5"/>
        <v>0.12430163554783616</v>
      </c>
      <c r="AW10" s="473">
        <f t="shared" si="5"/>
        <v>0.18841843088418431</v>
      </c>
      <c r="AX10" s="486">
        <f t="shared" ref="AX10:BC10" si="6">AX30/AX6</f>
        <v>0.14834762218802666</v>
      </c>
      <c r="AY10" s="2819">
        <f t="shared" si="6"/>
        <v>9.5822659598752122E-2</v>
      </c>
      <c r="AZ10" s="473">
        <f t="shared" si="6"/>
        <v>0.13760959387282071</v>
      </c>
      <c r="BA10" s="473">
        <f t="shared" si="6"/>
        <v>0.18438700926832943</v>
      </c>
      <c r="BB10" s="486">
        <f t="shared" si="6"/>
        <v>0.15093863385392017</v>
      </c>
      <c r="BC10" s="473">
        <f t="shared" si="6"/>
        <v>0.1014126564832893</v>
      </c>
      <c r="BD10" s="473">
        <f>BD30/BD6</f>
        <v>0.1414158480364944</v>
      </c>
      <c r="BE10" s="473">
        <f>BE30/BE6</f>
        <v>0.18399429189587313</v>
      </c>
      <c r="BF10" s="486"/>
      <c r="BG10" s="473">
        <f>BG30/BG6</f>
        <v>0.10203775525509438</v>
      </c>
      <c r="BH10" s="473">
        <f>BH30/BH6</f>
        <v>0.14545532351934268</v>
      </c>
      <c r="BI10" s="473">
        <f>BI30/BI6</f>
        <v>0.18136425867761941</v>
      </c>
      <c r="BL10" s="3503">
        <f>BL30/BL6</f>
        <v>0.14415686274509804</v>
      </c>
      <c r="BN10" s="489">
        <f t="shared" ref="BN10:BS10" si="7">BN30/BN6</f>
        <v>0.15778351227106499</v>
      </c>
      <c r="BO10" s="489">
        <f t="shared" si="7"/>
        <v>0.15612097111762246</v>
      </c>
      <c r="BP10" s="489">
        <f t="shared" si="7"/>
        <v>0.15666060972058965</v>
      </c>
      <c r="BQ10" s="2819">
        <f t="shared" si="7"/>
        <v>0.15621662536420478</v>
      </c>
      <c r="BR10" s="489">
        <f t="shared" si="7"/>
        <v>0.19200452041248764</v>
      </c>
      <c r="BS10" s="489">
        <f t="shared" si="7"/>
        <v>0.14308098085812029</v>
      </c>
      <c r="BT10" s="489">
        <f>BT30/BT6</f>
        <v>0.14094612872364992</v>
      </c>
      <c r="BU10" s="489">
        <f>BU30/BU6</f>
        <v>0.14184044029290899</v>
      </c>
      <c r="BV10" s="489"/>
    </row>
    <row r="11" spans="1:75" s="473" customFormat="1">
      <c r="A11" s="464" t="s">
        <v>989</v>
      </c>
      <c r="B11" s="444"/>
      <c r="C11" s="444"/>
      <c r="D11" s="211"/>
      <c r="E11" s="211"/>
      <c r="F11" s="211"/>
      <c r="G11" s="211"/>
      <c r="H11" s="211"/>
      <c r="I11" s="211"/>
      <c r="J11" s="211"/>
      <c r="K11" s="211"/>
      <c r="L11" s="211">
        <f t="shared" ref="L11:Q11" si="8">L35/L6</f>
        <v>0.13542030075187969</v>
      </c>
      <c r="M11" s="211">
        <f t="shared" si="8"/>
        <v>0.13989234940641948</v>
      </c>
      <c r="N11" s="211">
        <f t="shared" si="8"/>
        <v>0.1422117560142217</v>
      </c>
      <c r="O11" s="211">
        <f t="shared" si="8"/>
        <v>0.14328705263157895</v>
      </c>
      <c r="P11" s="211">
        <f t="shared" si="8"/>
        <v>0.14591019553785675</v>
      </c>
      <c r="Q11" s="211">
        <f t="shared" si="8"/>
        <v>0.15077793240556661</v>
      </c>
      <c r="R11" s="211"/>
      <c r="S11" s="211">
        <f t="shared" ref="S11:AB11" si="9">S35/S6</f>
        <v>0.13990013368983956</v>
      </c>
      <c r="T11" s="211">
        <f t="shared" si="9"/>
        <v>0.19943713628366491</v>
      </c>
      <c r="U11" s="211">
        <f t="shared" si="9"/>
        <v>0.15641972534332085</v>
      </c>
      <c r="V11" s="446">
        <f t="shared" si="9"/>
        <v>0.15472927171877252</v>
      </c>
      <c r="W11" s="211">
        <f t="shared" si="9"/>
        <v>0.12126643847955323</v>
      </c>
      <c r="X11" s="473">
        <f t="shared" si="9"/>
        <v>0.13603280707647522</v>
      </c>
      <c r="Y11" s="473">
        <f t="shared" si="9"/>
        <v>0.19442378114842904</v>
      </c>
      <c r="Z11" s="486">
        <f t="shared" si="9"/>
        <v>0.15063267601905769</v>
      </c>
      <c r="AA11" s="473">
        <f t="shared" si="9"/>
        <v>0.11283583893266304</v>
      </c>
      <c r="AB11" s="473">
        <f t="shared" si="9"/>
        <v>0.14193460595278165</v>
      </c>
      <c r="AC11" s="473">
        <f t="shared" ref="AC11:AH11" si="10">AC35/AC6</f>
        <v>0.2010179670986123</v>
      </c>
      <c r="AD11" s="486">
        <f t="shared" si="10"/>
        <v>0.15405689655172414</v>
      </c>
      <c r="AE11" s="211">
        <f t="shared" si="10"/>
        <v>0.11708588907993123</v>
      </c>
      <c r="AF11" s="211">
        <f t="shared" si="10"/>
        <v>0.14802033813190493</v>
      </c>
      <c r="AG11" s="211">
        <f t="shared" si="10"/>
        <v>0.19976106121776385</v>
      </c>
      <c r="AH11" s="446">
        <f t="shared" si="10"/>
        <v>0.1643310147299509</v>
      </c>
      <c r="AI11" s="211">
        <f t="shared" ref="AI11:AX11" si="11">AI35/AI6</f>
        <v>0.11164895710350256</v>
      </c>
      <c r="AJ11" s="211">
        <f t="shared" si="11"/>
        <v>0.15376013419066256</v>
      </c>
      <c r="AK11" s="211">
        <f t="shared" si="11"/>
        <v>0.19935920256318976</v>
      </c>
      <c r="AL11" s="446">
        <f t="shared" si="11"/>
        <v>0.1612031091584995</v>
      </c>
      <c r="AM11" s="211">
        <f t="shared" si="11"/>
        <v>0.18462035019769224</v>
      </c>
      <c r="AN11" s="211">
        <f t="shared" si="11"/>
        <v>0.27320034692107548</v>
      </c>
      <c r="AO11" s="211">
        <f t="shared" si="11"/>
        <v>0.19727992826184426</v>
      </c>
      <c r="AP11" s="211">
        <f t="shared" si="11"/>
        <v>0.16928757008067824</v>
      </c>
      <c r="AQ11" s="211">
        <f t="shared" si="11"/>
        <v>9.5601173020527855E-2</v>
      </c>
      <c r="AR11" s="211">
        <f t="shared" si="11"/>
        <v>9.8378575332483148E-2</v>
      </c>
      <c r="AS11" s="211">
        <f t="shared" si="11"/>
        <v>0.19743286606992061</v>
      </c>
      <c r="AT11" s="446">
        <f t="shared" si="11"/>
        <v>0.15680395560464994</v>
      </c>
      <c r="AU11" s="447">
        <f t="shared" si="11"/>
        <v>9.8743267504488336E-2</v>
      </c>
      <c r="AV11" s="211">
        <f t="shared" si="11"/>
        <v>0.12430163554783616</v>
      </c>
      <c r="AW11" s="211">
        <f t="shared" si="11"/>
        <v>0.18841843088418431</v>
      </c>
      <c r="AX11" s="446">
        <f t="shared" si="11"/>
        <v>0.14834762218802666</v>
      </c>
      <c r="AY11" s="447">
        <f t="shared" ref="AY11:BD11" si="12">AY35/AY6</f>
        <v>9.5822659598752122E-2</v>
      </c>
      <c r="AZ11" s="211">
        <f t="shared" si="12"/>
        <v>0.13760959387282071</v>
      </c>
      <c r="BA11" s="211">
        <f t="shared" si="12"/>
        <v>0.18438700926832943</v>
      </c>
      <c r="BB11" s="446">
        <f t="shared" si="12"/>
        <v>0.15093863385392017</v>
      </c>
      <c r="BC11" s="211">
        <f t="shared" si="12"/>
        <v>0.1014126564832893</v>
      </c>
      <c r="BD11" s="211">
        <f t="shared" si="12"/>
        <v>0.1414158480364944</v>
      </c>
      <c r="BE11" s="211">
        <f>BE35/BE6</f>
        <v>0.18399429189587313</v>
      </c>
      <c r="BF11" s="446"/>
      <c r="BG11" s="211">
        <f>BG35/BG6</f>
        <v>0.10203775525509438</v>
      </c>
      <c r="BH11" s="211">
        <f>BH35/BH6</f>
        <v>0.14545532351934268</v>
      </c>
      <c r="BI11" s="211">
        <f>BI35/BI6</f>
        <v>0.18136425867761941</v>
      </c>
      <c r="BJ11" s="211"/>
      <c r="BK11" s="211"/>
      <c r="BL11" s="3504">
        <f>BL35/BL6</f>
        <v>0.14415686274509804</v>
      </c>
      <c r="BM11" s="211"/>
      <c r="BN11" s="489">
        <f t="shared" ref="BN11:BU11" si="13">BN35/BN6</f>
        <v>0.15149282535579478</v>
      </c>
      <c r="BO11" s="489">
        <f t="shared" si="13"/>
        <v>0.15303652771280132</v>
      </c>
      <c r="BP11" s="489">
        <f t="shared" si="13"/>
        <v>0.15666060972058965</v>
      </c>
      <c r="BQ11" s="2819">
        <f t="shared" si="13"/>
        <v>0.15621662536420478</v>
      </c>
      <c r="BR11" s="489">
        <f t="shared" si="13"/>
        <v>0.19200452041248764</v>
      </c>
      <c r="BS11" s="489">
        <f t="shared" si="13"/>
        <v>0.14308098085812029</v>
      </c>
      <c r="BT11" s="489">
        <f t="shared" si="13"/>
        <v>0.14094612872364992</v>
      </c>
      <c r="BU11" s="489">
        <f t="shared" si="13"/>
        <v>0.14184044029290899</v>
      </c>
      <c r="BV11" s="489"/>
    </row>
    <row r="12" spans="1:75" s="473" customFormat="1">
      <c r="A12" s="464"/>
      <c r="B12" s="444"/>
      <c r="C12" s="444"/>
      <c r="D12" s="211"/>
      <c r="E12" s="211"/>
      <c r="F12" s="211"/>
      <c r="G12" s="211"/>
      <c r="H12" s="211"/>
      <c r="I12" s="211"/>
      <c r="J12" s="211"/>
      <c r="K12" s="211"/>
      <c r="L12" s="211"/>
      <c r="M12" s="211"/>
      <c r="N12" s="211"/>
      <c r="O12" s="211"/>
      <c r="P12" s="211"/>
      <c r="Q12" s="211"/>
      <c r="R12" s="211"/>
      <c r="S12" s="211"/>
      <c r="T12" s="211"/>
      <c r="U12" s="211"/>
      <c r="V12" s="446"/>
      <c r="W12" s="211"/>
      <c r="Z12" s="486"/>
      <c r="AD12" s="486"/>
      <c r="AE12" s="211"/>
      <c r="AF12" s="211"/>
      <c r="AG12" s="211"/>
      <c r="AH12" s="486"/>
      <c r="AL12" s="486"/>
      <c r="AT12" s="486"/>
      <c r="AU12" s="2819"/>
      <c r="AX12" s="486"/>
      <c r="AY12" s="2819"/>
      <c r="AZ12" s="3101"/>
      <c r="BA12" s="3101"/>
      <c r="BB12" s="3102"/>
      <c r="BC12" s="3101"/>
      <c r="BD12" s="3101"/>
      <c r="BE12" s="3101"/>
      <c r="BF12" s="3102"/>
      <c r="BG12" s="3101"/>
      <c r="BH12" s="3101"/>
      <c r="BI12" s="3101"/>
      <c r="BJ12" s="3101"/>
      <c r="BK12" s="3101"/>
      <c r="BL12" s="3101"/>
      <c r="BM12" s="3102"/>
      <c r="BN12" s="489"/>
      <c r="BO12" s="489"/>
      <c r="BP12" s="489"/>
      <c r="BR12" s="489"/>
      <c r="BS12" s="489"/>
      <c r="BT12" s="489"/>
    </row>
    <row r="13" spans="1:75" s="473" customFormat="1">
      <c r="A13" s="3192" t="s">
        <v>1359</v>
      </c>
      <c r="B13" s="3193"/>
      <c r="C13" s="3193"/>
      <c r="D13" s="3194"/>
      <c r="E13" s="3194"/>
      <c r="F13" s="3194"/>
      <c r="G13" s="3194"/>
      <c r="H13" s="3194"/>
      <c r="I13" s="3194"/>
      <c r="J13" s="3194"/>
      <c r="K13" s="3194"/>
      <c r="L13" s="3194"/>
      <c r="M13" s="3194"/>
      <c r="N13" s="3194"/>
      <c r="O13" s="3194"/>
      <c r="P13" s="3194"/>
      <c r="Q13" s="3194"/>
      <c r="R13" s="3194"/>
      <c r="S13" s="3194"/>
      <c r="T13" s="3194"/>
      <c r="U13" s="3194"/>
      <c r="V13" s="3195"/>
      <c r="W13" s="3194"/>
      <c r="X13" s="3196"/>
      <c r="Y13" s="3196"/>
      <c r="Z13" s="3197"/>
      <c r="AA13" s="3196"/>
      <c r="AB13" s="3196"/>
      <c r="AC13" s="3196"/>
      <c r="AD13" s="3197"/>
      <c r="AE13" s="3194"/>
      <c r="AF13" s="3194"/>
      <c r="AG13" s="3194"/>
      <c r="AH13" s="3197"/>
      <c r="AI13" s="3196"/>
      <c r="AJ13" s="3196"/>
      <c r="AK13" s="3196"/>
      <c r="AL13" s="3197"/>
      <c r="AM13" s="3196"/>
      <c r="AN13" s="3196"/>
      <c r="AO13" s="3196"/>
      <c r="AP13" s="3196"/>
      <c r="AQ13" s="3196"/>
      <c r="AR13" s="3196"/>
      <c r="AS13" s="3196"/>
      <c r="AT13" s="3197"/>
      <c r="AU13" s="3198"/>
      <c r="AV13" s="3196"/>
      <c r="AW13" s="3196"/>
      <c r="AX13" s="3197"/>
      <c r="AY13" s="3198"/>
      <c r="AZ13" s="3212"/>
      <c r="BA13" s="3212"/>
      <c r="BB13" s="3199"/>
      <c r="BC13" s="3212"/>
      <c r="BD13" s="3212"/>
      <c r="BE13" s="3212"/>
      <c r="BF13" s="3199"/>
      <c r="BG13" s="3212"/>
      <c r="BH13" s="3212"/>
      <c r="BI13" s="3212"/>
      <c r="BJ13" s="3212"/>
      <c r="BK13" s="3212"/>
      <c r="BL13" s="3212"/>
      <c r="BM13" s="3102"/>
      <c r="BN13" s="3200"/>
      <c r="BO13" s="3200"/>
      <c r="BP13" s="3200"/>
      <c r="BQ13" s="3196"/>
      <c r="BR13" s="3200"/>
      <c r="BS13" s="3200"/>
      <c r="BT13" s="3200"/>
      <c r="BU13" s="3196"/>
      <c r="BV13" s="3196"/>
      <c r="BW13" s="3196"/>
    </row>
    <row r="14" spans="1:75" s="1773" customFormat="1">
      <c r="A14" s="62" t="s">
        <v>1408</v>
      </c>
      <c r="B14" s="1771"/>
      <c r="C14" s="1772"/>
      <c r="R14" s="1773">
        <v>11908</v>
      </c>
      <c r="S14" s="1773">
        <v>12867</v>
      </c>
      <c r="T14" s="1773">
        <v>12850</v>
      </c>
      <c r="U14" s="1773">
        <v>10344</v>
      </c>
      <c r="V14" s="1774">
        <v>47969</v>
      </c>
      <c r="W14" s="1775">
        <v>14534</v>
      </c>
      <c r="X14" s="1773">
        <v>15369</v>
      </c>
      <c r="Y14" s="1773">
        <v>15757</v>
      </c>
      <c r="Z14" s="1774">
        <v>12978</v>
      </c>
      <c r="AA14" s="1773">
        <v>18140</v>
      </c>
      <c r="AB14" s="1773">
        <v>17947</v>
      </c>
      <c r="AC14" s="1773">
        <v>18594</v>
      </c>
      <c r="AD14" s="1774">
        <v>15015</v>
      </c>
      <c r="AE14" s="1773">
        <v>20576</v>
      </c>
      <c r="AF14" s="1773">
        <v>19090</v>
      </c>
      <c r="AG14" s="1773">
        <v>19024</v>
      </c>
      <c r="AH14" s="1774">
        <v>15230</v>
      </c>
      <c r="AI14" s="1773">
        <v>19678</v>
      </c>
      <c r="AJ14" s="1773">
        <v>18638</v>
      </c>
      <c r="AK14" s="1773">
        <v>18118</v>
      </c>
      <c r="AL14" s="1774">
        <v>14218</v>
      </c>
      <c r="AM14" s="1773">
        <v>8320</v>
      </c>
      <c r="AN14" s="1773">
        <v>1535</v>
      </c>
      <c r="AO14" s="1773">
        <v>9521</v>
      </c>
      <c r="AP14" s="1773">
        <v>5098</v>
      </c>
      <c r="AQ14" s="1773">
        <v>8704</v>
      </c>
      <c r="AR14" s="1773">
        <v>15290</v>
      </c>
      <c r="AS14" s="1773">
        <v>14872</v>
      </c>
      <c r="AT14" s="1774">
        <v>11875</v>
      </c>
      <c r="AU14" s="1837">
        <v>16286</v>
      </c>
      <c r="AV14" s="1773">
        <v>19448</v>
      </c>
      <c r="AW14" s="1773">
        <v>17614</v>
      </c>
      <c r="AX14" s="1774">
        <v>14031</v>
      </c>
      <c r="AY14" s="1837">
        <v>19500</v>
      </c>
      <c r="AZ14" s="3103">
        <v>18570</v>
      </c>
      <c r="BA14" s="3103">
        <v>17542</v>
      </c>
      <c r="BB14" s="3100">
        <f>BU14-SUM(AY14:BA14)</f>
        <v>13294</v>
      </c>
      <c r="BC14" s="3103">
        <v>17774</v>
      </c>
      <c r="BD14" s="3103">
        <v>15601</v>
      </c>
      <c r="BE14" s="3103">
        <v>15085</v>
      </c>
      <c r="BF14" s="3100">
        <f>BV14-SUM(BC14:BE14)</f>
        <v>12938</v>
      </c>
      <c r="BG14" s="3103">
        <v>15500</v>
      </c>
      <c r="BH14" s="3103">
        <v>14432</v>
      </c>
      <c r="BI14" s="3103">
        <v>13932</v>
      </c>
      <c r="BJ14" s="3103">
        <f>BW14-SUM(BG14:BI14)</f>
        <v>12218</v>
      </c>
      <c r="BK14" s="3103">
        <v>15022</v>
      </c>
      <c r="BL14" s="3103">
        <v>13961</v>
      </c>
      <c r="BM14" s="3100"/>
      <c r="BN14" s="1776">
        <v>58638</v>
      </c>
      <c r="BO14" s="1776">
        <v>69696</v>
      </c>
      <c r="BP14" s="1776">
        <f>SUM(AE14:AH14)</f>
        <v>73920</v>
      </c>
      <c r="BQ14" s="1773">
        <f>SUM(AI14:AL14)</f>
        <v>70652</v>
      </c>
      <c r="BR14" s="1776">
        <v>24475</v>
      </c>
      <c r="BS14" s="1776">
        <v>50741</v>
      </c>
      <c r="BT14" s="1776">
        <f>SUM(AU14:AX14)</f>
        <v>67379</v>
      </c>
      <c r="BU14" s="1773">
        <v>68906</v>
      </c>
      <c r="BV14" s="1773">
        <v>61398</v>
      </c>
      <c r="BW14" s="1773">
        <v>56082</v>
      </c>
    </row>
    <row r="15" spans="1:75" s="988" customFormat="1" ht="11" customHeight="1">
      <c r="A15" s="1756" t="s">
        <v>1332</v>
      </c>
      <c r="B15" s="1474"/>
      <c r="C15" s="1474"/>
      <c r="D15" s="987"/>
      <c r="E15" s="987"/>
      <c r="F15" s="987"/>
      <c r="G15" s="987"/>
      <c r="H15" s="987"/>
      <c r="I15" s="987"/>
      <c r="J15" s="987"/>
      <c r="K15" s="987"/>
      <c r="L15" s="987"/>
      <c r="M15" s="987"/>
      <c r="N15" s="987"/>
      <c r="O15" s="987"/>
      <c r="P15" s="987"/>
      <c r="Q15" s="987"/>
      <c r="R15" s="987"/>
      <c r="S15" s="987"/>
      <c r="T15" s="987"/>
      <c r="U15" s="987"/>
      <c r="V15" s="468"/>
      <c r="W15" s="987">
        <f>W14/R14-1</f>
        <v>0.22052401746724892</v>
      </c>
      <c r="X15" s="987">
        <f>X14/S14-1</f>
        <v>0.19445092096059691</v>
      </c>
      <c r="Y15" s="987">
        <f>Y14/T14-1</f>
        <v>0.22622568093385209</v>
      </c>
      <c r="Z15" s="468">
        <f>Z14/U14-1</f>
        <v>0.25464037122969829</v>
      </c>
      <c r="AA15" s="987">
        <f t="shared" ref="AA15:AL15" si="14">AA14/W14-1</f>
        <v>0.24810788495940561</v>
      </c>
      <c r="AB15" s="987">
        <f t="shared" si="14"/>
        <v>0.16774025636020551</v>
      </c>
      <c r="AC15" s="987">
        <f t="shared" si="14"/>
        <v>0.1800469632544266</v>
      </c>
      <c r="AD15" s="468">
        <f t="shared" si="14"/>
        <v>0.15695792880258908</v>
      </c>
      <c r="AE15" s="987">
        <f t="shared" si="14"/>
        <v>0.13428886438809262</v>
      </c>
      <c r="AF15" s="987">
        <f t="shared" si="14"/>
        <v>6.368752437733316E-2</v>
      </c>
      <c r="AG15" s="987">
        <f t="shared" si="14"/>
        <v>2.3125739485855723E-2</v>
      </c>
      <c r="AH15" s="468">
        <f t="shared" si="14"/>
        <v>1.4319014319014389E-2</v>
      </c>
      <c r="AI15" s="987">
        <f t="shared" si="14"/>
        <v>-4.3643079315707656E-2</v>
      </c>
      <c r="AJ15" s="987">
        <f t="shared" si="14"/>
        <v>-2.367731796752226E-2</v>
      </c>
      <c r="AK15" s="987">
        <f t="shared" si="14"/>
        <v>-4.7624053826745172E-2</v>
      </c>
      <c r="AL15" s="468">
        <f t="shared" si="14"/>
        <v>-6.6447800393959255E-2</v>
      </c>
      <c r="AM15" s="987">
        <v>-0.57699999999999996</v>
      </c>
      <c r="AN15" s="987">
        <v>-0.91800000000000004</v>
      </c>
      <c r="AO15" s="987">
        <v>8.2000000000000003E-2</v>
      </c>
      <c r="AP15" s="987">
        <f>AP14/AL14-1</f>
        <v>-0.64144042762695175</v>
      </c>
      <c r="AQ15" s="987">
        <f>AQ14/AM14-1</f>
        <v>4.6153846153846212E-2</v>
      </c>
      <c r="AR15" s="987">
        <f>AR14/AN14-1</f>
        <v>8.9609120521172638</v>
      </c>
      <c r="AS15" s="987">
        <v>0.56200000000000006</v>
      </c>
      <c r="AT15" s="468">
        <v>1.329</v>
      </c>
      <c r="AU15" s="2820">
        <v>0.871</v>
      </c>
      <c r="AV15" s="987">
        <v>0.27200000000000002</v>
      </c>
      <c r="AW15" s="987">
        <v>0.184</v>
      </c>
      <c r="AX15" s="2025">
        <v>0.182</v>
      </c>
      <c r="AY15" s="2848">
        <v>0.19700000000000001</v>
      </c>
      <c r="AZ15" s="3213">
        <v>-4.4999999999999998E-2</v>
      </c>
      <c r="BA15" s="3213">
        <v>-4.0000000000000001E-3</v>
      </c>
      <c r="BB15" s="3104">
        <f t="shared" ref="BB15:BI15" si="15">BB14/AX14-1</f>
        <v>-5.2526548357209046E-2</v>
      </c>
      <c r="BC15" s="3213">
        <f t="shared" si="15"/>
        <v>-8.85128205128205E-2</v>
      </c>
      <c r="BD15" s="3213">
        <f t="shared" si="15"/>
        <v>-0.15988152934841138</v>
      </c>
      <c r="BE15" s="3213">
        <f t="shared" si="15"/>
        <v>-0.14006384676775741</v>
      </c>
      <c r="BF15" s="3104">
        <f t="shared" si="15"/>
        <v>-2.6778998044230451E-2</v>
      </c>
      <c r="BG15" s="3213">
        <f t="shared" si="15"/>
        <v>-0.12793968718352655</v>
      </c>
      <c r="BH15" s="1511">
        <f t="shared" si="15"/>
        <v>-7.4931094160630707E-2</v>
      </c>
      <c r="BI15" s="3213">
        <f t="shared" si="15"/>
        <v>-7.6433543254888936E-2</v>
      </c>
      <c r="BJ15" s="3213">
        <f>BJ14/BF14-1</f>
        <v>-5.5650023187509667E-2</v>
      </c>
      <c r="BK15" s="3213">
        <f>BK14/BG14-1</f>
        <v>-3.0838709677419307E-2</v>
      </c>
      <c r="BL15" s="3505">
        <f>BL14/BH14-1</f>
        <v>-3.2635809312638542E-2</v>
      </c>
      <c r="BM15" s="3104"/>
      <c r="BN15" s="1014">
        <f>BN14/V14-1</f>
        <v>0.22241447601576025</v>
      </c>
      <c r="BO15" s="1014">
        <f t="shared" ref="BO15:BW15" si="16">BO14/BN14-1</f>
        <v>0.18858078379208032</v>
      </c>
      <c r="BP15" s="1014">
        <f t="shared" si="16"/>
        <v>6.0606060606060552E-2</v>
      </c>
      <c r="BQ15" s="2820">
        <f t="shared" si="16"/>
        <v>-4.4209956709956755E-2</v>
      </c>
      <c r="BR15" s="1014">
        <f t="shared" si="16"/>
        <v>-0.65358376266772344</v>
      </c>
      <c r="BS15" s="1014">
        <f t="shared" si="16"/>
        <v>1.0731767109295198</v>
      </c>
      <c r="BT15" s="1014">
        <f t="shared" si="16"/>
        <v>0.32790051437693379</v>
      </c>
      <c r="BU15" s="1014">
        <f t="shared" si="16"/>
        <v>2.2662847474732573E-2</v>
      </c>
      <c r="BV15" s="1014">
        <f t="shared" si="16"/>
        <v>-0.10896003250805442</v>
      </c>
      <c r="BW15" s="1014">
        <f t="shared" si="16"/>
        <v>-8.6582624841200051E-2</v>
      </c>
    </row>
    <row r="16" spans="1:75" s="473" customFormat="1">
      <c r="A16" s="1503" t="s">
        <v>1970</v>
      </c>
      <c r="B16" s="444"/>
      <c r="C16" s="444"/>
      <c r="D16" s="211"/>
      <c r="E16" s="211"/>
      <c r="F16" s="211"/>
      <c r="G16" s="211"/>
      <c r="H16" s="211"/>
      <c r="I16" s="211"/>
      <c r="J16" s="211"/>
      <c r="K16" s="211"/>
      <c r="L16" s="211"/>
      <c r="M16" s="211"/>
      <c r="N16" s="211"/>
      <c r="O16" s="211"/>
      <c r="P16" s="211"/>
      <c r="Q16" s="211"/>
      <c r="R16" s="211">
        <f>R14/R6</f>
        <v>0.86446460980036299</v>
      </c>
      <c r="S16" s="211">
        <f t="shared" ref="S16:AH16" si="17">S14/S6</f>
        <v>0.86009358288770055</v>
      </c>
      <c r="T16" s="211">
        <f t="shared" si="17"/>
        <v>0.86953579645418866</v>
      </c>
      <c r="U16" s="211">
        <f t="shared" si="17"/>
        <v>0.86092384519350806</v>
      </c>
      <c r="V16" s="446">
        <f t="shared" si="17"/>
        <v>0.86387047975795994</v>
      </c>
      <c r="W16" s="211">
        <f t="shared" si="17"/>
        <v>0.87275565964090551</v>
      </c>
      <c r="X16" s="211">
        <f t="shared" si="17"/>
        <v>0.86042996305005037</v>
      </c>
      <c r="Y16" s="211">
        <f t="shared" si="17"/>
        <v>0.85357529794149511</v>
      </c>
      <c r="Z16" s="446">
        <f t="shared" si="17"/>
        <v>0.85878771836950762</v>
      </c>
      <c r="AA16" s="211">
        <f t="shared" si="17"/>
        <v>0.87687919949726878</v>
      </c>
      <c r="AB16" s="211">
        <f t="shared" si="17"/>
        <v>0.86296100399096021</v>
      </c>
      <c r="AC16" s="211">
        <f t="shared" si="17"/>
        <v>0.85442514474772535</v>
      </c>
      <c r="AD16" s="446">
        <f t="shared" si="17"/>
        <v>0.83509454949944384</v>
      </c>
      <c r="AE16" s="211">
        <f t="shared" si="17"/>
        <v>0.82274381222759807</v>
      </c>
      <c r="AF16" s="211">
        <f t="shared" si="17"/>
        <v>0.79887847338466689</v>
      </c>
      <c r="AG16" s="211">
        <f t="shared" si="17"/>
        <v>0.7837192057345308</v>
      </c>
      <c r="AH16" s="446">
        <f t="shared" si="17"/>
        <v>0.77894844517184947</v>
      </c>
      <c r="AI16" s="38">
        <f t="shared" ref="AI16:AW16" si="18">AI14/AI6</f>
        <v>0.77441951987406532</v>
      </c>
      <c r="AJ16" s="38">
        <f t="shared" si="18"/>
        <v>0.7443588002715763</v>
      </c>
      <c r="AK16" s="38">
        <f t="shared" si="18"/>
        <v>0.71666468889680002</v>
      </c>
      <c r="AL16" s="1548">
        <f t="shared" si="18"/>
        <v>0.68642881282286483</v>
      </c>
      <c r="AM16" s="38">
        <f t="shared" si="18"/>
        <v>0.67134672799160822</v>
      </c>
      <c r="AN16" s="38">
        <f t="shared" si="18"/>
        <v>0.66565481352992195</v>
      </c>
      <c r="AO16" s="38">
        <f t="shared" si="18"/>
        <v>0.71147810491705277</v>
      </c>
      <c r="AP16" s="38">
        <f t="shared" si="18"/>
        <v>0.69711472719814027</v>
      </c>
      <c r="AQ16" s="38">
        <f t="shared" si="18"/>
        <v>0.72928361960620025</v>
      </c>
      <c r="AR16" s="38">
        <f t="shared" si="18"/>
        <v>0.69639278557114226</v>
      </c>
      <c r="AS16" s="38">
        <f t="shared" si="18"/>
        <v>0.62793447052862694</v>
      </c>
      <c r="AT16" s="1548">
        <f t="shared" si="18"/>
        <v>0.62463836726105937</v>
      </c>
      <c r="AU16" s="3413">
        <f t="shared" si="18"/>
        <v>0.59670977906422895</v>
      </c>
      <c r="AV16" s="38">
        <f t="shared" si="18"/>
        <v>0.56297582862932405</v>
      </c>
      <c r="AW16" s="38">
        <f t="shared" si="18"/>
        <v>0.54838107098381073</v>
      </c>
      <c r="AX16" s="1548">
        <f t="shared" ref="AX16:BC16" si="19">AX14/AX6</f>
        <v>0.51406902615959549</v>
      </c>
      <c r="AY16" s="3413">
        <f t="shared" si="19"/>
        <v>0.49458492910949348</v>
      </c>
      <c r="AZ16" s="3414">
        <f t="shared" si="19"/>
        <v>0.46785246397258895</v>
      </c>
      <c r="BA16" s="3414">
        <f t="shared" si="19"/>
        <v>0.44060985105367595</v>
      </c>
      <c r="BB16" s="3415">
        <f t="shared" si="19"/>
        <v>0.41943524215175898</v>
      </c>
      <c r="BC16" s="3414">
        <f t="shared" si="19"/>
        <v>0.40826920868266914</v>
      </c>
      <c r="BD16" s="3414">
        <f t="shared" ref="BD16:BI16" si="20">BD14/BD6</f>
        <v>0.37655378822620744</v>
      </c>
      <c r="BE16" s="3414">
        <f t="shared" si="20"/>
        <v>0.34720464013625796</v>
      </c>
      <c r="BF16" s="3415">
        <f t="shared" si="20"/>
        <v>0.34810450130492104</v>
      </c>
      <c r="BG16" s="3414">
        <f t="shared" si="20"/>
        <v>0.33212625083031561</v>
      </c>
      <c r="BH16" s="3414">
        <f t="shared" si="20"/>
        <v>0.30879835672714823</v>
      </c>
      <c r="BI16" s="3414">
        <f t="shared" si="20"/>
        <v>0.28050253684464849</v>
      </c>
      <c r="BJ16" s="3414">
        <f t="shared" ref="BJ16:BK16" si="21">BJ14/BJ6</f>
        <v>0.28391504391876193</v>
      </c>
      <c r="BK16" s="3414">
        <f t="shared" si="21"/>
        <v>0.27943747907288219</v>
      </c>
      <c r="BL16" s="3506">
        <f>BL14/BL6</f>
        <v>0.27374509803921571</v>
      </c>
      <c r="BM16" s="1513"/>
      <c r="BN16" s="451">
        <f t="shared" ref="BN16:BT16" si="22">BN14/BN6</f>
        <v>0.86122167227223989</v>
      </c>
      <c r="BO16" s="451">
        <f t="shared" si="22"/>
        <v>0.85805037795779682</v>
      </c>
      <c r="BP16" s="451">
        <f t="shared" si="22"/>
        <v>0.79714442850826583</v>
      </c>
      <c r="BQ16" s="447">
        <f t="shared" si="22"/>
        <v>0.73257779206370599</v>
      </c>
      <c r="BR16" s="451">
        <f t="shared" si="22"/>
        <v>0.69148184771860433</v>
      </c>
      <c r="BS16" s="451">
        <f t="shared" si="22"/>
        <v>0.66253623377640825</v>
      </c>
      <c r="BT16" s="451">
        <f t="shared" si="22"/>
        <v>0.55569392669811635</v>
      </c>
      <c r="BU16" s="451">
        <f>BU14/BU6</f>
        <v>0.45746114574412289</v>
      </c>
      <c r="BV16" s="451">
        <f>BV14/BV6</f>
        <v>0.3708056528566252</v>
      </c>
      <c r="BW16" s="451">
        <f>BW14/BW6</f>
        <v>0.30134277592997577</v>
      </c>
    </row>
    <row r="17" spans="1:75" s="1773" customFormat="1">
      <c r="A17" s="62" t="s">
        <v>1409</v>
      </c>
      <c r="B17" s="1771"/>
      <c r="C17" s="1772"/>
      <c r="R17" s="1773">
        <v>1867</v>
      </c>
      <c r="S17" s="1773">
        <v>2094</v>
      </c>
      <c r="T17" s="1773">
        <v>1928</v>
      </c>
      <c r="U17" s="1773">
        <v>1670</v>
      </c>
      <c r="V17" s="1774">
        <v>7559</v>
      </c>
      <c r="W17" s="1775">
        <v>2119</v>
      </c>
      <c r="X17" s="1773">
        <v>2494</v>
      </c>
      <c r="Y17" s="1773">
        <v>2703</v>
      </c>
      <c r="Z17" s="1774">
        <v>2134</v>
      </c>
      <c r="AA17" s="1773">
        <v>2546</v>
      </c>
      <c r="AB17" s="1773">
        <v>2850</v>
      </c>
      <c r="AC17" s="1773">
        <v>3168</v>
      </c>
      <c r="AD17" s="1774">
        <v>2965</v>
      </c>
      <c r="AE17" s="1773">
        <v>4434</v>
      </c>
      <c r="AF17" s="1773">
        <v>4807</v>
      </c>
      <c r="AG17" s="1773">
        <v>5250</v>
      </c>
      <c r="AH17" s="1774">
        <v>4322</v>
      </c>
      <c r="AI17" s="1773">
        <v>5732</v>
      </c>
      <c r="AJ17" s="1773">
        <v>6401</v>
      </c>
      <c r="AK17" s="1773">
        <v>7163</v>
      </c>
      <c r="AL17" s="1774">
        <v>6495</v>
      </c>
      <c r="AM17" s="1773">
        <v>4073</v>
      </c>
      <c r="AN17" s="1773">
        <v>771</v>
      </c>
      <c r="AO17" s="1773">
        <v>3861</v>
      </c>
      <c r="AP17" s="1773">
        <v>2215</v>
      </c>
      <c r="AQ17" s="1773">
        <v>3232</v>
      </c>
      <c r="AR17" s="1773">
        <v>6665</v>
      </c>
      <c r="AS17" s="1773">
        <v>8812</v>
      </c>
      <c r="AT17" s="1774">
        <v>7136</v>
      </c>
      <c r="AU17" s="1837">
        <v>11007</v>
      </c>
      <c r="AV17" s="1773">
        <v>15097</v>
      </c>
      <c r="AW17" s="1773">
        <v>14506</v>
      </c>
      <c r="AX17" s="1774">
        <v>13263</v>
      </c>
      <c r="AY17" s="1837">
        <v>19927</v>
      </c>
      <c r="AZ17" s="3103">
        <v>21122</v>
      </c>
      <c r="BA17" s="3103">
        <v>22271</v>
      </c>
      <c r="BB17" s="3100">
        <f>BU17-SUM(AY17:BA17)</f>
        <v>18401</v>
      </c>
      <c r="BC17" s="3103">
        <v>25761</v>
      </c>
      <c r="BD17" s="3103">
        <v>25830</v>
      </c>
      <c r="BE17" s="3103">
        <v>28362</v>
      </c>
      <c r="BF17" s="3100">
        <f>BV17-SUM(BC17:BE17)</f>
        <v>24229</v>
      </c>
      <c r="BG17" s="3103">
        <v>31170</v>
      </c>
      <c r="BH17" s="3103">
        <v>32305</v>
      </c>
      <c r="BI17" s="3103">
        <v>35737</v>
      </c>
      <c r="BJ17" s="3103">
        <f>BW17-SUM(BG17:BI17)</f>
        <v>30813</v>
      </c>
      <c r="BK17" s="3103">
        <v>38736</v>
      </c>
      <c r="BL17" s="3103">
        <v>36996</v>
      </c>
      <c r="BM17" s="3100"/>
      <c r="BN17" s="1776">
        <v>9450</v>
      </c>
      <c r="BO17" s="1776">
        <v>11529</v>
      </c>
      <c r="BP17" s="1776">
        <f>SUM(AE17:AH17)</f>
        <v>18813</v>
      </c>
      <c r="BQ17" s="1773">
        <f>SUM(AI17:AL17)</f>
        <v>25791</v>
      </c>
      <c r="BR17" s="1776">
        <f>SUM(AM17:AP17)</f>
        <v>10920</v>
      </c>
      <c r="BS17" s="1776">
        <v>25845</v>
      </c>
      <c r="BT17" s="1776">
        <f>SUM(AU17:AX17)</f>
        <v>53873</v>
      </c>
      <c r="BU17" s="1773">
        <v>81721</v>
      </c>
      <c r="BV17" s="1773">
        <v>104182</v>
      </c>
      <c r="BW17" s="1773">
        <v>130025</v>
      </c>
    </row>
    <row r="18" spans="1:75" s="988" customFormat="1" ht="12">
      <c r="A18" s="1756" t="s">
        <v>1330</v>
      </c>
      <c r="B18" s="1474"/>
      <c r="C18" s="1474"/>
      <c r="D18" s="987"/>
      <c r="E18" s="987"/>
      <c r="F18" s="987"/>
      <c r="G18" s="987"/>
      <c r="H18" s="987"/>
      <c r="I18" s="987"/>
      <c r="J18" s="987"/>
      <c r="K18" s="987"/>
      <c r="L18" s="987"/>
      <c r="M18" s="987"/>
      <c r="N18" s="987"/>
      <c r="O18" s="987"/>
      <c r="P18" s="987"/>
      <c r="Q18" s="987"/>
      <c r="R18" s="987"/>
      <c r="S18" s="987"/>
      <c r="T18" s="987"/>
      <c r="U18" s="987"/>
      <c r="V18" s="468"/>
      <c r="W18" s="987">
        <f>W17/R17-1</f>
        <v>0.13497589716122116</v>
      </c>
      <c r="X18" s="987">
        <f>X17/S17-1</f>
        <v>0.19102196752626543</v>
      </c>
      <c r="Y18" s="987">
        <f>Y17/T17-1</f>
        <v>0.40197095435684638</v>
      </c>
      <c r="Z18" s="468">
        <f>Z17/U17-1</f>
        <v>0.27784431137724552</v>
      </c>
      <c r="AA18" s="987">
        <f t="shared" ref="AA18:AR18" si="23">AA17/W17-1</f>
        <v>0.2015101462954223</v>
      </c>
      <c r="AB18" s="987">
        <f t="shared" si="23"/>
        <v>0.14274258219727343</v>
      </c>
      <c r="AC18" s="987">
        <f t="shared" si="23"/>
        <v>0.17203107658157601</v>
      </c>
      <c r="AD18" s="468">
        <f t="shared" si="23"/>
        <v>0.38940955951265233</v>
      </c>
      <c r="AE18" s="987">
        <f t="shared" si="23"/>
        <v>0.7415553809897879</v>
      </c>
      <c r="AF18" s="987">
        <f t="shared" si="23"/>
        <v>0.68666666666666676</v>
      </c>
      <c r="AG18" s="987">
        <f t="shared" si="23"/>
        <v>0.65719696969696972</v>
      </c>
      <c r="AH18" s="468">
        <f t="shared" si="23"/>
        <v>0.45767284991568302</v>
      </c>
      <c r="AI18" s="987">
        <f t="shared" si="23"/>
        <v>0.29273793414524141</v>
      </c>
      <c r="AJ18" s="987">
        <f t="shared" si="23"/>
        <v>0.33159975036405243</v>
      </c>
      <c r="AK18" s="987">
        <f t="shared" si="23"/>
        <v>0.36438095238095247</v>
      </c>
      <c r="AL18" s="468">
        <f t="shared" si="23"/>
        <v>0.50277649236464605</v>
      </c>
      <c r="AM18" s="987">
        <f t="shared" si="23"/>
        <v>-0.28942777390090724</v>
      </c>
      <c r="AN18" s="987">
        <f t="shared" si="23"/>
        <v>-0.87955007030151533</v>
      </c>
      <c r="AO18" s="987">
        <f t="shared" si="23"/>
        <v>-0.46098003629764062</v>
      </c>
      <c r="AP18" s="987">
        <f t="shared" si="23"/>
        <v>-0.65896843725943033</v>
      </c>
      <c r="AQ18" s="987">
        <f t="shared" si="23"/>
        <v>-0.20648170881414196</v>
      </c>
      <c r="AR18" s="987">
        <f t="shared" si="23"/>
        <v>7.6446173800259398</v>
      </c>
      <c r="AS18" s="987">
        <v>1.282</v>
      </c>
      <c r="AT18" s="468">
        <v>2.222</v>
      </c>
      <c r="AU18" s="2820">
        <v>2.4060000000000001</v>
      </c>
      <c r="AV18" s="987">
        <v>1.2649999999999999</v>
      </c>
      <c r="AW18" s="987">
        <v>0.64600000000000002</v>
      </c>
      <c r="AX18" s="2025">
        <v>0.85899999999999999</v>
      </c>
      <c r="AY18" s="2848">
        <v>0.81</v>
      </c>
      <c r="AZ18" s="3213">
        <v>0.39900000000000002</v>
      </c>
      <c r="BA18" s="3213">
        <v>0.53300000000000003</v>
      </c>
      <c r="BB18" s="3104">
        <f t="shared" ref="BB18:BI18" si="24">BB17/AX17-1</f>
        <v>0.38739350071627832</v>
      </c>
      <c r="BC18" s="3213">
        <f t="shared" si="24"/>
        <v>0.29276860540974559</v>
      </c>
      <c r="BD18" s="3213">
        <f t="shared" si="24"/>
        <v>0.22289555913265779</v>
      </c>
      <c r="BE18" s="3213">
        <f t="shared" si="24"/>
        <v>0.27349467917920167</v>
      </c>
      <c r="BF18" s="3104">
        <f t="shared" si="24"/>
        <v>0.31672191728710386</v>
      </c>
      <c r="BG18" s="3213">
        <f t="shared" si="24"/>
        <v>0.20996855712122975</v>
      </c>
      <c r="BH18" s="1511">
        <f t="shared" si="24"/>
        <v>0.25067750677506773</v>
      </c>
      <c r="BI18" s="1511">
        <f t="shared" si="24"/>
        <v>0.26003102743106976</v>
      </c>
      <c r="BJ18" s="1511">
        <f>BJ17/BF17-1</f>
        <v>0.27174047628874498</v>
      </c>
      <c r="BK18" s="1511">
        <f>BK17/BG17-1</f>
        <v>0.24273339749759382</v>
      </c>
      <c r="BL18" s="3507">
        <f>BL17/BH17-1</f>
        <v>0.14520971985760722</v>
      </c>
      <c r="BM18" s="3104"/>
      <c r="BN18" s="1014">
        <f>BN17/V17-1</f>
        <v>0.25016536578912563</v>
      </c>
      <c r="BO18" s="1014">
        <f t="shared" ref="BO18:BW18" si="25">BO17/BN17-1</f>
        <v>0.21999999999999997</v>
      </c>
      <c r="BP18" s="1014">
        <f t="shared" si="25"/>
        <v>0.6317980744210252</v>
      </c>
      <c r="BQ18" s="2820">
        <f t="shared" si="25"/>
        <v>0.37091372986764481</v>
      </c>
      <c r="BR18" s="1014">
        <f t="shared" si="25"/>
        <v>-0.5765964871466791</v>
      </c>
      <c r="BS18" s="1014">
        <f t="shared" si="25"/>
        <v>1.3667582417582418</v>
      </c>
      <c r="BT18" s="1014">
        <f t="shared" si="25"/>
        <v>1.0844650802863223</v>
      </c>
      <c r="BU18" s="1014">
        <f t="shared" si="25"/>
        <v>0.51691942160265802</v>
      </c>
      <c r="BV18" s="1014">
        <f t="shared" si="25"/>
        <v>0.27484979381064845</v>
      </c>
      <c r="BW18" s="1014">
        <f t="shared" si="25"/>
        <v>0.248056286114684</v>
      </c>
    </row>
    <row r="19" spans="1:75" s="473" customFormat="1">
      <c r="A19" s="3201" t="s">
        <v>1971</v>
      </c>
      <c r="B19" s="3202"/>
      <c r="C19" s="3202"/>
      <c r="D19" s="3203"/>
      <c r="E19" s="3203"/>
      <c r="F19" s="3203"/>
      <c r="G19" s="3203"/>
      <c r="H19" s="3203"/>
      <c r="I19" s="3203"/>
      <c r="J19" s="3203"/>
      <c r="K19" s="3203"/>
      <c r="L19" s="3203"/>
      <c r="M19" s="3203"/>
      <c r="N19" s="3203"/>
      <c r="O19" s="3203"/>
      <c r="P19" s="3203"/>
      <c r="Q19" s="3203"/>
      <c r="R19" s="3203">
        <f>R17/R6</f>
        <v>0.13553539019963703</v>
      </c>
      <c r="S19" s="3203">
        <f t="shared" ref="S19:AH19" si="26">S17/S6</f>
        <v>0.13997326203208557</v>
      </c>
      <c r="T19" s="3203">
        <f t="shared" si="26"/>
        <v>0.13046420354581134</v>
      </c>
      <c r="U19" s="3203">
        <f t="shared" si="26"/>
        <v>0.13899292550977943</v>
      </c>
      <c r="V19" s="3204">
        <f t="shared" si="26"/>
        <v>0.13612952024204006</v>
      </c>
      <c r="W19" s="3203">
        <f t="shared" si="26"/>
        <v>0.12724434035909446</v>
      </c>
      <c r="X19" s="3203">
        <f t="shared" si="26"/>
        <v>0.1396260217220916</v>
      </c>
      <c r="Y19" s="3203">
        <f t="shared" si="26"/>
        <v>0.14642470205850489</v>
      </c>
      <c r="Z19" s="3204">
        <f t="shared" si="26"/>
        <v>0.14121228163049232</v>
      </c>
      <c r="AA19" s="3203">
        <f t="shared" si="26"/>
        <v>0.12307246096582394</v>
      </c>
      <c r="AB19" s="3203">
        <f t="shared" si="26"/>
        <v>0.13703899600903977</v>
      </c>
      <c r="AC19" s="3203">
        <f t="shared" si="26"/>
        <v>0.14557485525227462</v>
      </c>
      <c r="AD19" s="3204">
        <f t="shared" si="26"/>
        <v>0.16490545050055616</v>
      </c>
      <c r="AE19" s="3203">
        <f t="shared" si="26"/>
        <v>0.17729617337758408</v>
      </c>
      <c r="AF19" s="3203">
        <f t="shared" si="26"/>
        <v>0.20116337462336792</v>
      </c>
      <c r="AG19" s="3203">
        <f t="shared" si="26"/>
        <v>0.21628079426546923</v>
      </c>
      <c r="AH19" s="3204">
        <f t="shared" si="26"/>
        <v>0.22105155482815056</v>
      </c>
      <c r="AI19" s="3416">
        <f t="shared" ref="AI19:BB19" si="27">AI17/AI6</f>
        <v>0.22558048012593468</v>
      </c>
      <c r="AJ19" s="3416">
        <f t="shared" si="27"/>
        <v>0.25564119972842364</v>
      </c>
      <c r="AK19" s="3416">
        <f t="shared" si="27"/>
        <v>0.28333531110320004</v>
      </c>
      <c r="AL19" s="3417">
        <f t="shared" si="27"/>
        <v>0.31357118717713511</v>
      </c>
      <c r="AM19" s="3416">
        <f t="shared" si="27"/>
        <v>0.32865327200839184</v>
      </c>
      <c r="AN19" s="3416">
        <f t="shared" si="27"/>
        <v>0.33434518647007805</v>
      </c>
      <c r="AO19" s="3416">
        <f t="shared" si="27"/>
        <v>0.28852189508294723</v>
      </c>
      <c r="AP19" s="3416">
        <f t="shared" si="27"/>
        <v>0.30288527280185973</v>
      </c>
      <c r="AQ19" s="3416">
        <f t="shared" si="27"/>
        <v>0.27080016757436115</v>
      </c>
      <c r="AR19" s="3416">
        <f t="shared" si="27"/>
        <v>0.3035616687921297</v>
      </c>
      <c r="AS19" s="3416">
        <f t="shared" si="27"/>
        <v>0.37206552947137306</v>
      </c>
      <c r="AT19" s="3417">
        <f t="shared" si="27"/>
        <v>0.37536163273894063</v>
      </c>
      <c r="AU19" s="3418">
        <f t="shared" si="27"/>
        <v>0.4032902209357711</v>
      </c>
      <c r="AV19" s="3416">
        <f t="shared" si="27"/>
        <v>0.43702417137067595</v>
      </c>
      <c r="AW19" s="3416">
        <f t="shared" si="27"/>
        <v>0.45161892901618927</v>
      </c>
      <c r="AX19" s="3417">
        <f t="shared" si="27"/>
        <v>0.48593097384040451</v>
      </c>
      <c r="AY19" s="3418">
        <f t="shared" si="27"/>
        <v>0.50541507089050652</v>
      </c>
      <c r="AZ19" s="3419">
        <f t="shared" si="27"/>
        <v>0.53214753602741105</v>
      </c>
      <c r="BA19" s="3419">
        <f t="shared" si="27"/>
        <v>0.55939014894632411</v>
      </c>
      <c r="BB19" s="3420">
        <f t="shared" si="27"/>
        <v>0.58056475784824102</v>
      </c>
      <c r="BC19" s="3419">
        <f t="shared" ref="BC19:BI19" si="28">BC17/BC6</f>
        <v>0.59173079131733086</v>
      </c>
      <c r="BD19" s="3419">
        <f t="shared" si="28"/>
        <v>0.62344621177379256</v>
      </c>
      <c r="BE19" s="3419">
        <f t="shared" si="28"/>
        <v>0.65279535986374204</v>
      </c>
      <c r="BF19" s="3420">
        <f t="shared" si="28"/>
        <v>0.65189549869507901</v>
      </c>
      <c r="BG19" s="3419">
        <f t="shared" si="28"/>
        <v>0.66789517666973797</v>
      </c>
      <c r="BH19" s="3419">
        <f t="shared" si="28"/>
        <v>0.69122304005477575</v>
      </c>
      <c r="BI19" s="3419">
        <f t="shared" si="28"/>
        <v>0.71951759684303773</v>
      </c>
      <c r="BJ19" s="3419">
        <f t="shared" ref="BJ19:BK19" si="29">BJ17/BJ6</f>
        <v>0.71601524376074732</v>
      </c>
      <c r="BK19" s="3419">
        <f t="shared" si="29"/>
        <v>0.72056252092711781</v>
      </c>
      <c r="BL19" s="3508">
        <f>BL17/BL6</f>
        <v>0.72541176470588231</v>
      </c>
      <c r="BM19" s="3234"/>
      <c r="BN19" s="3207">
        <f t="shared" ref="BN19:BT19" si="30">BN17/BN6</f>
        <v>0.13879301481927533</v>
      </c>
      <c r="BO19" s="3207">
        <f t="shared" si="30"/>
        <v>0.14193731071331839</v>
      </c>
      <c r="BP19" s="3207">
        <f t="shared" si="30"/>
        <v>0.20287713925224574</v>
      </c>
      <c r="BQ19" s="3205">
        <f t="shared" si="30"/>
        <v>0.26742220793629395</v>
      </c>
      <c r="BR19" s="3207">
        <f t="shared" si="30"/>
        <v>0.30851815228139567</v>
      </c>
      <c r="BS19" s="3207">
        <f t="shared" si="30"/>
        <v>0.33746376622359175</v>
      </c>
      <c r="BT19" s="3207">
        <f t="shared" si="30"/>
        <v>0.44430607330188365</v>
      </c>
      <c r="BU19" s="3207">
        <f>BU17/BU6</f>
        <v>0.54253885425587711</v>
      </c>
      <c r="BV19" s="3207">
        <f>BV17/BV6</f>
        <v>0.62919434714337485</v>
      </c>
      <c r="BW19" s="3207">
        <f>BW17/BW6</f>
        <v>0.69865722407002429</v>
      </c>
    </row>
    <row r="20" spans="1:75" ht="12.75" hidden="1" customHeight="1">
      <c r="A20" s="62" t="s">
        <v>990</v>
      </c>
      <c r="B20" s="12"/>
      <c r="C20" s="59"/>
      <c r="D20" s="27"/>
      <c r="E20" s="27"/>
      <c r="F20" s="27"/>
      <c r="G20" s="27"/>
      <c r="H20" s="27"/>
      <c r="I20" s="27"/>
      <c r="J20" s="27"/>
      <c r="K20" s="27"/>
      <c r="L20" s="27"/>
      <c r="M20" s="1"/>
      <c r="N20" s="1"/>
      <c r="O20" s="1"/>
      <c r="P20" s="1"/>
      <c r="Q20" s="1"/>
      <c r="R20" s="1"/>
      <c r="S20" s="1"/>
      <c r="T20" s="1"/>
      <c r="U20" s="1"/>
      <c r="V20" s="102"/>
      <c r="BL20" s="3496"/>
    </row>
    <row r="21" spans="1:75" hidden="1">
      <c r="A21" s="63" t="s">
        <v>968</v>
      </c>
      <c r="B21" s="12"/>
      <c r="C21" s="59"/>
      <c r="D21" s="59"/>
      <c r="E21" s="59"/>
      <c r="F21" s="59"/>
      <c r="G21" s="59"/>
      <c r="H21" s="59"/>
      <c r="I21" s="59"/>
      <c r="J21" s="59"/>
      <c r="K21" s="59"/>
      <c r="L21" s="59" t="s">
        <v>991</v>
      </c>
      <c r="M21" s="1" t="s">
        <v>992</v>
      </c>
      <c r="N21" s="1" t="s">
        <v>993</v>
      </c>
      <c r="O21" s="1" t="s">
        <v>994</v>
      </c>
      <c r="P21" s="1" t="s">
        <v>995</v>
      </c>
      <c r="Q21" s="1" t="s">
        <v>996</v>
      </c>
      <c r="R21" s="1"/>
      <c r="S21" s="1" t="s">
        <v>997</v>
      </c>
      <c r="T21" s="1" t="s">
        <v>998</v>
      </c>
      <c r="U21" s="1" t="s">
        <v>997</v>
      </c>
      <c r="V21" s="102" t="s">
        <v>997</v>
      </c>
      <c r="W21" s="376" t="s">
        <v>999</v>
      </c>
      <c r="X21" s="133" t="s">
        <v>997</v>
      </c>
      <c r="Y21" s="654" t="s">
        <v>1000</v>
      </c>
      <c r="Z21" s="136" t="s">
        <v>1001</v>
      </c>
      <c r="AA21" s="133" t="s">
        <v>1003</v>
      </c>
      <c r="AB21" s="133" t="s">
        <v>1004</v>
      </c>
      <c r="AC21" s="133" t="s">
        <v>1005</v>
      </c>
      <c r="AD21" s="136" t="s">
        <v>1104</v>
      </c>
      <c r="BN21" s="159" t="s">
        <v>1002</v>
      </c>
      <c r="BO21" s="159" t="s">
        <v>1105</v>
      </c>
    </row>
    <row r="22" spans="1:75" hidden="1">
      <c r="A22" s="63" t="s">
        <v>874</v>
      </c>
      <c r="B22" s="12"/>
      <c r="C22" s="59"/>
      <c r="D22" s="59"/>
      <c r="E22" s="59"/>
      <c r="F22" s="59"/>
      <c r="G22" s="59"/>
      <c r="H22" s="59"/>
      <c r="I22" s="59"/>
      <c r="J22" s="59"/>
      <c r="K22" s="59"/>
      <c r="L22" s="59" t="s">
        <v>1006</v>
      </c>
      <c r="M22" s="1" t="s">
        <v>1007</v>
      </c>
      <c r="N22" s="1" t="s">
        <v>1055</v>
      </c>
      <c r="O22" s="1" t="s">
        <v>1106</v>
      </c>
      <c r="P22" s="1" t="s">
        <v>1107</v>
      </c>
      <c r="Q22" s="1" t="s">
        <v>1108</v>
      </c>
      <c r="R22" s="1"/>
      <c r="S22" s="1" t="s">
        <v>1109</v>
      </c>
      <c r="T22" s="1" t="s">
        <v>1110</v>
      </c>
      <c r="U22" s="1" t="s">
        <v>1111</v>
      </c>
      <c r="V22" s="102" t="s">
        <v>1112</v>
      </c>
      <c r="W22" s="376" t="s">
        <v>1113</v>
      </c>
      <c r="X22" s="133" t="s">
        <v>1114</v>
      </c>
      <c r="Y22" s="133" t="s">
        <v>1115</v>
      </c>
      <c r="Z22" s="136" t="s">
        <v>1116</v>
      </c>
      <c r="AA22" s="133" t="s">
        <v>1009</v>
      </c>
      <c r="AB22" s="133" t="s">
        <v>1010</v>
      </c>
      <c r="AC22" s="133" t="s">
        <v>1011</v>
      </c>
      <c r="AD22" s="136" t="s">
        <v>1117</v>
      </c>
      <c r="BN22" s="159" t="s">
        <v>1008</v>
      </c>
      <c r="BO22" s="159" t="s">
        <v>1118</v>
      </c>
    </row>
    <row r="23" spans="1:75">
      <c r="A23" s="64"/>
      <c r="B23" s="83"/>
      <c r="AQ23" s="211"/>
      <c r="AR23" s="211"/>
      <c r="AS23" s="211"/>
      <c r="AT23" s="446"/>
      <c r="AU23" s="447"/>
      <c r="AV23" s="211"/>
      <c r="AW23" s="211"/>
      <c r="AX23" s="446"/>
      <c r="AY23" s="447"/>
      <c r="AZ23" s="82"/>
      <c r="BA23" s="82"/>
      <c r="BB23" s="1513"/>
      <c r="BC23" s="82"/>
      <c r="BD23" s="3317">
        <f>BA30*1.02</f>
        <v>7487.82</v>
      </c>
      <c r="BE23" s="3317">
        <f>BB30*1.02</f>
        <v>4879.68</v>
      </c>
      <c r="BF23" s="3395"/>
      <c r="BG23" s="82"/>
      <c r="BH23" s="82"/>
      <c r="BI23" s="82"/>
      <c r="BJ23" s="82"/>
      <c r="BK23" s="82"/>
      <c r="BL23" s="82"/>
      <c r="BM23" s="1513"/>
    </row>
    <row r="24" spans="1:75" s="3190" customFormat="1" ht="15.5" customHeight="1">
      <c r="A24" s="3188" t="s">
        <v>251</v>
      </c>
      <c r="B24" s="3185"/>
      <c r="C24" s="3185"/>
      <c r="D24" s="3186"/>
      <c r="E24" s="3186"/>
      <c r="F24" s="3186"/>
      <c r="G24" s="3186"/>
      <c r="H24" s="3186"/>
      <c r="I24" s="3186"/>
      <c r="J24" s="3186"/>
      <c r="K24" s="3186"/>
      <c r="L24" s="3186"/>
      <c r="M24" s="3186"/>
      <c r="N24" s="3186"/>
      <c r="O24" s="3186"/>
      <c r="P24" s="3186"/>
      <c r="Q24" s="3186"/>
      <c r="R24" s="3186"/>
      <c r="S24" s="3186"/>
      <c r="T24" s="3186"/>
      <c r="U24" s="3186"/>
      <c r="V24" s="3187"/>
      <c r="W24" s="3179"/>
      <c r="X24" s="3179"/>
      <c r="Y24" s="3179"/>
      <c r="Z24" s="3180"/>
      <c r="AA24" s="3179"/>
      <c r="AB24" s="3179"/>
      <c r="AC24" s="3179"/>
      <c r="AD24" s="3180"/>
      <c r="AE24" s="3179"/>
      <c r="AF24" s="3179"/>
      <c r="AG24" s="3179"/>
      <c r="AH24" s="3180"/>
      <c r="AI24" s="3179"/>
      <c r="AJ24" s="3179"/>
      <c r="AK24" s="3179"/>
      <c r="AL24" s="3180"/>
      <c r="AM24" s="3179"/>
      <c r="AN24" s="3179"/>
      <c r="AO24" s="3179"/>
      <c r="AP24" s="3179"/>
      <c r="AQ24" s="3179"/>
      <c r="AR24" s="3179"/>
      <c r="AS24" s="3179"/>
      <c r="AT24" s="3180"/>
      <c r="AU24" s="3181"/>
      <c r="AV24" s="3182"/>
      <c r="AW24" s="3183"/>
      <c r="AX24" s="3184"/>
      <c r="AY24" s="3266"/>
      <c r="AZ24" s="3183"/>
      <c r="BA24" s="3183"/>
      <c r="BB24" s="3184"/>
      <c r="BC24" s="3183"/>
      <c r="BD24" s="3183"/>
      <c r="BE24" s="3183"/>
      <c r="BF24" s="3184"/>
      <c r="BG24" s="3183"/>
      <c r="BH24" s="3183"/>
      <c r="BI24" s="3183"/>
      <c r="BJ24" s="3183"/>
      <c r="BK24" s="3183"/>
      <c r="BL24" s="3183"/>
      <c r="BM24" s="3408"/>
      <c r="BN24" s="3189"/>
      <c r="BO24" s="3189"/>
      <c r="BP24" s="3189"/>
      <c r="BR24" s="3191"/>
      <c r="BS24" s="3191"/>
      <c r="BT24" s="3191"/>
    </row>
    <row r="25" spans="1:75" s="424" customFormat="1" hidden="1">
      <c r="A25" s="422" t="s">
        <v>487</v>
      </c>
      <c r="B25" s="427"/>
      <c r="C25" s="427"/>
      <c r="D25" s="427"/>
      <c r="E25" s="427"/>
      <c r="F25" s="427"/>
      <c r="G25" s="427"/>
      <c r="H25" s="427"/>
      <c r="I25" s="427"/>
      <c r="J25" s="427"/>
      <c r="K25" s="427"/>
      <c r="L25" s="427" t="s">
        <v>140</v>
      </c>
      <c r="M25" s="426" t="s">
        <v>140</v>
      </c>
      <c r="N25" s="427">
        <f>N$30*N127</f>
        <v>3136.0391999999997</v>
      </c>
      <c r="O25" s="427">
        <f>O$30*O127</f>
        <v>3893.1074400000002</v>
      </c>
      <c r="P25" s="426" t="s">
        <v>140</v>
      </c>
      <c r="Q25" s="426" t="s">
        <v>140</v>
      </c>
      <c r="R25" s="426"/>
      <c r="S25" s="426"/>
      <c r="T25" s="426"/>
      <c r="U25" s="426"/>
      <c r="V25" s="432" t="s">
        <v>140</v>
      </c>
      <c r="W25" s="376"/>
      <c r="Z25" s="425"/>
      <c r="AD25" s="425"/>
      <c r="AH25" s="425"/>
      <c r="AL25" s="425"/>
      <c r="AT25" s="425"/>
      <c r="AU25" s="423"/>
      <c r="AX25" s="425"/>
      <c r="AY25" s="423"/>
      <c r="AZ25" s="217"/>
      <c r="BA25" s="217"/>
      <c r="BB25" s="3106"/>
      <c r="BC25" s="217"/>
      <c r="BD25" s="217"/>
      <c r="BE25" s="217"/>
      <c r="BF25" s="3106"/>
      <c r="BG25" s="217"/>
      <c r="BH25" s="3109"/>
      <c r="BI25" s="3109"/>
      <c r="BJ25" s="3109"/>
      <c r="BK25" s="3109"/>
      <c r="BL25" s="3109"/>
      <c r="BM25" s="3106"/>
      <c r="BN25" s="442"/>
      <c r="BO25" s="442"/>
      <c r="BP25" s="442"/>
      <c r="BR25" s="442"/>
      <c r="BS25" s="442"/>
      <c r="BT25" s="442"/>
      <c r="BW25" s="2059"/>
    </row>
    <row r="26" spans="1:75" s="424" customFormat="1" hidden="1">
      <c r="A26" s="422" t="s">
        <v>488</v>
      </c>
      <c r="B26" s="427"/>
      <c r="C26" s="427"/>
      <c r="D26" s="427"/>
      <c r="E26" s="427"/>
      <c r="F26" s="427"/>
      <c r="G26" s="427"/>
      <c r="H26" s="427"/>
      <c r="I26" s="427"/>
      <c r="J26" s="427"/>
      <c r="K26" s="427"/>
      <c r="L26" s="427" t="s">
        <v>140</v>
      </c>
      <c r="M26" s="426" t="s">
        <v>140</v>
      </c>
      <c r="N26" s="427">
        <f>N$30*N128</f>
        <v>479.11709999999999</v>
      </c>
      <c r="O26" s="427">
        <f>O$30*O128</f>
        <v>420.87648000000002</v>
      </c>
      <c r="P26" s="426" t="s">
        <v>140</v>
      </c>
      <c r="Q26" s="426" t="s">
        <v>140</v>
      </c>
      <c r="R26" s="426"/>
      <c r="S26" s="426"/>
      <c r="T26" s="426"/>
      <c r="U26" s="426"/>
      <c r="V26" s="432" t="s">
        <v>140</v>
      </c>
      <c r="W26" s="376"/>
      <c r="Z26" s="425"/>
      <c r="AD26" s="425"/>
      <c r="AH26" s="425"/>
      <c r="AL26" s="425"/>
      <c r="AT26" s="425"/>
      <c r="AU26" s="423"/>
      <c r="AX26" s="425"/>
      <c r="AY26" s="423"/>
      <c r="AZ26" s="217"/>
      <c r="BA26" s="217"/>
      <c r="BB26" s="3106"/>
      <c r="BC26" s="217"/>
      <c r="BD26" s="217"/>
      <c r="BE26" s="217"/>
      <c r="BF26" s="3106"/>
      <c r="BG26" s="217"/>
      <c r="BH26" s="3109"/>
      <c r="BI26" s="3109"/>
      <c r="BJ26" s="3109"/>
      <c r="BK26" s="3109"/>
      <c r="BL26" s="3109"/>
      <c r="BM26" s="3106"/>
      <c r="BN26" s="442"/>
      <c r="BO26" s="442"/>
      <c r="BP26" s="442"/>
      <c r="BR26" s="442"/>
      <c r="BS26" s="442"/>
      <c r="BT26" s="442"/>
      <c r="BW26" s="2059"/>
    </row>
    <row r="27" spans="1:75" s="424" customFormat="1" hidden="1">
      <c r="A27" s="422" t="s">
        <v>489</v>
      </c>
      <c r="B27" s="427"/>
      <c r="C27" s="427"/>
      <c r="D27" s="427"/>
      <c r="E27" s="427"/>
      <c r="F27" s="427"/>
      <c r="G27" s="427"/>
      <c r="H27" s="427"/>
      <c r="I27" s="427"/>
      <c r="J27" s="427"/>
      <c r="K27" s="427"/>
      <c r="L27" s="427" t="s">
        <v>140</v>
      </c>
      <c r="M27" s="426" t="s">
        <v>140</v>
      </c>
      <c r="N27" s="426" t="s">
        <v>140</v>
      </c>
      <c r="O27" s="426" t="s">
        <v>140</v>
      </c>
      <c r="P27" s="426" t="s">
        <v>140</v>
      </c>
      <c r="Q27" s="426" t="s">
        <v>140</v>
      </c>
      <c r="R27" s="426"/>
      <c r="S27" s="426"/>
      <c r="T27" s="426"/>
      <c r="U27" s="426"/>
      <c r="V27" s="432" t="s">
        <v>140</v>
      </c>
      <c r="W27" s="376"/>
      <c r="Z27" s="425"/>
      <c r="AD27" s="425"/>
      <c r="AH27" s="425"/>
      <c r="AL27" s="425"/>
      <c r="AT27" s="425"/>
      <c r="AU27" s="423"/>
      <c r="AX27" s="425"/>
      <c r="AY27" s="423"/>
      <c r="AZ27" s="217"/>
      <c r="BA27" s="217"/>
      <c r="BB27" s="3106"/>
      <c r="BC27" s="217"/>
      <c r="BD27" s="217"/>
      <c r="BE27" s="217"/>
      <c r="BF27" s="3106"/>
      <c r="BG27" s="217"/>
      <c r="BH27" s="3109"/>
      <c r="BI27" s="3109"/>
      <c r="BJ27" s="3109"/>
      <c r="BK27" s="3109"/>
      <c r="BL27" s="3109"/>
      <c r="BM27" s="3106"/>
      <c r="BN27" s="442"/>
      <c r="BO27" s="442"/>
      <c r="BP27" s="442"/>
      <c r="BR27" s="442"/>
      <c r="BS27" s="442"/>
      <c r="BT27" s="442"/>
      <c r="BW27" s="2059"/>
    </row>
    <row r="28" spans="1:75" s="424" customFormat="1" hidden="1">
      <c r="A28" s="422" t="s">
        <v>490</v>
      </c>
      <c r="B28" s="427"/>
      <c r="C28" s="427"/>
      <c r="D28" s="427"/>
      <c r="E28" s="427"/>
      <c r="F28" s="427"/>
      <c r="G28" s="427"/>
      <c r="H28" s="427"/>
      <c r="I28" s="427"/>
      <c r="J28" s="427"/>
      <c r="K28" s="427"/>
      <c r="L28" s="427" t="s">
        <v>140</v>
      </c>
      <c r="M28" s="426" t="s">
        <v>140</v>
      </c>
      <c r="N28" s="426" t="s">
        <v>140</v>
      </c>
      <c r="O28" s="426" t="s">
        <v>140</v>
      </c>
      <c r="P28" s="426" t="s">
        <v>140</v>
      </c>
      <c r="Q28" s="426" t="s">
        <v>140</v>
      </c>
      <c r="R28" s="426"/>
      <c r="S28" s="426"/>
      <c r="T28" s="426"/>
      <c r="U28" s="426"/>
      <c r="V28" s="432" t="s">
        <v>140</v>
      </c>
      <c r="W28" s="376"/>
      <c r="Z28" s="425"/>
      <c r="AD28" s="425"/>
      <c r="AH28" s="425"/>
      <c r="AL28" s="425"/>
      <c r="AT28" s="425"/>
      <c r="AU28" s="423"/>
      <c r="AX28" s="425"/>
      <c r="AY28" s="423"/>
      <c r="AZ28" s="217"/>
      <c r="BA28" s="217"/>
      <c r="BB28" s="3106"/>
      <c r="BC28" s="217"/>
      <c r="BD28" s="217"/>
      <c r="BE28" s="217"/>
      <c r="BF28" s="3106"/>
      <c r="BG28" s="217"/>
      <c r="BH28" s="3109"/>
      <c r="BI28" s="3109"/>
      <c r="BJ28" s="3109"/>
      <c r="BK28" s="3109"/>
      <c r="BL28" s="3109"/>
      <c r="BM28" s="3106"/>
      <c r="BN28" s="442"/>
      <c r="BO28" s="442"/>
      <c r="BP28" s="442"/>
      <c r="BR28" s="442"/>
      <c r="BS28" s="442"/>
      <c r="BT28" s="442"/>
      <c r="BW28" s="2059"/>
    </row>
    <row r="29" spans="1:75" s="424" customFormat="1" hidden="1">
      <c r="A29" s="422" t="s">
        <v>491</v>
      </c>
      <c r="B29" s="427"/>
      <c r="C29" s="427"/>
      <c r="D29" s="427"/>
      <c r="E29" s="427"/>
      <c r="F29" s="427"/>
      <c r="G29" s="427"/>
      <c r="H29" s="427"/>
      <c r="I29" s="427"/>
      <c r="J29" s="427"/>
      <c r="K29" s="427"/>
      <c r="L29" s="427" t="s">
        <v>140</v>
      </c>
      <c r="M29" s="426" t="s">
        <v>140</v>
      </c>
      <c r="N29" s="427">
        <f>N$30*N131</f>
        <v>740.45370000000003</v>
      </c>
      <c r="O29" s="427">
        <f>O$30*O131</f>
        <v>946.97208000000001</v>
      </c>
      <c r="P29" s="426" t="s">
        <v>140</v>
      </c>
      <c r="Q29" s="426" t="s">
        <v>140</v>
      </c>
      <c r="R29" s="426"/>
      <c r="S29" s="426"/>
      <c r="T29" s="426"/>
      <c r="U29" s="426"/>
      <c r="V29" s="432" t="s">
        <v>140</v>
      </c>
      <c r="W29" s="376"/>
      <c r="Z29" s="425"/>
      <c r="AD29" s="425"/>
      <c r="AH29" s="425"/>
      <c r="AL29" s="425"/>
      <c r="AT29" s="425"/>
      <c r="AU29" s="423"/>
      <c r="AX29" s="425"/>
      <c r="AY29" s="423"/>
      <c r="AZ29" s="217"/>
      <c r="BA29" s="217"/>
      <c r="BB29" s="3106"/>
      <c r="BC29" s="217"/>
      <c r="BD29" s="217"/>
      <c r="BE29" s="217"/>
      <c r="BF29" s="3106"/>
      <c r="BG29" s="217"/>
      <c r="BH29" s="3109"/>
      <c r="BI29" s="3109"/>
      <c r="BJ29" s="3109"/>
      <c r="BK29" s="3109"/>
      <c r="BL29" s="3109"/>
      <c r="BM29" s="3106"/>
      <c r="BN29" s="442"/>
      <c r="BO29" s="442"/>
      <c r="BP29" s="442"/>
      <c r="BR29" s="442"/>
      <c r="BS29" s="442"/>
      <c r="BT29" s="442"/>
      <c r="BW29" s="2059"/>
    </row>
    <row r="30" spans="1:75" s="1787" customFormat="1">
      <c r="A30" s="422" t="s">
        <v>500</v>
      </c>
      <c r="B30" s="1786">
        <v>482.41</v>
      </c>
      <c r="C30" s="1786">
        <v>1235.396</v>
      </c>
      <c r="D30" s="1786">
        <v>1171.7529999999999</v>
      </c>
      <c r="E30" s="1786">
        <v>1003.606</v>
      </c>
      <c r="F30" s="1786">
        <v>863.66099999999994</v>
      </c>
      <c r="G30" s="1786">
        <v>914.37199999999996</v>
      </c>
      <c r="H30" s="1786">
        <v>962.66</v>
      </c>
      <c r="I30" s="1786">
        <v>1123.1030000000001</v>
      </c>
      <c r="J30" s="1786">
        <v>1409.4090000000001</v>
      </c>
      <c r="K30" s="1786">
        <v>1884.806</v>
      </c>
      <c r="L30" s="1786">
        <v>2338.212</v>
      </c>
      <c r="M30" s="1786">
        <v>3084.9050000000002</v>
      </c>
      <c r="N30" s="1786">
        <v>4355.6099999999997</v>
      </c>
      <c r="O30" s="1786">
        <v>5260.9560000000001</v>
      </c>
      <c r="P30" s="1786">
        <v>6793.3059999999996</v>
      </c>
      <c r="Q30" s="1787">
        <v>8441.9709999999995</v>
      </c>
      <c r="R30" s="1787">
        <v>1840.694</v>
      </c>
      <c r="S30" s="1787">
        <v>2280.3969999999999</v>
      </c>
      <c r="T30" s="1787">
        <v>3102.9009999999998</v>
      </c>
      <c r="U30" s="1787">
        <v>1999.9949999999999</v>
      </c>
      <c r="V30" s="1788">
        <v>9223.9869999999992</v>
      </c>
      <c r="W30" s="1775">
        <v>2148.1190000000001</v>
      </c>
      <c r="X30" s="1787">
        <v>2555.902</v>
      </c>
      <c r="Y30" s="1787">
        <v>3690.5520000000001</v>
      </c>
      <c r="Z30" s="1788">
        <v>2348.433</v>
      </c>
      <c r="AA30" s="1775">
        <v>2419.404</v>
      </c>
      <c r="AB30" s="1787">
        <v>3024.556</v>
      </c>
      <c r="AC30" s="1787">
        <v>4434.0290000000005</v>
      </c>
      <c r="AD30" s="1788">
        <v>2803.0929999999998</v>
      </c>
      <c r="AE30" s="1775">
        <v>2928.201</v>
      </c>
      <c r="AF30" s="1775">
        <v>3537.0940000000001</v>
      </c>
      <c r="AG30" s="1787">
        <v>4849</v>
      </c>
      <c r="AH30" s="1788">
        <v>3213</v>
      </c>
      <c r="AI30" s="1921">
        <v>2837</v>
      </c>
      <c r="AJ30" s="1921">
        <v>3850</v>
      </c>
      <c r="AK30" s="2060">
        <v>5040</v>
      </c>
      <c r="AL30" s="2061">
        <v>3339</v>
      </c>
      <c r="AM30" s="2060">
        <v>2288</v>
      </c>
      <c r="AN30" s="2060">
        <v>630</v>
      </c>
      <c r="AO30" s="2060">
        <v>2640</v>
      </c>
      <c r="AP30" s="2060">
        <v>1238</v>
      </c>
      <c r="AQ30" s="2060">
        <v>1141</v>
      </c>
      <c r="AR30" s="2060">
        <v>2160</v>
      </c>
      <c r="AS30" s="2060">
        <v>4676</v>
      </c>
      <c r="AT30" s="2061">
        <v>2981</v>
      </c>
      <c r="AU30" s="2821">
        <v>2695</v>
      </c>
      <c r="AV30" s="2060">
        <v>4294</v>
      </c>
      <c r="AW30" s="2060">
        <v>6052</v>
      </c>
      <c r="AX30" s="2061">
        <v>4049</v>
      </c>
      <c r="AY30" s="2821">
        <v>3778</v>
      </c>
      <c r="AZ30" s="3107">
        <v>5462</v>
      </c>
      <c r="BA30" s="3107">
        <v>7341</v>
      </c>
      <c r="BB30" s="3108">
        <v>4784</v>
      </c>
      <c r="BC30" s="3107">
        <v>4415</v>
      </c>
      <c r="BD30" s="3107">
        <v>5859</v>
      </c>
      <c r="BE30" s="3107">
        <v>7994</v>
      </c>
      <c r="BF30" s="3108">
        <v>5471</v>
      </c>
      <c r="BG30" s="3107">
        <v>4762</v>
      </c>
      <c r="BH30" s="3107">
        <v>6798</v>
      </c>
      <c r="BI30" s="3107">
        <v>9008</v>
      </c>
      <c r="BJ30" s="3107">
        <v>6349</v>
      </c>
      <c r="BK30" s="3107">
        <v>5532</v>
      </c>
      <c r="BL30" s="3107">
        <v>7352</v>
      </c>
      <c r="BM30" s="3107"/>
      <c r="BN30" s="1776">
        <f>SUM(W30:Z30)</f>
        <v>10743.006000000001</v>
      </c>
      <c r="BO30" s="1776">
        <f>SUM(AA30:AD30)</f>
        <v>12681.082000000002</v>
      </c>
      <c r="BP30" s="1776">
        <f>SUM(AE30:AH30)</f>
        <v>14527.295</v>
      </c>
      <c r="BQ30" s="1787">
        <f>SUM(AI30:AL30)</f>
        <v>15066</v>
      </c>
      <c r="BR30" s="1789">
        <f>SUM(AM30:AP30)</f>
        <v>6796</v>
      </c>
      <c r="BS30" s="1789">
        <v>10958</v>
      </c>
      <c r="BT30" s="1789">
        <f>SUM(AU30:AX30)</f>
        <v>17090</v>
      </c>
      <c r="BU30" s="1787">
        <v>21365</v>
      </c>
      <c r="BV30" s="1921">
        <v>23739</v>
      </c>
      <c r="BW30" s="2060">
        <f>SUM(BG30:BJ30)</f>
        <v>26917</v>
      </c>
    </row>
    <row r="31" spans="1:75" s="1787" customFormat="1" ht="12">
      <c r="A31" s="1756" t="s">
        <v>2829</v>
      </c>
      <c r="B31" s="1786"/>
      <c r="C31" s="1786"/>
      <c r="D31" s="1790"/>
      <c r="E31" s="1790"/>
      <c r="F31" s="1790"/>
      <c r="G31" s="1790"/>
      <c r="H31" s="1790"/>
      <c r="I31" s="1790"/>
      <c r="J31" s="1790"/>
      <c r="K31" s="1790"/>
      <c r="L31" s="1790"/>
      <c r="M31" s="1790"/>
      <c r="N31" s="1790"/>
      <c r="O31" s="1790"/>
      <c r="P31" s="1790"/>
      <c r="Q31" s="1790"/>
      <c r="R31" s="1790"/>
      <c r="S31" s="1790"/>
      <c r="T31" s="1790"/>
      <c r="U31" s="1790"/>
      <c r="V31" s="1791"/>
      <c r="W31" s="1775">
        <v>0</v>
      </c>
      <c r="X31" s="1787">
        <v>0</v>
      </c>
      <c r="Y31" s="1787">
        <v>0</v>
      </c>
      <c r="Z31" s="1788">
        <v>0</v>
      </c>
      <c r="AA31" s="1787">
        <v>0</v>
      </c>
      <c r="AB31" s="1787">
        <v>0</v>
      </c>
      <c r="AC31" s="1787">
        <v>0</v>
      </c>
      <c r="AD31" s="1788">
        <v>0</v>
      </c>
      <c r="AE31" s="1787">
        <v>0</v>
      </c>
      <c r="AF31" s="1787">
        <v>0</v>
      </c>
      <c r="AG31" s="1787">
        <v>0</v>
      </c>
      <c r="AH31" s="1788">
        <v>0</v>
      </c>
      <c r="AI31" s="1921">
        <v>0</v>
      </c>
      <c r="AJ31" s="1921">
        <v>0</v>
      </c>
      <c r="AK31" s="2060">
        <v>0</v>
      </c>
      <c r="AL31" s="2061">
        <v>0</v>
      </c>
      <c r="AM31" s="2060">
        <v>0</v>
      </c>
      <c r="AN31" s="2060">
        <v>0</v>
      </c>
      <c r="AO31" s="2060">
        <v>0</v>
      </c>
      <c r="AP31" s="2060">
        <v>0</v>
      </c>
      <c r="AQ31" s="2060">
        <v>0</v>
      </c>
      <c r="AR31" s="2060"/>
      <c r="AS31" s="2060"/>
      <c r="AT31" s="2061"/>
      <c r="AU31" s="2821"/>
      <c r="AV31" s="2060"/>
      <c r="AW31" s="2060"/>
      <c r="AX31" s="2061"/>
      <c r="AY31" s="2821"/>
      <c r="AZ31" s="3107"/>
      <c r="BA31" s="3107"/>
      <c r="BB31" s="3108"/>
      <c r="BC31" s="1855"/>
      <c r="BD31" s="1855"/>
      <c r="BE31" s="1855"/>
      <c r="BF31" s="3166">
        <f t="shared" ref="BF31:BK31" si="31">BF30/BB30-1</f>
        <v>0.14360367892976589</v>
      </c>
      <c r="BG31" s="1855">
        <f t="shared" si="31"/>
        <v>7.859569648924114E-2</v>
      </c>
      <c r="BH31" s="1855">
        <f t="shared" si="31"/>
        <v>0.1602662570404505</v>
      </c>
      <c r="BI31" s="3480">
        <f t="shared" si="31"/>
        <v>0.12684513385038776</v>
      </c>
      <c r="BJ31" s="3480">
        <f t="shared" si="31"/>
        <v>0.16048254432462072</v>
      </c>
      <c r="BK31" s="3480">
        <f t="shared" si="31"/>
        <v>0.16169676606467864</v>
      </c>
      <c r="BL31" s="3480">
        <f>BL30/BH30-1</f>
        <v>8.1494557222712594E-2</v>
      </c>
      <c r="BM31" s="3166"/>
      <c r="BN31" s="1789">
        <v>0</v>
      </c>
      <c r="BO31" s="1789"/>
      <c r="BP31" s="1776"/>
      <c r="BR31" s="1789"/>
      <c r="BS31" s="1789"/>
      <c r="BT31" s="1789"/>
      <c r="BV31" s="1921"/>
      <c r="BW31" s="2060"/>
    </row>
    <row r="32" spans="1:75" s="2060" customFormat="1">
      <c r="A32" s="434" t="s">
        <v>501</v>
      </c>
      <c r="B32" s="1786"/>
      <c r="C32" s="1786"/>
      <c r="D32" s="1833"/>
      <c r="E32" s="1833"/>
      <c r="F32" s="1833"/>
      <c r="G32" s="1833"/>
      <c r="H32" s="1833"/>
      <c r="I32" s="1833"/>
      <c r="J32" s="1833"/>
      <c r="K32" s="1833"/>
      <c r="L32" s="1833"/>
      <c r="M32" s="1833"/>
      <c r="N32" s="1833"/>
      <c r="O32" s="1833"/>
      <c r="P32" s="1833"/>
      <c r="Q32" s="1833"/>
      <c r="R32" s="1833"/>
      <c r="S32" s="1833"/>
      <c r="T32" s="1833"/>
      <c r="U32" s="1833"/>
      <c r="V32" s="1834"/>
      <c r="W32" s="1775"/>
      <c r="Z32" s="2061"/>
      <c r="AD32" s="2061"/>
      <c r="AH32" s="2061"/>
      <c r="AL32" s="2061"/>
      <c r="AT32" s="2061"/>
      <c r="AU32" s="2839"/>
      <c r="AX32" s="2061"/>
      <c r="AY32" s="2839"/>
      <c r="AZ32" s="3107"/>
      <c r="BA32" s="3107"/>
      <c r="BB32" s="3108"/>
      <c r="BC32" s="1855"/>
      <c r="BD32" s="1855"/>
      <c r="BE32" s="1855"/>
      <c r="BF32" s="3166"/>
      <c r="BG32" s="1855"/>
      <c r="BH32" s="1855"/>
      <c r="BI32" s="1855"/>
      <c r="BJ32" s="1855"/>
      <c r="BK32" s="1855"/>
      <c r="BL32" s="1855"/>
      <c r="BM32" s="1855"/>
      <c r="BN32" s="1789"/>
      <c r="BO32" s="1789"/>
      <c r="BP32" s="1776"/>
      <c r="BR32" s="1789"/>
      <c r="BS32" s="1789"/>
      <c r="BT32" s="1789"/>
    </row>
    <row r="33" spans="1:75" s="424" customFormat="1">
      <c r="A33" s="435" t="s">
        <v>54</v>
      </c>
      <c r="B33" s="427">
        <f>B30+B31</f>
        <v>482.41</v>
      </c>
      <c r="C33" s="427">
        <f t="shared" ref="C33:K33" si="32">SUM(C30:C31)</f>
        <v>1235.396</v>
      </c>
      <c r="D33" s="427">
        <f t="shared" si="32"/>
        <v>1171.7529999999999</v>
      </c>
      <c r="E33" s="427">
        <f t="shared" si="32"/>
        <v>1003.606</v>
      </c>
      <c r="F33" s="427">
        <f t="shared" si="32"/>
        <v>863.66099999999994</v>
      </c>
      <c r="G33" s="427">
        <f t="shared" si="32"/>
        <v>914.37199999999996</v>
      </c>
      <c r="H33" s="427">
        <f t="shared" si="32"/>
        <v>962.66</v>
      </c>
      <c r="I33" s="427">
        <f t="shared" si="32"/>
        <v>1123.1030000000001</v>
      </c>
      <c r="J33" s="427">
        <f t="shared" si="32"/>
        <v>1409.4090000000001</v>
      </c>
      <c r="K33" s="427">
        <f t="shared" si="32"/>
        <v>1884.806</v>
      </c>
      <c r="L33" s="427">
        <f>L30+L31</f>
        <v>2338.212</v>
      </c>
      <c r="M33" s="427">
        <f>M30+M31</f>
        <v>3084.9050000000002</v>
      </c>
      <c r="N33" s="427">
        <f>N30+N31</f>
        <v>4355.6099999999997</v>
      </c>
      <c r="O33" s="427">
        <v>5260.9560000000001</v>
      </c>
      <c r="P33" s="427">
        <v>6793.3059999999996</v>
      </c>
      <c r="Q33" s="424">
        <v>8441.9709999999995</v>
      </c>
      <c r="R33" s="424">
        <v>1840.694</v>
      </c>
      <c r="S33" s="424">
        <v>2280.3969999999999</v>
      </c>
      <c r="T33" s="424">
        <v>3102.9009999999998</v>
      </c>
      <c r="U33" s="424">
        <v>1999.9949999999999</v>
      </c>
      <c r="V33" s="425">
        <v>9223.9869999999992</v>
      </c>
      <c r="W33" s="376">
        <v>2148.1190000000001</v>
      </c>
      <c r="X33" s="424">
        <f t="shared" ref="X33:AF33" si="33">X30</f>
        <v>2555.902</v>
      </c>
      <c r="Y33" s="424">
        <f t="shared" si="33"/>
        <v>3690.5520000000001</v>
      </c>
      <c r="Z33" s="425">
        <f t="shared" si="33"/>
        <v>2348.433</v>
      </c>
      <c r="AA33" s="376">
        <f t="shared" si="33"/>
        <v>2419.404</v>
      </c>
      <c r="AB33" s="424">
        <f t="shared" si="33"/>
        <v>3024.556</v>
      </c>
      <c r="AC33" s="424">
        <f t="shared" si="33"/>
        <v>4434.0290000000005</v>
      </c>
      <c r="AD33" s="425">
        <f t="shared" si="33"/>
        <v>2803.0929999999998</v>
      </c>
      <c r="AE33" s="376">
        <f t="shared" si="33"/>
        <v>2928.201</v>
      </c>
      <c r="AF33" s="376">
        <f t="shared" si="33"/>
        <v>3537.0940000000001</v>
      </c>
      <c r="AG33" s="424">
        <v>4849</v>
      </c>
      <c r="AH33" s="425">
        <v>3213</v>
      </c>
      <c r="AI33" s="424">
        <f t="shared" ref="AI33:AN33" si="34">AI30+AI31</f>
        <v>2837</v>
      </c>
      <c r="AJ33" s="424">
        <f t="shared" si="34"/>
        <v>3850</v>
      </c>
      <c r="AK33" s="2059">
        <f t="shared" si="34"/>
        <v>5040</v>
      </c>
      <c r="AL33" s="2069">
        <f t="shared" si="34"/>
        <v>3339</v>
      </c>
      <c r="AM33" s="2059">
        <f t="shared" si="34"/>
        <v>2288</v>
      </c>
      <c r="AN33" s="2059">
        <f t="shared" si="34"/>
        <v>630</v>
      </c>
      <c r="AO33" s="2059">
        <f t="shared" ref="AO33:AT33" si="35">AO30+AO31</f>
        <v>2640</v>
      </c>
      <c r="AP33" s="2059">
        <f t="shared" si="35"/>
        <v>1238</v>
      </c>
      <c r="AQ33" s="2059">
        <f t="shared" si="35"/>
        <v>1141</v>
      </c>
      <c r="AR33" s="2059">
        <f t="shared" si="35"/>
        <v>2160</v>
      </c>
      <c r="AS33" s="2059">
        <f t="shared" si="35"/>
        <v>4676</v>
      </c>
      <c r="AT33" s="2069">
        <f t="shared" si="35"/>
        <v>2981</v>
      </c>
      <c r="AU33" s="2822">
        <f t="shared" ref="AU33:BA33" si="36">AU30+AU31</f>
        <v>2695</v>
      </c>
      <c r="AV33" s="2059">
        <f t="shared" si="36"/>
        <v>4294</v>
      </c>
      <c r="AW33" s="2059">
        <f t="shared" si="36"/>
        <v>6052</v>
      </c>
      <c r="AX33" s="2069">
        <f t="shared" si="36"/>
        <v>4049</v>
      </c>
      <c r="AY33" s="2822">
        <f t="shared" si="36"/>
        <v>3778</v>
      </c>
      <c r="AZ33" s="3109">
        <f t="shared" si="36"/>
        <v>5462</v>
      </c>
      <c r="BA33" s="3109">
        <f t="shared" si="36"/>
        <v>7341</v>
      </c>
      <c r="BB33" s="3268">
        <f>BB30+BB31</f>
        <v>4784</v>
      </c>
      <c r="BC33" s="3109">
        <f>BC30+BC31</f>
        <v>4415</v>
      </c>
      <c r="BD33" s="3109">
        <f>BD30+BD31</f>
        <v>5859</v>
      </c>
      <c r="BE33" s="3109">
        <f>BE30+BE31</f>
        <v>7994</v>
      </c>
      <c r="BF33" s="3268">
        <f>BF30+BF31</f>
        <v>5471.14360367893</v>
      </c>
      <c r="BG33" s="3109">
        <f t="shared" ref="BG33:BL33" si="37">BG30+BG32</f>
        <v>4762</v>
      </c>
      <c r="BH33" s="3109">
        <f t="shared" si="37"/>
        <v>6798</v>
      </c>
      <c r="BI33" s="3109">
        <f t="shared" si="37"/>
        <v>9008</v>
      </c>
      <c r="BJ33" s="3109">
        <f t="shared" si="37"/>
        <v>6349</v>
      </c>
      <c r="BK33" s="3109">
        <f t="shared" si="37"/>
        <v>5532</v>
      </c>
      <c r="BL33" s="3509">
        <f t="shared" si="37"/>
        <v>7352</v>
      </c>
      <c r="BM33" s="3109"/>
      <c r="BN33" s="77">
        <f>SUM(W33:Z33)</f>
        <v>10743.006000000001</v>
      </c>
      <c r="BO33" s="77">
        <f>SUM(AA33:AD33)</f>
        <v>12681.082000000002</v>
      </c>
      <c r="BP33" s="77">
        <f>SUM(AE33:AH33)</f>
        <v>14527.295</v>
      </c>
      <c r="BQ33" s="47">
        <f>SUM(AI33:AL33)</f>
        <v>15066</v>
      </c>
      <c r="BR33" s="77">
        <f>SUM(AM33:AP33)</f>
        <v>6796</v>
      </c>
      <c r="BS33" s="77">
        <f>SUM(BS30:BS31)</f>
        <v>10958</v>
      </c>
      <c r="BT33" s="77">
        <f>SUM(BT30:BT31)</f>
        <v>17090</v>
      </c>
      <c r="BU33" s="1921">
        <v>21365</v>
      </c>
      <c r="BV33" s="77">
        <f>SUM(BV30:BV31)</f>
        <v>23739</v>
      </c>
      <c r="BW33" s="77">
        <f>SUM(BW30:BW31)</f>
        <v>26917</v>
      </c>
    </row>
    <row r="34" spans="1:75" s="1787" customFormat="1">
      <c r="A34" s="422" t="s">
        <v>55</v>
      </c>
      <c r="B34" s="1786">
        <v>-424.57900000000001</v>
      </c>
      <c r="C34" s="1786">
        <v>-1043.2270000000001</v>
      </c>
      <c r="D34" s="1787">
        <v>-978.84699999999998</v>
      </c>
      <c r="E34" s="1787">
        <v>-845.24</v>
      </c>
      <c r="F34" s="1787">
        <v>-717.71600000000001</v>
      </c>
      <c r="G34" s="1787">
        <v>-716.21699999999998</v>
      </c>
      <c r="H34" s="1787">
        <v>-694.79700000000003</v>
      </c>
      <c r="I34" s="1787">
        <v>-722.00400000000002</v>
      </c>
      <c r="J34" s="1787">
        <v>-769.99699999999996</v>
      </c>
      <c r="K34" s="1787">
        <v>-928.83500000000004</v>
      </c>
      <c r="L34" s="1787">
        <v>-1077.4490000000001</v>
      </c>
      <c r="M34" s="1787">
        <v>-1175.934</v>
      </c>
      <c r="N34" s="1787">
        <v>-1275.73</v>
      </c>
      <c r="O34" s="1787">
        <v>-1177.2750000000001</v>
      </c>
      <c r="P34" s="1787">
        <v>-1077.42</v>
      </c>
      <c r="Q34" s="1787">
        <v>-857.84100000000001</v>
      </c>
      <c r="R34" s="1787">
        <v>-168.458</v>
      </c>
      <c r="S34" s="1787">
        <v>-187.49100000000001</v>
      </c>
      <c r="T34" s="1787">
        <v>-155.619</v>
      </c>
      <c r="U34" s="1787">
        <v>120.61199999999999</v>
      </c>
      <c r="V34" s="1788">
        <v>-632.17999999999995</v>
      </c>
      <c r="W34" s="1775">
        <v>128.66900000000001</v>
      </c>
      <c r="X34" s="1787">
        <v>126.084</v>
      </c>
      <c r="Y34" s="1787">
        <v>101.489</v>
      </c>
      <c r="Z34" s="1788">
        <v>72.072000000000003</v>
      </c>
      <c r="AA34" s="1787">
        <v>85.168999999999997</v>
      </c>
      <c r="AB34" s="1787">
        <v>72.742000000000004</v>
      </c>
      <c r="AC34" s="1787">
        <v>59.475999999999999</v>
      </c>
      <c r="AD34" s="1788">
        <v>33.15</v>
      </c>
      <c r="AE34" s="1787">
        <v>0</v>
      </c>
      <c r="AF34" s="1787">
        <v>0</v>
      </c>
      <c r="AG34" s="1787">
        <v>0</v>
      </c>
      <c r="AH34" s="1788">
        <v>0</v>
      </c>
      <c r="AI34" s="1921">
        <v>0</v>
      </c>
      <c r="AJ34" s="1921">
        <v>0</v>
      </c>
      <c r="AK34" s="2060">
        <v>0</v>
      </c>
      <c r="AL34" s="2061">
        <v>0</v>
      </c>
      <c r="AM34" s="2060">
        <v>0</v>
      </c>
      <c r="AN34" s="2060">
        <v>0</v>
      </c>
      <c r="AO34" s="2060">
        <v>0</v>
      </c>
      <c r="AP34" s="2060">
        <v>0</v>
      </c>
      <c r="AQ34" s="2060">
        <v>0</v>
      </c>
      <c r="AR34" s="2060"/>
      <c r="AS34" s="2060"/>
      <c r="AT34" s="2061"/>
      <c r="AU34" s="2821"/>
      <c r="AV34" s="2060"/>
      <c r="AW34" s="2060"/>
      <c r="AX34" s="2061"/>
      <c r="AY34" s="2821"/>
      <c r="AZ34" s="3107"/>
      <c r="BA34" s="3107"/>
      <c r="BB34" s="3108"/>
      <c r="BC34" s="3107"/>
      <c r="BD34" s="3107"/>
      <c r="BE34" s="3107"/>
      <c r="BF34" s="3108"/>
      <c r="BG34" s="3107"/>
      <c r="BH34" s="3107"/>
      <c r="BI34" s="3107"/>
      <c r="BJ34" s="3107"/>
      <c r="BK34" s="3107"/>
      <c r="BL34" s="3107"/>
      <c r="BM34" s="3107"/>
      <c r="BN34" s="1776">
        <f>SUM(W34:Z34)</f>
        <v>428.31400000000002</v>
      </c>
      <c r="BO34" s="1776">
        <f>SUM(AA34:AD34)</f>
        <v>250.53700000000001</v>
      </c>
      <c r="BP34" s="1776">
        <f>SUM(AE34:AH34)</f>
        <v>0</v>
      </c>
      <c r="BR34" s="1789"/>
      <c r="BS34" s="1789"/>
      <c r="BT34" s="1789"/>
      <c r="BV34" s="1789"/>
      <c r="BW34" s="1789"/>
    </row>
    <row r="35" spans="1:75" s="424" customFormat="1">
      <c r="A35" s="435" t="s">
        <v>1401</v>
      </c>
      <c r="B35" s="427">
        <f>B30+B34</f>
        <v>57.831000000000017</v>
      </c>
      <c r="C35" s="427">
        <f t="shared" ref="C35:K35" si="38">SUM(C33:C34)</f>
        <v>192.16899999999987</v>
      </c>
      <c r="D35" s="427">
        <f t="shared" si="38"/>
        <v>192.90599999999995</v>
      </c>
      <c r="E35" s="427">
        <f t="shared" si="38"/>
        <v>158.36599999999999</v>
      </c>
      <c r="F35" s="427">
        <f t="shared" si="38"/>
        <v>145.94499999999994</v>
      </c>
      <c r="G35" s="427">
        <f t="shared" si="38"/>
        <v>198.15499999999997</v>
      </c>
      <c r="H35" s="427">
        <f t="shared" si="38"/>
        <v>267.86299999999994</v>
      </c>
      <c r="I35" s="427">
        <f t="shared" si="38"/>
        <v>401.09900000000005</v>
      </c>
      <c r="J35" s="427">
        <f t="shared" si="38"/>
        <v>639.41200000000015</v>
      </c>
      <c r="K35" s="427">
        <f t="shared" si="38"/>
        <v>955.971</v>
      </c>
      <c r="L35" s="427">
        <f>L30+L34</f>
        <v>1260.7629999999999</v>
      </c>
      <c r="M35" s="424">
        <f>M30+M34</f>
        <v>1908.9710000000002</v>
      </c>
      <c r="N35" s="424">
        <f>N30+N34</f>
        <v>3079.8799999999997</v>
      </c>
      <c r="O35" s="424">
        <f>O33+O34</f>
        <v>4083.681</v>
      </c>
      <c r="P35" s="424">
        <v>5715.8860000000004</v>
      </c>
      <c r="Q35" s="424">
        <v>7584.13</v>
      </c>
      <c r="R35" s="424">
        <v>1672.2360000000001</v>
      </c>
      <c r="S35" s="424">
        <v>2092.9059999999999</v>
      </c>
      <c r="T35" s="424">
        <v>2947.2820000000002</v>
      </c>
      <c r="U35" s="424">
        <v>1879.383</v>
      </c>
      <c r="V35" s="425">
        <v>8591.8070000000007</v>
      </c>
      <c r="W35" s="424">
        <f t="shared" ref="W35:AE35" si="39">W33-W34</f>
        <v>2019.45</v>
      </c>
      <c r="X35" s="424">
        <f t="shared" si="39"/>
        <v>2429.8180000000002</v>
      </c>
      <c r="Y35" s="424">
        <f t="shared" si="39"/>
        <v>3589.0630000000001</v>
      </c>
      <c r="Z35" s="425">
        <f t="shared" si="39"/>
        <v>2276.3609999999999</v>
      </c>
      <c r="AA35" s="424">
        <f t="shared" si="39"/>
        <v>2334.2350000000001</v>
      </c>
      <c r="AB35" s="424">
        <f t="shared" si="39"/>
        <v>2951.8139999999999</v>
      </c>
      <c r="AC35" s="424">
        <f t="shared" si="39"/>
        <v>4374.5530000000008</v>
      </c>
      <c r="AD35" s="425">
        <f t="shared" si="39"/>
        <v>2769.9429999999998</v>
      </c>
      <c r="AE35" s="424">
        <f t="shared" si="39"/>
        <v>2928.201</v>
      </c>
      <c r="AF35" s="424">
        <f t="shared" ref="AF35:AL35" si="40">AF33-AF34</f>
        <v>3537.0940000000001</v>
      </c>
      <c r="AG35" s="424">
        <f t="shared" si="40"/>
        <v>4849</v>
      </c>
      <c r="AH35" s="425">
        <f t="shared" si="40"/>
        <v>3213</v>
      </c>
      <c r="AI35" s="424">
        <f t="shared" si="40"/>
        <v>2837</v>
      </c>
      <c r="AJ35" s="424">
        <f t="shared" si="40"/>
        <v>3850</v>
      </c>
      <c r="AK35" s="2059">
        <f t="shared" si="40"/>
        <v>5040</v>
      </c>
      <c r="AL35" s="2069">
        <f t="shared" si="40"/>
        <v>3339</v>
      </c>
      <c r="AM35" s="2059">
        <f>AM33-AM34</f>
        <v>2288</v>
      </c>
      <c r="AN35" s="2059">
        <f>AN33-AN34</f>
        <v>630</v>
      </c>
      <c r="AO35" s="2059">
        <f t="shared" ref="AO35:AT35" si="41">AO33-AO34</f>
        <v>2640</v>
      </c>
      <c r="AP35" s="2059">
        <f t="shared" si="41"/>
        <v>1238</v>
      </c>
      <c r="AQ35" s="2059">
        <f t="shared" si="41"/>
        <v>1141</v>
      </c>
      <c r="AR35" s="2059">
        <f t="shared" si="41"/>
        <v>2160</v>
      </c>
      <c r="AS35" s="2059">
        <f t="shared" si="41"/>
        <v>4676</v>
      </c>
      <c r="AT35" s="2069">
        <f t="shared" si="41"/>
        <v>2981</v>
      </c>
      <c r="AU35" s="2822">
        <f t="shared" ref="AU35:BA35" si="42">AU33-AU34</f>
        <v>2695</v>
      </c>
      <c r="AV35" s="2059">
        <f t="shared" si="42"/>
        <v>4294</v>
      </c>
      <c r="AW35" s="2059">
        <f t="shared" si="42"/>
        <v>6052</v>
      </c>
      <c r="AX35" s="2069">
        <f t="shared" si="42"/>
        <v>4049</v>
      </c>
      <c r="AY35" s="2822">
        <f t="shared" si="42"/>
        <v>3778</v>
      </c>
      <c r="AZ35" s="3109">
        <f t="shared" si="42"/>
        <v>5462</v>
      </c>
      <c r="BA35" s="3109">
        <f t="shared" si="42"/>
        <v>7341</v>
      </c>
      <c r="BB35" s="3268">
        <f t="shared" ref="BB35:BG35" si="43">BB33-BB34</f>
        <v>4784</v>
      </c>
      <c r="BC35" s="3109">
        <f t="shared" si="43"/>
        <v>4415</v>
      </c>
      <c r="BD35" s="3109">
        <f t="shared" si="43"/>
        <v>5859</v>
      </c>
      <c r="BE35" s="3109">
        <f t="shared" si="43"/>
        <v>7994</v>
      </c>
      <c r="BF35" s="3268">
        <f t="shared" si="43"/>
        <v>5471.14360367893</v>
      </c>
      <c r="BG35" s="3109">
        <f t="shared" si="43"/>
        <v>4762</v>
      </c>
      <c r="BH35" s="3109">
        <f>BH33-BH34</f>
        <v>6798</v>
      </c>
      <c r="BI35" s="3109">
        <f>BI33-BI34</f>
        <v>9008</v>
      </c>
      <c r="BJ35" s="3109">
        <f>BJ33-BJ34</f>
        <v>6349</v>
      </c>
      <c r="BK35" s="3109">
        <f>BK33-BK34</f>
        <v>5532</v>
      </c>
      <c r="BL35" s="3509">
        <f>BL33-BL34</f>
        <v>7352</v>
      </c>
      <c r="BM35" s="3109"/>
      <c r="BN35" s="77">
        <f>SUM(W35:Z35)</f>
        <v>10314.691999999999</v>
      </c>
      <c r="BO35" s="77">
        <f>SUM(AA35:AD35)</f>
        <v>12430.545</v>
      </c>
      <c r="BP35" s="77">
        <f>SUM(AE35:AH35)</f>
        <v>14527.295</v>
      </c>
      <c r="BQ35" s="424">
        <f>SUM(AI35:AL35)</f>
        <v>15066</v>
      </c>
      <c r="BR35" s="442">
        <f>SUM(AM35:AP35)</f>
        <v>6796</v>
      </c>
      <c r="BS35" s="442">
        <f>BS33</f>
        <v>10958</v>
      </c>
      <c r="BT35" s="442">
        <f>BT33</f>
        <v>17090</v>
      </c>
      <c r="BU35" s="1921">
        <v>21365</v>
      </c>
      <c r="BV35" s="442">
        <f>BV33</f>
        <v>23739</v>
      </c>
      <c r="BW35" s="442">
        <f>BW33</f>
        <v>26917</v>
      </c>
    </row>
    <row r="36" spans="1:75" s="211" customFormat="1" hidden="1">
      <c r="A36" s="67" t="s">
        <v>1016</v>
      </c>
      <c r="B36" s="444">
        <f t="shared" ref="B36:AB36" si="44">B35/B33</f>
        <v>0.11987935573474848</v>
      </c>
      <c r="C36" s="444">
        <f t="shared" si="44"/>
        <v>0.15555255157050846</v>
      </c>
      <c r="D36" s="444">
        <f t="shared" si="44"/>
        <v>0.16463025910750811</v>
      </c>
      <c r="E36" s="444">
        <f t="shared" si="44"/>
        <v>0.157796984075424</v>
      </c>
      <c r="F36" s="444">
        <f t="shared" si="44"/>
        <v>0.16898412687385439</v>
      </c>
      <c r="G36" s="444">
        <f t="shared" si="44"/>
        <v>0.21671157909472291</v>
      </c>
      <c r="H36" s="444">
        <f t="shared" si="44"/>
        <v>0.27825296574075992</v>
      </c>
      <c r="I36" s="444">
        <f t="shared" si="44"/>
        <v>0.35713465283237605</v>
      </c>
      <c r="J36" s="444">
        <f t="shared" si="44"/>
        <v>0.45367384485270074</v>
      </c>
      <c r="K36" s="444">
        <f t="shared" si="44"/>
        <v>0.50719861884989759</v>
      </c>
      <c r="L36" s="444">
        <f t="shared" si="44"/>
        <v>0.53919961064266198</v>
      </c>
      <c r="M36" s="211">
        <f t="shared" si="44"/>
        <v>0.61881030372086021</v>
      </c>
      <c r="N36" s="211">
        <f t="shared" si="44"/>
        <v>0.70710646729160775</v>
      </c>
      <c r="O36" s="211">
        <f t="shared" si="44"/>
        <v>0.77622413112749844</v>
      </c>
      <c r="P36" s="211">
        <f t="shared" si="44"/>
        <v>0.84139975440529258</v>
      </c>
      <c r="Q36" s="211">
        <f t="shared" si="44"/>
        <v>0.89838380160273001</v>
      </c>
      <c r="R36" s="211">
        <f t="shared" si="44"/>
        <v>0.90848125761261789</v>
      </c>
      <c r="S36" s="211">
        <f t="shared" si="44"/>
        <v>0.91778142139285401</v>
      </c>
      <c r="T36" s="211">
        <f t="shared" si="44"/>
        <v>0.9498472558421942</v>
      </c>
      <c r="U36" s="211">
        <f t="shared" si="44"/>
        <v>0.93969384923462318</v>
      </c>
      <c r="V36" s="446">
        <f t="shared" si="44"/>
        <v>0.93146347669397211</v>
      </c>
      <c r="W36" s="211">
        <f t="shared" si="44"/>
        <v>0.94010154930895351</v>
      </c>
      <c r="X36" s="211">
        <f t="shared" si="44"/>
        <v>0.95066947011270386</v>
      </c>
      <c r="Y36" s="211">
        <f t="shared" si="44"/>
        <v>0.97250031973536755</v>
      </c>
      <c r="Z36" s="446">
        <f t="shared" si="44"/>
        <v>0.96931059987659851</v>
      </c>
      <c r="AA36" s="211">
        <f t="shared" si="44"/>
        <v>0.96479752864755131</v>
      </c>
      <c r="AB36" s="211">
        <f t="shared" si="44"/>
        <v>0.97594952779846023</v>
      </c>
      <c r="AC36" s="211">
        <f>AC35/AC33</f>
        <v>0.986586465717748</v>
      </c>
      <c r="AD36" s="446">
        <f>AD35/AD33</f>
        <v>0.98817377803733231</v>
      </c>
      <c r="AE36" s="211">
        <f>AE35/AE33</f>
        <v>1</v>
      </c>
      <c r="AF36" s="211">
        <f>AF35/AF33</f>
        <v>1</v>
      </c>
      <c r="AG36" s="211">
        <f>AG35/AG33</f>
        <v>1</v>
      </c>
      <c r="AH36" s="446"/>
      <c r="AL36" s="446"/>
      <c r="AT36" s="446"/>
      <c r="AU36" s="447"/>
      <c r="AX36" s="446"/>
      <c r="AY36" s="447"/>
      <c r="AZ36" s="82"/>
      <c r="BA36" s="82"/>
      <c r="BB36" s="1513"/>
      <c r="BC36" s="82"/>
      <c r="BD36" s="82"/>
      <c r="BE36" s="82"/>
      <c r="BF36" s="1513"/>
      <c r="BG36" s="82"/>
      <c r="BH36" s="82"/>
      <c r="BI36" s="82"/>
      <c r="BJ36" s="82"/>
      <c r="BK36" s="82"/>
      <c r="BL36" s="82"/>
      <c r="BM36" s="82"/>
      <c r="BN36" s="451">
        <f>BN35/BN33</f>
        <v>0.96013089818622444</v>
      </c>
      <c r="BO36" s="451">
        <f>BO35/BO33</f>
        <v>0.9802432473822027</v>
      </c>
      <c r="BP36" s="451"/>
      <c r="BR36" s="451"/>
      <c r="BS36" s="451"/>
      <c r="BT36" s="451"/>
    </row>
    <row r="37" spans="1:75" s="211" customFormat="1">
      <c r="A37" s="67"/>
      <c r="B37" s="444"/>
      <c r="C37" s="444"/>
      <c r="D37" s="444"/>
      <c r="E37" s="444"/>
      <c r="F37" s="444"/>
      <c r="G37" s="444"/>
      <c r="H37" s="444"/>
      <c r="I37" s="444"/>
      <c r="J37" s="444"/>
      <c r="K37" s="444"/>
      <c r="L37" s="444"/>
      <c r="V37" s="446"/>
      <c r="Z37" s="446"/>
      <c r="AD37" s="446"/>
      <c r="AH37" s="446"/>
      <c r="AL37" s="446"/>
      <c r="AT37" s="446"/>
      <c r="AU37" s="447"/>
      <c r="AX37" s="446"/>
      <c r="AY37" s="447"/>
      <c r="AZ37" s="82"/>
      <c r="BA37" s="82"/>
      <c r="BB37" s="1513"/>
      <c r="BC37" s="82"/>
      <c r="BD37" s="82"/>
      <c r="BE37" s="82"/>
      <c r="BF37" s="1513"/>
      <c r="BG37" s="82"/>
      <c r="BH37" s="82"/>
      <c r="BI37" s="82"/>
      <c r="BJ37" s="82"/>
      <c r="BK37" s="82"/>
      <c r="BL37" s="82"/>
      <c r="BM37" s="82"/>
      <c r="BN37" s="451"/>
      <c r="BO37" s="451"/>
      <c r="BP37" s="451"/>
      <c r="BR37" s="451"/>
      <c r="BS37" s="451"/>
      <c r="BT37" s="451"/>
    </row>
    <row r="38" spans="1:75" s="211" customFormat="1">
      <c r="A38" s="3192" t="s">
        <v>1342</v>
      </c>
      <c r="B38" s="3193"/>
      <c r="C38" s="3193"/>
      <c r="D38" s="3193"/>
      <c r="E38" s="3193"/>
      <c r="F38" s="3193"/>
      <c r="G38" s="3193"/>
      <c r="H38" s="3193"/>
      <c r="I38" s="3193"/>
      <c r="J38" s="3193"/>
      <c r="K38" s="3193"/>
      <c r="L38" s="3193"/>
      <c r="M38" s="3194"/>
      <c r="N38" s="3194"/>
      <c r="O38" s="3194"/>
      <c r="P38" s="3194"/>
      <c r="Q38" s="3194"/>
      <c r="R38" s="3194"/>
      <c r="S38" s="3194"/>
      <c r="T38" s="3194"/>
      <c r="U38" s="3194"/>
      <c r="V38" s="3195"/>
      <c r="W38" s="3194"/>
      <c r="X38" s="3194"/>
      <c r="Y38" s="3194"/>
      <c r="Z38" s="3195"/>
      <c r="AA38" s="3194"/>
      <c r="AB38" s="3194"/>
      <c r="AC38" s="3194"/>
      <c r="AD38" s="3195"/>
      <c r="AE38" s="3194"/>
      <c r="AF38" s="3194"/>
      <c r="AG38" s="3194"/>
      <c r="AH38" s="3195"/>
      <c r="AI38" s="3194"/>
      <c r="AJ38" s="3194"/>
      <c r="AK38" s="3194"/>
      <c r="AL38" s="3195"/>
      <c r="AM38" s="3194"/>
      <c r="AN38" s="3194"/>
      <c r="AO38" s="3194"/>
      <c r="AP38" s="3194"/>
      <c r="AQ38" s="3194"/>
      <c r="AR38" s="3194"/>
      <c r="AS38" s="3194"/>
      <c r="AT38" s="3195"/>
      <c r="AU38" s="3208"/>
      <c r="AV38" s="3194"/>
      <c r="AW38" s="3194"/>
      <c r="AX38" s="3195"/>
      <c r="AY38" s="3208"/>
      <c r="AZ38" s="3214"/>
      <c r="BA38" s="3214"/>
      <c r="BB38" s="3209"/>
      <c r="BC38" s="3214"/>
      <c r="BD38" s="3214"/>
      <c r="BE38" s="3214"/>
      <c r="BF38" s="3209"/>
      <c r="BG38" s="3214"/>
      <c r="BH38" s="3214"/>
      <c r="BI38" s="3214"/>
      <c r="BJ38" s="3214"/>
      <c r="BK38" s="3214"/>
      <c r="BL38" s="3214"/>
      <c r="BM38" s="1513"/>
      <c r="BN38" s="3210"/>
      <c r="BO38" s="3210"/>
      <c r="BP38" s="3210"/>
      <c r="BQ38" s="3194"/>
      <c r="BR38" s="3210"/>
      <c r="BS38" s="3210"/>
      <c r="BT38" s="3210"/>
      <c r="BU38" s="3194"/>
      <c r="BV38" s="3194"/>
      <c r="BW38" s="3194"/>
    </row>
    <row r="39" spans="1:75" s="1773" customFormat="1">
      <c r="A39" s="62" t="s">
        <v>1408</v>
      </c>
      <c r="B39" s="1771"/>
      <c r="C39" s="1772"/>
      <c r="R39" s="1773">
        <v>1199.348</v>
      </c>
      <c r="S39" s="1773">
        <v>1582.153</v>
      </c>
      <c r="T39" s="1773">
        <v>2345.6729999999998</v>
      </c>
      <c r="U39" s="1773">
        <v>1400.7239999999999</v>
      </c>
      <c r="V39" s="1774">
        <v>6527.8980000000001</v>
      </c>
      <c r="W39" s="1775">
        <v>1500.029</v>
      </c>
      <c r="X39" s="1773">
        <v>1852.961</v>
      </c>
      <c r="Y39" s="1773">
        <v>2892.4490000000001</v>
      </c>
      <c r="Z39" s="1774">
        <v>1736.6769999999999</v>
      </c>
      <c r="AA39" s="1773">
        <v>1785.3130000000001</v>
      </c>
      <c r="AB39" s="1773">
        <v>2332.3710000000001</v>
      </c>
      <c r="AC39" s="1773">
        <v>3523.7060000000001</v>
      </c>
      <c r="AD39" s="1774">
        <v>2072.7359999999999</v>
      </c>
      <c r="AE39" s="1773">
        <v>2113.3389999999999</v>
      </c>
      <c r="AF39" s="1773">
        <v>2566.2930000000001</v>
      </c>
      <c r="AG39" s="1773">
        <v>3540.8739999999998</v>
      </c>
      <c r="AH39" s="1774">
        <v>2259</v>
      </c>
      <c r="AI39" s="1773">
        <v>1949</v>
      </c>
      <c r="AJ39" s="1773">
        <v>2607</v>
      </c>
      <c r="AK39" s="1773">
        <v>3435</v>
      </c>
      <c r="AL39" s="1774">
        <v>2126</v>
      </c>
      <c r="AM39" s="1773">
        <v>1424</v>
      </c>
      <c r="AN39" s="1773">
        <v>357</v>
      </c>
      <c r="AO39" s="1773">
        <v>1723</v>
      </c>
      <c r="AP39" s="1773">
        <v>810</v>
      </c>
      <c r="AQ39" s="1773">
        <v>717</v>
      </c>
      <c r="AR39" s="1773">
        <v>1328</v>
      </c>
      <c r="AS39" s="1773">
        <v>2867</v>
      </c>
      <c r="AT39" s="1774">
        <v>1751</v>
      </c>
      <c r="AU39" s="1837">
        <v>1450</v>
      </c>
      <c r="AV39" s="1773">
        <v>2301</v>
      </c>
      <c r="AW39" s="1773">
        <v>3203</v>
      </c>
      <c r="AX39" s="1774">
        <v>2049</v>
      </c>
      <c r="AY39" s="1837">
        <v>1782</v>
      </c>
      <c r="AZ39" s="3103">
        <v>2429</v>
      </c>
      <c r="BA39" s="3103">
        <v>3135</v>
      </c>
      <c r="BB39" s="3100">
        <v>2068</v>
      </c>
      <c r="BC39" s="3103">
        <v>1763</v>
      </c>
      <c r="BD39" s="3103">
        <v>2144</v>
      </c>
      <c r="BE39" s="3103">
        <v>2753</v>
      </c>
      <c r="BF39" s="3100">
        <v>1864</v>
      </c>
      <c r="BG39" s="3103">
        <v>1564</v>
      </c>
      <c r="BH39" s="3103">
        <v>2044</v>
      </c>
      <c r="BI39" s="3103">
        <v>2569</v>
      </c>
      <c r="BJ39" s="3103">
        <v>1791</v>
      </c>
      <c r="BK39" s="3103">
        <v>1528</v>
      </c>
      <c r="BL39" s="3103">
        <v>1903</v>
      </c>
      <c r="BM39" s="3103"/>
      <c r="BN39" s="1776">
        <v>7982.116</v>
      </c>
      <c r="BO39" s="1776">
        <v>9714.1260000000002</v>
      </c>
      <c r="BP39" s="1776">
        <f>SUM(AE39:AH39)</f>
        <v>10479.505999999999</v>
      </c>
      <c r="BQ39" s="1773">
        <f>SUM(AI39:AL39)</f>
        <v>10117</v>
      </c>
      <c r="BR39" s="1776">
        <v>4314</v>
      </c>
      <c r="BS39" s="1776">
        <f>SUM(AQ39:AT39)</f>
        <v>6663</v>
      </c>
      <c r="BT39" s="1776">
        <f>SUM(AU39:AX39)</f>
        <v>9003</v>
      </c>
      <c r="BU39" s="1773">
        <v>9414</v>
      </c>
      <c r="BV39" s="1773">
        <v>8524</v>
      </c>
      <c r="BW39" s="2060">
        <f>SUM(BG39:BJ39)</f>
        <v>7968</v>
      </c>
    </row>
    <row r="40" spans="1:75" s="987" customFormat="1" ht="12">
      <c r="A40" s="1756" t="s">
        <v>1332</v>
      </c>
      <c r="B40" s="1474"/>
      <c r="C40" s="1474"/>
      <c r="D40" s="1474"/>
      <c r="E40" s="1474"/>
      <c r="F40" s="1474"/>
      <c r="G40" s="1474"/>
      <c r="H40" s="1474"/>
      <c r="I40" s="1474"/>
      <c r="J40" s="1474"/>
      <c r="K40" s="1474"/>
      <c r="L40" s="1474"/>
      <c r="V40" s="468"/>
      <c r="W40" s="987">
        <f>W39/R39-1</f>
        <v>0.25070371568552252</v>
      </c>
      <c r="X40" s="987">
        <f>X39/S39-1</f>
        <v>0.17116423000809666</v>
      </c>
      <c r="Y40" s="987">
        <f>Y39/T39-1</f>
        <v>0.23309983957695746</v>
      </c>
      <c r="Z40" s="468">
        <f>Z39/U39-1</f>
        <v>0.23984239578960587</v>
      </c>
      <c r="AA40" s="987">
        <f t="shared" ref="AA40:BE40" si="45">AA39/W39-1</f>
        <v>0.19018565641064278</v>
      </c>
      <c r="AB40" s="987">
        <f t="shared" si="45"/>
        <v>0.2587264383869925</v>
      </c>
      <c r="AC40" s="987">
        <f t="shared" si="45"/>
        <v>0.21824308743213794</v>
      </c>
      <c r="AD40" s="468">
        <f t="shared" si="45"/>
        <v>0.19350691003566012</v>
      </c>
      <c r="AE40" s="987">
        <f t="shared" si="45"/>
        <v>0.18373584912001406</v>
      </c>
      <c r="AF40" s="987">
        <f t="shared" si="45"/>
        <v>0.10029364968094701</v>
      </c>
      <c r="AG40" s="987">
        <f t="shared" si="45"/>
        <v>4.8721431356644196E-3</v>
      </c>
      <c r="AH40" s="468">
        <f t="shared" si="45"/>
        <v>8.9863832152285772E-2</v>
      </c>
      <c r="AI40" s="987">
        <f t="shared" si="45"/>
        <v>-7.7762725241903863E-2</v>
      </c>
      <c r="AJ40" s="987">
        <f t="shared" si="45"/>
        <v>1.586217941599033E-2</v>
      </c>
      <c r="AK40" s="987">
        <f t="shared" si="45"/>
        <v>-2.9900527383917019E-2</v>
      </c>
      <c r="AL40" s="468">
        <f t="shared" si="45"/>
        <v>-5.8875608676405511E-2</v>
      </c>
      <c r="AM40" s="987">
        <f t="shared" si="45"/>
        <v>-0.26936890713186246</v>
      </c>
      <c r="AN40" s="987">
        <f t="shared" si="45"/>
        <v>-0.86306098964326816</v>
      </c>
      <c r="AO40" s="987">
        <f t="shared" si="45"/>
        <v>-0.49839883551673947</v>
      </c>
      <c r="AP40" s="987">
        <f t="shared" si="45"/>
        <v>-0.61900282220131708</v>
      </c>
      <c r="AQ40" s="987">
        <f t="shared" si="45"/>
        <v>-0.4964887640449438</v>
      </c>
      <c r="AR40" s="987">
        <f t="shared" si="45"/>
        <v>2.7198879551820729</v>
      </c>
      <c r="AS40" s="987">
        <f t="shared" si="45"/>
        <v>0.66395821242019726</v>
      </c>
      <c r="AT40" s="468">
        <f t="shared" si="45"/>
        <v>1.1617283950617283</v>
      </c>
      <c r="AU40" s="2820">
        <f t="shared" si="45"/>
        <v>1.0223152022315203</v>
      </c>
      <c r="AV40" s="987">
        <f t="shared" si="45"/>
        <v>0.73268072289156616</v>
      </c>
      <c r="AW40" s="987">
        <f t="shared" si="45"/>
        <v>0.11719567492152083</v>
      </c>
      <c r="AX40" s="468">
        <f t="shared" si="45"/>
        <v>0.17018846373500862</v>
      </c>
      <c r="AY40" s="2820">
        <f t="shared" si="45"/>
        <v>0.22896551724137937</v>
      </c>
      <c r="AZ40" s="1511">
        <f t="shared" si="45"/>
        <v>5.5627987831377679E-2</v>
      </c>
      <c r="BA40" s="1511">
        <f t="shared" si="45"/>
        <v>-2.1230096784264796E-2</v>
      </c>
      <c r="BB40" s="224">
        <f t="shared" si="45"/>
        <v>9.2728160078086042E-3</v>
      </c>
      <c r="BC40" s="1511">
        <f t="shared" si="45"/>
        <v>-1.0662177328844002E-2</v>
      </c>
      <c r="BD40" s="1511">
        <f t="shared" si="45"/>
        <v>-0.1173322354878551</v>
      </c>
      <c r="BE40" s="1511">
        <f t="shared" si="45"/>
        <v>-0.12185007974481654</v>
      </c>
      <c r="BF40" s="224">
        <f t="shared" ref="BF40:BK40" si="46">BF39/BB39-1</f>
        <v>-9.8646034816247563E-2</v>
      </c>
      <c r="BG40" s="1511">
        <f t="shared" si="46"/>
        <v>-0.11287577992058995</v>
      </c>
      <c r="BH40" s="3213">
        <f t="shared" si="46"/>
        <v>-4.6641791044776171E-2</v>
      </c>
      <c r="BI40" s="3213">
        <f t="shared" si="46"/>
        <v>-6.6836178714130057E-2</v>
      </c>
      <c r="BJ40" s="3213">
        <f t="shared" si="46"/>
        <v>-3.9163090128755407E-2</v>
      </c>
      <c r="BK40" s="3213">
        <f t="shared" si="46"/>
        <v>-2.3017902813299185E-2</v>
      </c>
      <c r="BL40" s="3505">
        <f>BL39/BH39-1</f>
        <v>-6.8982387475538198E-2</v>
      </c>
      <c r="BM40" s="1511"/>
      <c r="BN40" s="1014">
        <f>BN39/V39-1</f>
        <v>0.22276971852194993</v>
      </c>
      <c r="BO40" s="1014">
        <f t="shared" ref="BO40:BW40" si="47">BO39/BN39-1</f>
        <v>0.21698632292489872</v>
      </c>
      <c r="BP40" s="1014">
        <f t="shared" si="47"/>
        <v>7.8790413054143915E-2</v>
      </c>
      <c r="BQ40" s="2820">
        <f t="shared" si="47"/>
        <v>-3.4591897747851763E-2</v>
      </c>
      <c r="BR40" s="1014">
        <f t="shared" si="47"/>
        <v>-0.57358900859938711</v>
      </c>
      <c r="BS40" s="1014">
        <f t="shared" si="47"/>
        <v>0.54450625869262859</v>
      </c>
      <c r="BT40" s="1014">
        <f t="shared" si="47"/>
        <v>0.35119315623592984</v>
      </c>
      <c r="BU40" s="1014">
        <f t="shared" si="47"/>
        <v>4.5651449516827647E-2</v>
      </c>
      <c r="BV40" s="1014">
        <f t="shared" si="47"/>
        <v>-9.4540046738899486E-2</v>
      </c>
      <c r="BW40" s="1014">
        <f t="shared" si="47"/>
        <v>-6.5227592679493185E-2</v>
      </c>
    </row>
    <row r="41" spans="1:75" s="211" customFormat="1">
      <c r="A41" s="1504" t="s">
        <v>1983</v>
      </c>
      <c r="B41" s="444"/>
      <c r="C41" s="444"/>
      <c r="D41" s="444"/>
      <c r="E41" s="444"/>
      <c r="F41" s="444"/>
      <c r="G41" s="444"/>
      <c r="H41" s="444"/>
      <c r="I41" s="444"/>
      <c r="J41" s="444"/>
      <c r="K41" s="444"/>
      <c r="L41" s="444"/>
      <c r="R41" s="211">
        <f>R39/R35</f>
        <v>0.71721216383333442</v>
      </c>
      <c r="S41" s="211">
        <f t="shared" ref="S41:AH41" si="48">S39/S35</f>
        <v>0.75595989499767313</v>
      </c>
      <c r="T41" s="211">
        <f t="shared" si="48"/>
        <v>0.7958766755268073</v>
      </c>
      <c r="U41" s="211">
        <f t="shared" si="48"/>
        <v>0.74531056203019819</v>
      </c>
      <c r="V41" s="446">
        <f t="shared" si="48"/>
        <v>0.75978173159615892</v>
      </c>
      <c r="W41" s="211">
        <f t="shared" si="48"/>
        <v>0.74279085889722452</v>
      </c>
      <c r="X41" s="211">
        <f t="shared" si="48"/>
        <v>0.76259250692850244</v>
      </c>
      <c r="Y41" s="211">
        <f t="shared" si="48"/>
        <v>0.80590644410532775</v>
      </c>
      <c r="Z41" s="446">
        <f t="shared" si="48"/>
        <v>0.7629180960313412</v>
      </c>
      <c r="AA41" s="211">
        <f t="shared" si="48"/>
        <v>0.76483858737445032</v>
      </c>
      <c r="AB41" s="211">
        <f t="shared" si="48"/>
        <v>0.79014836300661229</v>
      </c>
      <c r="AC41" s="211">
        <f t="shared" si="48"/>
        <v>0.80550081345454028</v>
      </c>
      <c r="AD41" s="446">
        <f t="shared" si="48"/>
        <v>0.74829554254365527</v>
      </c>
      <c r="AE41" s="211">
        <f t="shared" si="48"/>
        <v>0.72171923990190556</v>
      </c>
      <c r="AF41" s="211">
        <f t="shared" si="48"/>
        <v>0.72553712171630158</v>
      </c>
      <c r="AG41" s="211">
        <f t="shared" si="48"/>
        <v>0.73022767580944525</v>
      </c>
      <c r="AH41" s="446">
        <f t="shared" si="48"/>
        <v>0.70308123249299714</v>
      </c>
      <c r="AI41" s="38">
        <f t="shared" ref="AI41:AX41" si="49">AI39/AI35</f>
        <v>0.68699330278463167</v>
      </c>
      <c r="AJ41" s="38">
        <f t="shared" si="49"/>
        <v>0.67714285714285716</v>
      </c>
      <c r="AK41" s="38">
        <f t="shared" si="49"/>
        <v>0.68154761904761907</v>
      </c>
      <c r="AL41" s="1548">
        <f t="shared" si="49"/>
        <v>0.63671758011380652</v>
      </c>
      <c r="AM41" s="38">
        <f t="shared" si="49"/>
        <v>0.6223776223776224</v>
      </c>
      <c r="AN41" s="38">
        <f t="shared" si="49"/>
        <v>0.56666666666666665</v>
      </c>
      <c r="AO41" s="38">
        <f t="shared" si="49"/>
        <v>0.6526515151515152</v>
      </c>
      <c r="AP41" s="38">
        <f t="shared" si="49"/>
        <v>0.65428109854604199</v>
      </c>
      <c r="AQ41" s="38">
        <f t="shared" si="49"/>
        <v>0.628396143733567</v>
      </c>
      <c r="AR41" s="38">
        <f t="shared" si="49"/>
        <v>0.61481481481481481</v>
      </c>
      <c r="AS41" s="38">
        <f t="shared" si="49"/>
        <v>0.61313088109495295</v>
      </c>
      <c r="AT41" s="1548">
        <f t="shared" si="49"/>
        <v>0.5873867829587387</v>
      </c>
      <c r="AU41" s="3413">
        <f t="shared" si="49"/>
        <v>0.53803339517625237</v>
      </c>
      <c r="AV41" s="38">
        <f t="shared" si="49"/>
        <v>0.53586399627387049</v>
      </c>
      <c r="AW41" s="38">
        <f t="shared" si="49"/>
        <v>0.52924653007270328</v>
      </c>
      <c r="AX41" s="1548">
        <f t="shared" si="49"/>
        <v>0.50605087675969374</v>
      </c>
      <c r="AY41" s="3413">
        <f t="shared" ref="AY41:BD41" si="50">AY39/AY35</f>
        <v>0.47167813658020119</v>
      </c>
      <c r="AZ41" s="3414">
        <f t="shared" si="50"/>
        <v>0.4447088978396192</v>
      </c>
      <c r="BA41" s="3414">
        <f t="shared" si="50"/>
        <v>0.42705353494074377</v>
      </c>
      <c r="BB41" s="3415">
        <f t="shared" si="50"/>
        <v>0.43227424749163879</v>
      </c>
      <c r="BC41" s="3414">
        <f t="shared" si="50"/>
        <v>0.39932049830124577</v>
      </c>
      <c r="BD41" s="3414">
        <f t="shared" si="50"/>
        <v>0.36593275302952721</v>
      </c>
      <c r="BE41" s="82">
        <f t="shared" ref="BE41:BK41" si="51">BE39/BE35</f>
        <v>0.34438328746559921</v>
      </c>
      <c r="BF41" s="3415">
        <f t="shared" si="51"/>
        <v>0.34069659563433885</v>
      </c>
      <c r="BG41" s="3414">
        <f t="shared" si="51"/>
        <v>0.32843343133137337</v>
      </c>
      <c r="BH41" s="3414">
        <f t="shared" si="51"/>
        <v>0.30067666960870842</v>
      </c>
      <c r="BI41" s="3414">
        <f t="shared" si="51"/>
        <v>0.28519094138543516</v>
      </c>
      <c r="BJ41" s="3414">
        <f t="shared" si="51"/>
        <v>0.28209166797920932</v>
      </c>
      <c r="BK41" s="3414">
        <f t="shared" si="51"/>
        <v>0.27621113521330443</v>
      </c>
      <c r="BL41" s="3506">
        <f>BL39/BL35</f>
        <v>0.25884113166485312</v>
      </c>
      <c r="BM41" s="82"/>
      <c r="BN41" s="451">
        <f t="shared" ref="BN41:BU41" si="52">BN39/BN35</f>
        <v>0.77385888012943094</v>
      </c>
      <c r="BO41" s="451">
        <f t="shared" si="52"/>
        <v>0.78147225242336515</v>
      </c>
      <c r="BP41" s="451">
        <f t="shared" si="52"/>
        <v>0.72136664120884164</v>
      </c>
      <c r="BQ41" s="447">
        <f t="shared" si="52"/>
        <v>0.67151201380592063</v>
      </c>
      <c r="BR41" s="451">
        <f t="shared" si="52"/>
        <v>0.63478516774573279</v>
      </c>
      <c r="BS41" s="451">
        <f t="shared" si="52"/>
        <v>0.60804891403540795</v>
      </c>
      <c r="BT41" s="451">
        <f t="shared" si="52"/>
        <v>0.52679929783499124</v>
      </c>
      <c r="BU41" s="451">
        <f t="shared" si="52"/>
        <v>0.44062719400889305</v>
      </c>
      <c r="BV41" s="451">
        <f>BV39/BV35</f>
        <v>0.35907156999031131</v>
      </c>
      <c r="BW41" s="451">
        <f>BW39/BW35</f>
        <v>0.29602110190585873</v>
      </c>
    </row>
    <row r="42" spans="1:75" s="1773" customFormat="1">
      <c r="A42" s="62" t="s">
        <v>1409</v>
      </c>
      <c r="B42" s="1771"/>
      <c r="C42" s="1772"/>
      <c r="R42" s="1773">
        <v>494.67500000000001</v>
      </c>
      <c r="S42" s="1773">
        <v>546.01300000000003</v>
      </c>
      <c r="T42" s="1773">
        <v>596.50300000000004</v>
      </c>
      <c r="U42" s="1773">
        <v>445.78199999999998</v>
      </c>
      <c r="V42" s="1774">
        <v>2082.9730000000004</v>
      </c>
      <c r="W42" s="1775">
        <v>470.03199999999998</v>
      </c>
      <c r="X42" s="1773">
        <v>517.86699999999996</v>
      </c>
      <c r="Y42" s="1773">
        <v>620.29</v>
      </c>
      <c r="Z42" s="1774">
        <v>439.81599999999997</v>
      </c>
      <c r="AA42" s="1773">
        <v>442.04500000000002</v>
      </c>
      <c r="AB42" s="1773">
        <v>498.13299999999998</v>
      </c>
      <c r="AC42" s="1773">
        <v>684.28899999999999</v>
      </c>
      <c r="AD42" s="1774">
        <v>508.55</v>
      </c>
      <c r="AE42" s="1773">
        <v>526.46699999999998</v>
      </c>
      <c r="AF42" s="1773">
        <v>709.86400000000003</v>
      </c>
      <c r="AG42" s="1773">
        <v>1049.6610000000001</v>
      </c>
      <c r="AH42" s="1774">
        <v>701</v>
      </c>
      <c r="AI42" s="1773">
        <v>603</v>
      </c>
      <c r="AJ42" s="1773">
        <v>959</v>
      </c>
      <c r="AK42" s="1773">
        <v>1313</v>
      </c>
      <c r="AL42" s="1774">
        <v>955</v>
      </c>
      <c r="AM42" s="1773">
        <v>659</v>
      </c>
      <c r="AN42" s="1773">
        <v>245</v>
      </c>
      <c r="AO42" s="1773">
        <v>837</v>
      </c>
      <c r="AP42" s="1773">
        <v>376</v>
      </c>
      <c r="AQ42" s="1773">
        <v>373</v>
      </c>
      <c r="AR42" s="1773">
        <v>661</v>
      </c>
      <c r="AS42" s="1773">
        <v>1622</v>
      </c>
      <c r="AT42" s="1774">
        <v>1040</v>
      </c>
      <c r="AU42" s="1837">
        <v>1050</v>
      </c>
      <c r="AV42" s="1773">
        <v>1749</v>
      </c>
      <c r="AW42" s="1773">
        <v>2614</v>
      </c>
      <c r="AX42" s="1774">
        <v>1780</v>
      </c>
      <c r="AY42" s="1837">
        <v>1752</v>
      </c>
      <c r="AZ42" s="3103">
        <v>2770</v>
      </c>
      <c r="BA42" s="3103">
        <v>3945</v>
      </c>
      <c r="BB42" s="3100">
        <v>2469</v>
      </c>
      <c r="BC42" s="3103">
        <v>2388</v>
      </c>
      <c r="BD42" s="3103">
        <v>3446</v>
      </c>
      <c r="BE42" s="3103">
        <v>4972</v>
      </c>
      <c r="BF42" s="3100">
        <v>3336</v>
      </c>
      <c r="BG42" s="3103">
        <v>2918</v>
      </c>
      <c r="BH42" s="3103">
        <v>4457</v>
      </c>
      <c r="BI42" s="3103">
        <v>6131</v>
      </c>
      <c r="BJ42" s="3103">
        <v>4249</v>
      </c>
      <c r="BK42" s="3103">
        <v>3698</v>
      </c>
      <c r="BL42" s="3103">
        <v>5127</v>
      </c>
      <c r="BM42" s="3103"/>
      <c r="BN42" s="1776">
        <v>2048.0049999999997</v>
      </c>
      <c r="BO42" s="1776">
        <v>2133.0170000000003</v>
      </c>
      <c r="BP42" s="1776">
        <f>SUM(AE42:AH42)</f>
        <v>2986.9920000000002</v>
      </c>
      <c r="BQ42" s="1773">
        <f>SUM(AI42:AL42)</f>
        <v>3830</v>
      </c>
      <c r="BR42" s="1776">
        <v>2117</v>
      </c>
      <c r="BS42" s="1776">
        <v>3696</v>
      </c>
      <c r="BT42" s="1776">
        <f>SUM(AU42:AX42)</f>
        <v>7193</v>
      </c>
      <c r="BU42" s="1773">
        <v>10936</v>
      </c>
      <c r="BV42" s="1773">
        <v>14142</v>
      </c>
      <c r="BW42" s="2060">
        <f>SUM(BG42:BJ42)</f>
        <v>17755</v>
      </c>
    </row>
    <row r="43" spans="1:75" s="987" customFormat="1" ht="12">
      <c r="A43" s="1756" t="s">
        <v>1330</v>
      </c>
      <c r="B43" s="1474"/>
      <c r="C43" s="1474"/>
      <c r="D43" s="1474"/>
      <c r="E43" s="1474"/>
      <c r="F43" s="1474"/>
      <c r="G43" s="1474"/>
      <c r="H43" s="1474"/>
      <c r="I43" s="1474"/>
      <c r="J43" s="1474"/>
      <c r="K43" s="1474"/>
      <c r="L43" s="1474"/>
      <c r="V43" s="468"/>
      <c r="W43" s="987">
        <f>W42/R42-1</f>
        <v>-4.9816546217213431E-2</v>
      </c>
      <c r="X43" s="987">
        <f>X42/S42-1</f>
        <v>-5.1548223210802768E-2</v>
      </c>
      <c r="Y43" s="987">
        <f>Y42/T42-1</f>
        <v>3.9877418889762373E-2</v>
      </c>
      <c r="Z43" s="468">
        <f>Z42/U42-1</f>
        <v>-1.3383223189810334E-2</v>
      </c>
      <c r="AA43" s="987">
        <f t="shared" ref="AA43:BE43" si="53">AA42/W42-1</f>
        <v>-5.9542754535861331E-2</v>
      </c>
      <c r="AB43" s="987">
        <f t="shared" si="53"/>
        <v>-3.810630914887414E-2</v>
      </c>
      <c r="AC43" s="987">
        <f t="shared" si="53"/>
        <v>0.10317593383739876</v>
      </c>
      <c r="AD43" s="468">
        <f t="shared" si="53"/>
        <v>0.15627898939556562</v>
      </c>
      <c r="AE43" s="987">
        <f t="shared" si="53"/>
        <v>0.19098055627820698</v>
      </c>
      <c r="AF43" s="987">
        <f t="shared" si="53"/>
        <v>0.42504913346435602</v>
      </c>
      <c r="AG43" s="987">
        <f t="shared" si="53"/>
        <v>0.53394399150066718</v>
      </c>
      <c r="AH43" s="468">
        <f t="shared" si="53"/>
        <v>0.37842886638481965</v>
      </c>
      <c r="AI43" s="987">
        <f t="shared" si="53"/>
        <v>0.14537093493039444</v>
      </c>
      <c r="AJ43" s="987">
        <f t="shared" si="53"/>
        <v>0.35096300136364134</v>
      </c>
      <c r="AK43" s="987">
        <f t="shared" si="53"/>
        <v>0.25088004603391001</v>
      </c>
      <c r="AL43" s="468">
        <f t="shared" si="53"/>
        <v>0.36233951497860195</v>
      </c>
      <c r="AM43" s="987">
        <f t="shared" si="53"/>
        <v>9.2868988391376472E-2</v>
      </c>
      <c r="AN43" s="987">
        <f t="shared" si="53"/>
        <v>-0.74452554744525545</v>
      </c>
      <c r="AO43" s="987">
        <f t="shared" si="53"/>
        <v>-0.36252856054836258</v>
      </c>
      <c r="AP43" s="987">
        <f t="shared" si="53"/>
        <v>-0.60628272251308901</v>
      </c>
      <c r="AQ43" s="987">
        <f t="shared" si="53"/>
        <v>-0.43399089529590285</v>
      </c>
      <c r="AR43" s="987">
        <f t="shared" si="53"/>
        <v>1.6979591836734693</v>
      </c>
      <c r="AS43" s="987">
        <f t="shared" si="53"/>
        <v>0.93787335722819587</v>
      </c>
      <c r="AT43" s="468">
        <f t="shared" si="53"/>
        <v>1.7659574468085109</v>
      </c>
      <c r="AU43" s="2820">
        <f t="shared" si="53"/>
        <v>1.8150134048257374</v>
      </c>
      <c r="AV43" s="987">
        <f t="shared" si="53"/>
        <v>1.6459909228441756</v>
      </c>
      <c r="AW43" s="987">
        <f t="shared" si="53"/>
        <v>0.61159062885326754</v>
      </c>
      <c r="AX43" s="468">
        <f t="shared" si="53"/>
        <v>0.71153846153846145</v>
      </c>
      <c r="AY43" s="2820">
        <f t="shared" si="53"/>
        <v>0.66857142857142859</v>
      </c>
      <c r="AZ43" s="1511">
        <f t="shared" si="53"/>
        <v>0.58376214979988572</v>
      </c>
      <c r="BA43" s="1511">
        <f t="shared" si="53"/>
        <v>0.50918133129303755</v>
      </c>
      <c r="BB43" s="224">
        <f t="shared" si="53"/>
        <v>0.38707865168539324</v>
      </c>
      <c r="BC43" s="1511">
        <f t="shared" si="53"/>
        <v>0.36301369863013688</v>
      </c>
      <c r="BD43" s="1511">
        <f t="shared" si="53"/>
        <v>0.2440433212996389</v>
      </c>
      <c r="BE43" s="1511">
        <f t="shared" si="53"/>
        <v>0.26032953105196444</v>
      </c>
      <c r="BF43" s="224">
        <f t="shared" ref="BF43:BK43" si="54">BF42/BB42-1</f>
        <v>0.35115431348724191</v>
      </c>
      <c r="BG43" s="1511">
        <f t="shared" si="54"/>
        <v>0.22194304857621439</v>
      </c>
      <c r="BH43" s="3213">
        <f t="shared" si="54"/>
        <v>0.29338363319791072</v>
      </c>
      <c r="BI43" s="3213">
        <f t="shared" si="54"/>
        <v>0.23310539018503618</v>
      </c>
      <c r="BJ43" s="3213">
        <f t="shared" si="54"/>
        <v>0.27368105515587526</v>
      </c>
      <c r="BK43" s="3213">
        <f t="shared" si="54"/>
        <v>0.26730637422892389</v>
      </c>
      <c r="BL43" s="3505">
        <f>BL42/BH42-1</f>
        <v>0.15032533094009426</v>
      </c>
      <c r="BM43" s="1511"/>
      <c r="BN43" s="1014">
        <f>BN42/V42-1</f>
        <v>-1.6787543573536845E-2</v>
      </c>
      <c r="BO43" s="1014">
        <f t="shared" ref="BO43:BW43" si="55">BO42/BN42-1</f>
        <v>4.1509664283046588E-2</v>
      </c>
      <c r="BP43" s="1014">
        <f t="shared" si="55"/>
        <v>0.40036014715307</v>
      </c>
      <c r="BQ43" s="2820">
        <f t="shared" si="55"/>
        <v>0.28222640033853441</v>
      </c>
      <c r="BR43" s="1014">
        <f t="shared" si="55"/>
        <v>-0.44725848563968673</v>
      </c>
      <c r="BS43" s="1014">
        <f t="shared" si="55"/>
        <v>0.7458667926310818</v>
      </c>
      <c r="BT43" s="1014">
        <f t="shared" si="55"/>
        <v>0.94615800865800859</v>
      </c>
      <c r="BU43" s="1014">
        <f t="shared" si="55"/>
        <v>0.52036702349506458</v>
      </c>
      <c r="BV43" s="1014">
        <f t="shared" si="55"/>
        <v>0.2931602048280908</v>
      </c>
      <c r="BW43" s="1014">
        <f t="shared" si="55"/>
        <v>0.25548013010889559</v>
      </c>
    </row>
    <row r="44" spans="1:75" s="211" customFormat="1">
      <c r="A44" s="1504" t="s">
        <v>1984</v>
      </c>
      <c r="B44" s="444"/>
      <c r="C44" s="444"/>
      <c r="D44" s="444"/>
      <c r="E44" s="444"/>
      <c r="F44" s="444"/>
      <c r="G44" s="444"/>
      <c r="H44" s="444"/>
      <c r="I44" s="444"/>
      <c r="J44" s="444"/>
      <c r="K44" s="444"/>
      <c r="L44" s="444"/>
      <c r="R44" s="211">
        <f>R42/R35</f>
        <v>0.29581649958498679</v>
      </c>
      <c r="S44" s="211">
        <f t="shared" ref="S44:AH44" si="56">S42/S35</f>
        <v>0.26088749327490107</v>
      </c>
      <c r="T44" s="211">
        <f t="shared" si="56"/>
        <v>0.20239088081832685</v>
      </c>
      <c r="U44" s="211">
        <f t="shared" si="56"/>
        <v>0.23719593079218018</v>
      </c>
      <c r="V44" s="446">
        <f t="shared" si="56"/>
        <v>0.24243712643917634</v>
      </c>
      <c r="W44" s="211">
        <f t="shared" si="56"/>
        <v>0.23275248211146599</v>
      </c>
      <c r="X44" s="211">
        <f t="shared" si="56"/>
        <v>0.21312995458919143</v>
      </c>
      <c r="Y44" s="211">
        <f t="shared" si="56"/>
        <v>0.17282783835223844</v>
      </c>
      <c r="Z44" s="446">
        <f t="shared" si="56"/>
        <v>0.19321012791907785</v>
      </c>
      <c r="AA44" s="211">
        <f t="shared" si="56"/>
        <v>0.1893746773568214</v>
      </c>
      <c r="AB44" s="211">
        <f t="shared" si="56"/>
        <v>0.16875487412147241</v>
      </c>
      <c r="AC44" s="211">
        <f t="shared" si="56"/>
        <v>0.15642489644084775</v>
      </c>
      <c r="AD44" s="446">
        <f t="shared" si="56"/>
        <v>0.18359583572658356</v>
      </c>
      <c r="AE44" s="211">
        <f t="shared" si="56"/>
        <v>0.17979196100267705</v>
      </c>
      <c r="AF44" s="211">
        <f t="shared" si="56"/>
        <v>0.2006913019557863</v>
      </c>
      <c r="AG44" s="211">
        <f t="shared" si="56"/>
        <v>0.21646958135698083</v>
      </c>
      <c r="AH44" s="446">
        <f t="shared" si="56"/>
        <v>0.21817615935262993</v>
      </c>
      <c r="AI44" s="38">
        <f t="shared" ref="AI44:AX44" si="57">AI42/AI35</f>
        <v>0.21254846669016567</v>
      </c>
      <c r="AJ44" s="38">
        <f t="shared" si="57"/>
        <v>0.24909090909090909</v>
      </c>
      <c r="AK44" s="38">
        <f t="shared" si="57"/>
        <v>0.26051587301587303</v>
      </c>
      <c r="AL44" s="1548">
        <f t="shared" si="57"/>
        <v>0.28601377657981431</v>
      </c>
      <c r="AM44" s="38">
        <f t="shared" si="57"/>
        <v>0.28802447552447552</v>
      </c>
      <c r="AN44" s="38">
        <f t="shared" si="57"/>
        <v>0.3888888888888889</v>
      </c>
      <c r="AO44" s="38">
        <f t="shared" si="57"/>
        <v>0.31704545454545452</v>
      </c>
      <c r="AP44" s="38">
        <f t="shared" si="57"/>
        <v>0.30371567043618741</v>
      </c>
      <c r="AQ44" s="38">
        <f t="shared" si="57"/>
        <v>0.32690622261174407</v>
      </c>
      <c r="AR44" s="38">
        <f t="shared" si="57"/>
        <v>0.30601851851851852</v>
      </c>
      <c r="AS44" s="38">
        <f t="shared" si="57"/>
        <v>0.34687767322497859</v>
      </c>
      <c r="AT44" s="1548">
        <f t="shared" si="57"/>
        <v>0.34887621603488761</v>
      </c>
      <c r="AU44" s="3413">
        <f t="shared" si="57"/>
        <v>0.38961038961038963</v>
      </c>
      <c r="AV44" s="38">
        <f t="shared" si="57"/>
        <v>0.40731252911038657</v>
      </c>
      <c r="AW44" s="38">
        <f t="shared" si="57"/>
        <v>0.43192333113020487</v>
      </c>
      <c r="AX44" s="1548">
        <f t="shared" si="57"/>
        <v>0.43961471968387256</v>
      </c>
      <c r="AY44" s="3413">
        <f t="shared" ref="AY44:BD44" si="58">AY42/AY35</f>
        <v>0.46373742721016409</v>
      </c>
      <c r="AZ44" s="3414">
        <f t="shared" si="58"/>
        <v>0.50714024166971805</v>
      </c>
      <c r="BA44" s="3414">
        <f t="shared" si="58"/>
        <v>0.53739272578667752</v>
      </c>
      <c r="BB44" s="3415">
        <f t="shared" si="58"/>
        <v>0.51609531772575246</v>
      </c>
      <c r="BC44" s="3414">
        <f t="shared" si="58"/>
        <v>0.54088335220838057</v>
      </c>
      <c r="BD44" s="3414">
        <f t="shared" si="58"/>
        <v>0.58815497525174942</v>
      </c>
      <c r="BE44" s="82">
        <f t="shared" ref="BE44:BK44" si="59">BE42/BE35</f>
        <v>0.62196647485614209</v>
      </c>
      <c r="BF44" s="3415">
        <f t="shared" si="59"/>
        <v>0.60974455098506142</v>
      </c>
      <c r="BG44" s="3414">
        <f t="shared" si="59"/>
        <v>0.61276774464510708</v>
      </c>
      <c r="BH44" s="3414">
        <f t="shared" si="59"/>
        <v>0.65563401000294208</v>
      </c>
      <c r="BI44" s="3414">
        <f t="shared" si="59"/>
        <v>0.68061722912966249</v>
      </c>
      <c r="BJ44" s="3414">
        <f t="shared" si="59"/>
        <v>0.66923925027563391</v>
      </c>
      <c r="BK44" s="3414">
        <f t="shared" si="59"/>
        <v>0.6684743311641359</v>
      </c>
      <c r="BL44" s="3506">
        <f>BL42/BL35</f>
        <v>0.69736126224156691</v>
      </c>
      <c r="BM44" s="82"/>
      <c r="BN44" s="451">
        <f t="shared" ref="BN44:BU44" si="60">BN42/BN35</f>
        <v>0.19855222046378115</v>
      </c>
      <c r="BO44" s="451">
        <f t="shared" si="60"/>
        <v>0.17159480939894431</v>
      </c>
      <c r="BP44" s="451">
        <f t="shared" si="60"/>
        <v>0.20561240065683253</v>
      </c>
      <c r="BQ44" s="447">
        <f t="shared" si="60"/>
        <v>0.25421478826496746</v>
      </c>
      <c r="BR44" s="451">
        <f t="shared" si="60"/>
        <v>0.31150676868746319</v>
      </c>
      <c r="BS44" s="451">
        <f t="shared" si="60"/>
        <v>0.33728782624566528</v>
      </c>
      <c r="BT44" s="451">
        <f t="shared" si="60"/>
        <v>0.4208894090111176</v>
      </c>
      <c r="BU44" s="451">
        <f t="shared" si="60"/>
        <v>0.51186520009361103</v>
      </c>
      <c r="BV44" s="451">
        <f>BV42/BV35</f>
        <v>0.59572854795905472</v>
      </c>
      <c r="BW44" s="451">
        <f>BW42/BW35</f>
        <v>0.65962031429951329</v>
      </c>
    </row>
    <row r="45" spans="1:75" s="1773" customFormat="1">
      <c r="A45" s="62" t="s">
        <v>1411</v>
      </c>
      <c r="B45" s="1771"/>
      <c r="C45" s="1772"/>
      <c r="R45" s="1773">
        <v>146.67099999999999</v>
      </c>
      <c r="S45" s="1773">
        <v>152.23099999999999</v>
      </c>
      <c r="T45" s="1773">
        <v>160.72499999999999</v>
      </c>
      <c r="U45" s="1773">
        <v>153.489</v>
      </c>
      <c r="V45" s="1774">
        <v>613.11599999999999</v>
      </c>
      <c r="W45" s="1775">
        <v>178.05799999999999</v>
      </c>
      <c r="X45" s="1773">
        <v>185.07400000000001</v>
      </c>
      <c r="Y45" s="1773">
        <v>177.81299999999999</v>
      </c>
      <c r="Z45" s="1774">
        <v>171.94</v>
      </c>
      <c r="AA45" s="1773">
        <v>192.04599999999999</v>
      </c>
      <c r="AB45" s="1773">
        <v>194.05199999999999</v>
      </c>
      <c r="AC45" s="1773">
        <v>226.03399999999999</v>
      </c>
      <c r="AD45" s="1774">
        <v>221.80699999999999</v>
      </c>
      <c r="AE45" s="1773">
        <v>288.39499999999998</v>
      </c>
      <c r="AF45" s="1773">
        <v>260.93700000000001</v>
      </c>
      <c r="AG45" s="1773">
        <v>258.55500000000001</v>
      </c>
      <c r="AH45" s="1774">
        <v>253</v>
      </c>
      <c r="AI45" s="1773">
        <v>285</v>
      </c>
      <c r="AJ45" s="1773">
        <v>284</v>
      </c>
      <c r="AK45" s="1773">
        <v>292</v>
      </c>
      <c r="AL45" s="1774">
        <v>258</v>
      </c>
      <c r="AM45" s="1773">
        <v>205</v>
      </c>
      <c r="AN45" s="1773">
        <v>28</v>
      </c>
      <c r="AO45" s="1773">
        <v>80</v>
      </c>
      <c r="AP45" s="1773">
        <v>52</v>
      </c>
      <c r="AQ45" s="1773">
        <v>51</v>
      </c>
      <c r="AR45" s="1773">
        <v>171</v>
      </c>
      <c r="AS45" s="1773">
        <v>187</v>
      </c>
      <c r="AT45" s="1774">
        <v>190</v>
      </c>
      <c r="AU45" s="1837">
        <v>195</v>
      </c>
      <c r="AV45" s="1773">
        <v>244</v>
      </c>
      <c r="AW45" s="1773">
        <v>235</v>
      </c>
      <c r="AX45" s="1774">
        <v>220</v>
      </c>
      <c r="AY45" s="1837">
        <v>244</v>
      </c>
      <c r="AZ45" s="3103">
        <v>263</v>
      </c>
      <c r="BA45" s="3103">
        <v>261</v>
      </c>
      <c r="BB45" s="3100">
        <v>247</v>
      </c>
      <c r="BC45" s="3103">
        <v>264</v>
      </c>
      <c r="BD45" s="3103">
        <v>269</v>
      </c>
      <c r="BE45" s="3103">
        <v>269</v>
      </c>
      <c r="BF45" s="3100">
        <v>271</v>
      </c>
      <c r="BG45" s="3103">
        <v>280</v>
      </c>
      <c r="BH45" s="3103">
        <v>297</v>
      </c>
      <c r="BI45" s="3103">
        <v>308</v>
      </c>
      <c r="BJ45" s="3103">
        <v>309</v>
      </c>
      <c r="BK45" s="3103">
        <v>306</v>
      </c>
      <c r="BL45" s="3103">
        <v>322</v>
      </c>
      <c r="BM45" s="3103"/>
      <c r="BN45" s="1776">
        <v>712.88499999999999</v>
      </c>
      <c r="BO45" s="1776">
        <v>833.93899999999996</v>
      </c>
      <c r="BP45" s="1776">
        <f>SUM(AE45:AH45)</f>
        <v>1060.8869999999999</v>
      </c>
      <c r="BQ45" s="1773">
        <f>SUM(AI45:AL45)</f>
        <v>1119</v>
      </c>
      <c r="BR45" s="1776">
        <v>365</v>
      </c>
      <c r="BS45" s="1776">
        <v>599</v>
      </c>
      <c r="BT45" s="1861">
        <f>SUM(AU45:AX45)</f>
        <v>894</v>
      </c>
      <c r="BU45" s="1773">
        <v>1015</v>
      </c>
      <c r="BV45" s="1773">
        <v>1073</v>
      </c>
      <c r="BW45" s="2060">
        <f>SUM(BG45:BJ45)</f>
        <v>1194</v>
      </c>
    </row>
    <row r="46" spans="1:75" s="987" customFormat="1" ht="12">
      <c r="A46" s="1756" t="s">
        <v>1344</v>
      </c>
      <c r="B46" s="1474"/>
      <c r="C46" s="1474"/>
      <c r="D46" s="1474"/>
      <c r="E46" s="1474"/>
      <c r="F46" s="1474"/>
      <c r="G46" s="1474"/>
      <c r="H46" s="1474"/>
      <c r="I46" s="1474"/>
      <c r="J46" s="1474"/>
      <c r="K46" s="1474"/>
      <c r="L46" s="1474"/>
      <c r="V46" s="468"/>
      <c r="W46" s="987">
        <f>W45/R45-1</f>
        <v>0.21399595011965555</v>
      </c>
      <c r="X46" s="987">
        <f>X45/S45-1</f>
        <v>0.21574449356569958</v>
      </c>
      <c r="Y46" s="987">
        <f>Y45/T45-1</f>
        <v>0.10631824545030333</v>
      </c>
      <c r="Z46" s="468">
        <f>Z45/U45-1</f>
        <v>0.1202105688355517</v>
      </c>
      <c r="AA46" s="987">
        <f t="shared" ref="AA46:BE46" si="61">AA45/W45-1</f>
        <v>7.8558671893427912E-2</v>
      </c>
      <c r="AB46" s="987">
        <f t="shared" si="61"/>
        <v>4.8510325599489867E-2</v>
      </c>
      <c r="AC46" s="987">
        <f t="shared" si="61"/>
        <v>0.27118939560099653</v>
      </c>
      <c r="AD46" s="468">
        <f t="shared" si="61"/>
        <v>0.29002559032220532</v>
      </c>
      <c r="AE46" s="987">
        <f t="shared" si="61"/>
        <v>0.50169750997156926</v>
      </c>
      <c r="AF46" s="987">
        <f t="shared" si="61"/>
        <v>0.34467565394842636</v>
      </c>
      <c r="AG46" s="987">
        <f t="shared" si="61"/>
        <v>0.14387658493854905</v>
      </c>
      <c r="AH46" s="468">
        <f t="shared" si="61"/>
        <v>0.14063126952711147</v>
      </c>
      <c r="AI46" s="1523">
        <f t="shared" si="61"/>
        <v>-1.1772048752578868E-2</v>
      </c>
      <c r="AJ46" s="1523">
        <f t="shared" si="61"/>
        <v>8.8385319061689227E-2</v>
      </c>
      <c r="AK46" s="1523">
        <f t="shared" si="61"/>
        <v>0.12935352246137177</v>
      </c>
      <c r="AL46" s="2025">
        <f t="shared" si="61"/>
        <v>1.9762845849802479E-2</v>
      </c>
      <c r="AM46" s="1523">
        <f t="shared" si="61"/>
        <v>-0.2807017543859649</v>
      </c>
      <c r="AN46" s="1523">
        <f t="shared" si="61"/>
        <v>-0.90140845070422537</v>
      </c>
      <c r="AO46" s="1523">
        <f t="shared" si="61"/>
        <v>-0.72602739726027399</v>
      </c>
      <c r="AP46" s="1523">
        <f t="shared" si="61"/>
        <v>-0.79844961240310075</v>
      </c>
      <c r="AQ46" s="1523">
        <f t="shared" si="61"/>
        <v>-0.75121951219512195</v>
      </c>
      <c r="AR46" s="1523">
        <f t="shared" si="61"/>
        <v>5.1071428571428568</v>
      </c>
      <c r="AS46" s="1523">
        <f t="shared" si="61"/>
        <v>1.3374999999999999</v>
      </c>
      <c r="AT46" s="2025">
        <f t="shared" si="61"/>
        <v>2.6538461538461537</v>
      </c>
      <c r="AU46" s="2848">
        <f t="shared" si="61"/>
        <v>2.8235294117647061</v>
      </c>
      <c r="AV46" s="1523">
        <f t="shared" si="61"/>
        <v>0.42690058479532156</v>
      </c>
      <c r="AW46" s="1523">
        <f t="shared" si="61"/>
        <v>0.25668449197860954</v>
      </c>
      <c r="AX46" s="2025">
        <f t="shared" si="61"/>
        <v>0.15789473684210531</v>
      </c>
      <c r="AY46" s="2848">
        <f t="shared" si="61"/>
        <v>0.25128205128205128</v>
      </c>
      <c r="AZ46" s="3213">
        <f t="shared" si="61"/>
        <v>7.7868852459016313E-2</v>
      </c>
      <c r="BA46" s="3213">
        <f t="shared" si="61"/>
        <v>0.11063829787234036</v>
      </c>
      <c r="BB46" s="3104">
        <f t="shared" si="61"/>
        <v>0.1227272727272728</v>
      </c>
      <c r="BC46" s="3213">
        <f t="shared" si="61"/>
        <v>8.1967213114754189E-2</v>
      </c>
      <c r="BD46" s="3213">
        <f t="shared" si="61"/>
        <v>2.281368821292773E-2</v>
      </c>
      <c r="BE46" s="3213">
        <f t="shared" si="61"/>
        <v>3.0651340996168619E-2</v>
      </c>
      <c r="BF46" s="3104">
        <f>BF45/BB45-1</f>
        <v>9.7165991902834037E-2</v>
      </c>
      <c r="BG46" s="3213">
        <f>BG45/BC45-1</f>
        <v>6.0606060606060552E-2</v>
      </c>
      <c r="BH46" s="3213">
        <f>BH45/BD45-1</f>
        <v>0.10408921933085491</v>
      </c>
      <c r="BI46" s="3213">
        <f>BI45/BE45-1</f>
        <v>0.14498141263940512</v>
      </c>
      <c r="BJ46" s="3213">
        <f>BJ45/BF45-1</f>
        <v>0.14022140221402224</v>
      </c>
      <c r="BK46" s="3213">
        <v>9.6000000000000002E-2</v>
      </c>
      <c r="BL46" s="3505">
        <f>BL45/BH45-1</f>
        <v>8.4175084175084125E-2</v>
      </c>
      <c r="BM46" s="1511"/>
      <c r="BN46" s="1014">
        <f>BN45/V45-1</f>
        <v>0.16272450890206747</v>
      </c>
      <c r="BO46" s="1014">
        <f t="shared" ref="BO46:BW46" si="62">BO45/BN45-1</f>
        <v>0.1698085946541168</v>
      </c>
      <c r="BP46" s="1014">
        <f t="shared" si="62"/>
        <v>0.27213980878697352</v>
      </c>
      <c r="BQ46" s="2820">
        <f t="shared" si="62"/>
        <v>5.4777747300136737E-2</v>
      </c>
      <c r="BR46" s="1014">
        <f t="shared" si="62"/>
        <v>-0.67381590705987482</v>
      </c>
      <c r="BS46" s="1014">
        <f t="shared" si="62"/>
        <v>0.64109589041095894</v>
      </c>
      <c r="BT46" s="1014">
        <f t="shared" si="62"/>
        <v>0.49248747913188651</v>
      </c>
      <c r="BU46" s="1014">
        <f t="shared" si="62"/>
        <v>0.13534675615212532</v>
      </c>
      <c r="BV46" s="1014">
        <f t="shared" si="62"/>
        <v>5.7142857142857162E-2</v>
      </c>
      <c r="BW46" s="1014">
        <f t="shared" si="62"/>
        <v>0.11276794035414728</v>
      </c>
    </row>
    <row r="47" spans="1:75" s="3203" customFormat="1">
      <c r="A47" s="3281" t="s">
        <v>1985</v>
      </c>
      <c r="B47" s="3202"/>
      <c r="C47" s="3202"/>
      <c r="D47" s="3202"/>
      <c r="E47" s="3202"/>
      <c r="F47" s="3202"/>
      <c r="G47" s="3202"/>
      <c r="H47" s="3202"/>
      <c r="I47" s="3202"/>
      <c r="J47" s="3202"/>
      <c r="K47" s="3202"/>
      <c r="L47" s="3202"/>
      <c r="R47" s="3203">
        <f>R45/R35</f>
        <v>8.7709509901712432E-2</v>
      </c>
      <c r="S47" s="3203">
        <f t="shared" ref="S47:AH47" si="63">S45/S35</f>
        <v>7.2736663758429659E-2</v>
      </c>
      <c r="T47" s="3203">
        <f t="shared" si="63"/>
        <v>5.4533295422697928E-2</v>
      </c>
      <c r="U47" s="3203">
        <f t="shared" si="63"/>
        <v>8.1669888468715535E-2</v>
      </c>
      <c r="V47" s="3204">
        <f t="shared" si="63"/>
        <v>7.1360541501921532E-2</v>
      </c>
      <c r="W47" s="3203">
        <f t="shared" si="63"/>
        <v>8.8171531852732174E-2</v>
      </c>
      <c r="X47" s="3203">
        <f t="shared" si="63"/>
        <v>7.6167844669847704E-2</v>
      </c>
      <c r="Y47" s="3203">
        <f t="shared" si="63"/>
        <v>4.9543014430228724E-2</v>
      </c>
      <c r="Z47" s="3204">
        <f t="shared" si="63"/>
        <v>7.5532835081957572E-2</v>
      </c>
      <c r="AA47" s="3203">
        <f t="shared" si="63"/>
        <v>8.2273635687923438E-2</v>
      </c>
      <c r="AB47" s="3203">
        <f t="shared" si="63"/>
        <v>6.5739914506808356E-2</v>
      </c>
      <c r="AC47" s="3203">
        <f t="shared" si="63"/>
        <v>5.1670193503199055E-2</v>
      </c>
      <c r="AD47" s="3204">
        <f t="shared" si="63"/>
        <v>8.0076377022920697E-2</v>
      </c>
      <c r="AE47" s="3203">
        <f t="shared" si="63"/>
        <v>9.8488799095417287E-2</v>
      </c>
      <c r="AF47" s="3203">
        <f t="shared" si="63"/>
        <v>7.3771576327912119E-2</v>
      </c>
      <c r="AG47" s="3203">
        <f t="shared" si="63"/>
        <v>5.3321303361517837E-2</v>
      </c>
      <c r="AH47" s="3204">
        <f t="shared" si="63"/>
        <v>7.8742608154372853E-2</v>
      </c>
      <c r="AI47" s="3203">
        <f t="shared" ref="AI47:AX47" si="64">AI45/AI35</f>
        <v>0.10045823052520268</v>
      </c>
      <c r="AJ47" s="3203">
        <f t="shared" si="64"/>
        <v>7.3766233766233771E-2</v>
      </c>
      <c r="AK47" s="3203">
        <f t="shared" si="64"/>
        <v>5.7936507936507939E-2</v>
      </c>
      <c r="AL47" s="3204">
        <f t="shared" si="64"/>
        <v>7.7268643306379156E-2</v>
      </c>
      <c r="AM47" s="3203">
        <f t="shared" si="64"/>
        <v>8.9597902097902096E-2</v>
      </c>
      <c r="AN47" s="3203">
        <f t="shared" si="64"/>
        <v>4.4444444444444446E-2</v>
      </c>
      <c r="AO47" s="3203">
        <f t="shared" si="64"/>
        <v>3.0303030303030304E-2</v>
      </c>
      <c r="AP47" s="3203">
        <f t="shared" si="64"/>
        <v>4.2003231017770599E-2</v>
      </c>
      <c r="AQ47" s="3203">
        <f t="shared" si="64"/>
        <v>4.4697633654688866E-2</v>
      </c>
      <c r="AR47" s="3203">
        <f t="shared" si="64"/>
        <v>7.9166666666666663E-2</v>
      </c>
      <c r="AS47" s="3203">
        <f t="shared" si="64"/>
        <v>3.9991445680068433E-2</v>
      </c>
      <c r="AT47" s="3204">
        <f t="shared" si="64"/>
        <v>6.3737001006373695E-2</v>
      </c>
      <c r="AU47" s="3205">
        <f t="shared" si="64"/>
        <v>7.2356215213358069E-2</v>
      </c>
      <c r="AV47" s="3203">
        <f t="shared" si="64"/>
        <v>5.68234746157429E-2</v>
      </c>
      <c r="AW47" s="3203">
        <f t="shared" si="64"/>
        <v>3.8830138797091872E-2</v>
      </c>
      <c r="AX47" s="3204">
        <f t="shared" si="64"/>
        <v>5.4334403556433687E-2</v>
      </c>
      <c r="AY47" s="3205">
        <f t="shared" ref="AY47:BD47" si="65">AY45/AY35</f>
        <v>6.4584436209634721E-2</v>
      </c>
      <c r="AZ47" s="3206">
        <f t="shared" si="65"/>
        <v>4.8150860490662764E-2</v>
      </c>
      <c r="BA47" s="3206">
        <f t="shared" si="65"/>
        <v>3.5553739272578669E-2</v>
      </c>
      <c r="BB47" s="3234">
        <f t="shared" si="65"/>
        <v>5.1630434782608696E-2</v>
      </c>
      <c r="BC47" s="3206">
        <f t="shared" si="65"/>
        <v>5.9796149490373728E-2</v>
      </c>
      <c r="BD47" s="3419">
        <f t="shared" si="65"/>
        <v>4.5912271718723328E-2</v>
      </c>
      <c r="BE47" s="3206">
        <f t="shared" ref="BE47:BK47" si="66">BE45/BE35</f>
        <v>3.3650237678258692E-2</v>
      </c>
      <c r="BF47" s="3234">
        <f t="shared" si="66"/>
        <v>4.9532605910357207E-2</v>
      </c>
      <c r="BG47" s="3206">
        <f t="shared" si="66"/>
        <v>5.8798824023519533E-2</v>
      </c>
      <c r="BH47" s="3206">
        <f t="shared" si="66"/>
        <v>4.3689320388349516E-2</v>
      </c>
      <c r="BI47" s="3206">
        <f t="shared" si="66"/>
        <v>3.4191829484902306E-2</v>
      </c>
      <c r="BJ47" s="3206">
        <f t="shared" si="66"/>
        <v>4.8669081745156717E-2</v>
      </c>
      <c r="BK47" s="3206">
        <f t="shared" si="66"/>
        <v>5.5314533622559656E-2</v>
      </c>
      <c r="BL47" s="3510">
        <f>BL45/BL35</f>
        <v>4.379760609357998E-2</v>
      </c>
      <c r="BM47" s="3206"/>
      <c r="BN47" s="3207">
        <f t="shared" ref="BN47:BU47" si="67">BN45/BN35</f>
        <v>6.9113551815216598E-2</v>
      </c>
      <c r="BO47" s="3207">
        <f t="shared" si="67"/>
        <v>6.7087887136082922E-2</v>
      </c>
      <c r="BP47" s="3207">
        <f t="shared" si="67"/>
        <v>7.3027153368882505E-2</v>
      </c>
      <c r="BQ47" s="3205">
        <f t="shared" si="67"/>
        <v>7.4273197929111912E-2</v>
      </c>
      <c r="BR47" s="3207">
        <f t="shared" si="67"/>
        <v>5.3708063566804E-2</v>
      </c>
      <c r="BS47" s="3207">
        <f t="shared" si="67"/>
        <v>5.4663259718926813E-2</v>
      </c>
      <c r="BT47" s="3207">
        <f t="shared" si="67"/>
        <v>5.2311293153891165E-2</v>
      </c>
      <c r="BU47" s="3207">
        <f t="shared" si="67"/>
        <v>4.7507605897495905E-2</v>
      </c>
      <c r="BV47" s="3207">
        <f>BV45/BV35</f>
        <v>4.519988205063398E-2</v>
      </c>
      <c r="BW47" s="3207">
        <f>BW45/BW35</f>
        <v>4.4358583794627933E-2</v>
      </c>
    </row>
    <row r="48" spans="1:75" s="211" customFormat="1">
      <c r="A48" s="422"/>
      <c r="B48" s="444"/>
      <c r="C48" s="444"/>
      <c r="D48" s="444"/>
      <c r="E48" s="444"/>
      <c r="F48" s="444"/>
      <c r="G48" s="444"/>
      <c r="H48" s="444"/>
      <c r="I48" s="444"/>
      <c r="J48" s="444"/>
      <c r="K48" s="444"/>
      <c r="L48" s="444"/>
      <c r="V48" s="446"/>
      <c r="Z48" s="446"/>
      <c r="AD48" s="446"/>
      <c r="AH48" s="446"/>
      <c r="AL48" s="446"/>
      <c r="AT48" s="446"/>
      <c r="AU48" s="447"/>
      <c r="AX48" s="446"/>
      <c r="AY48" s="447"/>
      <c r="BB48" s="446"/>
      <c r="BF48" s="446"/>
      <c r="BL48" s="3497"/>
      <c r="BM48" s="446"/>
      <c r="BN48" s="451"/>
      <c r="BO48" s="451"/>
      <c r="BP48" s="451"/>
      <c r="BR48" s="451"/>
      <c r="BS48" s="451"/>
      <c r="BT48" s="451"/>
    </row>
    <row r="49" spans="1:75" s="211" customFormat="1">
      <c r="A49" s="464" t="s">
        <v>1420</v>
      </c>
      <c r="B49" s="444"/>
      <c r="C49" s="444"/>
      <c r="D49" s="444"/>
      <c r="E49" s="444"/>
      <c r="F49" s="444"/>
      <c r="G49" s="444"/>
      <c r="H49" s="444"/>
      <c r="I49" s="444"/>
      <c r="J49" s="444"/>
      <c r="K49" s="444"/>
      <c r="L49" s="444"/>
      <c r="V49" s="446"/>
      <c r="W49" s="211">
        <f>W35/W6</f>
        <v>0.12126643847955323</v>
      </c>
      <c r="X49" s="211">
        <f t="shared" ref="X49:AH49" si="68">X35/X6</f>
        <v>0.13603280707647522</v>
      </c>
      <c r="Y49" s="211">
        <f t="shared" si="68"/>
        <v>0.19442378114842904</v>
      </c>
      <c r="Z49" s="446">
        <f t="shared" si="68"/>
        <v>0.15063267601905769</v>
      </c>
      <c r="AA49" s="211">
        <f t="shared" si="68"/>
        <v>0.11283583893266304</v>
      </c>
      <c r="AB49" s="211">
        <f t="shared" si="68"/>
        <v>0.14193460595278165</v>
      </c>
      <c r="AC49" s="211">
        <f t="shared" si="68"/>
        <v>0.2010179670986123</v>
      </c>
      <c r="AD49" s="446">
        <f t="shared" si="68"/>
        <v>0.15405689655172414</v>
      </c>
      <c r="AE49" s="211">
        <f t="shared" si="68"/>
        <v>0.11708588907993123</v>
      </c>
      <c r="AF49" s="211">
        <f t="shared" si="68"/>
        <v>0.14802033813190493</v>
      </c>
      <c r="AG49" s="211">
        <f t="shared" si="68"/>
        <v>0.19976106121776385</v>
      </c>
      <c r="AH49" s="446">
        <f t="shared" si="68"/>
        <v>0.1643310147299509</v>
      </c>
      <c r="AI49" s="211">
        <f t="shared" ref="AI49:AP49" si="69">AI35/AI6</f>
        <v>0.11164895710350256</v>
      </c>
      <c r="AJ49" s="211">
        <f t="shared" si="69"/>
        <v>0.15376013419066256</v>
      </c>
      <c r="AK49" s="211">
        <f t="shared" si="69"/>
        <v>0.19935920256318976</v>
      </c>
      <c r="AL49" s="446">
        <f t="shared" si="69"/>
        <v>0.1612031091584995</v>
      </c>
      <c r="AM49" s="211">
        <f t="shared" si="69"/>
        <v>0.18462035019769224</v>
      </c>
      <c r="AN49" s="211">
        <f t="shared" si="69"/>
        <v>0.27320034692107548</v>
      </c>
      <c r="AO49" s="211">
        <f t="shared" si="69"/>
        <v>0.19727992826184426</v>
      </c>
      <c r="AP49" s="211">
        <f t="shared" si="69"/>
        <v>0.16928757008067824</v>
      </c>
      <c r="AQ49" s="211">
        <f t="shared" ref="AQ49:AV49" si="70">AQ35/AQ6</f>
        <v>9.5601173020527855E-2</v>
      </c>
      <c r="AR49" s="211">
        <f t="shared" si="70"/>
        <v>9.8378575332483148E-2</v>
      </c>
      <c r="AS49" s="211">
        <f t="shared" si="70"/>
        <v>0.19743286606992061</v>
      </c>
      <c r="AT49" s="446">
        <f t="shared" si="70"/>
        <v>0.15680395560464994</v>
      </c>
      <c r="AU49" s="447">
        <f t="shared" si="70"/>
        <v>9.8743267504488336E-2</v>
      </c>
      <c r="AV49" s="211">
        <f t="shared" si="70"/>
        <v>0.12430163554783616</v>
      </c>
      <c r="AW49" s="211">
        <f t="shared" ref="AW49:BC49" si="71">AW35/AW6</f>
        <v>0.18841843088418431</v>
      </c>
      <c r="AX49" s="446">
        <f t="shared" si="71"/>
        <v>0.14834762218802666</v>
      </c>
      <c r="AY49" s="447">
        <f t="shared" si="71"/>
        <v>9.5822659598752122E-2</v>
      </c>
      <c r="AZ49" s="82">
        <f t="shared" si="71"/>
        <v>0.13760959387282071</v>
      </c>
      <c r="BA49" s="82">
        <f t="shared" si="71"/>
        <v>0.18438700926832943</v>
      </c>
      <c r="BB49" s="1513">
        <f t="shared" si="71"/>
        <v>0.15093863385392017</v>
      </c>
      <c r="BC49" s="82">
        <f t="shared" si="71"/>
        <v>0.1014126564832893</v>
      </c>
      <c r="BD49" s="82">
        <f t="shared" ref="BD49:BK49" si="72">BD35/BD6</f>
        <v>0.1414158480364944</v>
      </c>
      <c r="BE49" s="82">
        <f t="shared" si="72"/>
        <v>0.18399429189587313</v>
      </c>
      <c r="BF49" s="1513">
        <f t="shared" si="72"/>
        <v>0.14720433727981624</v>
      </c>
      <c r="BG49" s="82">
        <f t="shared" si="72"/>
        <v>0.10203775525509438</v>
      </c>
      <c r="BH49" s="82">
        <f t="shared" si="72"/>
        <v>0.14545532351934268</v>
      </c>
      <c r="BI49" s="82">
        <f t="shared" si="72"/>
        <v>0.18136425867761941</v>
      </c>
      <c r="BJ49" s="82">
        <f t="shared" si="72"/>
        <v>0.14753450759864292</v>
      </c>
      <c r="BK49" s="82">
        <f t="shared" si="72"/>
        <v>0.10290561404814168</v>
      </c>
      <c r="BL49" s="3511">
        <f>BL35/BL6</f>
        <v>0.14415686274509804</v>
      </c>
      <c r="BM49" s="82"/>
      <c r="BN49" s="451">
        <f t="shared" ref="BN49:BV49" si="73">BN35/BN6</f>
        <v>0.15149282535579478</v>
      </c>
      <c r="BO49" s="451">
        <f t="shared" si="73"/>
        <v>0.15303652771280132</v>
      </c>
      <c r="BP49" s="451">
        <f t="shared" si="73"/>
        <v>0.15666060972058965</v>
      </c>
      <c r="BQ49" s="447">
        <f t="shared" si="73"/>
        <v>0.15621662536420478</v>
      </c>
      <c r="BR49" s="451">
        <f t="shared" si="73"/>
        <v>0.19200452041248764</v>
      </c>
      <c r="BS49" s="451">
        <f t="shared" si="73"/>
        <v>0.14308098085812029</v>
      </c>
      <c r="BT49" s="451">
        <f t="shared" si="73"/>
        <v>0.14094612872364992</v>
      </c>
      <c r="BU49" s="451">
        <f t="shared" si="73"/>
        <v>0.14184044029290899</v>
      </c>
      <c r="BV49" s="451">
        <f t="shared" si="73"/>
        <v>0.14336876434351975</v>
      </c>
      <c r="BW49" s="451">
        <f t="shared" ref="BW49" si="74">BW35/BW6</f>
        <v>0.14463185156925853</v>
      </c>
    </row>
    <row r="50" spans="1:75" s="211" customFormat="1">
      <c r="A50" s="464" t="s">
        <v>1410</v>
      </c>
      <c r="B50" s="444"/>
      <c r="C50" s="444"/>
      <c r="D50" s="444"/>
      <c r="E50" s="444"/>
      <c r="F50" s="444"/>
      <c r="G50" s="444"/>
      <c r="H50" s="444"/>
      <c r="I50" s="444"/>
      <c r="J50" s="444"/>
      <c r="K50" s="444"/>
      <c r="L50" s="444"/>
      <c r="V50" s="446"/>
      <c r="Z50" s="446"/>
      <c r="AD50" s="446"/>
      <c r="AH50" s="446"/>
      <c r="AL50" s="446"/>
      <c r="AT50" s="446"/>
      <c r="AU50" s="447"/>
      <c r="AX50" s="446"/>
      <c r="AY50" s="447"/>
      <c r="AZ50" s="82"/>
      <c r="BA50" s="82"/>
      <c r="BB50" s="1513"/>
      <c r="BC50" s="82"/>
      <c r="BD50" s="82"/>
      <c r="BE50" s="82"/>
      <c r="BF50" s="1513"/>
      <c r="BG50" s="82"/>
      <c r="BH50" s="82"/>
      <c r="BI50" s="82"/>
      <c r="BJ50" s="82"/>
      <c r="BK50" s="82"/>
      <c r="BL50" s="82"/>
      <c r="BM50" s="1513"/>
      <c r="BN50" s="451"/>
      <c r="BO50" s="451"/>
      <c r="BP50" s="451"/>
      <c r="BR50" s="451"/>
      <c r="BS50" s="451"/>
      <c r="BT50" s="451"/>
    </row>
    <row r="51" spans="1:75" s="211" customFormat="1">
      <c r="A51" s="1505" t="s">
        <v>1366</v>
      </c>
      <c r="B51" s="444"/>
      <c r="C51" s="444"/>
      <c r="D51" s="444"/>
      <c r="E51" s="444"/>
      <c r="F51" s="444"/>
      <c r="G51" s="444"/>
      <c r="H51" s="444"/>
      <c r="I51" s="444"/>
      <c r="J51" s="444"/>
      <c r="K51" s="444"/>
      <c r="L51" s="444"/>
      <c r="V51" s="446"/>
      <c r="W51" s="211">
        <f>W39/W14</f>
        <v>0.10320827026283198</v>
      </c>
      <c r="X51" s="211">
        <f t="shared" ref="X51:AH51" si="75">X39/X14</f>
        <v>0.12056483831088555</v>
      </c>
      <c r="Y51" s="211">
        <f t="shared" si="75"/>
        <v>0.1835659706796979</v>
      </c>
      <c r="Z51" s="446">
        <f t="shared" si="75"/>
        <v>0.13381699799660965</v>
      </c>
      <c r="AA51" s="211">
        <f t="shared" si="75"/>
        <v>9.8418577728776185E-2</v>
      </c>
      <c r="AB51" s="211">
        <f t="shared" si="75"/>
        <v>0.12995882320164931</v>
      </c>
      <c r="AC51" s="211">
        <f t="shared" si="75"/>
        <v>0.1895076906528988</v>
      </c>
      <c r="AD51" s="446">
        <f t="shared" si="75"/>
        <v>0.13804435564435563</v>
      </c>
      <c r="AE51" s="211">
        <f t="shared" si="75"/>
        <v>0.10270893273716951</v>
      </c>
      <c r="AF51" s="211">
        <f t="shared" si="75"/>
        <v>0.134431272917758</v>
      </c>
      <c r="AG51" s="211">
        <f t="shared" si="75"/>
        <v>0.18612668208578637</v>
      </c>
      <c r="AH51" s="446">
        <f t="shared" si="75"/>
        <v>0.14832567301378857</v>
      </c>
      <c r="AI51" s="211">
        <f t="shared" ref="AI51:AX51" si="76">AI39/AI14</f>
        <v>9.9044618355523931E-2</v>
      </c>
      <c r="AJ51" s="211">
        <f t="shared" si="76"/>
        <v>0.13987552312479881</v>
      </c>
      <c r="AK51" s="211">
        <f t="shared" si="76"/>
        <v>0.18959046252345735</v>
      </c>
      <c r="AL51" s="446">
        <f t="shared" si="76"/>
        <v>0.14952876635251089</v>
      </c>
      <c r="AM51" s="211">
        <f t="shared" si="76"/>
        <v>0.17115384615384616</v>
      </c>
      <c r="AN51" s="211">
        <f t="shared" si="76"/>
        <v>0.23257328990228013</v>
      </c>
      <c r="AO51" s="211">
        <f t="shared" si="76"/>
        <v>0.18096838567377377</v>
      </c>
      <c r="AP51" s="211">
        <f t="shared" si="76"/>
        <v>0.15888583758336602</v>
      </c>
      <c r="AQ51" s="211">
        <f t="shared" si="76"/>
        <v>8.2375919117647065E-2</v>
      </c>
      <c r="AR51" s="211">
        <f t="shared" si="76"/>
        <v>8.6854153041203405E-2</v>
      </c>
      <c r="AS51" s="211">
        <f t="shared" si="76"/>
        <v>0.19277837547068316</v>
      </c>
      <c r="AT51" s="446">
        <f t="shared" si="76"/>
        <v>0.14745263157894736</v>
      </c>
      <c r="AU51" s="447">
        <f t="shared" si="76"/>
        <v>8.9033525727618815E-2</v>
      </c>
      <c r="AV51" s="211">
        <f t="shared" si="76"/>
        <v>0.11831550802139038</v>
      </c>
      <c r="AW51" s="211">
        <f t="shared" si="76"/>
        <v>0.18184398773702737</v>
      </c>
      <c r="AX51" s="446">
        <f t="shared" si="76"/>
        <v>0.14603378233910627</v>
      </c>
      <c r="AY51" s="447">
        <f t="shared" ref="AY51:BD51" si="77">AY39/AY14</f>
        <v>9.1384615384615384E-2</v>
      </c>
      <c r="AZ51" s="82">
        <f t="shared" si="77"/>
        <v>0.13080236941303178</v>
      </c>
      <c r="BA51" s="82">
        <f t="shared" si="77"/>
        <v>0.17871394367802987</v>
      </c>
      <c r="BB51" s="1513">
        <f t="shared" si="77"/>
        <v>0.15555889875131637</v>
      </c>
      <c r="BC51" s="82">
        <f t="shared" si="77"/>
        <v>9.9189827838415665E-2</v>
      </c>
      <c r="BD51" s="82">
        <f t="shared" si="77"/>
        <v>0.13742708800717904</v>
      </c>
      <c r="BE51" s="82">
        <f t="shared" ref="BE51:BJ51" si="78">BE39/BE14</f>
        <v>0.18249917136228042</v>
      </c>
      <c r="BF51" s="1513">
        <f t="shared" si="78"/>
        <v>0.1440717266965528</v>
      </c>
      <c r="BG51" s="82">
        <f t="shared" si="78"/>
        <v>0.10090322580645161</v>
      </c>
      <c r="BH51" s="82">
        <f t="shared" si="78"/>
        <v>0.14162971175166297</v>
      </c>
      <c r="BI51" s="82">
        <f t="shared" si="78"/>
        <v>0.18439563594602354</v>
      </c>
      <c r="BJ51" s="82">
        <f t="shared" si="78"/>
        <v>0.1465870027827795</v>
      </c>
      <c r="BK51" s="82">
        <f t="shared" ref="BK51" si="79">BK39/BK14</f>
        <v>0.10171748102782585</v>
      </c>
      <c r="BL51" s="3511">
        <f>BL39/BL14</f>
        <v>0.13630828737196476</v>
      </c>
      <c r="BM51" s="82"/>
      <c r="BN51" s="451">
        <f t="shared" ref="BN51:BS51" si="80">BN39/BN14</f>
        <v>0.13612531123162455</v>
      </c>
      <c r="BO51" s="451">
        <f t="shared" si="80"/>
        <v>0.13937852961432506</v>
      </c>
      <c r="BP51" s="451">
        <f t="shared" si="80"/>
        <v>0.14176820887445887</v>
      </c>
      <c r="BQ51" s="447">
        <f t="shared" si="80"/>
        <v>0.14319481401800374</v>
      </c>
      <c r="BR51" s="451">
        <f t="shared" si="80"/>
        <v>0.1762614913176711</v>
      </c>
      <c r="BS51" s="451">
        <f t="shared" si="80"/>
        <v>0.1313139275930707</v>
      </c>
      <c r="BT51" s="451">
        <f>BT39/BT14</f>
        <v>0.13361729915849152</v>
      </c>
      <c r="BU51" s="451">
        <f>BU39/BU14</f>
        <v>0.13662090384001394</v>
      </c>
      <c r="BV51" s="451">
        <f>BV39/BV14</f>
        <v>0.13883188377471578</v>
      </c>
      <c r="BW51" s="451">
        <f>BW39/BW14</f>
        <v>0.14207767198031454</v>
      </c>
    </row>
    <row r="52" spans="1:75" s="211" customFormat="1">
      <c r="A52" s="1505" t="s">
        <v>1329</v>
      </c>
      <c r="B52" s="444"/>
      <c r="C52" s="444"/>
      <c r="D52" s="444"/>
      <c r="E52" s="444"/>
      <c r="F52" s="444"/>
      <c r="G52" s="444"/>
      <c r="H52" s="444"/>
      <c r="I52" s="444"/>
      <c r="J52" s="444"/>
      <c r="K52" s="444"/>
      <c r="L52" s="444"/>
      <c r="V52" s="446"/>
      <c r="W52" s="211">
        <f>W42/W17</f>
        <v>0.22181783860311466</v>
      </c>
      <c r="X52" s="211">
        <f t="shared" ref="X52:AH52" si="81">X42/X17</f>
        <v>0.20764514835605452</v>
      </c>
      <c r="Y52" s="211">
        <f t="shared" si="81"/>
        <v>0.22948205697373289</v>
      </c>
      <c r="Z52" s="446">
        <f t="shared" si="81"/>
        <v>0.20609934395501406</v>
      </c>
      <c r="AA52" s="211">
        <f t="shared" si="81"/>
        <v>0.17362333071484681</v>
      </c>
      <c r="AB52" s="211">
        <f t="shared" si="81"/>
        <v>0.17478350877192983</v>
      </c>
      <c r="AC52" s="211">
        <f t="shared" si="81"/>
        <v>0.21600031565656566</v>
      </c>
      <c r="AD52" s="446">
        <f t="shared" si="81"/>
        <v>0.17151770657672849</v>
      </c>
      <c r="AE52" s="211">
        <f t="shared" si="81"/>
        <v>0.11873410013531799</v>
      </c>
      <c r="AF52" s="211">
        <f t="shared" si="81"/>
        <v>0.14767297690867487</v>
      </c>
      <c r="AG52" s="211">
        <f t="shared" si="81"/>
        <v>0.19993542857142857</v>
      </c>
      <c r="AH52" s="446">
        <f t="shared" si="81"/>
        <v>0.16219342896807035</v>
      </c>
      <c r="AI52" s="211">
        <f t="shared" ref="AI52:AX52" si="82">AI42/AI17</f>
        <v>0.10519888346127006</v>
      </c>
      <c r="AJ52" s="211">
        <f t="shared" si="82"/>
        <v>0.14982034057178567</v>
      </c>
      <c r="AK52" s="211">
        <f t="shared" si="82"/>
        <v>0.18330308529945555</v>
      </c>
      <c r="AL52" s="446">
        <f t="shared" si="82"/>
        <v>0.147036181678214</v>
      </c>
      <c r="AM52" s="211">
        <f t="shared" si="82"/>
        <v>0.16179720108028481</v>
      </c>
      <c r="AN52" s="211">
        <f t="shared" si="82"/>
        <v>0.31776913099870296</v>
      </c>
      <c r="AO52" s="211">
        <f t="shared" si="82"/>
        <v>0.21678321678321677</v>
      </c>
      <c r="AP52" s="211">
        <f t="shared" si="82"/>
        <v>0.16975169300225734</v>
      </c>
      <c r="AQ52" s="211">
        <f t="shared" si="82"/>
        <v>0.11540841584158416</v>
      </c>
      <c r="AR52" s="211">
        <f t="shared" si="82"/>
        <v>9.9174793698424607E-2</v>
      </c>
      <c r="AS52" s="211">
        <f t="shared" si="82"/>
        <v>0.1840671811166591</v>
      </c>
      <c r="AT52" s="446">
        <f t="shared" si="82"/>
        <v>0.14573991031390135</v>
      </c>
      <c r="AU52" s="447">
        <f t="shared" si="82"/>
        <v>9.5393840283455988E-2</v>
      </c>
      <c r="AV52" s="211">
        <f t="shared" si="82"/>
        <v>0.11585083129098496</v>
      </c>
      <c r="AW52" s="211">
        <f t="shared" si="82"/>
        <v>0.18020129601544188</v>
      </c>
      <c r="AX52" s="446">
        <f t="shared" si="82"/>
        <v>0.13420794692000301</v>
      </c>
      <c r="AY52" s="447">
        <f t="shared" ref="AY52:BD52" si="83">AY42/AY17</f>
        <v>8.7920911326341139E-2</v>
      </c>
      <c r="AZ52" s="82">
        <f t="shared" si="83"/>
        <v>0.1311428841965723</v>
      </c>
      <c r="BA52" s="82">
        <f t="shared" si="83"/>
        <v>0.17713618607157289</v>
      </c>
      <c r="BB52" s="1513">
        <f t="shared" si="83"/>
        <v>0.13417749035378512</v>
      </c>
      <c r="BC52" s="82">
        <f t="shared" si="83"/>
        <v>9.2698264818912315E-2</v>
      </c>
      <c r="BD52" s="82">
        <f t="shared" si="83"/>
        <v>0.13341076267905536</v>
      </c>
      <c r="BE52" s="82">
        <f t="shared" ref="BE52:BJ52" si="84">BE42/BE17</f>
        <v>0.17530498554403778</v>
      </c>
      <c r="BF52" s="1513">
        <f t="shared" si="84"/>
        <v>0.1376862437574807</v>
      </c>
      <c r="BG52" s="82">
        <f t="shared" si="84"/>
        <v>9.3615656079563681E-2</v>
      </c>
      <c r="BH52" s="82">
        <f t="shared" si="84"/>
        <v>0.13796625909301966</v>
      </c>
      <c r="BI52" s="82">
        <f t="shared" si="84"/>
        <v>0.17155888854688417</v>
      </c>
      <c r="BJ52" s="82">
        <f t="shared" si="84"/>
        <v>0.13789634245286081</v>
      </c>
      <c r="BK52" s="82">
        <f t="shared" ref="BK52" si="85">BK42/BK17</f>
        <v>9.5466749277158203E-2</v>
      </c>
      <c r="BL52" s="3511">
        <f>BL42/BL17</f>
        <v>0.138582549464807</v>
      </c>
      <c r="BM52" s="82"/>
      <c r="BN52" s="451">
        <f t="shared" ref="BN52:BU52" si="86">BN42/BN17</f>
        <v>0.21672010582010579</v>
      </c>
      <c r="BO52" s="451">
        <f t="shared" si="86"/>
        <v>0.18501318414433171</v>
      </c>
      <c r="BP52" s="451">
        <f t="shared" si="86"/>
        <v>0.15877276351459099</v>
      </c>
      <c r="BQ52" s="447">
        <f t="shared" si="86"/>
        <v>0.1485014152223644</v>
      </c>
      <c r="BR52" s="451">
        <f t="shared" si="86"/>
        <v>0.19386446886446887</v>
      </c>
      <c r="BS52" s="451">
        <f t="shared" si="86"/>
        <v>0.14300638421358097</v>
      </c>
      <c r="BT52" s="451">
        <f t="shared" si="86"/>
        <v>0.13351771759508474</v>
      </c>
      <c r="BU52" s="451">
        <f t="shared" si="86"/>
        <v>0.13382117203656343</v>
      </c>
      <c r="BV52" s="451">
        <f>BV42/BV17</f>
        <v>0.13574321859822233</v>
      </c>
      <c r="BW52" s="451">
        <f>BW42/BW17</f>
        <v>0.13655066333397423</v>
      </c>
    </row>
    <row r="53" spans="1:75" s="211" customFormat="1">
      <c r="A53" s="464" t="s">
        <v>2741</v>
      </c>
      <c r="B53" s="444"/>
      <c r="C53" s="444"/>
      <c r="D53" s="444"/>
      <c r="E53" s="444"/>
      <c r="F53" s="444"/>
      <c r="G53" s="444"/>
      <c r="H53" s="444"/>
      <c r="I53" s="444"/>
      <c r="J53" s="444"/>
      <c r="K53" s="444"/>
      <c r="L53" s="444"/>
      <c r="V53" s="446"/>
      <c r="Z53" s="446"/>
      <c r="AD53" s="446"/>
      <c r="AH53" s="446"/>
      <c r="AI53" s="211">
        <f t="shared" ref="AI53:AV53" si="87">SUM(AF30:AI30)/SUM(AF6:AI6)</f>
        <v>0.15500680754198343</v>
      </c>
      <c r="AJ53" s="211">
        <f t="shared" si="87"/>
        <v>0.15644656589763989</v>
      </c>
      <c r="AK53" s="211">
        <f t="shared" si="87"/>
        <v>0.15679771625280745</v>
      </c>
      <c r="AL53" s="446">
        <f t="shared" si="87"/>
        <v>0.15621662536420478</v>
      </c>
      <c r="AM53" s="211">
        <f t="shared" si="87"/>
        <v>0.1740105003236401</v>
      </c>
      <c r="AN53" s="211">
        <f t="shared" si="87"/>
        <v>0.18613349150643402</v>
      </c>
      <c r="AO53" s="211">
        <f t="shared" si="87"/>
        <v>0.18233799237611181</v>
      </c>
      <c r="AP53" s="211">
        <f t="shared" si="87"/>
        <v>0.19200994518845002</v>
      </c>
      <c r="AQ53" s="211">
        <f t="shared" si="87"/>
        <v>0.16169567208610031</v>
      </c>
      <c r="AR53" s="211">
        <f t="shared" si="87"/>
        <v>0.13151723885245301</v>
      </c>
      <c r="AS53" s="211">
        <f t="shared" si="87"/>
        <v>0.1420139316976945</v>
      </c>
      <c r="AT53" s="446">
        <f t="shared" si="87"/>
        <v>0.14308098085812029</v>
      </c>
      <c r="AU53" s="447">
        <f t="shared" si="87"/>
        <v>0.13608283302880014</v>
      </c>
      <c r="AV53" s="211">
        <f t="shared" si="87"/>
        <v>0.14010886514306486</v>
      </c>
      <c r="AW53" s="211">
        <f t="shared" ref="AW53:BE53" si="88">SUM(AT30:AW30)/SUM(AT6:AW6)</f>
        <v>0.14182651877948818</v>
      </c>
      <c r="AX53" s="446">
        <f t="shared" si="88"/>
        <v>0.14094612872364992</v>
      </c>
      <c r="AY53" s="447">
        <f t="shared" si="88"/>
        <v>0.13624368374492077</v>
      </c>
      <c r="AZ53" s="82">
        <f t="shared" si="88"/>
        <v>0.13961294420823919</v>
      </c>
      <c r="BA53" s="82">
        <f t="shared" si="88"/>
        <v>0.14108298113878517</v>
      </c>
      <c r="BB53" s="1513">
        <f t="shared" si="88"/>
        <v>0.14184044029290899</v>
      </c>
      <c r="BC53" s="82">
        <f>SUM(AZ30:BC30)/SUM(AZ6:BC6)</f>
        <v>0.14219148867418491</v>
      </c>
      <c r="BD53" s="82">
        <f t="shared" si="88"/>
        <v>0.14314838247887829</v>
      </c>
      <c r="BE53" s="82">
        <f t="shared" si="88"/>
        <v>0.14397781497489195</v>
      </c>
      <c r="BF53" s="1513">
        <f t="shared" ref="BF53:BK53" si="89">SUM(BC30:BF30)/SUM(BC6:BF6)</f>
        <v>0.14336876434351975</v>
      </c>
      <c r="BG53" s="82">
        <f t="shared" si="89"/>
        <v>0.1427623078108515</v>
      </c>
      <c r="BH53" s="82">
        <f t="shared" si="89"/>
        <v>0.14380613611157403</v>
      </c>
      <c r="BI53" s="82">
        <f t="shared" si="89"/>
        <v>0.14446848646249444</v>
      </c>
      <c r="BJ53" s="82">
        <f t="shared" si="89"/>
        <v>0.14463185156925853</v>
      </c>
      <c r="BK53" s="82">
        <f t="shared" si="89"/>
        <v>0.14331042050560053</v>
      </c>
      <c r="BL53" s="3511">
        <f>SUM(BI30:BL30)/SUM(BI6:BL6)</f>
        <v>0.14302137141699584</v>
      </c>
      <c r="BM53" s="82"/>
      <c r="BN53" s="451"/>
      <c r="BO53" s="451"/>
      <c r="BP53" s="451"/>
      <c r="BR53" s="451"/>
      <c r="BS53" s="451"/>
      <c r="BT53" s="451"/>
    </row>
    <row r="54" spans="1:75" s="424" customFormat="1">
      <c r="A54" s="422"/>
      <c r="B54" s="427"/>
      <c r="C54" s="427"/>
      <c r="V54" s="425"/>
      <c r="W54" s="376"/>
      <c r="Z54" s="425"/>
      <c r="AD54" s="425"/>
      <c r="AH54" s="425"/>
      <c r="AL54" s="425"/>
      <c r="AT54" s="425"/>
      <c r="AU54" s="423"/>
      <c r="AX54" s="425"/>
      <c r="AY54" s="423"/>
      <c r="AZ54" s="217"/>
      <c r="BA54" s="217"/>
      <c r="BB54" s="3106"/>
      <c r="BC54" s="217"/>
      <c r="BD54" s="217"/>
      <c r="BE54" s="217"/>
      <c r="BF54" s="3106"/>
      <c r="BG54" s="217"/>
      <c r="BH54" s="3109"/>
      <c r="BI54" s="3109"/>
      <c r="BJ54" s="3109"/>
      <c r="BK54" s="3109"/>
      <c r="BL54" s="3109"/>
      <c r="BM54" s="3106"/>
      <c r="BN54" s="442"/>
      <c r="BO54" s="442"/>
      <c r="BP54" s="442"/>
      <c r="BR54" s="442"/>
      <c r="BS54" s="442"/>
      <c r="BT54" s="442"/>
      <c r="BW54" s="2059"/>
    </row>
    <row r="55" spans="1:75" s="3190" customFormat="1" ht="15.5" customHeight="1">
      <c r="A55" s="3188" t="s">
        <v>56</v>
      </c>
      <c r="B55" s="3185"/>
      <c r="C55" s="3185"/>
      <c r="D55" s="3186"/>
      <c r="E55" s="3186"/>
      <c r="F55" s="3186"/>
      <c r="G55" s="3186"/>
      <c r="H55" s="3186"/>
      <c r="I55" s="3186"/>
      <c r="J55" s="3186"/>
      <c r="K55" s="3186"/>
      <c r="L55" s="3186"/>
      <c r="M55" s="3186"/>
      <c r="N55" s="3186"/>
      <c r="O55" s="3186"/>
      <c r="P55" s="3186"/>
      <c r="Q55" s="3186"/>
      <c r="R55" s="3186"/>
      <c r="S55" s="3186"/>
      <c r="T55" s="3186"/>
      <c r="U55" s="3186"/>
      <c r="V55" s="3187"/>
      <c r="W55" s="3179"/>
      <c r="X55" s="3179"/>
      <c r="Y55" s="3179"/>
      <c r="Z55" s="3180"/>
      <c r="AA55" s="3179"/>
      <c r="AB55" s="3179"/>
      <c r="AC55" s="3179"/>
      <c r="AD55" s="3180"/>
      <c r="AE55" s="3179"/>
      <c r="AF55" s="3179"/>
      <c r="AG55" s="3179"/>
      <c r="AH55" s="3180"/>
      <c r="AI55" s="3179"/>
      <c r="AJ55" s="3179"/>
      <c r="AK55" s="3179"/>
      <c r="AL55" s="3180"/>
      <c r="AM55" s="3179"/>
      <c r="AN55" s="3179"/>
      <c r="AO55" s="3179"/>
      <c r="AP55" s="3179"/>
      <c r="AQ55" s="3179"/>
      <c r="AR55" s="3179"/>
      <c r="AS55" s="3179"/>
      <c r="AT55" s="3180"/>
      <c r="AU55" s="3181"/>
      <c r="AV55" s="3182"/>
      <c r="AW55" s="3183"/>
      <c r="AX55" s="3184"/>
      <c r="AY55" s="3266"/>
      <c r="AZ55" s="3183"/>
      <c r="BA55" s="3183"/>
      <c r="BB55" s="3184"/>
      <c r="BC55" s="3183"/>
      <c r="BD55" s="3183"/>
      <c r="BE55" s="3183"/>
      <c r="BF55" s="3184"/>
      <c r="BG55" s="3183"/>
      <c r="BH55" s="3183"/>
      <c r="BI55" s="3183"/>
      <c r="BJ55" s="3183"/>
      <c r="BK55" s="3183"/>
      <c r="BL55" s="3183"/>
      <c r="BM55" s="3408"/>
      <c r="BN55" s="3189"/>
      <c r="BO55" s="3189"/>
      <c r="BP55" s="3189"/>
      <c r="BR55" s="3191"/>
      <c r="BS55" s="3191"/>
      <c r="BT55" s="3191"/>
    </row>
    <row r="56" spans="1:75" ht="15.5" customHeight="1">
      <c r="A56" s="1756" t="s">
        <v>2830</v>
      </c>
      <c r="B56" s="3403"/>
      <c r="C56" s="3403"/>
      <c r="D56" s="3404"/>
      <c r="E56" s="3404"/>
      <c r="F56" s="3404"/>
      <c r="G56" s="3404"/>
      <c r="H56" s="3404"/>
      <c r="I56" s="3404"/>
      <c r="J56" s="3404"/>
      <c r="K56" s="3404"/>
      <c r="L56" s="3404"/>
      <c r="M56" s="3404"/>
      <c r="N56" s="3404"/>
      <c r="O56" s="3404"/>
      <c r="P56" s="3404"/>
      <c r="Q56" s="3404"/>
      <c r="R56" s="3404"/>
      <c r="S56" s="3404"/>
      <c r="T56" s="3404"/>
      <c r="U56" s="3404"/>
      <c r="V56" s="3405"/>
      <c r="W56" s="1445"/>
      <c r="X56" s="1445"/>
      <c r="Y56" s="1445"/>
      <c r="Z56" s="1446"/>
      <c r="AA56" s="1445"/>
      <c r="AB56" s="1445"/>
      <c r="AC56" s="1445"/>
      <c r="AD56" s="1446"/>
      <c r="AE56" s="1445"/>
      <c r="AF56" s="1445"/>
      <c r="AG56" s="1445"/>
      <c r="AH56" s="1446"/>
      <c r="AI56" s="1445"/>
      <c r="AJ56" s="1445"/>
      <c r="AK56" s="1445"/>
      <c r="AL56" s="1446"/>
      <c r="AM56" s="1445"/>
      <c r="AN56" s="1445"/>
      <c r="AO56" s="1445"/>
      <c r="AP56" s="1445"/>
      <c r="AQ56" s="1445"/>
      <c r="AR56" s="1445"/>
      <c r="AS56" s="1445"/>
      <c r="AT56" s="1446"/>
      <c r="AU56" s="3406"/>
      <c r="AV56" s="56"/>
      <c r="AW56" s="3407"/>
      <c r="AX56" s="3408"/>
      <c r="AY56" s="3409"/>
      <c r="AZ56" s="3407"/>
      <c r="BA56" s="3407"/>
      <c r="BB56" s="3408"/>
      <c r="BC56" s="1793">
        <f>BC60/AY60-1</f>
        <v>6.1305207646671134E-2</v>
      </c>
      <c r="BD56" s="1793">
        <f>BD61/AZ61-1</f>
        <v>0.14365411436541153</v>
      </c>
      <c r="BE56" s="1793">
        <f>BE61/BA61-1</f>
        <v>0.20608575380359606</v>
      </c>
      <c r="BF56" s="1858">
        <f>BF61/BB61-1</f>
        <v>0.15384615384615374</v>
      </c>
      <c r="BG56" s="1793">
        <f>BG60/BC60-1</f>
        <v>0.1037267080745341</v>
      </c>
      <c r="BH56" s="3407"/>
      <c r="BI56" s="3407"/>
      <c r="BJ56" s="3407"/>
      <c r="BK56" s="3407"/>
      <c r="BL56" s="3407"/>
      <c r="BM56" s="3408"/>
      <c r="BN56" s="64"/>
      <c r="BO56" s="64"/>
      <c r="BP56" s="64"/>
    </row>
    <row r="57" spans="1:75" s="424" customFormat="1" ht="12">
      <c r="A57" s="435" t="s">
        <v>2831</v>
      </c>
      <c r="B57" s="427"/>
      <c r="C57" s="427"/>
      <c r="V57" s="425"/>
      <c r="W57" s="376"/>
      <c r="Z57" s="425"/>
      <c r="AD57" s="425"/>
      <c r="AH57" s="425"/>
      <c r="AJ57" s="211"/>
      <c r="AL57" s="425"/>
      <c r="AT57" s="425"/>
      <c r="AU57" s="423"/>
      <c r="AW57" s="1793"/>
      <c r="AX57" s="1858"/>
      <c r="AY57" s="1961"/>
      <c r="AZ57" s="1793"/>
      <c r="BA57" s="1793"/>
      <c r="BB57" s="1858"/>
      <c r="BH57" s="1793"/>
      <c r="BI57" s="1793"/>
      <c r="BJ57" s="1793"/>
      <c r="BK57" s="1793"/>
      <c r="BL57" s="1793"/>
      <c r="BM57" s="1858"/>
      <c r="BN57" s="442"/>
      <c r="BO57" s="442"/>
      <c r="BP57" s="442"/>
      <c r="BR57" s="442"/>
      <c r="BS57" s="442"/>
      <c r="BT57" s="442"/>
      <c r="BW57" s="2059"/>
    </row>
    <row r="58" spans="1:75" s="1764" customFormat="1" outlineLevel="1">
      <c r="A58" s="1569" t="s">
        <v>1402</v>
      </c>
      <c r="B58" s="1763"/>
      <c r="C58" s="1763"/>
      <c r="R58" s="2026">
        <v>633.54399999999987</v>
      </c>
      <c r="S58" s="2026">
        <v>758.69</v>
      </c>
      <c r="T58" s="2026">
        <v>784.72900000000004</v>
      </c>
      <c r="U58" s="2026">
        <v>561.255</v>
      </c>
      <c r="V58" s="1768">
        <v>2775.4369999999999</v>
      </c>
      <c r="W58" s="2027">
        <v>779.90899999999999</v>
      </c>
      <c r="X58" s="2026">
        <v>920.76300000000003</v>
      </c>
      <c r="Y58" s="2026">
        <v>1040.1489999999999</v>
      </c>
      <c r="Z58" s="2028">
        <v>738.46600000000001</v>
      </c>
      <c r="AA58" s="1764">
        <v>980.77300000000002</v>
      </c>
      <c r="AB58" s="1764">
        <v>1147.5889999999999</v>
      </c>
      <c r="AC58" s="1764">
        <v>1224.345</v>
      </c>
      <c r="AD58" s="1768">
        <v>789.06399999999996</v>
      </c>
      <c r="AE58" s="1764">
        <v>1106.2070000000001</v>
      </c>
      <c r="AF58" s="1764">
        <v>1141.893</v>
      </c>
      <c r="AG58" s="1764">
        <v>1314.0550000000001</v>
      </c>
      <c r="AH58" s="1768">
        <v>885</v>
      </c>
      <c r="AI58" s="1764">
        <v>1030</v>
      </c>
      <c r="AJ58" s="1764">
        <v>1192</v>
      </c>
      <c r="AK58" s="1764">
        <v>1291</v>
      </c>
      <c r="AL58" s="1768">
        <v>906</v>
      </c>
      <c r="AT58" s="1768"/>
      <c r="AU58" s="1877"/>
      <c r="AW58" s="1839"/>
      <c r="AX58" s="1939"/>
      <c r="AY58" s="1941"/>
      <c r="AZ58" s="3215"/>
      <c r="BA58" s="3215"/>
      <c r="BB58" s="3110"/>
      <c r="BC58" s="3215"/>
      <c r="BD58" s="3215"/>
      <c r="BE58" s="3215"/>
      <c r="BF58" s="3110"/>
      <c r="BG58" s="3215"/>
      <c r="BH58" s="3215"/>
      <c r="BI58" s="3215"/>
      <c r="BJ58" s="3215"/>
      <c r="BK58" s="3215"/>
      <c r="BL58" s="3215"/>
      <c r="BM58" s="3110"/>
      <c r="BN58" s="1769">
        <v>3479.2869999999998</v>
      </c>
      <c r="BO58" s="1769">
        <v>4141.7710000000006</v>
      </c>
      <c r="BP58" s="1769">
        <f>SUM(AE58:AH58)</f>
        <v>4447.1550000000007</v>
      </c>
      <c r="BQ58" s="1764">
        <f>SUM(AI58:AL58)</f>
        <v>4419</v>
      </c>
      <c r="BR58" s="1769"/>
      <c r="BS58" s="1769"/>
      <c r="BT58" s="1769"/>
    </row>
    <row r="59" spans="1:75" s="1764" customFormat="1" outlineLevel="1">
      <c r="A59" s="1569" t="s">
        <v>1403</v>
      </c>
      <c r="B59" s="1763"/>
      <c r="C59" s="1763"/>
      <c r="R59" s="2026">
        <v>73.254000000000005</v>
      </c>
      <c r="S59" s="2026">
        <v>78.430999999999997</v>
      </c>
      <c r="T59" s="2026">
        <v>67.858000000000004</v>
      </c>
      <c r="U59" s="2026">
        <v>54.161000000000001</v>
      </c>
      <c r="V59" s="1768">
        <v>236.48500000000001</v>
      </c>
      <c r="W59" s="2027">
        <v>69.844999999999999</v>
      </c>
      <c r="X59" s="2026">
        <v>112.321</v>
      </c>
      <c r="Y59" s="2026">
        <v>72.792000000000002</v>
      </c>
      <c r="Z59" s="2028">
        <v>40.74</v>
      </c>
      <c r="AA59" s="1764">
        <v>73.012</v>
      </c>
      <c r="AB59" s="1764">
        <v>121.187</v>
      </c>
      <c r="AC59" s="1764">
        <v>112.79600000000001</v>
      </c>
      <c r="AD59" s="1768">
        <v>84.588999999999999</v>
      </c>
      <c r="AE59" s="1764">
        <v>101.402</v>
      </c>
      <c r="AF59" s="1764">
        <v>123.73399999999999</v>
      </c>
      <c r="AG59" s="1764">
        <v>160.126</v>
      </c>
      <c r="AH59" s="1768">
        <v>124</v>
      </c>
      <c r="AI59" s="1764">
        <v>163</v>
      </c>
      <c r="AJ59" s="1764">
        <v>175</v>
      </c>
      <c r="AK59" s="1764">
        <v>124</v>
      </c>
      <c r="AL59" s="1768">
        <v>86</v>
      </c>
      <c r="AQ59" s="1793"/>
      <c r="AR59" s="1793"/>
      <c r="AS59" s="1793"/>
      <c r="AT59" s="1858"/>
      <c r="AU59" s="1961"/>
      <c r="AV59" s="1793"/>
      <c r="AW59" s="1839"/>
      <c r="AX59" s="1939"/>
      <c r="AY59" s="1941"/>
      <c r="AZ59" s="3215"/>
      <c r="BA59" s="3215"/>
      <c r="BB59" s="3110"/>
      <c r="BC59" s="3215"/>
      <c r="BD59" s="3215"/>
      <c r="BE59" s="3215"/>
      <c r="BF59" s="3110"/>
      <c r="BG59" s="3215"/>
      <c r="BH59" s="3215"/>
      <c r="BI59" s="3215"/>
      <c r="BJ59" s="3215"/>
      <c r="BK59" s="3215"/>
      <c r="BL59" s="3215"/>
      <c r="BM59" s="3110"/>
      <c r="BN59" s="1769">
        <v>295.69799999999998</v>
      </c>
      <c r="BO59" s="1769">
        <v>391.584</v>
      </c>
      <c r="BP59" s="1769">
        <f>SUM(AE59:AH59)</f>
        <v>509.262</v>
      </c>
      <c r="BQ59" s="1764">
        <f>SUM(AI59:AL59)</f>
        <v>548</v>
      </c>
      <c r="BR59" s="1769"/>
      <c r="BS59" s="1769"/>
      <c r="BT59" s="1769"/>
    </row>
    <row r="60" spans="1:75" s="3237" customFormat="1">
      <c r="A60" s="3235" t="s">
        <v>2084</v>
      </c>
      <c r="B60" s="3236"/>
      <c r="C60" s="3236"/>
      <c r="R60" s="3238">
        <f t="shared" ref="R60:AF60" si="90">SUM(R58:R59)</f>
        <v>706.79799999999989</v>
      </c>
      <c r="S60" s="3238">
        <f t="shared" si="90"/>
        <v>837.12100000000009</v>
      </c>
      <c r="T60" s="3238">
        <f t="shared" si="90"/>
        <v>852.58699999999999</v>
      </c>
      <c r="U60" s="3238">
        <f t="shared" si="90"/>
        <v>615.41599999999994</v>
      </c>
      <c r="V60" s="3238">
        <f t="shared" si="90"/>
        <v>3011.922</v>
      </c>
      <c r="W60" s="3239">
        <f t="shared" si="90"/>
        <v>849.75400000000002</v>
      </c>
      <c r="X60" s="3239">
        <f t="shared" si="90"/>
        <v>1033.0840000000001</v>
      </c>
      <c r="Y60" s="3239">
        <f t="shared" si="90"/>
        <v>1112.9409999999998</v>
      </c>
      <c r="Z60" s="3239">
        <f t="shared" si="90"/>
        <v>779.20600000000002</v>
      </c>
      <c r="AA60" s="3240">
        <f t="shared" si="90"/>
        <v>1053.7850000000001</v>
      </c>
      <c r="AB60" s="3240">
        <f t="shared" si="90"/>
        <v>1268.7759999999998</v>
      </c>
      <c r="AC60" s="3240">
        <f t="shared" si="90"/>
        <v>1337.1410000000001</v>
      </c>
      <c r="AD60" s="3240">
        <f t="shared" si="90"/>
        <v>873.65300000000002</v>
      </c>
      <c r="AE60" s="3240">
        <f t="shared" si="90"/>
        <v>1207.6090000000002</v>
      </c>
      <c r="AF60" s="3240">
        <f t="shared" si="90"/>
        <v>1265.627</v>
      </c>
      <c r="AG60" s="3240">
        <f t="shared" ref="AG60:AL60" si="91">SUM(AG58:AG59)</f>
        <v>1474.181</v>
      </c>
      <c r="AH60" s="3240">
        <f t="shared" si="91"/>
        <v>1009</v>
      </c>
      <c r="AI60" s="3240">
        <f t="shared" si="91"/>
        <v>1193</v>
      </c>
      <c r="AJ60" s="3240">
        <f>SUM(AJ58:AJ59)</f>
        <v>1367</v>
      </c>
      <c r="AK60" s="3240">
        <f t="shared" si="91"/>
        <v>1415</v>
      </c>
      <c r="AL60" s="3260">
        <f t="shared" si="91"/>
        <v>992</v>
      </c>
      <c r="AM60" s="3237">
        <v>851</v>
      </c>
      <c r="AN60" s="3237">
        <v>211</v>
      </c>
      <c r="AO60" s="3237">
        <v>731</v>
      </c>
      <c r="AP60" s="3237">
        <v>386</v>
      </c>
      <c r="AQ60" s="3237">
        <v>461</v>
      </c>
      <c r="AR60" s="3237">
        <v>988</v>
      </c>
      <c r="AS60" s="3237">
        <v>1378</v>
      </c>
      <c r="AT60" s="3246">
        <v>974</v>
      </c>
      <c r="AU60" s="3241">
        <v>1147</v>
      </c>
      <c r="AV60" s="3237">
        <v>1737</v>
      </c>
      <c r="AW60" s="3237">
        <v>1795</v>
      </c>
      <c r="AX60" s="3246">
        <v>1314</v>
      </c>
      <c r="AY60" s="3241">
        <v>1517</v>
      </c>
      <c r="AZ60" s="3242">
        <v>1801</v>
      </c>
      <c r="BA60" s="3242">
        <v>2022</v>
      </c>
      <c r="BB60" s="3269">
        <v>1433</v>
      </c>
      <c r="BC60" s="3242">
        <v>1610</v>
      </c>
      <c r="BD60" s="3242">
        <v>1939</v>
      </c>
      <c r="BE60" s="3242">
        <v>2151</v>
      </c>
      <c r="BF60" s="3269">
        <v>1578</v>
      </c>
      <c r="BG60" s="3242">
        <v>1777</v>
      </c>
      <c r="BH60" s="3242">
        <v>2139</v>
      </c>
      <c r="BI60" s="3242">
        <v>2340</v>
      </c>
      <c r="BJ60" s="3242">
        <v>1930</v>
      </c>
      <c r="BK60" s="3242">
        <v>2068</v>
      </c>
      <c r="BL60" s="3242">
        <v>2371</v>
      </c>
      <c r="BM60" s="3242"/>
      <c r="BN60" s="3243">
        <f>SUM(BN58:BN59)</f>
        <v>3774.9849999999997</v>
      </c>
      <c r="BO60" s="3243">
        <f>SUM(BO58:BO59)</f>
        <v>4533.3550000000005</v>
      </c>
      <c r="BP60" s="3243">
        <f>SUM(BP58:BP59)</f>
        <v>4956.4170000000004</v>
      </c>
      <c r="BQ60" s="3244">
        <f>SUM(BQ58:BQ59)</f>
        <v>4967</v>
      </c>
      <c r="BR60" s="3243">
        <f t="shared" ref="BR60:BR65" si="92">SUM(AM60:AP60)</f>
        <v>2179</v>
      </c>
      <c r="BS60" s="3243">
        <v>3801</v>
      </c>
      <c r="BT60" s="3243">
        <f>SUM(AU60:AX60)</f>
        <v>5993</v>
      </c>
      <c r="BU60" s="3237">
        <v>6773</v>
      </c>
      <c r="BV60" s="3237">
        <v>7278</v>
      </c>
      <c r="BW60" s="3237">
        <f t="shared" ref="BW60:BW66" si="93">SUM(BG60:BJ60)</f>
        <v>8186</v>
      </c>
    </row>
    <row r="61" spans="1:75" s="3237" customFormat="1">
      <c r="A61" s="3235" t="s">
        <v>1961</v>
      </c>
      <c r="B61" s="3236"/>
      <c r="C61" s="3236"/>
      <c r="R61" s="3245">
        <v>81.944000000000003</v>
      </c>
      <c r="S61" s="3245">
        <v>94.522999999999996</v>
      </c>
      <c r="T61" s="3245">
        <v>93.069000000000003</v>
      </c>
      <c r="U61" s="3245">
        <v>83.682000000000002</v>
      </c>
      <c r="V61" s="3246">
        <v>353.21800000000002</v>
      </c>
      <c r="W61" s="3247">
        <v>92.322999999999993</v>
      </c>
      <c r="X61" s="3245">
        <v>105.52200000000001</v>
      </c>
      <c r="Y61" s="3245">
        <v>124.86499999999999</v>
      </c>
      <c r="Z61" s="3248">
        <v>112.515</v>
      </c>
      <c r="AA61" s="3237">
        <v>114.036</v>
      </c>
      <c r="AB61" s="3237">
        <v>131.73400000000001</v>
      </c>
      <c r="AC61" s="3237">
        <v>165.53899999999999</v>
      </c>
      <c r="AD61" s="3246">
        <v>150.649</v>
      </c>
      <c r="AE61" s="3237">
        <v>165.8</v>
      </c>
      <c r="AF61" s="3237">
        <v>203.59299999999999</v>
      </c>
      <c r="AG61" s="3237">
        <v>242.97399999999999</v>
      </c>
      <c r="AH61" s="3246">
        <v>218</v>
      </c>
      <c r="AI61" s="3237">
        <v>215</v>
      </c>
      <c r="AJ61" s="3237">
        <v>248</v>
      </c>
      <c r="AK61" s="3237">
        <v>276</v>
      </c>
      <c r="AL61" s="3246">
        <v>216</v>
      </c>
      <c r="AM61" s="3237">
        <v>377</v>
      </c>
      <c r="AN61" s="3237">
        <v>131</v>
      </c>
      <c r="AO61" s="3237">
        <v>129</v>
      </c>
      <c r="AP61" s="3237">
        <v>118</v>
      </c>
      <c r="AQ61" s="3237">
        <v>112</v>
      </c>
      <c r="AR61" s="3237">
        <v>206</v>
      </c>
      <c r="AS61" s="3237">
        <v>302</v>
      </c>
      <c r="AT61" s="3246">
        <v>261</v>
      </c>
      <c r="AU61" s="3241">
        <v>339</v>
      </c>
      <c r="AV61" s="3237">
        <v>465</v>
      </c>
      <c r="AW61" s="3237">
        <v>540</v>
      </c>
      <c r="AX61" s="3246">
        <v>511</v>
      </c>
      <c r="AY61" s="3241">
        <v>570</v>
      </c>
      <c r="AZ61" s="3242">
        <v>717</v>
      </c>
      <c r="BA61" s="3242">
        <v>723</v>
      </c>
      <c r="BB61" s="3269">
        <v>650</v>
      </c>
      <c r="BC61" s="3242">
        <v>678</v>
      </c>
      <c r="BD61" s="3242">
        <v>820</v>
      </c>
      <c r="BE61" s="3242">
        <v>872</v>
      </c>
      <c r="BF61" s="3269">
        <v>750</v>
      </c>
      <c r="BG61" s="3242">
        <v>702</v>
      </c>
      <c r="BH61" s="3242">
        <v>899</v>
      </c>
      <c r="BI61" s="3242">
        <v>1022</v>
      </c>
      <c r="BJ61" s="3242">
        <v>830</v>
      </c>
      <c r="BK61" s="3242">
        <v>804</v>
      </c>
      <c r="BL61" s="3242">
        <v>942</v>
      </c>
      <c r="BM61" s="3242"/>
      <c r="BN61" s="3249">
        <v>435.22499999999997</v>
      </c>
      <c r="BO61" s="3249">
        <v>561.95799999999997</v>
      </c>
      <c r="BP61" s="3249">
        <f>SUM(AE61:AH61)</f>
        <v>830.36699999999996</v>
      </c>
      <c r="BQ61" s="3237">
        <f>SUM(AI61:AL61)</f>
        <v>955</v>
      </c>
      <c r="BR61" s="3249">
        <f t="shared" si="92"/>
        <v>755</v>
      </c>
      <c r="BS61" s="3249">
        <v>881</v>
      </c>
      <c r="BT61" s="3249">
        <v>1986</v>
      </c>
      <c r="BU61" s="3237">
        <v>2744</v>
      </c>
      <c r="BV61" s="3237">
        <v>3120</v>
      </c>
      <c r="BW61" s="3237">
        <f t="shared" si="93"/>
        <v>3453</v>
      </c>
    </row>
    <row r="62" spans="1:75" s="3237" customFormat="1">
      <c r="A62" s="3235" t="s">
        <v>1404</v>
      </c>
      <c r="B62" s="3236"/>
      <c r="C62" s="3236"/>
      <c r="R62" s="3245">
        <v>258.98399999999998</v>
      </c>
      <c r="S62" s="3245">
        <v>289.15600000000001</v>
      </c>
      <c r="T62" s="3245">
        <v>305.32900000000001</v>
      </c>
      <c r="U62" s="3245">
        <v>312.75700000000001</v>
      </c>
      <c r="V62" s="3246">
        <v>1166.2260000000001</v>
      </c>
      <c r="W62" s="3247">
        <v>308.351</v>
      </c>
      <c r="X62" s="3245">
        <v>332.654</v>
      </c>
      <c r="Y62" s="3245">
        <v>347.61</v>
      </c>
      <c r="Z62" s="3248">
        <v>361.41699999999997</v>
      </c>
      <c r="AA62" s="3237">
        <v>351.03</v>
      </c>
      <c r="AB62" s="3237">
        <v>385.70800000000003</v>
      </c>
      <c r="AC62" s="3237">
        <v>483.43799999999999</v>
      </c>
      <c r="AD62" s="3246">
        <v>439.40499999999997</v>
      </c>
      <c r="AE62" s="3237">
        <v>498.887</v>
      </c>
      <c r="AF62" s="3237">
        <v>522.25</v>
      </c>
      <c r="AG62" s="3237">
        <v>536.73500000000001</v>
      </c>
      <c r="AH62" s="3246">
        <v>484</v>
      </c>
      <c r="AI62" s="3237">
        <v>501</v>
      </c>
      <c r="AJ62" s="3237">
        <v>619</v>
      </c>
      <c r="AK62" s="3237">
        <v>566</v>
      </c>
      <c r="AL62" s="3246">
        <v>562</v>
      </c>
      <c r="AM62" s="3237">
        <v>484</v>
      </c>
      <c r="AN62" s="3237">
        <v>452</v>
      </c>
      <c r="AO62" s="3237">
        <v>517</v>
      </c>
      <c r="AP62" s="3237">
        <v>491</v>
      </c>
      <c r="AQ62" s="3237">
        <v>552</v>
      </c>
      <c r="AR62" s="3237">
        <v>686</v>
      </c>
      <c r="AS62" s="3237">
        <v>591</v>
      </c>
      <c r="AT62" s="3246">
        <v>485</v>
      </c>
      <c r="AU62" s="3241">
        <v>596</v>
      </c>
      <c r="AV62" s="3237">
        <v>635</v>
      </c>
      <c r="AW62" s="3237">
        <v>636</v>
      </c>
      <c r="AX62" s="3246">
        <v>598</v>
      </c>
      <c r="AY62" s="3241">
        <v>722</v>
      </c>
      <c r="AZ62" s="3242">
        <v>752</v>
      </c>
      <c r="BA62" s="3242">
        <v>788</v>
      </c>
      <c r="BB62" s="3269">
        <f>1032</f>
        <v>1032</v>
      </c>
      <c r="BC62" s="3242">
        <v>826</v>
      </c>
      <c r="BD62" s="3242">
        <v>807</v>
      </c>
      <c r="BE62" s="3242">
        <v>868</v>
      </c>
      <c r="BF62" s="3269">
        <v>853</v>
      </c>
      <c r="BG62" s="3242">
        <v>693</v>
      </c>
      <c r="BH62" s="3242">
        <v>896</v>
      </c>
      <c r="BI62" s="3242">
        <v>945</v>
      </c>
      <c r="BJ62" s="3242">
        <v>869</v>
      </c>
      <c r="BK62" s="3242">
        <v>893</v>
      </c>
      <c r="BL62" s="3242">
        <v>900</v>
      </c>
      <c r="BM62" s="3242"/>
      <c r="BN62" s="3249">
        <v>1350.0319999999999</v>
      </c>
      <c r="BO62" s="3249">
        <v>1659.5809999999999</v>
      </c>
      <c r="BP62" s="3249">
        <f>SUM(AE62:AH62)</f>
        <v>2041.8719999999998</v>
      </c>
      <c r="BQ62" s="3237">
        <f>SUM(AI62:AL62)</f>
        <v>2248</v>
      </c>
      <c r="BR62" s="3249">
        <f t="shared" si="92"/>
        <v>1944</v>
      </c>
      <c r="BS62" s="3249">
        <v>2314</v>
      </c>
      <c r="BT62" s="3249">
        <f>SUM(AU62:AX62)</f>
        <v>2465</v>
      </c>
      <c r="BU62" s="3237">
        <v>3294</v>
      </c>
      <c r="BV62" s="3237">
        <v>3354</v>
      </c>
      <c r="BW62" s="3237">
        <f t="shared" si="93"/>
        <v>3403</v>
      </c>
    </row>
    <row r="63" spans="1:75" s="3237" customFormat="1" ht="11" customHeight="1">
      <c r="A63" s="3235" t="s">
        <v>1405</v>
      </c>
      <c r="B63" s="3236"/>
      <c r="C63" s="3236"/>
      <c r="R63" s="3245">
        <v>100.178</v>
      </c>
      <c r="S63" s="3245">
        <v>98.944999999999993</v>
      </c>
      <c r="T63" s="3245">
        <v>109.706</v>
      </c>
      <c r="U63" s="3245">
        <v>106.59099999999999</v>
      </c>
      <c r="V63" s="3246">
        <v>415.42</v>
      </c>
      <c r="W63" s="3247">
        <v>113.045</v>
      </c>
      <c r="X63" s="3245">
        <v>112.642</v>
      </c>
      <c r="Y63" s="3245">
        <v>114.586</v>
      </c>
      <c r="Z63" s="3248">
        <v>115.636</v>
      </c>
      <c r="AA63" s="3237">
        <v>135.547</v>
      </c>
      <c r="AB63" s="3237">
        <v>141.63399999999999</v>
      </c>
      <c r="AC63" s="3237">
        <v>142.82300000000001</v>
      </c>
      <c r="AD63" s="3246">
        <v>165.53700000000001</v>
      </c>
      <c r="AE63" s="3237">
        <v>162.13900000000001</v>
      </c>
      <c r="AF63" s="3237">
        <v>158.75299999999999</v>
      </c>
      <c r="AG63" s="3237">
        <v>183.22800000000001</v>
      </c>
      <c r="AH63" s="3246">
        <v>194</v>
      </c>
      <c r="AI63" s="3237">
        <v>191</v>
      </c>
      <c r="AJ63" s="3237">
        <v>180</v>
      </c>
      <c r="AK63" s="3237">
        <v>225</v>
      </c>
      <c r="AL63" s="3246">
        <v>201</v>
      </c>
      <c r="AM63" s="3237">
        <v>201</v>
      </c>
      <c r="AN63" s="3237">
        <v>104</v>
      </c>
      <c r="AO63" s="3237">
        <v>148</v>
      </c>
      <c r="AP63" s="3237">
        <v>128</v>
      </c>
      <c r="AQ63" s="3237">
        <v>119</v>
      </c>
      <c r="AR63" s="3237">
        <v>134</v>
      </c>
      <c r="AS63" s="3237">
        <v>179</v>
      </c>
      <c r="AT63" s="3246">
        <v>188</v>
      </c>
      <c r="AU63" s="3241">
        <v>158</v>
      </c>
      <c r="AV63" s="3237">
        <v>207</v>
      </c>
      <c r="AW63" s="3237">
        <v>262</v>
      </c>
      <c r="AX63" s="3246">
        <v>270</v>
      </c>
      <c r="AY63" s="3241">
        <v>262</v>
      </c>
      <c r="AZ63" s="3242">
        <v>254</v>
      </c>
      <c r="BA63" s="3242">
        <v>387</v>
      </c>
      <c r="BB63" s="3269">
        <v>738</v>
      </c>
      <c r="BC63" s="3242">
        <v>186</v>
      </c>
      <c r="BD63" s="3242">
        <v>112</v>
      </c>
      <c r="BE63" s="3242">
        <v>575</v>
      </c>
      <c r="BF63" s="3269">
        <v>163</v>
      </c>
      <c r="BG63" s="3242">
        <v>142</v>
      </c>
      <c r="BH63" s="3242">
        <v>199</v>
      </c>
      <c r="BI63" s="3242">
        <v>254</v>
      </c>
      <c r="BJ63" s="3242">
        <v>262</v>
      </c>
      <c r="BK63" s="3242">
        <v>100</v>
      </c>
      <c r="BL63" s="3242">
        <v>217</v>
      </c>
      <c r="BM63" s="3242"/>
      <c r="BN63" s="3249">
        <v>455.90899999999999</v>
      </c>
      <c r="BO63" s="3249">
        <v>566.24099999999999</v>
      </c>
      <c r="BP63" s="3249">
        <f>SUM(AE63:AH63)</f>
        <v>698.12</v>
      </c>
      <c r="BQ63" s="3237">
        <f>SUM(AI63:AL63)</f>
        <v>797</v>
      </c>
      <c r="BR63" s="3249">
        <f t="shared" si="92"/>
        <v>581</v>
      </c>
      <c r="BS63" s="3249">
        <v>620</v>
      </c>
      <c r="BT63" s="3249">
        <v>766</v>
      </c>
      <c r="BU63" s="3237">
        <v>1555</v>
      </c>
      <c r="BV63" s="3237">
        <v>1036</v>
      </c>
      <c r="BW63" s="3237">
        <f t="shared" si="93"/>
        <v>857</v>
      </c>
    </row>
    <row r="64" spans="1:75" s="3237" customFormat="1">
      <c r="A64" s="3235" t="s">
        <v>1406</v>
      </c>
      <c r="B64" s="3236"/>
      <c r="C64" s="3236"/>
      <c r="R64" s="3245">
        <v>25.361000000000001</v>
      </c>
      <c r="S64" s="3245">
        <v>27.155999999999999</v>
      </c>
      <c r="T64" s="3245">
        <v>28.83</v>
      </c>
      <c r="U64" s="3245">
        <v>32.270000000000003</v>
      </c>
      <c r="V64" s="3246">
        <v>113.61699999999999</v>
      </c>
      <c r="W64" s="3247">
        <v>32.787999999999997</v>
      </c>
      <c r="X64" s="3245">
        <v>35.796999999999997</v>
      </c>
      <c r="Y64" s="3245">
        <v>36.389000000000003</v>
      </c>
      <c r="Z64" s="3248">
        <v>37.418999999999997</v>
      </c>
      <c r="AA64" s="3237">
        <v>39.945</v>
      </c>
      <c r="AB64" s="3237">
        <v>44.831000000000003</v>
      </c>
      <c r="AC64" s="3237">
        <v>47.901000000000003</v>
      </c>
      <c r="AD64" s="3246">
        <v>56.667000000000002</v>
      </c>
      <c r="AE64" s="3237">
        <v>60.441000000000003</v>
      </c>
      <c r="AF64" s="3237">
        <v>58.95</v>
      </c>
      <c r="AG64" s="3237">
        <v>57.741999999999997</v>
      </c>
      <c r="AH64" s="3246">
        <v>56</v>
      </c>
      <c r="AI64" s="3237">
        <v>65</v>
      </c>
      <c r="AJ64" s="3237">
        <v>70</v>
      </c>
      <c r="AK64" s="3237">
        <v>71</v>
      </c>
      <c r="AL64" s="3246">
        <v>79</v>
      </c>
      <c r="AM64" s="3237">
        <v>78</v>
      </c>
      <c r="AN64" s="3237">
        <v>70</v>
      </c>
      <c r="AO64" s="3237">
        <v>71</v>
      </c>
      <c r="AP64" s="3237">
        <v>80</v>
      </c>
      <c r="AQ64" s="3237">
        <v>87</v>
      </c>
      <c r="AR64" s="3237">
        <v>93</v>
      </c>
      <c r="AS64" s="3237">
        <v>109</v>
      </c>
      <c r="AT64" s="3246">
        <v>123</v>
      </c>
      <c r="AU64" s="3241">
        <v>134</v>
      </c>
      <c r="AV64" s="3237">
        <v>137</v>
      </c>
      <c r="AW64" s="3237">
        <v>129</v>
      </c>
      <c r="AX64" s="3246">
        <v>126</v>
      </c>
      <c r="AY64" s="3241">
        <v>137</v>
      </c>
      <c r="AZ64" s="3242">
        <v>144</v>
      </c>
      <c r="BA64" s="3242">
        <v>187</v>
      </c>
      <c r="BB64" s="3269">
        <v>187</v>
      </c>
      <c r="BC64" s="3242">
        <v>187</v>
      </c>
      <c r="BD64" s="3242">
        <v>183</v>
      </c>
      <c r="BE64" s="3242">
        <v>194</v>
      </c>
      <c r="BF64" s="3269">
        <v>207</v>
      </c>
      <c r="BG64" s="3242">
        <v>200</v>
      </c>
      <c r="BH64" s="3242">
        <v>219</v>
      </c>
      <c r="BI64" s="3242">
        <v>242</v>
      </c>
      <c r="BJ64" s="3242">
        <v>247</v>
      </c>
      <c r="BK64" s="3242">
        <v>240</v>
      </c>
      <c r="BL64" s="3242">
        <v>263</v>
      </c>
      <c r="BM64" s="3242"/>
      <c r="BN64" s="3249">
        <v>142.39299999999997</v>
      </c>
      <c r="BO64" s="3249">
        <v>189.34400000000002</v>
      </c>
      <c r="BP64" s="3249">
        <f>SUM(AE64:AH64)</f>
        <v>233.13300000000001</v>
      </c>
      <c r="BQ64" s="3237">
        <f>SUM(AI64:AL64)</f>
        <v>285</v>
      </c>
      <c r="BR64" s="3249">
        <f t="shared" si="92"/>
        <v>299</v>
      </c>
      <c r="BS64" s="3249">
        <v>412</v>
      </c>
      <c r="BT64" s="3249">
        <f>SUM(AU64:AX64)</f>
        <v>526</v>
      </c>
      <c r="BU64" s="3237">
        <v>655</v>
      </c>
      <c r="BV64" s="3237">
        <v>771</v>
      </c>
      <c r="BW64" s="3237">
        <f t="shared" si="93"/>
        <v>908</v>
      </c>
    </row>
    <row r="65" spans="1:75" s="1764" customFormat="1">
      <c r="A65" s="1569" t="s">
        <v>1407</v>
      </c>
      <c r="B65" s="1763"/>
      <c r="C65" s="1763"/>
      <c r="R65" s="2026">
        <v>65.001999999999995</v>
      </c>
      <c r="S65" s="2026">
        <v>67.674000000000007</v>
      </c>
      <c r="T65" s="2026">
        <v>69.054000000000002</v>
      </c>
      <c r="U65" s="2026">
        <v>70.763999999999996</v>
      </c>
      <c r="V65" s="1768">
        <v>101.517</v>
      </c>
      <c r="W65" s="2027">
        <v>72.870999999999995</v>
      </c>
      <c r="X65" s="2026">
        <v>77.712000000000003</v>
      </c>
      <c r="Y65" s="2026">
        <v>78.745000000000005</v>
      </c>
      <c r="Z65" s="2028">
        <v>79.807000000000002</v>
      </c>
      <c r="AA65" s="1764">
        <v>83.43</v>
      </c>
      <c r="AB65" s="1764">
        <v>85.872</v>
      </c>
      <c r="AC65" s="1764">
        <v>95.91</v>
      </c>
      <c r="AD65" s="1768">
        <v>97.561999999999998</v>
      </c>
      <c r="AE65" s="1764">
        <v>103.09</v>
      </c>
      <c r="AF65" s="1764">
        <v>106.666</v>
      </c>
      <c r="AG65" s="1764">
        <v>107.64100000000001</v>
      </c>
      <c r="AH65" s="1768">
        <v>109</v>
      </c>
      <c r="AI65" s="1764">
        <v>116</v>
      </c>
      <c r="AJ65" s="1764">
        <v>119</v>
      </c>
      <c r="AK65" s="1764">
        <v>117</v>
      </c>
      <c r="AL65" s="1768">
        <v>117</v>
      </c>
      <c r="AM65" s="1764">
        <v>117</v>
      </c>
      <c r="AN65" s="1764">
        <v>112</v>
      </c>
      <c r="AO65" s="1764">
        <v>115</v>
      </c>
      <c r="AP65" s="1764">
        <v>114</v>
      </c>
      <c r="AQ65" s="1764">
        <v>113</v>
      </c>
      <c r="AR65" s="1764">
        <v>108</v>
      </c>
      <c r="AS65" s="1764">
        <v>102</v>
      </c>
      <c r="AT65" s="1768">
        <v>98</v>
      </c>
      <c r="AU65" s="1877">
        <v>111</v>
      </c>
      <c r="AV65" s="1764">
        <v>107</v>
      </c>
      <c r="AW65" s="1764">
        <v>109</v>
      </c>
      <c r="AX65" s="1768">
        <v>124</v>
      </c>
      <c r="AY65" s="1877">
        <v>120</v>
      </c>
      <c r="AZ65" s="3076">
        <v>121</v>
      </c>
      <c r="BA65" s="3076">
        <v>129</v>
      </c>
      <c r="BB65" s="3117">
        <v>134</v>
      </c>
      <c r="BC65" s="3076">
        <v>137</v>
      </c>
      <c r="BD65" s="3076">
        <v>142</v>
      </c>
      <c r="BE65" s="3076">
        <v>155</v>
      </c>
      <c r="BF65" s="3117">
        <v>157</v>
      </c>
      <c r="BG65" s="3076">
        <v>154</v>
      </c>
      <c r="BH65" s="3076">
        <v>158</v>
      </c>
      <c r="BI65" s="3076">
        <v>160</v>
      </c>
      <c r="BJ65" s="3076">
        <v>151</v>
      </c>
      <c r="BK65" s="3076">
        <v>131</v>
      </c>
      <c r="BL65" s="3076">
        <v>129</v>
      </c>
      <c r="BM65" s="3076"/>
      <c r="BN65" s="1769">
        <f>SUM(W65:Z65)</f>
        <v>309.13499999999999</v>
      </c>
      <c r="BO65" s="1769">
        <f>SUM(AA65:AD65)</f>
        <v>362.774</v>
      </c>
      <c r="BP65" s="1769">
        <f>SUM(AE65:AH65)</f>
        <v>426.39699999999999</v>
      </c>
      <c r="BQ65" s="1764">
        <f>SUM(AI65:AL65)</f>
        <v>469</v>
      </c>
      <c r="BR65" s="1769">
        <f t="shared" si="92"/>
        <v>458</v>
      </c>
      <c r="BS65" s="1769">
        <v>421</v>
      </c>
      <c r="BT65" s="1769">
        <f>SUM(AU65:AX65)</f>
        <v>451</v>
      </c>
      <c r="BU65" s="1764">
        <v>504</v>
      </c>
      <c r="BV65" s="1764">
        <v>591</v>
      </c>
      <c r="BW65" s="1764">
        <f t="shared" si="93"/>
        <v>623</v>
      </c>
    </row>
    <row r="66" spans="1:75" s="1764" customFormat="1">
      <c r="A66" s="1569" t="s">
        <v>2853</v>
      </c>
      <c r="B66" s="1763"/>
      <c r="C66" s="1763"/>
      <c r="R66" s="2026"/>
      <c r="S66" s="2026"/>
      <c r="T66" s="2026"/>
      <c r="U66" s="2026"/>
      <c r="V66" s="1768"/>
      <c r="W66" s="2027"/>
      <c r="X66" s="2026"/>
      <c r="Y66" s="2026"/>
      <c r="Z66" s="2028"/>
      <c r="AD66" s="1768"/>
      <c r="AH66" s="1768"/>
      <c r="AL66" s="1768"/>
      <c r="AT66" s="1768"/>
      <c r="AU66" s="1877"/>
      <c r="AX66" s="1768"/>
      <c r="AY66" s="1877"/>
      <c r="AZ66" s="3076"/>
      <c r="BA66" s="3076"/>
      <c r="BB66" s="3117"/>
      <c r="BC66" s="3076"/>
      <c r="BD66" s="3076"/>
      <c r="BE66" s="3076"/>
      <c r="BF66" s="3117"/>
      <c r="BG66" s="3076"/>
      <c r="BH66" s="3076"/>
      <c r="BI66" s="3076">
        <v>457</v>
      </c>
      <c r="BJ66" s="3076"/>
      <c r="BK66" s="3076"/>
      <c r="BL66" s="3076"/>
      <c r="BM66" s="3076"/>
      <c r="BN66" s="1769"/>
      <c r="BO66" s="1769"/>
      <c r="BP66" s="1769"/>
      <c r="BR66" s="1769"/>
      <c r="BS66" s="1769"/>
      <c r="BT66" s="1769"/>
      <c r="BW66" s="1764">
        <f t="shared" si="93"/>
        <v>457</v>
      </c>
    </row>
    <row r="67" spans="1:75" s="1563" customFormat="1">
      <c r="A67" s="1569" t="s">
        <v>2826</v>
      </c>
      <c r="B67" s="1562"/>
      <c r="C67" s="1562"/>
      <c r="V67" s="1564"/>
      <c r="W67" s="1565"/>
      <c r="Z67" s="1564"/>
      <c r="AD67" s="1564"/>
      <c r="AH67" s="1564"/>
      <c r="AI67" s="1563">
        <f>SUM(AI60:AI64)</f>
        <v>2165</v>
      </c>
      <c r="AL67" s="1564"/>
      <c r="AT67" s="1564"/>
      <c r="AU67" s="1588"/>
      <c r="AV67" s="27"/>
      <c r="AW67" s="27"/>
      <c r="AX67" s="97"/>
      <c r="AY67" s="98"/>
      <c r="AZ67" s="570"/>
      <c r="BA67" s="570"/>
      <c r="BB67" s="3105"/>
      <c r="BC67" s="570"/>
      <c r="BD67" s="570"/>
      <c r="BE67" s="570"/>
      <c r="BF67" s="3105"/>
      <c r="BG67" s="3076">
        <v>32</v>
      </c>
      <c r="BH67" s="3076">
        <v>38</v>
      </c>
      <c r="BI67" s="3076">
        <v>105</v>
      </c>
      <c r="BJ67" s="3076">
        <v>30</v>
      </c>
      <c r="BK67" s="3076">
        <v>25</v>
      </c>
      <c r="BL67" s="3076">
        <v>30</v>
      </c>
      <c r="BM67" s="3105"/>
      <c r="BN67" s="1567"/>
      <c r="BO67" s="1567"/>
      <c r="BP67" s="1567"/>
      <c r="BR67" s="1567"/>
      <c r="BS67" s="1567"/>
      <c r="BT67" s="1567"/>
      <c r="BW67" s="1563">
        <f>SUM(BG67:BK67)</f>
        <v>230</v>
      </c>
    </row>
    <row r="68" spans="1:75" s="1563" customFormat="1" ht="12">
      <c r="A68" s="1561" t="s">
        <v>1972</v>
      </c>
      <c r="B68" s="1562"/>
      <c r="C68" s="1562"/>
      <c r="V68" s="1564"/>
      <c r="W68" s="1565"/>
      <c r="Z68" s="1564"/>
      <c r="AD68" s="1564"/>
      <c r="AH68" s="1564"/>
      <c r="AL68" s="1564"/>
      <c r="AT68" s="1564"/>
      <c r="AU68" s="1588"/>
      <c r="AX68" s="1564"/>
      <c r="AY68" s="1588"/>
      <c r="AZ68" s="1583"/>
      <c r="BA68" s="1583"/>
      <c r="BB68" s="3111"/>
      <c r="BC68" s="1583"/>
      <c r="BD68" s="1583"/>
      <c r="BE68" s="1583"/>
      <c r="BF68" s="3111"/>
      <c r="BG68" s="1583"/>
      <c r="BH68" s="1583"/>
      <c r="BI68" s="1583"/>
      <c r="BJ68" s="1583"/>
      <c r="BK68" s="1583"/>
      <c r="BL68" s="1583"/>
      <c r="BM68" s="3111"/>
      <c r="BN68" s="1567"/>
      <c r="BO68" s="1567"/>
      <c r="BP68" s="1567"/>
      <c r="BR68" s="1567"/>
      <c r="BS68" s="1567"/>
      <c r="BT68" s="1567"/>
    </row>
    <row r="69" spans="1:75" s="1563" customFormat="1">
      <c r="A69" s="1573" t="s">
        <v>57</v>
      </c>
      <c r="B69" s="1562">
        <v>-14.023</v>
      </c>
      <c r="C69" s="1562">
        <v>-39.192</v>
      </c>
      <c r="D69" s="1563">
        <v>-41.292999999999999</v>
      </c>
      <c r="E69" s="1563">
        <v>-40.963999999999999</v>
      </c>
      <c r="F69" s="1563">
        <v>-8.8979999999999997</v>
      </c>
      <c r="G69" s="1563">
        <v>-9.1709999999999994</v>
      </c>
      <c r="H69" s="1563">
        <v>-10.622</v>
      </c>
      <c r="I69" s="1563">
        <v>-9.7490000000000006</v>
      </c>
      <c r="J69" s="1563">
        <v>-13.779</v>
      </c>
      <c r="K69" s="1563">
        <v>-17.956</v>
      </c>
      <c r="L69" s="1563">
        <v>-19.138999999999999</v>
      </c>
      <c r="M69" s="1563">
        <v>-20.998000000000001</v>
      </c>
      <c r="N69" s="1563">
        <v>-33.813000000000002</v>
      </c>
      <c r="O69" s="1563">
        <v>-43.685000000000002</v>
      </c>
      <c r="P69" s="1563">
        <v>-71.89</v>
      </c>
      <c r="Q69" s="1563">
        <v>-97.498000000000005</v>
      </c>
      <c r="R69" s="1563">
        <f t="shared" ref="R69:BK69" si="94">-R64</f>
        <v>-25.361000000000001</v>
      </c>
      <c r="S69" s="1563">
        <f t="shared" si="94"/>
        <v>-27.155999999999999</v>
      </c>
      <c r="T69" s="1563">
        <f t="shared" si="94"/>
        <v>-28.83</v>
      </c>
      <c r="U69" s="1563">
        <f t="shared" si="94"/>
        <v>-32.270000000000003</v>
      </c>
      <c r="V69" s="1564">
        <f t="shared" si="94"/>
        <v>-113.61699999999999</v>
      </c>
      <c r="W69" s="1563">
        <f t="shared" si="94"/>
        <v>-32.787999999999997</v>
      </c>
      <c r="X69" s="1563">
        <f t="shared" si="94"/>
        <v>-35.796999999999997</v>
      </c>
      <c r="Y69" s="1563">
        <f t="shared" si="94"/>
        <v>-36.389000000000003</v>
      </c>
      <c r="Z69" s="1564">
        <f t="shared" si="94"/>
        <v>-37.418999999999997</v>
      </c>
      <c r="AA69" s="1563">
        <f t="shared" si="94"/>
        <v>-39.945</v>
      </c>
      <c r="AB69" s="1563">
        <f t="shared" si="94"/>
        <v>-44.831000000000003</v>
      </c>
      <c r="AC69" s="1563">
        <f t="shared" si="94"/>
        <v>-47.901000000000003</v>
      </c>
      <c r="AD69" s="1564">
        <f t="shared" si="94"/>
        <v>-56.667000000000002</v>
      </c>
      <c r="AE69" s="1563">
        <f t="shared" si="94"/>
        <v>-60.441000000000003</v>
      </c>
      <c r="AF69" s="1563">
        <f t="shared" si="94"/>
        <v>-58.95</v>
      </c>
      <c r="AG69" s="1563">
        <f t="shared" si="94"/>
        <v>-57.741999999999997</v>
      </c>
      <c r="AH69" s="1564">
        <f t="shared" si="94"/>
        <v>-56</v>
      </c>
      <c r="AI69" s="1563">
        <f t="shared" si="94"/>
        <v>-65</v>
      </c>
      <c r="AJ69" s="1563">
        <f t="shared" si="94"/>
        <v>-70</v>
      </c>
      <c r="AK69" s="1563">
        <f t="shared" si="94"/>
        <v>-71</v>
      </c>
      <c r="AL69" s="1564">
        <f t="shared" si="94"/>
        <v>-79</v>
      </c>
      <c r="AM69" s="1563">
        <f t="shared" si="94"/>
        <v>-78</v>
      </c>
      <c r="AN69" s="1563">
        <f t="shared" si="94"/>
        <v>-70</v>
      </c>
      <c r="AO69" s="1563">
        <f t="shared" si="94"/>
        <v>-71</v>
      </c>
      <c r="AP69" s="1563">
        <f t="shared" si="94"/>
        <v>-80</v>
      </c>
      <c r="AQ69" s="1563">
        <f t="shared" si="94"/>
        <v>-87</v>
      </c>
      <c r="AR69" s="1563">
        <f t="shared" si="94"/>
        <v>-93</v>
      </c>
      <c r="AS69" s="1563">
        <f t="shared" si="94"/>
        <v>-109</v>
      </c>
      <c r="AT69" s="1564">
        <f t="shared" si="94"/>
        <v>-123</v>
      </c>
      <c r="AU69" s="1588">
        <f t="shared" si="94"/>
        <v>-134</v>
      </c>
      <c r="AV69" s="1563">
        <f t="shared" si="94"/>
        <v>-137</v>
      </c>
      <c r="AW69" s="1563">
        <f t="shared" si="94"/>
        <v>-129</v>
      </c>
      <c r="AX69" s="1564">
        <f t="shared" si="94"/>
        <v>-126</v>
      </c>
      <c r="AY69" s="1588">
        <f t="shared" si="94"/>
        <v>-137</v>
      </c>
      <c r="AZ69" s="1583">
        <f t="shared" si="94"/>
        <v>-144</v>
      </c>
      <c r="BA69" s="1583">
        <f t="shared" si="94"/>
        <v>-187</v>
      </c>
      <c r="BB69" s="3111">
        <f t="shared" si="94"/>
        <v>-187</v>
      </c>
      <c r="BC69" s="1583">
        <f t="shared" si="94"/>
        <v>-187</v>
      </c>
      <c r="BD69" s="1583">
        <f t="shared" si="94"/>
        <v>-183</v>
      </c>
      <c r="BE69" s="1583">
        <f t="shared" si="94"/>
        <v>-194</v>
      </c>
      <c r="BF69" s="3111">
        <f t="shared" si="94"/>
        <v>-207</v>
      </c>
      <c r="BG69" s="1583">
        <f t="shared" si="94"/>
        <v>-200</v>
      </c>
      <c r="BH69" s="1583">
        <f t="shared" si="94"/>
        <v>-219</v>
      </c>
      <c r="BI69" s="1583">
        <f t="shared" si="94"/>
        <v>-242</v>
      </c>
      <c r="BJ69" s="1583">
        <f t="shared" si="94"/>
        <v>-247</v>
      </c>
      <c r="BK69" s="1583">
        <f t="shared" si="94"/>
        <v>-240</v>
      </c>
      <c r="BL69" s="3512">
        <f>-BL64</f>
        <v>-263</v>
      </c>
      <c r="BM69" s="1583"/>
      <c r="BN69" s="1567">
        <f>SUM(W69:Z69)</f>
        <v>-142.39299999999997</v>
      </c>
      <c r="BO69" s="1567">
        <f>SUM(AA69:AD69)</f>
        <v>-189.34400000000002</v>
      </c>
      <c r="BP69" s="1567">
        <f>SUM(AE69:AH69)</f>
        <v>-233.13300000000001</v>
      </c>
      <c r="BQ69" s="1563">
        <f>SUM(AI69:AL69)</f>
        <v>-285</v>
      </c>
      <c r="BR69" s="1567">
        <f>SUM(AM69:AP69)</f>
        <v>-299</v>
      </c>
      <c r="BS69" s="1567">
        <f>-BS64</f>
        <v>-412</v>
      </c>
      <c r="BT69" s="1567">
        <f>SUM(AU69:AX69)</f>
        <v>-526</v>
      </c>
      <c r="BU69" s="1563">
        <f>SUM(AY69:BB69)</f>
        <v>-655</v>
      </c>
      <c r="BV69" s="1583">
        <f>-BV64</f>
        <v>-771</v>
      </c>
      <c r="BW69" s="1583">
        <f t="shared" ref="BW69:BW77" si="95">SUM(BG69:BJ69)</f>
        <v>-908</v>
      </c>
    </row>
    <row r="70" spans="1:75" s="1563" customFormat="1" ht="12.75" customHeight="1">
      <c r="A70" s="1573" t="s">
        <v>505</v>
      </c>
      <c r="B70" s="1562">
        <v>-79.576999999999998</v>
      </c>
      <c r="C70" s="1562">
        <v>-148.13300000000001</v>
      </c>
      <c r="D70" s="1563">
        <v>-115.366</v>
      </c>
      <c r="E70" s="1563">
        <v>-82.741</v>
      </c>
      <c r="F70" s="1563">
        <v>-75.688999999999993</v>
      </c>
      <c r="G70" s="1563">
        <v>-93.046999999999997</v>
      </c>
      <c r="H70" s="1563">
        <v>-123.78700000000001</v>
      </c>
      <c r="I70" s="1563">
        <v>-187.77199999999999</v>
      </c>
      <c r="J70" s="1563">
        <v>-255.797</v>
      </c>
      <c r="K70" s="1563">
        <v>-386.69299999999998</v>
      </c>
      <c r="L70" s="1563">
        <v>-482.88900000000001</v>
      </c>
      <c r="M70" s="1563">
        <v>-704.15700000000004</v>
      </c>
      <c r="N70" s="1563">
        <v>-1117.374</v>
      </c>
      <c r="O70" s="1563">
        <f>-1273.637-35.492-195.934</f>
        <v>-1505.0629999999999</v>
      </c>
      <c r="P70" s="1563">
        <f>-1798.645-12.7459-235.817</f>
        <v>-2047.2078999999999</v>
      </c>
      <c r="Q70" s="1563">
        <v>-2902.44</v>
      </c>
      <c r="R70" s="1563">
        <f t="shared" ref="R70:BK70" si="96">-SUM(R60:R61)</f>
        <v>-788.74199999999985</v>
      </c>
      <c r="S70" s="1563">
        <f t="shared" si="96"/>
        <v>-931.64400000000012</v>
      </c>
      <c r="T70" s="1563">
        <f t="shared" si="96"/>
        <v>-945.65599999999995</v>
      </c>
      <c r="U70" s="1563">
        <f t="shared" si="96"/>
        <v>-699.09799999999996</v>
      </c>
      <c r="V70" s="1563">
        <f t="shared" si="96"/>
        <v>-3365.14</v>
      </c>
      <c r="W70" s="1563">
        <f t="shared" si="96"/>
        <v>-942.077</v>
      </c>
      <c r="X70" s="1563">
        <f t="shared" si="96"/>
        <v>-1138.606</v>
      </c>
      <c r="Y70" s="1563">
        <f t="shared" si="96"/>
        <v>-1237.8059999999998</v>
      </c>
      <c r="Z70" s="1563">
        <f t="shared" si="96"/>
        <v>-891.721</v>
      </c>
      <c r="AA70" s="1563">
        <f t="shared" si="96"/>
        <v>-1167.8210000000001</v>
      </c>
      <c r="AB70" s="1563">
        <f t="shared" si="96"/>
        <v>-1400.5099999999998</v>
      </c>
      <c r="AC70" s="1563">
        <f t="shared" si="96"/>
        <v>-1502.68</v>
      </c>
      <c r="AD70" s="1563">
        <f t="shared" si="96"/>
        <v>-1024.3020000000001</v>
      </c>
      <c r="AE70" s="1563">
        <f t="shared" si="96"/>
        <v>-1373.4090000000001</v>
      </c>
      <c r="AF70" s="1563">
        <f t="shared" si="96"/>
        <v>-1469.22</v>
      </c>
      <c r="AG70" s="1563">
        <f t="shared" si="96"/>
        <v>-1717.155</v>
      </c>
      <c r="AH70" s="1563">
        <f t="shared" si="96"/>
        <v>-1227</v>
      </c>
      <c r="AI70" s="1563">
        <f t="shared" si="96"/>
        <v>-1408</v>
      </c>
      <c r="AJ70" s="1563">
        <f t="shared" si="96"/>
        <v>-1615</v>
      </c>
      <c r="AK70" s="1563">
        <f t="shared" si="96"/>
        <v>-1691</v>
      </c>
      <c r="AL70" s="1564">
        <f t="shared" si="96"/>
        <v>-1208</v>
      </c>
      <c r="AM70" s="1563">
        <f t="shared" si="96"/>
        <v>-1228</v>
      </c>
      <c r="AN70" s="1563">
        <f t="shared" si="96"/>
        <v>-342</v>
      </c>
      <c r="AO70" s="1563">
        <f t="shared" si="96"/>
        <v>-860</v>
      </c>
      <c r="AP70" s="1563">
        <f t="shared" si="96"/>
        <v>-504</v>
      </c>
      <c r="AQ70" s="1563">
        <f t="shared" si="96"/>
        <v>-573</v>
      </c>
      <c r="AR70" s="1563">
        <f t="shared" si="96"/>
        <v>-1194</v>
      </c>
      <c r="AS70" s="1563">
        <f t="shared" si="96"/>
        <v>-1680</v>
      </c>
      <c r="AT70" s="1564">
        <f t="shared" si="96"/>
        <v>-1235</v>
      </c>
      <c r="AU70" s="1588">
        <f t="shared" si="96"/>
        <v>-1486</v>
      </c>
      <c r="AV70" s="1563">
        <f t="shared" si="96"/>
        <v>-2202</v>
      </c>
      <c r="AW70" s="1563">
        <f t="shared" si="96"/>
        <v>-2335</v>
      </c>
      <c r="AX70" s="1564">
        <f t="shared" si="96"/>
        <v>-1825</v>
      </c>
      <c r="AY70" s="1588">
        <f t="shared" si="96"/>
        <v>-2087</v>
      </c>
      <c r="AZ70" s="1583">
        <f t="shared" si="96"/>
        <v>-2518</v>
      </c>
      <c r="BA70" s="1583">
        <f t="shared" si="96"/>
        <v>-2745</v>
      </c>
      <c r="BB70" s="3111">
        <f t="shared" si="96"/>
        <v>-2083</v>
      </c>
      <c r="BC70" s="1583">
        <f t="shared" si="96"/>
        <v>-2288</v>
      </c>
      <c r="BD70" s="1583">
        <f t="shared" si="96"/>
        <v>-2759</v>
      </c>
      <c r="BE70" s="1583">
        <f t="shared" si="96"/>
        <v>-3023</v>
      </c>
      <c r="BF70" s="3111">
        <f t="shared" si="96"/>
        <v>-2328</v>
      </c>
      <c r="BG70" s="1583">
        <f t="shared" si="96"/>
        <v>-2479</v>
      </c>
      <c r="BH70" s="1583">
        <f t="shared" si="96"/>
        <v>-3038</v>
      </c>
      <c r="BI70" s="1583">
        <f t="shared" si="96"/>
        <v>-3362</v>
      </c>
      <c r="BJ70" s="1583">
        <f t="shared" si="96"/>
        <v>-2760</v>
      </c>
      <c r="BK70" s="1583">
        <f t="shared" si="96"/>
        <v>-2872</v>
      </c>
      <c r="BL70" s="3512">
        <f>-SUM(BL60:BL61)</f>
        <v>-3313</v>
      </c>
      <c r="BM70" s="1583"/>
      <c r="BN70" s="1567">
        <f>SUM(W70:Z70)</f>
        <v>-4210.2099999999991</v>
      </c>
      <c r="BO70" s="1567">
        <f>SUM(AA70:AD70)</f>
        <v>-5095.3130000000001</v>
      </c>
      <c r="BP70" s="1567">
        <f>SUM(AE70:AH70)</f>
        <v>-5786.7839999999997</v>
      </c>
      <c r="BQ70" s="1563">
        <f>SUM(AI70:AL70)</f>
        <v>-5922</v>
      </c>
      <c r="BR70" s="1567">
        <f>SUM(AM70:AP70)</f>
        <v>-2934</v>
      </c>
      <c r="BS70" s="1567">
        <f>-SUM(BS60:BS61)</f>
        <v>-4682</v>
      </c>
      <c r="BT70" s="1567">
        <f>SUM(AU70:AX70)</f>
        <v>-7848</v>
      </c>
      <c r="BU70" s="1563">
        <f>SUM(AY70:BB70)</f>
        <v>-9433</v>
      </c>
      <c r="BV70" s="1583">
        <f>-SUM(BV60:BV61)</f>
        <v>-10398</v>
      </c>
      <c r="BW70" s="1583">
        <f t="shared" si="95"/>
        <v>-11639</v>
      </c>
    </row>
    <row r="71" spans="1:75" s="1563" customFormat="1">
      <c r="A71" s="1573" t="s">
        <v>1183</v>
      </c>
      <c r="B71" s="1562">
        <v>-27.609000000000002</v>
      </c>
      <c r="C71" s="1562">
        <v>-60.981999999999999</v>
      </c>
      <c r="D71" s="1563">
        <v>-29.568000000000001</v>
      </c>
      <c r="E71" s="1563">
        <v>-29.273</v>
      </c>
      <c r="F71" s="1563">
        <v>-12.031000000000001</v>
      </c>
      <c r="G71" s="1563">
        <v>-16.452000000000002</v>
      </c>
      <c r="H71" s="1563">
        <v>-20.881</v>
      </c>
      <c r="I71" s="1563">
        <v>-28.587</v>
      </c>
      <c r="J71" s="1563">
        <v>-91.837000000000003</v>
      </c>
      <c r="K71" s="1563">
        <v>-55.267000000000003</v>
      </c>
      <c r="L71" s="1563">
        <f>-180.152-68.555</f>
        <v>-248.70699999999999</v>
      </c>
      <c r="M71" s="1563">
        <f>-270.071-81</f>
        <v>-351.07100000000003</v>
      </c>
      <c r="N71" s="1563">
        <f>-123.652-352.295</f>
        <v>-475.947</v>
      </c>
      <c r="O71" s="1563">
        <f>-173.171-466.828</f>
        <v>-639.99900000000002</v>
      </c>
      <c r="P71" s="1563">
        <f>-252.994-698.692</f>
        <v>-951.68600000000004</v>
      </c>
      <c r="Q71" s="1563">
        <v>-1303.06</v>
      </c>
      <c r="R71" s="1563">
        <f t="shared" ref="R71:BK71" si="97">-SUM(R62:R63)</f>
        <v>-359.16199999999998</v>
      </c>
      <c r="S71" s="1563">
        <f t="shared" si="97"/>
        <v>-388.101</v>
      </c>
      <c r="T71" s="1563">
        <f t="shared" si="97"/>
        <v>-415.03500000000003</v>
      </c>
      <c r="U71" s="1563">
        <f t="shared" si="97"/>
        <v>-419.34800000000001</v>
      </c>
      <c r="V71" s="1564">
        <f t="shared" si="97"/>
        <v>-1581.6460000000002</v>
      </c>
      <c r="W71" s="1563">
        <f t="shared" si="97"/>
        <v>-421.39600000000002</v>
      </c>
      <c r="X71" s="1563">
        <f t="shared" si="97"/>
        <v>-445.29599999999999</v>
      </c>
      <c r="Y71" s="1563">
        <f t="shared" si="97"/>
        <v>-462.19600000000003</v>
      </c>
      <c r="Z71" s="1564">
        <f t="shared" si="97"/>
        <v>-477.053</v>
      </c>
      <c r="AA71" s="1563">
        <f t="shared" si="97"/>
        <v>-486.577</v>
      </c>
      <c r="AB71" s="1563">
        <f t="shared" si="97"/>
        <v>-527.34199999999998</v>
      </c>
      <c r="AC71" s="1563">
        <f t="shared" si="97"/>
        <v>-626.26099999999997</v>
      </c>
      <c r="AD71" s="1564">
        <f t="shared" si="97"/>
        <v>-604.94200000000001</v>
      </c>
      <c r="AE71" s="1563">
        <f t="shared" si="97"/>
        <v>-661.02600000000007</v>
      </c>
      <c r="AF71" s="1563">
        <f t="shared" si="97"/>
        <v>-681.00299999999993</v>
      </c>
      <c r="AG71" s="1563">
        <f t="shared" si="97"/>
        <v>-719.96299999999997</v>
      </c>
      <c r="AH71" s="1564">
        <f t="shared" si="97"/>
        <v>-678</v>
      </c>
      <c r="AI71" s="1563">
        <f t="shared" si="97"/>
        <v>-692</v>
      </c>
      <c r="AJ71" s="1563">
        <f t="shared" si="97"/>
        <v>-799</v>
      </c>
      <c r="AK71" s="1563">
        <f t="shared" si="97"/>
        <v>-791</v>
      </c>
      <c r="AL71" s="1564">
        <f t="shared" si="97"/>
        <v>-763</v>
      </c>
      <c r="AM71" s="1563">
        <f t="shared" si="97"/>
        <v>-685</v>
      </c>
      <c r="AN71" s="1563">
        <f t="shared" si="97"/>
        <v>-556</v>
      </c>
      <c r="AO71" s="1563">
        <f t="shared" si="97"/>
        <v>-665</v>
      </c>
      <c r="AP71" s="1563">
        <f t="shared" si="97"/>
        <v>-619</v>
      </c>
      <c r="AQ71" s="1563">
        <f t="shared" si="97"/>
        <v>-671</v>
      </c>
      <c r="AR71" s="1563">
        <f t="shared" si="97"/>
        <v>-820</v>
      </c>
      <c r="AS71" s="1563">
        <f t="shared" si="97"/>
        <v>-770</v>
      </c>
      <c r="AT71" s="1564">
        <f t="shared" si="97"/>
        <v>-673</v>
      </c>
      <c r="AU71" s="1588">
        <f t="shared" si="97"/>
        <v>-754</v>
      </c>
      <c r="AV71" s="1563">
        <f t="shared" si="97"/>
        <v>-842</v>
      </c>
      <c r="AW71" s="1563">
        <f t="shared" si="97"/>
        <v>-898</v>
      </c>
      <c r="AX71" s="1564">
        <f t="shared" si="97"/>
        <v>-868</v>
      </c>
      <c r="AY71" s="1588">
        <f t="shared" si="97"/>
        <v>-984</v>
      </c>
      <c r="AZ71" s="1583">
        <f t="shared" si="97"/>
        <v>-1006</v>
      </c>
      <c r="BA71" s="1583">
        <f t="shared" si="97"/>
        <v>-1175</v>
      </c>
      <c r="BB71" s="3111">
        <f t="shared" si="97"/>
        <v>-1770</v>
      </c>
      <c r="BC71" s="1583">
        <f t="shared" si="97"/>
        <v>-1012</v>
      </c>
      <c r="BD71" s="1583">
        <f t="shared" si="97"/>
        <v>-919</v>
      </c>
      <c r="BE71" s="1583">
        <f t="shared" si="97"/>
        <v>-1443</v>
      </c>
      <c r="BF71" s="3111">
        <f t="shared" si="97"/>
        <v>-1016</v>
      </c>
      <c r="BG71" s="1583">
        <f t="shared" si="97"/>
        <v>-835</v>
      </c>
      <c r="BH71" s="1583">
        <f t="shared" si="97"/>
        <v>-1095</v>
      </c>
      <c r="BI71" s="1583">
        <f t="shared" si="97"/>
        <v>-1199</v>
      </c>
      <c r="BJ71" s="1583">
        <f t="shared" si="97"/>
        <v>-1131</v>
      </c>
      <c r="BK71" s="1583">
        <f t="shared" si="97"/>
        <v>-993</v>
      </c>
      <c r="BL71" s="3512">
        <f>-SUM(BL62:BL63)</f>
        <v>-1117</v>
      </c>
      <c r="BM71" s="1583"/>
      <c r="BN71" s="1567">
        <f>SUM(W71:Z71)</f>
        <v>-1805.9409999999998</v>
      </c>
      <c r="BO71" s="1567">
        <f>SUM(AA71:AD71)</f>
        <v>-2245.1219999999998</v>
      </c>
      <c r="BP71" s="1567">
        <f>SUM(AE71:AH71)</f>
        <v>-2739.9920000000002</v>
      </c>
      <c r="BQ71" s="1563">
        <f>SUM(AI71:AL71)</f>
        <v>-3045</v>
      </c>
      <c r="BR71" s="1567">
        <f>SUM(AM71:AP71)</f>
        <v>-2525</v>
      </c>
      <c r="BS71" s="1567">
        <f>-SUM(BS62:BS63)</f>
        <v>-2934</v>
      </c>
      <c r="BT71" s="1567">
        <f>-SUM(BT62:BT63)</f>
        <v>-3231</v>
      </c>
      <c r="BU71" s="1567">
        <f>-SUM(BU62:BU63)</f>
        <v>-4849</v>
      </c>
      <c r="BV71" s="1583">
        <f>-SUM(BV62:BV63)</f>
        <v>-4390</v>
      </c>
      <c r="BW71" s="1583">
        <f t="shared" si="95"/>
        <v>-4260</v>
      </c>
    </row>
    <row r="72" spans="1:75" s="1563" customFormat="1">
      <c r="A72" s="1574" t="s">
        <v>60</v>
      </c>
      <c r="B72" s="1562"/>
      <c r="C72" s="1562"/>
      <c r="F72" s="1563">
        <v>-11.532999999999999</v>
      </c>
      <c r="G72" s="1563">
        <v>-13.500999999999999</v>
      </c>
      <c r="H72" s="1563">
        <v>-25.366</v>
      </c>
      <c r="I72" s="1563">
        <v>-33.448999999999998</v>
      </c>
      <c r="J72" s="1563">
        <v>-37.072000000000003</v>
      </c>
      <c r="K72" s="1563">
        <v>-42.795999999999999</v>
      </c>
      <c r="L72" s="1563">
        <v>-39.192999999999998</v>
      </c>
      <c r="M72" s="1563">
        <v>-45.762999999999998</v>
      </c>
      <c r="N72" s="1563">
        <v>-53.823999999999998</v>
      </c>
      <c r="O72" s="1563">
        <v>-65.141000000000005</v>
      </c>
      <c r="P72" s="1563">
        <v>-117.97499999999999</v>
      </c>
      <c r="Q72" s="1563">
        <v>-207.82</v>
      </c>
      <c r="R72" s="1563">
        <f t="shared" ref="R72:BK72" si="98">-R65</f>
        <v>-65.001999999999995</v>
      </c>
      <c r="S72" s="1563">
        <f t="shared" si="98"/>
        <v>-67.674000000000007</v>
      </c>
      <c r="T72" s="1563">
        <f t="shared" si="98"/>
        <v>-69.054000000000002</v>
      </c>
      <c r="U72" s="1563">
        <f t="shared" si="98"/>
        <v>-70.763999999999996</v>
      </c>
      <c r="V72" s="1564">
        <f t="shared" si="98"/>
        <v>-101.517</v>
      </c>
      <c r="W72" s="1563">
        <f t="shared" si="98"/>
        <v>-72.870999999999995</v>
      </c>
      <c r="X72" s="1563">
        <f t="shared" si="98"/>
        <v>-77.712000000000003</v>
      </c>
      <c r="Y72" s="1563">
        <f t="shared" si="98"/>
        <v>-78.745000000000005</v>
      </c>
      <c r="Z72" s="1564">
        <f t="shared" si="98"/>
        <v>-79.807000000000002</v>
      </c>
      <c r="AA72" s="1563">
        <f t="shared" si="98"/>
        <v>-83.43</v>
      </c>
      <c r="AB72" s="1563">
        <f t="shared" si="98"/>
        <v>-85.872</v>
      </c>
      <c r="AC72" s="1563">
        <f t="shared" si="98"/>
        <v>-95.91</v>
      </c>
      <c r="AD72" s="1564">
        <f t="shared" si="98"/>
        <v>-97.561999999999998</v>
      </c>
      <c r="AE72" s="1563">
        <f t="shared" si="98"/>
        <v>-103.09</v>
      </c>
      <c r="AF72" s="1563">
        <f t="shared" si="98"/>
        <v>-106.666</v>
      </c>
      <c r="AG72" s="1563">
        <f t="shared" si="98"/>
        <v>-107.64100000000001</v>
      </c>
      <c r="AH72" s="1564">
        <f t="shared" si="98"/>
        <v>-109</v>
      </c>
      <c r="AI72" s="1563">
        <f t="shared" si="98"/>
        <v>-116</v>
      </c>
      <c r="AJ72" s="1563">
        <f t="shared" si="98"/>
        <v>-119</v>
      </c>
      <c r="AK72" s="1563">
        <f t="shared" si="98"/>
        <v>-117</v>
      </c>
      <c r="AL72" s="1564">
        <f t="shared" si="98"/>
        <v>-117</v>
      </c>
      <c r="AM72" s="1563">
        <f t="shared" si="98"/>
        <v>-117</v>
      </c>
      <c r="AN72" s="1563">
        <f t="shared" si="98"/>
        <v>-112</v>
      </c>
      <c r="AO72" s="1563">
        <f t="shared" si="98"/>
        <v>-115</v>
      </c>
      <c r="AP72" s="1563">
        <f t="shared" si="98"/>
        <v>-114</v>
      </c>
      <c r="AQ72" s="1563">
        <f t="shared" si="98"/>
        <v>-113</v>
      </c>
      <c r="AR72" s="1563">
        <f t="shared" si="98"/>
        <v>-108</v>
      </c>
      <c r="AS72" s="1563">
        <f t="shared" si="98"/>
        <v>-102</v>
      </c>
      <c r="AT72" s="1564">
        <f t="shared" si="98"/>
        <v>-98</v>
      </c>
      <c r="AU72" s="1588">
        <f t="shared" si="98"/>
        <v>-111</v>
      </c>
      <c r="AV72" s="1563">
        <f t="shared" si="98"/>
        <v>-107</v>
      </c>
      <c r="AW72" s="1563">
        <f t="shared" si="98"/>
        <v>-109</v>
      </c>
      <c r="AX72" s="1564">
        <f t="shared" si="98"/>
        <v>-124</v>
      </c>
      <c r="AY72" s="1588">
        <f t="shared" si="98"/>
        <v>-120</v>
      </c>
      <c r="AZ72" s="1583">
        <f t="shared" si="98"/>
        <v>-121</v>
      </c>
      <c r="BA72" s="1583">
        <f t="shared" si="98"/>
        <v>-129</v>
      </c>
      <c r="BB72" s="3111">
        <f t="shared" si="98"/>
        <v>-134</v>
      </c>
      <c r="BC72" s="1583">
        <f t="shared" si="98"/>
        <v>-137</v>
      </c>
      <c r="BD72" s="1583">
        <f t="shared" si="98"/>
        <v>-142</v>
      </c>
      <c r="BE72" s="1583">
        <f t="shared" si="98"/>
        <v>-155</v>
      </c>
      <c r="BF72" s="3111">
        <f t="shared" si="98"/>
        <v>-157</v>
      </c>
      <c r="BG72" s="1583">
        <f t="shared" si="98"/>
        <v>-154</v>
      </c>
      <c r="BH72" s="1583">
        <f t="shared" si="98"/>
        <v>-158</v>
      </c>
      <c r="BI72" s="1583">
        <f t="shared" si="98"/>
        <v>-160</v>
      </c>
      <c r="BJ72" s="1583">
        <f t="shared" si="98"/>
        <v>-151</v>
      </c>
      <c r="BK72" s="1583">
        <f t="shared" si="98"/>
        <v>-131</v>
      </c>
      <c r="BL72" s="3512">
        <f>-BL65</f>
        <v>-129</v>
      </c>
      <c r="BM72" s="1583"/>
      <c r="BN72" s="1567">
        <f>SUM(W72:Z72)</f>
        <v>-309.13499999999999</v>
      </c>
      <c r="BO72" s="1567">
        <f>SUM(AA72:AD72)</f>
        <v>-362.774</v>
      </c>
      <c r="BP72" s="1567">
        <f>SUM(AE72:AH72)</f>
        <v>-426.39699999999999</v>
      </c>
      <c r="BQ72" s="1563">
        <f>SUM(AI72:AL72)</f>
        <v>-469</v>
      </c>
      <c r="BR72" s="1567">
        <f>SUM(AM72:AP72)</f>
        <v>-458</v>
      </c>
      <c r="BS72" s="1567">
        <f>-BS65</f>
        <v>-421</v>
      </c>
      <c r="BT72" s="1567">
        <f>SUM(AU72:AX72)</f>
        <v>-451</v>
      </c>
      <c r="BU72" s="1563">
        <f>SUM(AY72:BB72)</f>
        <v>-504</v>
      </c>
      <c r="BV72" s="1583">
        <f>-BV65</f>
        <v>-591</v>
      </c>
      <c r="BW72" s="1583">
        <f t="shared" si="95"/>
        <v>-623</v>
      </c>
    </row>
    <row r="73" spans="1:75" s="1764" customFormat="1">
      <c r="A73" s="1574" t="s">
        <v>1915</v>
      </c>
      <c r="B73" s="1763">
        <v>-998.83199999999999</v>
      </c>
      <c r="C73" s="1763">
        <v>-264.42500000000001</v>
      </c>
      <c r="D73" s="1764">
        <v>-4.0579999999999998</v>
      </c>
      <c r="E73" s="1764">
        <v>-27.712</v>
      </c>
      <c r="F73" s="1764">
        <v>0.186</v>
      </c>
      <c r="G73" s="1764">
        <v>1.2E-2</v>
      </c>
      <c r="H73" s="1764">
        <v>-1.6639999999999999</v>
      </c>
      <c r="I73" s="1764">
        <v>-0.13500000000000001</v>
      </c>
      <c r="L73" s="1764" t="s">
        <v>140</v>
      </c>
      <c r="M73" s="1765" t="s">
        <v>140</v>
      </c>
      <c r="N73" s="1765" t="s">
        <v>140</v>
      </c>
      <c r="O73" s="1765"/>
      <c r="P73" s="1765"/>
      <c r="Q73" s="1765"/>
      <c r="R73" s="1765"/>
      <c r="S73" s="1765"/>
      <c r="T73" s="1765"/>
      <c r="U73" s="1765"/>
      <c r="V73" s="1766"/>
      <c r="W73" s="1767"/>
      <c r="Z73" s="1768"/>
      <c r="AD73" s="1768"/>
      <c r="AH73" s="1768"/>
      <c r="AL73" s="1768"/>
      <c r="AN73" s="1764">
        <v>-34</v>
      </c>
      <c r="AO73" s="1764">
        <v>-41</v>
      </c>
      <c r="AP73" s="1764">
        <v>-74</v>
      </c>
      <c r="AQ73" s="1764">
        <v>-8</v>
      </c>
      <c r="AR73" s="1764">
        <v>-1</v>
      </c>
      <c r="AS73" s="1764">
        <v>0</v>
      </c>
      <c r="AT73" s="1768">
        <v>-4</v>
      </c>
      <c r="AU73" s="1877">
        <v>-36</v>
      </c>
      <c r="AV73" s="1764">
        <v>-6</v>
      </c>
      <c r="AW73" s="1764">
        <v>2</v>
      </c>
      <c r="AX73" s="1768">
        <v>239</v>
      </c>
      <c r="AY73" s="1877">
        <v>-1</v>
      </c>
      <c r="AZ73" s="3076">
        <v>0</v>
      </c>
      <c r="BA73" s="3076">
        <v>-2</v>
      </c>
      <c r="BB73" s="3117">
        <v>-1</v>
      </c>
      <c r="BC73" s="3076"/>
      <c r="BD73" s="3076"/>
      <c r="BE73" s="3076"/>
      <c r="BF73" s="3117">
        <v>-34</v>
      </c>
      <c r="BG73" s="3076"/>
      <c r="BH73" s="3076"/>
      <c r="BI73" s="3076"/>
      <c r="BJ73" s="3076"/>
      <c r="BK73" s="3076"/>
      <c r="BL73" s="3076"/>
      <c r="BM73" s="3076"/>
      <c r="BN73" s="1769"/>
      <c r="BO73" s="1769"/>
      <c r="BP73" s="1769"/>
      <c r="BR73" s="1769">
        <f>SUM(AM73:AP73)</f>
        <v>-149</v>
      </c>
      <c r="BS73" s="1769">
        <v>-13</v>
      </c>
      <c r="BT73" s="1769">
        <f>SUM(AU73:AX73)</f>
        <v>199</v>
      </c>
      <c r="BU73" s="1563">
        <f>SUM(AY73:BB73)</f>
        <v>-4</v>
      </c>
      <c r="BV73" s="3076">
        <v>-34</v>
      </c>
      <c r="BW73" s="3076">
        <f t="shared" si="95"/>
        <v>0</v>
      </c>
    </row>
    <row r="74" spans="1:75" s="1764" customFormat="1">
      <c r="A74" s="1574" t="s">
        <v>1916</v>
      </c>
      <c r="B74" s="1763"/>
      <c r="C74" s="1763"/>
      <c r="D74" s="1765"/>
      <c r="E74" s="1765"/>
      <c r="F74" s="1765"/>
      <c r="G74" s="1765"/>
      <c r="H74" s="1765"/>
      <c r="I74" s="1765"/>
      <c r="J74" s="1765"/>
      <c r="K74" s="1765"/>
      <c r="L74" s="1765" t="s">
        <v>140</v>
      </c>
      <c r="M74" s="1765" t="s">
        <v>140</v>
      </c>
      <c r="N74" s="1765" t="s">
        <v>140</v>
      </c>
      <c r="O74" s="1765"/>
      <c r="P74" s="1765"/>
      <c r="Q74" s="1765"/>
      <c r="R74" s="1765"/>
      <c r="S74" s="1765"/>
      <c r="T74" s="1765"/>
      <c r="U74" s="1765"/>
      <c r="V74" s="1766"/>
      <c r="W74" s="1767"/>
      <c r="Y74" s="1764">
        <v>-940.7</v>
      </c>
      <c r="Z74" s="1768">
        <v>0</v>
      </c>
      <c r="AA74" s="1764">
        <v>0</v>
      </c>
      <c r="AB74" s="1764">
        <v>0</v>
      </c>
      <c r="AC74" s="1764">
        <v>0</v>
      </c>
      <c r="AD74" s="1768">
        <v>0</v>
      </c>
      <c r="AH74" s="1768"/>
      <c r="AL74" s="1768"/>
      <c r="AM74" s="1764">
        <v>-489</v>
      </c>
      <c r="AO74" s="1764">
        <v>-573</v>
      </c>
      <c r="AP74" s="1764">
        <v>0</v>
      </c>
      <c r="AQ74" s="1764">
        <v>0</v>
      </c>
      <c r="AR74" s="1764">
        <v>0</v>
      </c>
      <c r="AS74" s="1764">
        <v>0</v>
      </c>
      <c r="AT74" s="1768">
        <v>0</v>
      </c>
      <c r="AU74" s="1877">
        <v>0</v>
      </c>
      <c r="AV74" s="1764">
        <v>0</v>
      </c>
      <c r="AW74" s="1764">
        <v>0</v>
      </c>
      <c r="AX74" s="1768">
        <v>0</v>
      </c>
      <c r="AY74" s="1877">
        <v>0</v>
      </c>
      <c r="AZ74" s="3076">
        <v>0</v>
      </c>
      <c r="BA74" s="3076"/>
      <c r="BB74" s="3117"/>
      <c r="BC74" s="3076"/>
      <c r="BD74" s="3076"/>
      <c r="BE74" s="3076"/>
      <c r="BF74" s="3117"/>
      <c r="BG74" s="3076"/>
      <c r="BH74" s="3076"/>
      <c r="BI74" s="3076">
        <f>-BI66</f>
        <v>-457</v>
      </c>
      <c r="BJ74" s="3076"/>
      <c r="BK74" s="3076"/>
      <c r="BL74" s="3076"/>
      <c r="BM74" s="3076"/>
      <c r="BN74" s="1769">
        <f>SUM(W74:Z74)</f>
        <v>-940.7</v>
      </c>
      <c r="BO74" s="1768">
        <f>SUM(AA74:AD74)</f>
        <v>0</v>
      </c>
      <c r="BP74" s="1768">
        <f>SUM(AE74:AH74)</f>
        <v>0</v>
      </c>
      <c r="BR74" s="1769">
        <v>-1062</v>
      </c>
      <c r="BS74" s="1769"/>
      <c r="BT74" s="3026"/>
      <c r="BU74" s="1563"/>
      <c r="BV74" s="1563"/>
      <c r="BW74" s="1563">
        <f t="shared" si="95"/>
        <v>-457</v>
      </c>
    </row>
    <row r="75" spans="1:75" s="1764" customFormat="1">
      <c r="A75" s="1573" t="s">
        <v>21</v>
      </c>
      <c r="B75" s="1763">
        <v>0</v>
      </c>
      <c r="C75" s="1763">
        <v>1.7110000000000001</v>
      </c>
      <c r="D75" s="1764">
        <v>16.507999999999999</v>
      </c>
      <c r="E75" s="1764">
        <v>1</v>
      </c>
      <c r="F75" s="1764">
        <v>29.962</v>
      </c>
      <c r="G75" s="1764">
        <v>35.573999999999998</v>
      </c>
      <c r="H75" s="1764">
        <v>49.658999999999999</v>
      </c>
      <c r="I75" s="1764">
        <v>79.421000000000006</v>
      </c>
      <c r="J75" s="1764">
        <v>102.992</v>
      </c>
      <c r="K75" s="1764">
        <v>163.785</v>
      </c>
      <c r="L75" s="1764">
        <v>40.700000000000003</v>
      </c>
      <c r="M75" s="1764">
        <v>68.2</v>
      </c>
      <c r="N75" s="1764">
        <v>65.724000000000004</v>
      </c>
      <c r="O75" s="1764">
        <v>71.564999999999998</v>
      </c>
      <c r="P75" s="1764">
        <v>140.52600000000001</v>
      </c>
      <c r="Q75" s="1764">
        <v>186.42500000000001</v>
      </c>
      <c r="R75" s="1764">
        <v>54.008000000000003</v>
      </c>
      <c r="S75" s="1764">
        <v>60.164000000000001</v>
      </c>
      <c r="T75" s="1764">
        <v>58.274000000000001</v>
      </c>
      <c r="U75" s="1764">
        <v>74.948999999999998</v>
      </c>
      <c r="V75" s="1768">
        <v>247.39500000000001</v>
      </c>
      <c r="W75" s="1767">
        <v>66</v>
      </c>
      <c r="X75" s="1764">
        <v>54.975999999999999</v>
      </c>
      <c r="Y75" s="1764">
        <v>54.073999999999998</v>
      </c>
      <c r="Z75" s="1768">
        <f>BN75-SUM(W75:Y75)</f>
        <v>74.675999999999988</v>
      </c>
      <c r="AA75" s="1764">
        <v>59.058999999999997</v>
      </c>
      <c r="AB75" s="1764">
        <f>126.047-AA75</f>
        <v>66.988</v>
      </c>
      <c r="AC75" s="1764">
        <f>192.548-SUM(AA75:AB75)</f>
        <v>66.501000000000005</v>
      </c>
      <c r="AD75" s="1768">
        <f>BO75-SUM(AA75:AC75)</f>
        <v>68.725999999999999</v>
      </c>
      <c r="AE75" s="1764">
        <f>71.5</f>
        <v>71.5</v>
      </c>
      <c r="AF75" s="1764">
        <f>149.501-AE75</f>
        <v>78.001000000000005</v>
      </c>
      <c r="AG75" s="1764">
        <f>225.883-AF75-AE75</f>
        <v>76.382000000000005</v>
      </c>
      <c r="AH75" s="1768">
        <f>331-AE75-AF75-AG75</f>
        <v>105.11699999999999</v>
      </c>
      <c r="AI75" s="1764">
        <v>78</v>
      </c>
      <c r="AJ75" s="1764">
        <f>162-AI75</f>
        <v>84</v>
      </c>
      <c r="AK75" s="1764">
        <f>245-AJ75-AI75</f>
        <v>83</v>
      </c>
      <c r="AL75" s="1768">
        <f>325-AK75-AJ75-AI75</f>
        <v>80</v>
      </c>
      <c r="AM75" s="1764">
        <v>11</v>
      </c>
      <c r="AN75" s="1764">
        <f>94-AM75</f>
        <v>83</v>
      </c>
      <c r="AO75" s="1764">
        <v>79</v>
      </c>
      <c r="AP75" s="1764">
        <f>255-SUM(AM75:AO75)</f>
        <v>82</v>
      </c>
      <c r="AQ75" s="1764">
        <v>109</v>
      </c>
      <c r="AR75" s="1764">
        <v>90</v>
      </c>
      <c r="AS75" s="1764">
        <v>85</v>
      </c>
      <c r="AT75" s="1768">
        <f>376-SUM(AQ75:AS75)</f>
        <v>92</v>
      </c>
      <c r="AU75" s="1877">
        <v>93</v>
      </c>
      <c r="AV75" s="1764">
        <v>108</v>
      </c>
      <c r="AW75" s="1764">
        <f>302-AU75-AV75</f>
        <v>101</v>
      </c>
      <c r="AX75" s="1768">
        <f>404-AV75-AW75-AU75</f>
        <v>102</v>
      </c>
      <c r="AY75" s="1877">
        <v>113</v>
      </c>
      <c r="AZ75" s="3076">
        <v>128</v>
      </c>
      <c r="BA75" s="3076">
        <v>128</v>
      </c>
      <c r="BB75" s="3117">
        <f>530-SUM(AY75:BA75)</f>
        <v>161</v>
      </c>
      <c r="BC75" s="3076">
        <v>144</v>
      </c>
      <c r="BD75" s="3076">
        <f>284-BC75</f>
        <v>140</v>
      </c>
      <c r="BE75" s="3076">
        <v>148</v>
      </c>
      <c r="BF75" s="3117">
        <v>167</v>
      </c>
      <c r="BG75" s="3076">
        <v>142</v>
      </c>
      <c r="BH75" s="3076">
        <v>154</v>
      </c>
      <c r="BI75" s="3076">
        <v>150</v>
      </c>
      <c r="BJ75" s="3076">
        <v>167</v>
      </c>
      <c r="BK75" s="3076">
        <v>141</v>
      </c>
      <c r="BL75" s="3076">
        <v>140</v>
      </c>
      <c r="BM75" s="3076"/>
      <c r="BN75" s="1769">
        <v>249.726</v>
      </c>
      <c r="BO75" s="1769">
        <v>261.274</v>
      </c>
      <c r="BP75" s="1769">
        <f>SUM(AE75:AH75)</f>
        <v>331</v>
      </c>
      <c r="BQ75" s="1764">
        <f>SUM(AI75:AL75)</f>
        <v>325</v>
      </c>
      <c r="BR75" s="1769">
        <f>SUM(AM75:AP75)</f>
        <v>255</v>
      </c>
      <c r="BS75" s="1769">
        <v>376</v>
      </c>
      <c r="BT75" s="3026">
        <f>SUM(AU75:AX75)</f>
        <v>404</v>
      </c>
      <c r="BU75" s="1563">
        <f>SUM(AY75:BB75)</f>
        <v>530</v>
      </c>
      <c r="BV75" s="1563">
        <v>599</v>
      </c>
      <c r="BW75" s="1563">
        <f t="shared" si="95"/>
        <v>613</v>
      </c>
    </row>
    <row r="76" spans="1:75" s="1563" customFormat="1">
      <c r="A76" s="1577" t="s">
        <v>971</v>
      </c>
      <c r="B76" s="1562">
        <f t="shared" ref="B76:K76" si="99">SUM(B69:B74)-B75</f>
        <v>-1120.0409999999999</v>
      </c>
      <c r="C76" s="1562">
        <f t="shared" si="99"/>
        <v>-514.44299999999998</v>
      </c>
      <c r="D76" s="1562">
        <f t="shared" si="99"/>
        <v>-206.79300000000001</v>
      </c>
      <c r="E76" s="1562">
        <f t="shared" si="99"/>
        <v>-181.69</v>
      </c>
      <c r="F76" s="1562">
        <f t="shared" si="99"/>
        <v>-137.92699999999999</v>
      </c>
      <c r="G76" s="1562">
        <f t="shared" si="99"/>
        <v>-167.733</v>
      </c>
      <c r="H76" s="1562">
        <f t="shared" si="99"/>
        <v>-231.97899999999998</v>
      </c>
      <c r="I76" s="1562">
        <f t="shared" si="99"/>
        <v>-339.11299999999994</v>
      </c>
      <c r="J76" s="1562">
        <f t="shared" si="99"/>
        <v>-501.47700000000003</v>
      </c>
      <c r="K76" s="1562">
        <f t="shared" si="99"/>
        <v>-666.49699999999996</v>
      </c>
      <c r="L76" s="1562">
        <v>-789.928</v>
      </c>
      <c r="M76" s="1563">
        <v>-1122.174</v>
      </c>
      <c r="N76" s="1563">
        <f>SUM(N69:N74)</f>
        <v>-1680.9580000000001</v>
      </c>
      <c r="O76" s="1563">
        <f>SUM(O69:O74)</f>
        <v>-2253.8879999999999</v>
      </c>
      <c r="P76" s="1563">
        <f>SUM(P69:P74)</f>
        <v>-3188.7588999999998</v>
      </c>
      <c r="Q76" s="1563">
        <f>SUM(Q69:Q74)</f>
        <v>-4510.8179999999993</v>
      </c>
      <c r="R76" s="1563">
        <f t="shared" ref="R76:AI76" si="100">SUM(R69:R74)</f>
        <v>-1238.2669999999998</v>
      </c>
      <c r="S76" s="1563">
        <f t="shared" si="100"/>
        <v>-1414.575</v>
      </c>
      <c r="T76" s="1563">
        <f t="shared" si="100"/>
        <v>-1458.575</v>
      </c>
      <c r="U76" s="1563">
        <f t="shared" si="100"/>
        <v>-1221.4799999999998</v>
      </c>
      <c r="V76" s="1564">
        <f t="shared" si="100"/>
        <v>-5161.92</v>
      </c>
      <c r="W76" s="1562">
        <f t="shared" si="100"/>
        <v>-1469.1320000000001</v>
      </c>
      <c r="X76" s="1563">
        <f t="shared" si="100"/>
        <v>-1697.4110000000001</v>
      </c>
      <c r="Y76" s="1563">
        <f t="shared" si="100"/>
        <v>-2755.8359999999993</v>
      </c>
      <c r="Z76" s="1564">
        <f t="shared" si="100"/>
        <v>-1486</v>
      </c>
      <c r="AA76" s="1563">
        <f t="shared" si="100"/>
        <v>-1777.7730000000001</v>
      </c>
      <c r="AB76" s="1563">
        <f t="shared" si="100"/>
        <v>-2058.5549999999994</v>
      </c>
      <c r="AC76" s="1563">
        <f t="shared" si="100"/>
        <v>-2272.752</v>
      </c>
      <c r="AD76" s="1564">
        <f t="shared" si="100"/>
        <v>-1783.473</v>
      </c>
      <c r="AE76" s="1563">
        <f t="shared" si="100"/>
        <v>-2197.9660000000003</v>
      </c>
      <c r="AF76" s="1563">
        <f t="shared" si="100"/>
        <v>-2315.8389999999999</v>
      </c>
      <c r="AG76" s="1563">
        <f t="shared" si="100"/>
        <v>-2602.5009999999997</v>
      </c>
      <c r="AH76" s="1564">
        <f t="shared" si="100"/>
        <v>-2070</v>
      </c>
      <c r="AI76" s="1563">
        <f t="shared" si="100"/>
        <v>-2281</v>
      </c>
      <c r="AJ76" s="1563">
        <f>SUM(AJ69:AJ74)</f>
        <v>-2603</v>
      </c>
      <c r="AK76" s="1563">
        <f>SUM(AK69:AK74)</f>
        <v>-2670</v>
      </c>
      <c r="AL76" s="1564">
        <f>SUM(AL69:AL74)</f>
        <v>-2167</v>
      </c>
      <c r="AM76" s="1563">
        <f>SUM(AM69:AM74)</f>
        <v>-2597</v>
      </c>
      <c r="AN76" s="1563">
        <f t="shared" ref="AN76:AS76" si="101">SUM(AN69:AN74)</f>
        <v>-1114</v>
      </c>
      <c r="AO76" s="1563">
        <f t="shared" si="101"/>
        <v>-2325</v>
      </c>
      <c r="AP76" s="1563">
        <f t="shared" si="101"/>
        <v>-1391</v>
      </c>
      <c r="AQ76" s="1563">
        <f t="shared" si="101"/>
        <v>-1452</v>
      </c>
      <c r="AR76" s="1563">
        <f t="shared" si="101"/>
        <v>-2216</v>
      </c>
      <c r="AS76" s="1563">
        <f t="shared" si="101"/>
        <v>-2661</v>
      </c>
      <c r="AT76" s="1564">
        <f t="shared" ref="AT76:AY76" si="102">SUM(AT69:AT74)</f>
        <v>-2133</v>
      </c>
      <c r="AU76" s="1588">
        <f t="shared" si="102"/>
        <v>-2521</v>
      </c>
      <c r="AV76" s="1563">
        <f t="shared" si="102"/>
        <v>-3294</v>
      </c>
      <c r="AW76" s="1563">
        <f t="shared" si="102"/>
        <v>-3469</v>
      </c>
      <c r="AX76" s="1564">
        <f t="shared" si="102"/>
        <v>-2704</v>
      </c>
      <c r="AY76" s="1588">
        <f t="shared" si="102"/>
        <v>-3329</v>
      </c>
      <c r="AZ76" s="1583">
        <f t="shared" ref="AZ76:BE76" si="103">SUM(AZ69:AZ74)</f>
        <v>-3789</v>
      </c>
      <c r="BA76" s="1583">
        <f t="shared" si="103"/>
        <v>-4238</v>
      </c>
      <c r="BB76" s="3111">
        <f t="shared" si="103"/>
        <v>-4175</v>
      </c>
      <c r="BC76" s="1583">
        <f t="shared" si="103"/>
        <v>-3624</v>
      </c>
      <c r="BD76" s="1583">
        <f t="shared" si="103"/>
        <v>-4003</v>
      </c>
      <c r="BE76" s="1583">
        <f t="shared" si="103"/>
        <v>-4815</v>
      </c>
      <c r="BF76" s="3111">
        <f>SUM(BF69:BF74)</f>
        <v>-3742</v>
      </c>
      <c r="BG76" s="1583">
        <f t="shared" ref="BG76:BL76" si="104">SUM(BG69:BG74)-BG67</f>
        <v>-3700</v>
      </c>
      <c r="BH76" s="1583">
        <f t="shared" si="104"/>
        <v>-4548</v>
      </c>
      <c r="BI76" s="1583">
        <f t="shared" si="104"/>
        <v>-5525</v>
      </c>
      <c r="BJ76" s="1583">
        <f t="shared" si="104"/>
        <v>-4319</v>
      </c>
      <c r="BK76" s="1583">
        <f t="shared" si="104"/>
        <v>-4261</v>
      </c>
      <c r="BL76" s="3512">
        <f t="shared" si="104"/>
        <v>-4852</v>
      </c>
      <c r="BM76" s="1583"/>
      <c r="BN76" s="1567">
        <f>SUM(BN69:BN74)</f>
        <v>-7408.378999999999</v>
      </c>
      <c r="BO76" s="1567">
        <f>SUM(BO69:BO74)</f>
        <v>-7892.5530000000008</v>
      </c>
      <c r="BP76" s="1567">
        <f>SUM(AE76:AH76)</f>
        <v>-9186.3060000000005</v>
      </c>
      <c r="BQ76" s="1563">
        <f>SUM(AI76:AL76)</f>
        <v>-9721</v>
      </c>
      <c r="BR76" s="1567">
        <f>SUM(AM76:AP76)</f>
        <v>-7427</v>
      </c>
      <c r="BS76" s="1567">
        <f>SUM(BS69:BS74)</f>
        <v>-8462</v>
      </c>
      <c r="BT76" s="1567">
        <f>SUM(AU76:AX76)</f>
        <v>-11988</v>
      </c>
      <c r="BU76" s="1563">
        <f>SUM(AY76:BB76)</f>
        <v>-15531</v>
      </c>
      <c r="BV76" s="1583">
        <f>SUM(BV69:BV74)</f>
        <v>-16184</v>
      </c>
      <c r="BW76" s="1583">
        <f t="shared" si="95"/>
        <v>-18092</v>
      </c>
    </row>
    <row r="77" spans="1:75" s="1563" customFormat="1">
      <c r="A77" s="1574" t="s">
        <v>65</v>
      </c>
      <c r="B77" s="1562">
        <f t="shared" ref="B77:AH77" si="105">B76+B75</f>
        <v>-1120.0409999999999</v>
      </c>
      <c r="C77" s="1562">
        <f t="shared" si="105"/>
        <v>-512.73199999999997</v>
      </c>
      <c r="D77" s="1562">
        <f t="shared" si="105"/>
        <v>-190.285</v>
      </c>
      <c r="E77" s="1562">
        <f t="shared" si="105"/>
        <v>-180.69</v>
      </c>
      <c r="F77" s="1562">
        <f t="shared" si="105"/>
        <v>-107.96499999999999</v>
      </c>
      <c r="G77" s="1562">
        <f t="shared" si="105"/>
        <v>-132.15899999999999</v>
      </c>
      <c r="H77" s="1562">
        <f t="shared" si="105"/>
        <v>-182.32</v>
      </c>
      <c r="I77" s="1562">
        <f t="shared" si="105"/>
        <v>-259.69199999999995</v>
      </c>
      <c r="J77" s="1562">
        <f t="shared" si="105"/>
        <v>-398.48500000000001</v>
      </c>
      <c r="K77" s="1562">
        <f t="shared" si="105"/>
        <v>-502.71199999999999</v>
      </c>
      <c r="L77" s="1562">
        <f t="shared" si="105"/>
        <v>-749.22799999999995</v>
      </c>
      <c r="M77" s="1562">
        <f t="shared" si="105"/>
        <v>-1053.9739999999999</v>
      </c>
      <c r="N77" s="1562">
        <f t="shared" si="105"/>
        <v>-1615.2340000000002</v>
      </c>
      <c r="O77" s="1562">
        <f t="shared" si="105"/>
        <v>-2182.3229999999999</v>
      </c>
      <c r="P77" s="1562">
        <f t="shared" si="105"/>
        <v>-3048.2329</v>
      </c>
      <c r="Q77" s="1562">
        <f t="shared" si="105"/>
        <v>-4324.3929999999991</v>
      </c>
      <c r="R77" s="1562">
        <f t="shared" si="105"/>
        <v>-1184.2589999999998</v>
      </c>
      <c r="S77" s="1562">
        <f t="shared" si="105"/>
        <v>-1354.4110000000001</v>
      </c>
      <c r="T77" s="1562">
        <f t="shared" si="105"/>
        <v>-1400.3009999999999</v>
      </c>
      <c r="U77" s="1562">
        <f t="shared" si="105"/>
        <v>-1146.5309999999997</v>
      </c>
      <c r="V77" s="1578">
        <f t="shared" si="105"/>
        <v>-4914.5249999999996</v>
      </c>
      <c r="W77" s="1562">
        <f t="shared" si="105"/>
        <v>-1403.1320000000001</v>
      </c>
      <c r="X77" s="1562">
        <f t="shared" si="105"/>
        <v>-1642.4349999999999</v>
      </c>
      <c r="Y77" s="1562">
        <f t="shared" si="105"/>
        <v>-2701.7619999999993</v>
      </c>
      <c r="Z77" s="1578">
        <f t="shared" si="105"/>
        <v>-1411.3240000000001</v>
      </c>
      <c r="AA77" s="1562">
        <f t="shared" si="105"/>
        <v>-1718.7140000000002</v>
      </c>
      <c r="AB77" s="1562">
        <f t="shared" si="105"/>
        <v>-1991.5669999999993</v>
      </c>
      <c r="AC77" s="1562">
        <f t="shared" si="105"/>
        <v>-2206.2509999999997</v>
      </c>
      <c r="AD77" s="1578">
        <f t="shared" si="105"/>
        <v>-1714.7469999999998</v>
      </c>
      <c r="AE77" s="1562">
        <f t="shared" si="105"/>
        <v>-2126.4660000000003</v>
      </c>
      <c r="AF77" s="1562">
        <f t="shared" si="105"/>
        <v>-2237.8379999999997</v>
      </c>
      <c r="AG77" s="1562">
        <f t="shared" si="105"/>
        <v>-2526.1189999999997</v>
      </c>
      <c r="AH77" s="1578">
        <f t="shared" si="105"/>
        <v>-1964.883</v>
      </c>
      <c r="AI77" s="1562">
        <f>AI76+AI75</f>
        <v>-2203</v>
      </c>
      <c r="AJ77" s="1562">
        <f t="shared" ref="AJ77:AO77" si="106">AJ76+AJ75</f>
        <v>-2519</v>
      </c>
      <c r="AK77" s="1562">
        <f t="shared" si="106"/>
        <v>-2587</v>
      </c>
      <c r="AL77" s="1578">
        <f t="shared" si="106"/>
        <v>-2087</v>
      </c>
      <c r="AM77" s="1562">
        <f t="shared" si="106"/>
        <v>-2586</v>
      </c>
      <c r="AN77" s="1562">
        <f t="shared" si="106"/>
        <v>-1031</v>
      </c>
      <c r="AO77" s="1562">
        <f t="shared" si="106"/>
        <v>-2246</v>
      </c>
      <c r="AP77" s="1562">
        <f t="shared" ref="AP77:AW77" si="107">AP76+AP75</f>
        <v>-1309</v>
      </c>
      <c r="AQ77" s="1562">
        <f t="shared" si="107"/>
        <v>-1343</v>
      </c>
      <c r="AR77" s="1562">
        <f t="shared" si="107"/>
        <v>-2126</v>
      </c>
      <c r="AS77" s="1562">
        <f t="shared" si="107"/>
        <v>-2576</v>
      </c>
      <c r="AT77" s="1578">
        <f t="shared" si="107"/>
        <v>-2041</v>
      </c>
      <c r="AU77" s="1597">
        <f t="shared" si="107"/>
        <v>-2428</v>
      </c>
      <c r="AV77" s="1562">
        <f t="shared" si="107"/>
        <v>-3186</v>
      </c>
      <c r="AW77" s="1562">
        <f t="shared" si="107"/>
        <v>-3368</v>
      </c>
      <c r="AX77" s="1578">
        <f t="shared" ref="AX77:BC77" si="108">AX76+AX75</f>
        <v>-2602</v>
      </c>
      <c r="AY77" s="1597">
        <f t="shared" si="108"/>
        <v>-3216</v>
      </c>
      <c r="AZ77" s="3112">
        <f t="shared" si="108"/>
        <v>-3661</v>
      </c>
      <c r="BA77" s="3112">
        <f t="shared" si="108"/>
        <v>-4110</v>
      </c>
      <c r="BB77" s="3270">
        <f t="shared" si="108"/>
        <v>-4014</v>
      </c>
      <c r="BC77" s="3112">
        <f t="shared" si="108"/>
        <v>-3480</v>
      </c>
      <c r="BD77" s="3112">
        <f t="shared" ref="BD77:BI77" si="109">BD76+BD75</f>
        <v>-3863</v>
      </c>
      <c r="BE77" s="3112">
        <f t="shared" si="109"/>
        <v>-4667</v>
      </c>
      <c r="BF77" s="3270">
        <f t="shared" si="109"/>
        <v>-3575</v>
      </c>
      <c r="BG77" s="3112">
        <f t="shared" si="109"/>
        <v>-3558</v>
      </c>
      <c r="BH77" s="3112">
        <f t="shared" si="109"/>
        <v>-4394</v>
      </c>
      <c r="BI77" s="3112">
        <f t="shared" si="109"/>
        <v>-5375</v>
      </c>
      <c r="BJ77" s="3112">
        <f t="shared" ref="BJ77:BK77" si="110">BJ76+BJ75</f>
        <v>-4152</v>
      </c>
      <c r="BK77" s="3112">
        <f t="shared" si="110"/>
        <v>-4120</v>
      </c>
      <c r="BL77" s="3513">
        <f>BL76+BL75</f>
        <v>-4712</v>
      </c>
      <c r="BM77" s="3112"/>
      <c r="BN77" s="1567">
        <f>-(BN35-BN82)</f>
        <v>-7158.6529999999984</v>
      </c>
      <c r="BO77" s="1567">
        <f>-(BO35-BO82)</f>
        <v>-7631.2789999999986</v>
      </c>
      <c r="BP77" s="1567">
        <f>SUM(AE77:AH77)</f>
        <v>-8855.3060000000005</v>
      </c>
      <c r="BQ77" s="1563">
        <f>SUM(AI77:AL77)</f>
        <v>-9396</v>
      </c>
      <c r="BR77" s="1567">
        <f>SUM(AM77:AP77)</f>
        <v>-7172</v>
      </c>
      <c r="BS77" s="2871">
        <f>BS76+BS75</f>
        <v>-8086</v>
      </c>
      <c r="BT77" s="2871">
        <f>SUM(AU77:AX77)</f>
        <v>-11584</v>
      </c>
      <c r="BU77" s="1563">
        <f>SUM(AY77:BB77)</f>
        <v>-15001</v>
      </c>
      <c r="BV77" s="3112">
        <f>BV76+BV75</f>
        <v>-15585</v>
      </c>
      <c r="BW77" s="3112">
        <f t="shared" si="95"/>
        <v>-17479</v>
      </c>
    </row>
    <row r="78" spans="1:75" s="424" customFormat="1">
      <c r="A78" s="639"/>
      <c r="B78" s="427"/>
      <c r="C78" s="427"/>
      <c r="V78" s="425"/>
      <c r="W78" s="376"/>
      <c r="Z78" s="425"/>
      <c r="AD78" s="425"/>
      <c r="AH78" s="425"/>
      <c r="AL78" s="425"/>
      <c r="AT78" s="425"/>
      <c r="AU78" s="423"/>
      <c r="AX78" s="425"/>
      <c r="AY78" s="423"/>
      <c r="AZ78" s="217"/>
      <c r="BA78" s="217"/>
      <c r="BB78" s="3106"/>
      <c r="BC78" s="217"/>
      <c r="BD78" s="217"/>
      <c r="BE78" s="217"/>
      <c r="BF78" s="3106"/>
      <c r="BG78" s="217"/>
      <c r="BH78" s="3109"/>
      <c r="BI78" s="3109"/>
      <c r="BJ78" s="3109"/>
      <c r="BK78" s="3109"/>
      <c r="BL78" s="3109"/>
      <c r="BM78" s="3106"/>
      <c r="BN78" s="442"/>
      <c r="BO78" s="442"/>
      <c r="BP78" s="442"/>
      <c r="BR78" s="442"/>
      <c r="BS78" s="442"/>
      <c r="BT78" s="442"/>
      <c r="BU78" s="1563"/>
      <c r="BV78" s="217"/>
      <c r="BW78" s="3109"/>
    </row>
    <row r="79" spans="1:75" s="1563" customFormat="1">
      <c r="A79" s="1568" t="s">
        <v>959</v>
      </c>
      <c r="B79" s="1562">
        <f t="shared" ref="B79:K79" si="111">B35+B76</f>
        <v>-1062.21</v>
      </c>
      <c r="C79" s="1563">
        <f t="shared" si="111"/>
        <v>-322.27400000000011</v>
      </c>
      <c r="D79" s="1563">
        <f t="shared" si="111"/>
        <v>-13.887000000000057</v>
      </c>
      <c r="E79" s="1563">
        <f t="shared" si="111"/>
        <v>-23.324000000000012</v>
      </c>
      <c r="F79" s="1563">
        <f t="shared" si="111"/>
        <v>8.0179999999999438</v>
      </c>
      <c r="G79" s="1563">
        <f t="shared" si="111"/>
        <v>30.421999999999969</v>
      </c>
      <c r="H79" s="1563">
        <f t="shared" si="111"/>
        <v>35.883999999999958</v>
      </c>
      <c r="I79" s="1563">
        <f t="shared" si="111"/>
        <v>61.986000000000104</v>
      </c>
      <c r="J79" s="1563">
        <f t="shared" si="111"/>
        <v>137.93500000000012</v>
      </c>
      <c r="K79" s="1563">
        <f t="shared" si="111"/>
        <v>289.47400000000005</v>
      </c>
      <c r="L79" s="1563">
        <v>470.83499999999998</v>
      </c>
      <c r="M79" s="1563">
        <v>786.79700000000003</v>
      </c>
      <c r="N79" s="1563">
        <v>1398.922</v>
      </c>
      <c r="O79" s="1563">
        <v>1829.7929999999999</v>
      </c>
      <c r="P79" s="1563">
        <v>2412.4140000000002</v>
      </c>
      <c r="Q79" s="1563">
        <v>3073.3119999999999</v>
      </c>
      <c r="R79" s="1565">
        <f>R35+R76</f>
        <v>433.96900000000028</v>
      </c>
      <c r="S79" s="1565">
        <f>S35+S76</f>
        <v>678.3309999999999</v>
      </c>
      <c r="T79" s="1565">
        <f>T35+T76</f>
        <v>1488.7070000000001</v>
      </c>
      <c r="U79" s="1565">
        <f>U35+U76</f>
        <v>657.90300000000025</v>
      </c>
      <c r="V79" s="1564">
        <v>3258.9070000000002</v>
      </c>
      <c r="W79" s="1565">
        <f t="shared" ref="W79:BK79" si="112">W35+W76</f>
        <v>550.31799999999998</v>
      </c>
      <c r="X79" s="1565">
        <f t="shared" si="112"/>
        <v>732.40700000000015</v>
      </c>
      <c r="Y79" s="1565">
        <f t="shared" si="112"/>
        <v>833.22700000000077</v>
      </c>
      <c r="Z79" s="1566">
        <f t="shared" si="112"/>
        <v>790.36099999999988</v>
      </c>
      <c r="AA79" s="1565">
        <f t="shared" si="112"/>
        <v>556.46199999999999</v>
      </c>
      <c r="AB79" s="1565">
        <f t="shared" si="112"/>
        <v>893.25900000000047</v>
      </c>
      <c r="AC79" s="1565">
        <f t="shared" si="112"/>
        <v>2101.8010000000008</v>
      </c>
      <c r="AD79" s="1566">
        <f t="shared" si="112"/>
        <v>986.4699999999998</v>
      </c>
      <c r="AE79" s="1565">
        <f t="shared" si="112"/>
        <v>730.23499999999967</v>
      </c>
      <c r="AF79" s="1565">
        <f t="shared" si="112"/>
        <v>1221.2550000000001</v>
      </c>
      <c r="AG79" s="1565">
        <f t="shared" si="112"/>
        <v>2246.4990000000003</v>
      </c>
      <c r="AH79" s="1566">
        <f t="shared" si="112"/>
        <v>1143</v>
      </c>
      <c r="AI79" s="1565">
        <f t="shared" si="112"/>
        <v>556</v>
      </c>
      <c r="AJ79" s="1565">
        <f t="shared" si="112"/>
        <v>1247</v>
      </c>
      <c r="AK79" s="1565">
        <f t="shared" si="112"/>
        <v>2370</v>
      </c>
      <c r="AL79" s="1566">
        <f t="shared" si="112"/>
        <v>1172</v>
      </c>
      <c r="AM79" s="1565">
        <f t="shared" si="112"/>
        <v>-309</v>
      </c>
      <c r="AN79" s="1565">
        <f t="shared" si="112"/>
        <v>-484</v>
      </c>
      <c r="AO79" s="1565">
        <f t="shared" si="112"/>
        <v>315</v>
      </c>
      <c r="AP79" s="1565">
        <f t="shared" si="112"/>
        <v>-153</v>
      </c>
      <c r="AQ79" s="1565">
        <f t="shared" si="112"/>
        <v>-311</v>
      </c>
      <c r="AR79" s="1565">
        <f t="shared" si="112"/>
        <v>-56</v>
      </c>
      <c r="AS79" s="1565">
        <f t="shared" si="112"/>
        <v>2015</v>
      </c>
      <c r="AT79" s="1566">
        <f t="shared" si="112"/>
        <v>848</v>
      </c>
      <c r="AU79" s="2823">
        <f t="shared" si="112"/>
        <v>174</v>
      </c>
      <c r="AV79" s="1565">
        <f t="shared" si="112"/>
        <v>1000</v>
      </c>
      <c r="AW79" s="1565">
        <f t="shared" si="112"/>
        <v>2583</v>
      </c>
      <c r="AX79" s="1566">
        <f t="shared" si="112"/>
        <v>1345</v>
      </c>
      <c r="AY79" s="2823">
        <f t="shared" si="112"/>
        <v>449</v>
      </c>
      <c r="AZ79" s="3113">
        <f t="shared" si="112"/>
        <v>1673</v>
      </c>
      <c r="BA79" s="3113">
        <f t="shared" si="112"/>
        <v>3103</v>
      </c>
      <c r="BB79" s="3114">
        <f t="shared" si="112"/>
        <v>609</v>
      </c>
      <c r="BC79" s="3113">
        <f t="shared" si="112"/>
        <v>791</v>
      </c>
      <c r="BD79" s="3113">
        <f t="shared" si="112"/>
        <v>1856</v>
      </c>
      <c r="BE79" s="3113">
        <f t="shared" si="112"/>
        <v>3179</v>
      </c>
      <c r="BF79" s="3114">
        <f t="shared" si="112"/>
        <v>1729.14360367893</v>
      </c>
      <c r="BG79" s="3113">
        <f t="shared" si="112"/>
        <v>1062</v>
      </c>
      <c r="BH79" s="3113">
        <f t="shared" si="112"/>
        <v>2250</v>
      </c>
      <c r="BI79" s="3113">
        <f t="shared" si="112"/>
        <v>3483</v>
      </c>
      <c r="BJ79" s="3113">
        <f t="shared" si="112"/>
        <v>2030</v>
      </c>
      <c r="BK79" s="3113">
        <f t="shared" si="112"/>
        <v>1271</v>
      </c>
      <c r="BL79" s="3514">
        <f>BL35+BL76</f>
        <v>2500</v>
      </c>
      <c r="BM79" s="3113"/>
      <c r="BN79" s="1567">
        <f>SUM(W79:Z79)</f>
        <v>2906.313000000001</v>
      </c>
      <c r="BO79" s="1567">
        <f>SUM(AA79:AD79)</f>
        <v>4537.9920000000011</v>
      </c>
      <c r="BP79" s="1567">
        <f>SUM(AE79:AH79)</f>
        <v>5340.9889999999996</v>
      </c>
      <c r="BQ79" s="1588">
        <f>SUM(AI79:AL79)</f>
        <v>5345</v>
      </c>
      <c r="BR79" s="1567">
        <f>SUM(AM79:AP79)</f>
        <v>-631</v>
      </c>
      <c r="BS79" s="2872">
        <f>BS35+BS76</f>
        <v>2496</v>
      </c>
      <c r="BT79" s="2872">
        <f>SUM(AU79:AX79)</f>
        <v>5102</v>
      </c>
      <c r="BU79" s="1563">
        <f>SUM(AY79:BB79)</f>
        <v>5834</v>
      </c>
      <c r="BV79" s="3113">
        <f>BV35+BV76</f>
        <v>7555</v>
      </c>
      <c r="BW79" s="3113">
        <f>BW35+BW76</f>
        <v>8825</v>
      </c>
    </row>
    <row r="80" spans="1:75" s="473" customFormat="1">
      <c r="A80" s="474" t="s">
        <v>1973</v>
      </c>
      <c r="B80" s="444" t="s">
        <v>140</v>
      </c>
      <c r="C80" s="444" t="s">
        <v>140</v>
      </c>
      <c r="D80" s="444" t="s">
        <v>140</v>
      </c>
      <c r="E80" s="444" t="s">
        <v>140</v>
      </c>
      <c r="F80" s="211">
        <f t="shared" ref="F80:K80" si="113">F79/F33</f>
        <v>9.2837351692387927E-3</v>
      </c>
      <c r="G80" s="211">
        <f t="shared" si="113"/>
        <v>3.327092255668368E-2</v>
      </c>
      <c r="H80" s="211">
        <f t="shared" si="113"/>
        <v>3.7275881411921091E-2</v>
      </c>
      <c r="I80" s="211">
        <f t="shared" si="113"/>
        <v>5.5191732191971793E-2</v>
      </c>
      <c r="J80" s="211">
        <f t="shared" si="113"/>
        <v>9.7867262093544252E-2</v>
      </c>
      <c r="K80" s="211">
        <f t="shared" si="113"/>
        <v>0.15358291516474376</v>
      </c>
      <c r="L80" s="211">
        <f t="shared" ref="L80:AQ80" si="114">L79/L30</f>
        <v>0.20136540228174349</v>
      </c>
      <c r="M80" s="211">
        <f t="shared" si="114"/>
        <v>0.255047400163052</v>
      </c>
      <c r="N80" s="211">
        <f t="shared" si="114"/>
        <v>0.32117705671536251</v>
      </c>
      <c r="O80" s="211">
        <f t="shared" si="114"/>
        <v>0.34780617819270865</v>
      </c>
      <c r="P80" s="211">
        <f t="shared" si="114"/>
        <v>0.35511634541414744</v>
      </c>
      <c r="Q80" s="211">
        <f t="shared" si="114"/>
        <v>0.36405147565657359</v>
      </c>
      <c r="R80" s="211">
        <f t="shared" si="114"/>
        <v>0.23576379343877923</v>
      </c>
      <c r="S80" s="211">
        <f t="shared" si="114"/>
        <v>0.29746180160735169</v>
      </c>
      <c r="T80" s="211">
        <f t="shared" si="114"/>
        <v>0.47977908415382903</v>
      </c>
      <c r="U80" s="211">
        <f t="shared" si="114"/>
        <v>0.32895232238080607</v>
      </c>
      <c r="V80" s="446">
        <f t="shared" si="114"/>
        <v>0.35330784833066226</v>
      </c>
      <c r="W80" s="211">
        <f t="shared" si="114"/>
        <v>0.25618599342029003</v>
      </c>
      <c r="X80" s="473">
        <f t="shared" si="114"/>
        <v>0.28655519656074457</v>
      </c>
      <c r="Y80" s="473">
        <f t="shared" si="114"/>
        <v>0.22577300089525923</v>
      </c>
      <c r="Z80" s="486">
        <f t="shared" si="114"/>
        <v>0.33654824301992003</v>
      </c>
      <c r="AA80" s="473">
        <f t="shared" si="114"/>
        <v>0.2299996197410602</v>
      </c>
      <c r="AB80" s="473">
        <f t="shared" si="114"/>
        <v>0.29533557983386666</v>
      </c>
      <c r="AC80" s="473">
        <f t="shared" si="114"/>
        <v>0.47401606980919625</v>
      </c>
      <c r="AD80" s="486">
        <f t="shared" si="114"/>
        <v>0.3519219661994803</v>
      </c>
      <c r="AE80" s="473">
        <f t="shared" si="114"/>
        <v>0.24938008012428098</v>
      </c>
      <c r="AF80" s="473">
        <f t="shared" si="114"/>
        <v>0.34527072223695499</v>
      </c>
      <c r="AG80" s="473">
        <f t="shared" si="114"/>
        <v>0.46329119406063113</v>
      </c>
      <c r="AH80" s="486">
        <f t="shared" si="114"/>
        <v>0.35574229691876752</v>
      </c>
      <c r="AI80" s="473">
        <f t="shared" si="114"/>
        <v>0.1959816707789919</v>
      </c>
      <c r="AJ80" s="473">
        <f t="shared" si="114"/>
        <v>0.3238961038961039</v>
      </c>
      <c r="AK80" s="473">
        <f t="shared" si="114"/>
        <v>0.47023809523809523</v>
      </c>
      <c r="AL80" s="486">
        <f t="shared" si="114"/>
        <v>0.35100329439952083</v>
      </c>
      <c r="AM80" s="473">
        <f t="shared" si="114"/>
        <v>-0.13505244755244755</v>
      </c>
      <c r="AN80" s="473">
        <f t="shared" si="114"/>
        <v>-0.7682539682539683</v>
      </c>
      <c r="AO80" s="473">
        <f t="shared" si="114"/>
        <v>0.11931818181818182</v>
      </c>
      <c r="AP80" s="473">
        <f t="shared" si="114"/>
        <v>-0.12358642972536349</v>
      </c>
      <c r="AQ80" s="473">
        <f t="shared" si="114"/>
        <v>-0.27256792287467135</v>
      </c>
      <c r="AR80" s="473">
        <f t="shared" ref="AR80:BJ80" si="115">AR79/AR30</f>
        <v>-2.5925925925925925E-2</v>
      </c>
      <c r="AS80" s="473">
        <f t="shared" si="115"/>
        <v>0.43092386655260906</v>
      </c>
      <c r="AT80" s="486">
        <f t="shared" si="115"/>
        <v>0.28446829922844685</v>
      </c>
      <c r="AU80" s="2819">
        <f t="shared" si="115"/>
        <v>6.4564007421150274E-2</v>
      </c>
      <c r="AV80" s="473">
        <f t="shared" si="115"/>
        <v>0.2328830926874709</v>
      </c>
      <c r="AW80" s="473">
        <f t="shared" si="115"/>
        <v>0.42680105750165237</v>
      </c>
      <c r="AX80" s="486">
        <f t="shared" si="115"/>
        <v>0.33218078537910595</v>
      </c>
      <c r="AY80" s="2819">
        <f t="shared" si="115"/>
        <v>0.11884595023822128</v>
      </c>
      <c r="AZ80" s="3101">
        <f t="shared" si="115"/>
        <v>0.30629805931893078</v>
      </c>
      <c r="BA80" s="3101">
        <f t="shared" si="115"/>
        <v>0.42269445579621306</v>
      </c>
      <c r="BB80" s="3102">
        <f t="shared" si="115"/>
        <v>0.12729933110367894</v>
      </c>
      <c r="BC80" s="3101">
        <f t="shared" si="115"/>
        <v>0.17916194790486975</v>
      </c>
      <c r="BD80" s="3101">
        <f t="shared" si="115"/>
        <v>0.31677760710018776</v>
      </c>
      <c r="BE80" s="3101">
        <f t="shared" si="115"/>
        <v>0.39767325494120592</v>
      </c>
      <c r="BF80" s="3102">
        <f t="shared" si="115"/>
        <v>0.31605622439753794</v>
      </c>
      <c r="BG80" s="3101">
        <f t="shared" si="115"/>
        <v>0.2230155396892062</v>
      </c>
      <c r="BH80" s="3101">
        <f t="shared" si="115"/>
        <v>0.33097969991173876</v>
      </c>
      <c r="BI80" s="3101">
        <f t="shared" si="115"/>
        <v>0.38665630550621671</v>
      </c>
      <c r="BJ80" s="3101">
        <f t="shared" si="115"/>
        <v>0.3197353914002205</v>
      </c>
      <c r="BK80" s="3101">
        <f t="shared" ref="BK80" si="116">BK79/BK30</f>
        <v>0.22975415762834417</v>
      </c>
      <c r="BL80" s="3515">
        <f>BL79/BL30</f>
        <v>0.3400435255712731</v>
      </c>
      <c r="BM80" s="3101"/>
      <c r="BN80" s="489">
        <f t="shared" ref="BN80:BV80" si="117">BN79/BN30</f>
        <v>0.27053070621016134</v>
      </c>
      <c r="BO80" s="489">
        <f t="shared" si="117"/>
        <v>0.35785526818610591</v>
      </c>
      <c r="BP80" s="489">
        <f t="shared" si="117"/>
        <v>0.36765199577760344</v>
      </c>
      <c r="BQ80" s="2819">
        <f t="shared" si="117"/>
        <v>0.35477233505907341</v>
      </c>
      <c r="BR80" s="489">
        <f t="shared" si="117"/>
        <v>-9.2848734549735135E-2</v>
      </c>
      <c r="BS80" s="489">
        <f t="shared" si="117"/>
        <v>0.2277787917503194</v>
      </c>
      <c r="BT80" s="489">
        <f t="shared" si="117"/>
        <v>0.29853715623171445</v>
      </c>
      <c r="BU80" s="489">
        <f t="shared" si="117"/>
        <v>0.27306342148373508</v>
      </c>
      <c r="BV80" s="3101">
        <f t="shared" si="117"/>
        <v>0.3182526643919289</v>
      </c>
      <c r="BW80" s="3101">
        <f t="shared" ref="BW80" si="118">BW79/BW30</f>
        <v>0.32785971690753057</v>
      </c>
    </row>
    <row r="81" spans="1:75" s="473" customFormat="1">
      <c r="A81" s="476" t="s">
        <v>1974</v>
      </c>
      <c r="B81" s="444" t="s">
        <v>140</v>
      </c>
      <c r="C81" s="444" t="s">
        <v>140</v>
      </c>
      <c r="D81" s="444" t="s">
        <v>140</v>
      </c>
      <c r="E81" s="444" t="s">
        <v>140</v>
      </c>
      <c r="F81" s="211"/>
      <c r="G81" s="211"/>
      <c r="H81" s="211"/>
      <c r="I81" s="211"/>
      <c r="J81" s="211"/>
      <c r="K81" s="211"/>
      <c r="L81" s="211">
        <f t="shared" ref="L81:AQ81" si="119">L79/L35</f>
        <v>0.37345242523773303</v>
      </c>
      <c r="M81" s="211">
        <f t="shared" si="119"/>
        <v>0.41215764933045079</v>
      </c>
      <c r="N81" s="211">
        <f t="shared" si="119"/>
        <v>0.45421315116173361</v>
      </c>
      <c r="O81" s="211">
        <f t="shared" si="119"/>
        <v>0.44807442109214696</v>
      </c>
      <c r="P81" s="211">
        <f t="shared" si="119"/>
        <v>0.42205425370624955</v>
      </c>
      <c r="Q81" s="211">
        <f t="shared" si="119"/>
        <v>0.40522934074178579</v>
      </c>
      <c r="R81" s="211">
        <f t="shared" si="119"/>
        <v>0.25951420732480357</v>
      </c>
      <c r="S81" s="211">
        <f t="shared" si="119"/>
        <v>0.3241096351197808</v>
      </c>
      <c r="T81" s="211">
        <f t="shared" si="119"/>
        <v>0.50511182845754155</v>
      </c>
      <c r="U81" s="211">
        <f t="shared" si="119"/>
        <v>0.35006329204850756</v>
      </c>
      <c r="V81" s="446">
        <f t="shared" si="119"/>
        <v>0.37930402766263255</v>
      </c>
      <c r="W81" s="211">
        <f t="shared" si="119"/>
        <v>0.27250885141994108</v>
      </c>
      <c r="X81" s="473">
        <f t="shared" si="119"/>
        <v>0.30142463344991277</v>
      </c>
      <c r="Y81" s="473">
        <f t="shared" si="119"/>
        <v>0.23215725107082288</v>
      </c>
      <c r="Z81" s="486">
        <f t="shared" si="119"/>
        <v>0.34720371680941642</v>
      </c>
      <c r="AA81" s="473">
        <f t="shared" si="119"/>
        <v>0.23839159296300499</v>
      </c>
      <c r="AB81" s="473">
        <f t="shared" si="119"/>
        <v>0.30261357931089172</v>
      </c>
      <c r="AC81" s="473">
        <f t="shared" si="119"/>
        <v>0.48046074650370002</v>
      </c>
      <c r="AD81" s="486">
        <f t="shared" si="119"/>
        <v>0.35613368217324326</v>
      </c>
      <c r="AE81" s="473">
        <f t="shared" si="119"/>
        <v>0.24938008012428098</v>
      </c>
      <c r="AF81" s="473">
        <f t="shared" si="119"/>
        <v>0.34527072223695499</v>
      </c>
      <c r="AG81" s="473">
        <f t="shared" si="119"/>
        <v>0.46329119406063113</v>
      </c>
      <c r="AH81" s="486">
        <f t="shared" si="119"/>
        <v>0.35574229691876752</v>
      </c>
      <c r="AI81" s="473">
        <f t="shared" si="119"/>
        <v>0.1959816707789919</v>
      </c>
      <c r="AJ81" s="473">
        <f t="shared" si="119"/>
        <v>0.3238961038961039</v>
      </c>
      <c r="AK81" s="473">
        <f t="shared" si="119"/>
        <v>0.47023809523809523</v>
      </c>
      <c r="AL81" s="486">
        <f t="shared" si="119"/>
        <v>0.35100329439952083</v>
      </c>
      <c r="AM81" s="473">
        <f t="shared" si="119"/>
        <v>-0.13505244755244755</v>
      </c>
      <c r="AN81" s="473">
        <f t="shared" si="119"/>
        <v>-0.7682539682539683</v>
      </c>
      <c r="AO81" s="473">
        <f t="shared" si="119"/>
        <v>0.11931818181818182</v>
      </c>
      <c r="AP81" s="473">
        <f t="shared" si="119"/>
        <v>-0.12358642972536349</v>
      </c>
      <c r="AQ81" s="473">
        <f t="shared" si="119"/>
        <v>-0.27256792287467135</v>
      </c>
      <c r="AR81" s="473">
        <f t="shared" ref="AR81:BJ81" si="120">AR79/AR35</f>
        <v>-2.5925925925925925E-2</v>
      </c>
      <c r="AS81" s="473">
        <f t="shared" si="120"/>
        <v>0.43092386655260906</v>
      </c>
      <c r="AT81" s="486">
        <f t="shared" si="120"/>
        <v>0.28446829922844685</v>
      </c>
      <c r="AU81" s="2819">
        <f t="shared" si="120"/>
        <v>6.4564007421150274E-2</v>
      </c>
      <c r="AV81" s="473">
        <f t="shared" si="120"/>
        <v>0.2328830926874709</v>
      </c>
      <c r="AW81" s="473">
        <f t="shared" si="120"/>
        <v>0.42680105750165237</v>
      </c>
      <c r="AX81" s="486">
        <f t="shared" si="120"/>
        <v>0.33218078537910595</v>
      </c>
      <c r="AY81" s="2819">
        <f t="shared" si="120"/>
        <v>0.11884595023822128</v>
      </c>
      <c r="AZ81" s="3101">
        <f t="shared" si="120"/>
        <v>0.30629805931893078</v>
      </c>
      <c r="BA81" s="3101">
        <f t="shared" si="120"/>
        <v>0.42269445579621306</v>
      </c>
      <c r="BB81" s="3102">
        <f t="shared" si="120"/>
        <v>0.12729933110367894</v>
      </c>
      <c r="BC81" s="3101">
        <f t="shared" si="120"/>
        <v>0.17916194790486975</v>
      </c>
      <c r="BD81" s="3101">
        <f t="shared" si="120"/>
        <v>0.31677760710018776</v>
      </c>
      <c r="BE81" s="3101">
        <f t="shared" si="120"/>
        <v>0.39767325494120592</v>
      </c>
      <c r="BF81" s="3102">
        <f t="shared" si="120"/>
        <v>0.31604792872119308</v>
      </c>
      <c r="BG81" s="3101">
        <f t="shared" si="120"/>
        <v>0.2230155396892062</v>
      </c>
      <c r="BH81" s="3101">
        <f t="shared" si="120"/>
        <v>0.33097969991173876</v>
      </c>
      <c r="BI81" s="3101">
        <f t="shared" si="120"/>
        <v>0.38665630550621671</v>
      </c>
      <c r="BJ81" s="3101">
        <f t="shared" si="120"/>
        <v>0.3197353914002205</v>
      </c>
      <c r="BK81" s="3101">
        <f t="shared" ref="BK81" si="121">BK79/BK35</f>
        <v>0.22975415762834417</v>
      </c>
      <c r="BL81" s="3515">
        <f>BL79/BL35</f>
        <v>0.3400435255712731</v>
      </c>
      <c r="BM81" s="3101"/>
      <c r="BN81" s="489">
        <f t="shared" ref="BN81:BV81" si="122">BN79/BN35</f>
        <v>0.2817643997513451</v>
      </c>
      <c r="BO81" s="489">
        <f t="shared" si="122"/>
        <v>0.36506782285088879</v>
      </c>
      <c r="BP81" s="489">
        <f t="shared" si="122"/>
        <v>0.36765199577760344</v>
      </c>
      <c r="BQ81" s="2819">
        <f t="shared" si="122"/>
        <v>0.35477233505907341</v>
      </c>
      <c r="BR81" s="489">
        <f t="shared" si="122"/>
        <v>-9.2848734549735135E-2</v>
      </c>
      <c r="BS81" s="489">
        <f t="shared" si="122"/>
        <v>0.2277787917503194</v>
      </c>
      <c r="BT81" s="489">
        <f t="shared" si="122"/>
        <v>0.29853715623171445</v>
      </c>
      <c r="BU81" s="489">
        <f t="shared" si="122"/>
        <v>0.27306342148373508</v>
      </c>
      <c r="BV81" s="3101">
        <f t="shared" si="122"/>
        <v>0.3182526643919289</v>
      </c>
      <c r="BW81" s="3101">
        <f t="shared" ref="BW81" si="123">BW79/BW35</f>
        <v>0.32785971690753057</v>
      </c>
    </row>
    <row r="82" spans="1:75" s="1563" customFormat="1">
      <c r="A82" s="1561" t="s">
        <v>68</v>
      </c>
      <c r="B82" s="1562">
        <f t="shared" ref="B82:AI82" si="124">B79+B75</f>
        <v>-1062.21</v>
      </c>
      <c r="C82" s="1562">
        <f t="shared" si="124"/>
        <v>-320.5630000000001</v>
      </c>
      <c r="D82" s="1562">
        <f t="shared" si="124"/>
        <v>2.6209999999999418</v>
      </c>
      <c r="E82" s="1562">
        <f t="shared" si="124"/>
        <v>-22.324000000000012</v>
      </c>
      <c r="F82" s="1562">
        <f t="shared" si="124"/>
        <v>37.979999999999947</v>
      </c>
      <c r="G82" s="1562">
        <f t="shared" si="124"/>
        <v>65.995999999999967</v>
      </c>
      <c r="H82" s="1562">
        <f t="shared" si="124"/>
        <v>85.54299999999995</v>
      </c>
      <c r="I82" s="1562">
        <f t="shared" si="124"/>
        <v>141.4070000000001</v>
      </c>
      <c r="J82" s="1562">
        <f t="shared" si="124"/>
        <v>240.92700000000013</v>
      </c>
      <c r="K82" s="1562">
        <f t="shared" si="124"/>
        <v>453.25900000000001</v>
      </c>
      <c r="L82" s="1562">
        <f t="shared" si="124"/>
        <v>511.53499999999997</v>
      </c>
      <c r="M82" s="1563">
        <f t="shared" si="124"/>
        <v>854.99700000000007</v>
      </c>
      <c r="N82" s="1563">
        <f t="shared" si="124"/>
        <v>1464.646</v>
      </c>
      <c r="O82" s="1563">
        <f t="shared" si="124"/>
        <v>1901.3579999999999</v>
      </c>
      <c r="P82" s="1563">
        <f t="shared" si="124"/>
        <v>2552.94</v>
      </c>
      <c r="Q82" s="1563">
        <f t="shared" si="124"/>
        <v>3259.7370000000001</v>
      </c>
      <c r="R82" s="1563">
        <f t="shared" si="124"/>
        <v>487.97700000000026</v>
      </c>
      <c r="S82" s="1563">
        <f t="shared" si="124"/>
        <v>738.49499999999989</v>
      </c>
      <c r="T82" s="1563">
        <f t="shared" si="124"/>
        <v>1546.9810000000002</v>
      </c>
      <c r="U82" s="1563">
        <f t="shared" si="124"/>
        <v>732.8520000000002</v>
      </c>
      <c r="V82" s="1564">
        <f t="shared" si="124"/>
        <v>3506.3020000000001</v>
      </c>
      <c r="W82" s="1565">
        <f t="shared" si="124"/>
        <v>616.31799999999998</v>
      </c>
      <c r="X82" s="1565">
        <f t="shared" si="124"/>
        <v>787.38300000000015</v>
      </c>
      <c r="Y82" s="1565">
        <f t="shared" si="124"/>
        <v>887.30100000000073</v>
      </c>
      <c r="Z82" s="1566">
        <f t="shared" si="124"/>
        <v>865.03699999999981</v>
      </c>
      <c r="AA82" s="1565">
        <f t="shared" si="124"/>
        <v>615.52099999999996</v>
      </c>
      <c r="AB82" s="1565">
        <f t="shared" si="124"/>
        <v>960.24700000000053</v>
      </c>
      <c r="AC82" s="1565">
        <f t="shared" si="124"/>
        <v>2168.302000000001</v>
      </c>
      <c r="AD82" s="1566">
        <f t="shared" si="124"/>
        <v>1055.1959999999999</v>
      </c>
      <c r="AE82" s="1565">
        <f t="shared" si="124"/>
        <v>801.73499999999967</v>
      </c>
      <c r="AF82" s="1565">
        <f t="shared" si="124"/>
        <v>1299.2560000000001</v>
      </c>
      <c r="AG82" s="1565">
        <f t="shared" si="124"/>
        <v>2322.8810000000003</v>
      </c>
      <c r="AH82" s="1566">
        <f t="shared" si="124"/>
        <v>1248.117</v>
      </c>
      <c r="AI82" s="1565">
        <f t="shared" si="124"/>
        <v>634</v>
      </c>
      <c r="AJ82" s="1565">
        <f t="shared" ref="AJ82:AO82" si="125">AJ79+AJ75</f>
        <v>1331</v>
      </c>
      <c r="AK82" s="1565">
        <f t="shared" si="125"/>
        <v>2453</v>
      </c>
      <c r="AL82" s="1566">
        <f t="shared" si="125"/>
        <v>1252</v>
      </c>
      <c r="AM82" s="1565">
        <f t="shared" si="125"/>
        <v>-298</v>
      </c>
      <c r="AN82" s="1565">
        <f t="shared" si="125"/>
        <v>-401</v>
      </c>
      <c r="AO82" s="1565">
        <f t="shared" si="125"/>
        <v>394</v>
      </c>
      <c r="AP82" s="1565">
        <f t="shared" ref="AP82:AX82" si="126">AP79+AP75</f>
        <v>-71</v>
      </c>
      <c r="AQ82" s="1565">
        <f t="shared" si="126"/>
        <v>-202</v>
      </c>
      <c r="AR82" s="1565">
        <f t="shared" si="126"/>
        <v>34</v>
      </c>
      <c r="AS82" s="1565">
        <f t="shared" si="126"/>
        <v>2100</v>
      </c>
      <c r="AT82" s="1566">
        <f t="shared" si="126"/>
        <v>940</v>
      </c>
      <c r="AU82" s="2823">
        <f t="shared" si="126"/>
        <v>267</v>
      </c>
      <c r="AV82" s="1565">
        <f t="shared" si="126"/>
        <v>1108</v>
      </c>
      <c r="AW82" s="1565">
        <f t="shared" si="126"/>
        <v>2684</v>
      </c>
      <c r="AX82" s="1566">
        <f t="shared" si="126"/>
        <v>1447</v>
      </c>
      <c r="AY82" s="2823">
        <f t="shared" ref="AY82:BD82" si="127">AY79+AY75</f>
        <v>562</v>
      </c>
      <c r="AZ82" s="3113">
        <f t="shared" si="127"/>
        <v>1801</v>
      </c>
      <c r="BA82" s="3113">
        <f t="shared" si="127"/>
        <v>3231</v>
      </c>
      <c r="BB82" s="3114">
        <f t="shared" si="127"/>
        <v>770</v>
      </c>
      <c r="BC82" s="3113">
        <f t="shared" si="127"/>
        <v>935</v>
      </c>
      <c r="BD82" s="3113">
        <f t="shared" si="127"/>
        <v>1996</v>
      </c>
      <c r="BE82" s="3113">
        <f t="shared" ref="BE82:BJ82" si="128">BE79+BE75</f>
        <v>3327</v>
      </c>
      <c r="BF82" s="3114">
        <f t="shared" si="128"/>
        <v>1896.14360367893</v>
      </c>
      <c r="BG82" s="3113">
        <f t="shared" si="128"/>
        <v>1204</v>
      </c>
      <c r="BH82" s="3113">
        <f t="shared" si="128"/>
        <v>2404</v>
      </c>
      <c r="BI82" s="3113">
        <f t="shared" si="128"/>
        <v>3633</v>
      </c>
      <c r="BJ82" s="3113">
        <f t="shared" si="128"/>
        <v>2197</v>
      </c>
      <c r="BK82" s="3113">
        <f t="shared" ref="BK82" si="129">BK79+BK75</f>
        <v>1412</v>
      </c>
      <c r="BL82" s="3514">
        <f>BL79+BL75</f>
        <v>2640</v>
      </c>
      <c r="BM82" s="3113"/>
      <c r="BN82" s="1567">
        <f>SUM(W82:Z82)</f>
        <v>3156.0390000000007</v>
      </c>
      <c r="BO82" s="1567">
        <f>SUM(AA82:AD82)</f>
        <v>4799.2660000000014</v>
      </c>
      <c r="BP82" s="1567">
        <f>BP79+BP75</f>
        <v>5671.9889999999996</v>
      </c>
      <c r="BQ82" s="1588">
        <f>SUM(AI82:AL82)</f>
        <v>5670</v>
      </c>
      <c r="BR82" s="1567">
        <f>SUM(AM82:AP82)</f>
        <v>-376</v>
      </c>
      <c r="BS82" s="2872">
        <f>BS79+BS75</f>
        <v>2872</v>
      </c>
      <c r="BT82" s="2872">
        <f>BT79+BT75</f>
        <v>5506</v>
      </c>
      <c r="BU82" s="1563">
        <f>SUM(AY82:BB82)</f>
        <v>6364</v>
      </c>
      <c r="BV82" s="3113">
        <f>BV79+BV75</f>
        <v>8154</v>
      </c>
      <c r="BW82" s="3113">
        <f>BW79+BW75</f>
        <v>9438</v>
      </c>
    </row>
    <row r="83" spans="1:75" s="473" customFormat="1">
      <c r="A83" s="67" t="s">
        <v>1975</v>
      </c>
      <c r="B83" s="444"/>
      <c r="C83" s="444" t="s">
        <v>140</v>
      </c>
      <c r="D83" s="444" t="s">
        <v>140</v>
      </c>
      <c r="E83" s="444" t="s">
        <v>140</v>
      </c>
      <c r="F83" s="211">
        <f t="shared" ref="F83:K83" si="130">F82/F33</f>
        <v>4.3975587643762949E-2</v>
      </c>
      <c r="G83" s="211">
        <f t="shared" si="130"/>
        <v>7.2176313360426583E-2</v>
      </c>
      <c r="H83" s="211">
        <f t="shared" si="130"/>
        <v>8.8861072445099984E-2</v>
      </c>
      <c r="I83" s="211">
        <f t="shared" si="130"/>
        <v>0.1259074189989699</v>
      </c>
      <c r="J83" s="211">
        <f t="shared" si="130"/>
        <v>0.17094186286592475</v>
      </c>
      <c r="K83" s="211">
        <f t="shared" si="130"/>
        <v>0.24048045263013806</v>
      </c>
      <c r="L83" s="211"/>
      <c r="M83" s="211">
        <f t="shared" ref="M83:AR83" si="131">M82/M30</f>
        <v>0.27715505015551534</v>
      </c>
      <c r="N83" s="211">
        <f t="shared" si="131"/>
        <v>0.33626656197409777</v>
      </c>
      <c r="O83" s="211">
        <f t="shared" si="131"/>
        <v>0.36140921916092816</v>
      </c>
      <c r="P83" s="211">
        <f t="shared" si="131"/>
        <v>0.37580229714368824</v>
      </c>
      <c r="Q83" s="211">
        <f t="shared" si="131"/>
        <v>0.38613458871156986</v>
      </c>
      <c r="R83" s="211">
        <f t="shared" si="131"/>
        <v>0.26510490065160219</v>
      </c>
      <c r="S83" s="211">
        <f t="shared" si="131"/>
        <v>0.32384492700174572</v>
      </c>
      <c r="T83" s="211">
        <f t="shared" si="131"/>
        <v>0.49855957376661397</v>
      </c>
      <c r="U83" s="211">
        <f t="shared" si="131"/>
        <v>0.36642691606729028</v>
      </c>
      <c r="V83" s="446">
        <f t="shared" si="131"/>
        <v>0.38012867971301351</v>
      </c>
      <c r="W83" s="211">
        <f t="shared" si="131"/>
        <v>0.28691054825174955</v>
      </c>
      <c r="X83" s="473">
        <f t="shared" si="131"/>
        <v>0.30806462845602067</v>
      </c>
      <c r="Y83" s="473">
        <f t="shared" si="131"/>
        <v>0.2404250095920612</v>
      </c>
      <c r="Z83" s="486">
        <f t="shared" si="131"/>
        <v>0.36834646762330447</v>
      </c>
      <c r="AA83" s="473">
        <f t="shared" si="131"/>
        <v>0.25441017705186897</v>
      </c>
      <c r="AB83" s="473">
        <f t="shared" si="131"/>
        <v>0.31748362404266955</v>
      </c>
      <c r="AC83" s="473">
        <f t="shared" si="131"/>
        <v>0.48901394194760583</v>
      </c>
      <c r="AD83" s="486">
        <f t="shared" si="131"/>
        <v>0.37643988265819223</v>
      </c>
      <c r="AE83" s="473">
        <f t="shared" si="131"/>
        <v>0.27379780281476568</v>
      </c>
      <c r="AF83" s="473">
        <f t="shared" si="131"/>
        <v>0.36732300583473326</v>
      </c>
      <c r="AG83" s="473">
        <f t="shared" si="131"/>
        <v>0.47904330789853583</v>
      </c>
      <c r="AH83" s="486">
        <f t="shared" si="131"/>
        <v>0.38845845004668533</v>
      </c>
      <c r="AI83" s="473">
        <f t="shared" si="131"/>
        <v>0.22347550229115262</v>
      </c>
      <c r="AJ83" s="473">
        <f t="shared" si="131"/>
        <v>0.3457142857142857</v>
      </c>
      <c r="AK83" s="473">
        <f t="shared" si="131"/>
        <v>0.4867063492063492</v>
      </c>
      <c r="AL83" s="486">
        <f t="shared" si="131"/>
        <v>0.37496256364180891</v>
      </c>
      <c r="AM83" s="473">
        <f t="shared" si="131"/>
        <v>-0.13024475524475523</v>
      </c>
      <c r="AN83" s="473">
        <f t="shared" si="131"/>
        <v>-0.63650793650793647</v>
      </c>
      <c r="AO83" s="473">
        <f t="shared" si="131"/>
        <v>0.14924242424242423</v>
      </c>
      <c r="AP83" s="473">
        <f t="shared" si="131"/>
        <v>-5.7350565428109852E-2</v>
      </c>
      <c r="AQ83" s="473">
        <f t="shared" si="131"/>
        <v>-0.17703768624014024</v>
      </c>
      <c r="AR83" s="473">
        <f t="shared" si="131"/>
        <v>1.5740740740740739E-2</v>
      </c>
      <c r="AS83" s="473">
        <f t="shared" ref="AS83:BI83" si="132">AS82/AS30</f>
        <v>0.44910179640718562</v>
      </c>
      <c r="AT83" s="486">
        <f t="shared" si="132"/>
        <v>0.31533042603153305</v>
      </c>
      <c r="AU83" s="2819">
        <f t="shared" si="132"/>
        <v>9.9072356215213361E-2</v>
      </c>
      <c r="AV83" s="473">
        <f t="shared" si="132"/>
        <v>0.25803446669771773</v>
      </c>
      <c r="AW83" s="473">
        <f t="shared" si="132"/>
        <v>0.44348975545274288</v>
      </c>
      <c r="AX83" s="486">
        <f t="shared" si="132"/>
        <v>0.35737219066436154</v>
      </c>
      <c r="AY83" s="2819">
        <f t="shared" si="132"/>
        <v>0.14875595553202753</v>
      </c>
      <c r="AZ83" s="3101">
        <f t="shared" si="132"/>
        <v>0.3297326986451849</v>
      </c>
      <c r="BA83" s="3101">
        <f t="shared" si="132"/>
        <v>0.4401307723743359</v>
      </c>
      <c r="BB83" s="3102">
        <f t="shared" si="132"/>
        <v>0.16095317725752509</v>
      </c>
      <c r="BC83" s="3101">
        <f t="shared" si="132"/>
        <v>0.21177802944507362</v>
      </c>
      <c r="BD83" s="3101">
        <f t="shared" si="132"/>
        <v>0.34067246970472775</v>
      </c>
      <c r="BE83" s="3101">
        <f t="shared" si="132"/>
        <v>0.41618714035526644</v>
      </c>
      <c r="BF83" s="3102">
        <f t="shared" si="132"/>
        <v>0.34658080856862183</v>
      </c>
      <c r="BG83" s="3101">
        <f t="shared" si="132"/>
        <v>0.25283494330113399</v>
      </c>
      <c r="BH83" s="3101">
        <f t="shared" si="132"/>
        <v>0.35363342159458666</v>
      </c>
      <c r="BI83" s="3101">
        <f t="shared" si="132"/>
        <v>0.40330817051509771</v>
      </c>
      <c r="BJ83" s="3101">
        <f t="shared" ref="BJ83:BK83" si="133">BJ82/BJ30</f>
        <v>0.3460387462592534</v>
      </c>
      <c r="BK83" s="3101">
        <f t="shared" si="133"/>
        <v>0.25524222704266086</v>
      </c>
      <c r="BL83" s="3515">
        <f>BL82/BL30</f>
        <v>0.3590859630032644</v>
      </c>
      <c r="BM83" s="3101"/>
      <c r="BN83" s="489">
        <f t="shared" ref="BN83:BV83" si="134">BN82/BN30</f>
        <v>0.29377615538891072</v>
      </c>
      <c r="BO83" s="489">
        <f t="shared" si="134"/>
        <v>0.37845871511594992</v>
      </c>
      <c r="BP83" s="489">
        <f t="shared" si="134"/>
        <v>0.39043669175851387</v>
      </c>
      <c r="BQ83" s="2819">
        <f t="shared" si="134"/>
        <v>0.37634408602150538</v>
      </c>
      <c r="BR83" s="489">
        <f t="shared" si="134"/>
        <v>-5.5326662742789877E-2</v>
      </c>
      <c r="BS83" s="489">
        <f t="shared" si="134"/>
        <v>0.26209162255886109</v>
      </c>
      <c r="BT83" s="489">
        <f t="shared" si="134"/>
        <v>0.32217671152720889</v>
      </c>
      <c r="BU83" s="489">
        <f t="shared" si="134"/>
        <v>0.29787034870114676</v>
      </c>
      <c r="BV83" s="3101">
        <f t="shared" si="134"/>
        <v>0.34348540376595477</v>
      </c>
      <c r="BW83" s="3101">
        <f t="shared" ref="BW83" si="135">BW82/BW30</f>
        <v>0.35063342868818964</v>
      </c>
    </row>
    <row r="84" spans="1:75" s="473" customFormat="1">
      <c r="A84" s="476" t="s">
        <v>1976</v>
      </c>
      <c r="B84" s="444">
        <f t="shared" ref="B84:AG84" si="136">B82/B35</f>
        <v>-18.367484567100686</v>
      </c>
      <c r="C84" s="444">
        <f t="shared" si="136"/>
        <v>-1.6681306558289855</v>
      </c>
      <c r="D84" s="444">
        <f t="shared" si="136"/>
        <v>1.3586928348521781E-2</v>
      </c>
      <c r="E84" s="444">
        <f t="shared" si="136"/>
        <v>-0.14096460098758581</v>
      </c>
      <c r="F84" s="211">
        <f t="shared" si="136"/>
        <v>0.26023502004179633</v>
      </c>
      <c r="G84" s="211">
        <f t="shared" si="136"/>
        <v>0.33305240846811829</v>
      </c>
      <c r="H84" s="211">
        <f t="shared" si="136"/>
        <v>0.3193535501357036</v>
      </c>
      <c r="I84" s="211">
        <f t="shared" si="136"/>
        <v>0.35254887197425094</v>
      </c>
      <c r="J84" s="211">
        <f t="shared" si="136"/>
        <v>0.37679461755487864</v>
      </c>
      <c r="K84" s="211">
        <f t="shared" si="136"/>
        <v>0.4741346756334659</v>
      </c>
      <c r="L84" s="211">
        <f t="shared" si="136"/>
        <v>0.40573446397142049</v>
      </c>
      <c r="M84" s="211">
        <f t="shared" si="136"/>
        <v>0.44788370279066575</v>
      </c>
      <c r="N84" s="211">
        <f t="shared" si="136"/>
        <v>0.47555294362118011</v>
      </c>
      <c r="O84" s="211">
        <f t="shared" si="136"/>
        <v>0.46559905144402808</v>
      </c>
      <c r="P84" s="211">
        <f t="shared" si="136"/>
        <v>0.44663941863081241</v>
      </c>
      <c r="Q84" s="211">
        <f t="shared" si="136"/>
        <v>0.42981027487661738</v>
      </c>
      <c r="R84" s="211">
        <f t="shared" si="136"/>
        <v>0.29181108408143364</v>
      </c>
      <c r="S84" s="211">
        <f t="shared" si="136"/>
        <v>0.35285626779224671</v>
      </c>
      <c r="T84" s="211">
        <f t="shared" si="136"/>
        <v>0.52488394391849846</v>
      </c>
      <c r="U84" s="211">
        <f t="shared" si="136"/>
        <v>0.38994286954814433</v>
      </c>
      <c r="V84" s="446">
        <f t="shared" si="136"/>
        <v>0.40809831971318722</v>
      </c>
      <c r="W84" s="211">
        <f t="shared" si="136"/>
        <v>0.30519101735621085</v>
      </c>
      <c r="X84" s="473">
        <f t="shared" si="136"/>
        <v>0.32405019635215482</v>
      </c>
      <c r="Y84" s="473">
        <f t="shared" si="136"/>
        <v>0.24722357896754688</v>
      </c>
      <c r="Z84" s="486">
        <f t="shared" si="136"/>
        <v>0.38000870687909338</v>
      </c>
      <c r="AA84" s="473">
        <f t="shared" si="136"/>
        <v>0.2636928158475903</v>
      </c>
      <c r="AB84" s="473">
        <f t="shared" si="136"/>
        <v>0.32530742113154848</v>
      </c>
      <c r="AC84" s="473">
        <f t="shared" si="136"/>
        <v>0.49566252826288781</v>
      </c>
      <c r="AD84" s="486">
        <f t="shared" si="136"/>
        <v>0.38094502305643113</v>
      </c>
      <c r="AE84" s="473">
        <f t="shared" si="136"/>
        <v>0.27379780281476568</v>
      </c>
      <c r="AF84" s="473">
        <f t="shared" si="136"/>
        <v>0.36732300583473326</v>
      </c>
      <c r="AG84" s="473">
        <f t="shared" si="136"/>
        <v>0.47904330789853583</v>
      </c>
      <c r="AH84" s="486">
        <f t="shared" ref="AH84:BI84" si="137">AH82/AH35</f>
        <v>0.38845845004668533</v>
      </c>
      <c r="AI84" s="473">
        <f t="shared" si="137"/>
        <v>0.22347550229115262</v>
      </c>
      <c r="AJ84" s="473">
        <f t="shared" si="137"/>
        <v>0.3457142857142857</v>
      </c>
      <c r="AK84" s="473">
        <f t="shared" si="137"/>
        <v>0.4867063492063492</v>
      </c>
      <c r="AL84" s="486">
        <f t="shared" si="137"/>
        <v>0.37496256364180891</v>
      </c>
      <c r="AM84" s="473">
        <f t="shared" si="137"/>
        <v>-0.13024475524475523</v>
      </c>
      <c r="AN84" s="473">
        <f t="shared" si="137"/>
        <v>-0.63650793650793647</v>
      </c>
      <c r="AO84" s="473">
        <f t="shared" si="137"/>
        <v>0.14924242424242423</v>
      </c>
      <c r="AP84" s="473">
        <f t="shared" si="137"/>
        <v>-5.7350565428109852E-2</v>
      </c>
      <c r="AQ84" s="473">
        <f t="shared" si="137"/>
        <v>-0.17703768624014024</v>
      </c>
      <c r="AR84" s="473">
        <f t="shared" si="137"/>
        <v>1.5740740740740739E-2</v>
      </c>
      <c r="AS84" s="473">
        <f t="shared" si="137"/>
        <v>0.44910179640718562</v>
      </c>
      <c r="AT84" s="486">
        <f t="shared" si="137"/>
        <v>0.31533042603153305</v>
      </c>
      <c r="AU84" s="2819">
        <f t="shared" si="137"/>
        <v>9.9072356215213361E-2</v>
      </c>
      <c r="AV84" s="473">
        <f t="shared" si="137"/>
        <v>0.25803446669771773</v>
      </c>
      <c r="AW84" s="473">
        <f t="shared" si="137"/>
        <v>0.44348975545274288</v>
      </c>
      <c r="AX84" s="486">
        <f t="shared" si="137"/>
        <v>0.35737219066436154</v>
      </c>
      <c r="AY84" s="2819">
        <f t="shared" si="137"/>
        <v>0.14875595553202753</v>
      </c>
      <c r="AZ84" s="3101">
        <f t="shared" si="137"/>
        <v>0.3297326986451849</v>
      </c>
      <c r="BA84" s="3101">
        <f t="shared" si="137"/>
        <v>0.4401307723743359</v>
      </c>
      <c r="BB84" s="3102">
        <f t="shared" si="137"/>
        <v>0.16095317725752509</v>
      </c>
      <c r="BC84" s="3101">
        <f t="shared" si="137"/>
        <v>0.21177802944507362</v>
      </c>
      <c r="BD84" s="3101">
        <f t="shared" si="137"/>
        <v>0.34067246970472775</v>
      </c>
      <c r="BE84" s="3101">
        <f t="shared" si="137"/>
        <v>0.41618714035526644</v>
      </c>
      <c r="BF84" s="3102">
        <f t="shared" si="137"/>
        <v>0.34657171169916229</v>
      </c>
      <c r="BG84" s="3101">
        <f t="shared" si="137"/>
        <v>0.25283494330113399</v>
      </c>
      <c r="BH84" s="3101">
        <f t="shared" si="137"/>
        <v>0.35363342159458666</v>
      </c>
      <c r="BI84" s="3101">
        <f t="shared" si="137"/>
        <v>0.40330817051509771</v>
      </c>
      <c r="BJ84" s="3101">
        <f t="shared" ref="BJ84:BK84" si="138">BJ82/BJ35</f>
        <v>0.3460387462592534</v>
      </c>
      <c r="BK84" s="3101">
        <f t="shared" si="138"/>
        <v>0.25524222704266086</v>
      </c>
      <c r="BL84" s="3515">
        <f>BL82/BL35</f>
        <v>0.3590859630032644</v>
      </c>
      <c r="BM84" s="3101"/>
      <c r="BN84" s="489">
        <f t="shared" ref="BN84:BV84" si="139">BN82/BN35</f>
        <v>0.30597510812731982</v>
      </c>
      <c r="BO84" s="489">
        <f t="shared" si="139"/>
        <v>0.38608653120197073</v>
      </c>
      <c r="BP84" s="489">
        <f t="shared" si="139"/>
        <v>0.39043669175851387</v>
      </c>
      <c r="BQ84" s="2819">
        <f t="shared" si="139"/>
        <v>0.37634408602150538</v>
      </c>
      <c r="BR84" s="489">
        <f t="shared" si="139"/>
        <v>-5.5326662742789877E-2</v>
      </c>
      <c r="BS84" s="489">
        <f t="shared" si="139"/>
        <v>0.26209162255886109</v>
      </c>
      <c r="BT84" s="489">
        <f t="shared" si="139"/>
        <v>0.32217671152720889</v>
      </c>
      <c r="BU84" s="489">
        <f t="shared" si="139"/>
        <v>0.29787034870114676</v>
      </c>
      <c r="BV84" s="3101">
        <f t="shared" si="139"/>
        <v>0.34348540376595477</v>
      </c>
      <c r="BW84" s="3101">
        <f t="shared" ref="BW84" si="140">BW82/BW35</f>
        <v>0.35063342868818964</v>
      </c>
    </row>
    <row r="85" spans="1:75" s="473" customFormat="1">
      <c r="A85" s="476"/>
      <c r="B85" s="444"/>
      <c r="C85" s="444"/>
      <c r="D85" s="444"/>
      <c r="E85" s="444"/>
      <c r="F85" s="211"/>
      <c r="G85" s="211"/>
      <c r="H85" s="211"/>
      <c r="I85" s="211"/>
      <c r="J85" s="211"/>
      <c r="K85" s="211"/>
      <c r="L85" s="211"/>
      <c r="M85" s="211"/>
      <c r="N85" s="211"/>
      <c r="O85" s="211"/>
      <c r="P85" s="211"/>
      <c r="Q85" s="211"/>
      <c r="R85" s="211"/>
      <c r="S85" s="211"/>
      <c r="T85" s="211"/>
      <c r="U85" s="211"/>
      <c r="V85" s="446"/>
      <c r="W85" s="211"/>
      <c r="Z85" s="486"/>
      <c r="AD85" s="486"/>
      <c r="AH85" s="486"/>
      <c r="AK85" s="473">
        <f>AK86*1.15</f>
        <v>2854.2999999999997</v>
      </c>
      <c r="AL85" s="1566"/>
      <c r="AM85" s="1565"/>
      <c r="AN85" s="1565"/>
      <c r="AO85" s="1565"/>
      <c r="AP85" s="1565"/>
      <c r="AQ85" s="1565"/>
      <c r="AR85" s="1565"/>
      <c r="AS85" s="1565"/>
      <c r="AT85" s="1566"/>
      <c r="AU85" s="2823"/>
      <c r="AV85" s="1565"/>
      <c r="AW85" s="1565"/>
      <c r="AX85" s="1566"/>
      <c r="AY85" s="2823"/>
      <c r="AZ85" s="3113"/>
      <c r="BA85" s="3113"/>
      <c r="BB85" s="3114"/>
      <c r="BC85" s="3113"/>
      <c r="BD85" s="3113"/>
      <c r="BE85" s="3113"/>
      <c r="BF85" s="3114"/>
      <c r="BG85" s="3113"/>
      <c r="BH85" s="3113"/>
      <c r="BI85" s="3113"/>
      <c r="BJ85" s="3113"/>
      <c r="BK85" s="3113"/>
      <c r="BL85" s="3113"/>
      <c r="BM85" s="3114"/>
      <c r="BN85" s="489"/>
      <c r="BO85" s="489"/>
      <c r="BP85" s="489"/>
      <c r="BR85" s="489"/>
      <c r="BS85" s="489"/>
      <c r="BT85" s="489"/>
    </row>
    <row r="86" spans="1:75" s="1795" customFormat="1">
      <c r="A86" s="3250" t="s">
        <v>2832</v>
      </c>
      <c r="B86" s="3251"/>
      <c r="C86" s="3251"/>
      <c r="D86" s="3251"/>
      <c r="E86" s="3251"/>
      <c r="F86" s="3252"/>
      <c r="G86" s="3252"/>
      <c r="H86" s="3252"/>
      <c r="I86" s="3252"/>
      <c r="J86" s="3252"/>
      <c r="K86" s="3252"/>
      <c r="L86" s="3252"/>
      <c r="M86" s="3252"/>
      <c r="N86" s="3252"/>
      <c r="O86" s="3252"/>
      <c r="P86" s="3252"/>
      <c r="Q86" s="3253">
        <v>3464.3829999999998</v>
      </c>
      <c r="R86" s="3253">
        <v>531.73500000000001</v>
      </c>
      <c r="S86" s="3253">
        <v>804.72500000000002</v>
      </c>
      <c r="T86" s="3253">
        <v>1596.597</v>
      </c>
      <c r="U86" s="3253">
        <v>789.596</v>
      </c>
      <c r="V86" s="3254">
        <v>3722.6529999999998</v>
      </c>
      <c r="W86" s="3255">
        <v>676.26099999999997</v>
      </c>
      <c r="X86" s="3253">
        <v>867.09199999999998</v>
      </c>
      <c r="Y86" s="3253">
        <v>1848.241</v>
      </c>
      <c r="Z86" s="3254">
        <v>868.61699999999996</v>
      </c>
      <c r="AA86" s="3255">
        <v>634.76499999999999</v>
      </c>
      <c r="AB86" s="3255">
        <v>974.13699999999994</v>
      </c>
      <c r="AC86" s="3255">
        <v>2187.6759999999999</v>
      </c>
      <c r="AD86" s="3256">
        <v>1070.654</v>
      </c>
      <c r="AE86" s="3255">
        <v>798.20500000000004</v>
      </c>
      <c r="AF86" s="3255">
        <v>1312.875</v>
      </c>
      <c r="AG86" s="3255">
        <v>2360.2750000000001</v>
      </c>
      <c r="AH86" s="3256">
        <v>1257</v>
      </c>
      <c r="AI86" s="3255">
        <v>718</v>
      </c>
      <c r="AJ86" s="3255">
        <v>1373</v>
      </c>
      <c r="AK86" s="3255">
        <v>2482</v>
      </c>
      <c r="AL86" s="3256">
        <v>1282</v>
      </c>
      <c r="AM86" s="3255">
        <v>290</v>
      </c>
      <c r="AN86" s="3255">
        <v>-376</v>
      </c>
      <c r="AO86" s="3255">
        <v>1003</v>
      </c>
      <c r="AP86" s="3255">
        <v>-38</v>
      </c>
      <c r="AQ86" s="3255">
        <v>-195</v>
      </c>
      <c r="AR86" s="3255">
        <v>48</v>
      </c>
      <c r="AS86" s="3255">
        <v>2111</v>
      </c>
      <c r="AT86" s="3256">
        <v>940</v>
      </c>
      <c r="AU86" s="3257">
        <v>310</v>
      </c>
      <c r="AV86" s="3255">
        <v>1086</v>
      </c>
      <c r="AW86" s="3255">
        <v>2658</v>
      </c>
      <c r="AX86" s="3256">
        <v>1241</v>
      </c>
      <c r="AY86" s="3257">
        <v>586</v>
      </c>
      <c r="AZ86" s="3258">
        <v>1778</v>
      </c>
      <c r="BA86" s="3258">
        <v>3284</v>
      </c>
      <c r="BB86" s="3271">
        <v>1464</v>
      </c>
      <c r="BC86" s="3258">
        <v>898</v>
      </c>
      <c r="BD86" s="3258">
        <v>1895</v>
      </c>
      <c r="BE86" s="3258">
        <v>3665</v>
      </c>
      <c r="BF86" s="3271">
        <v>1848</v>
      </c>
      <c r="BG86" s="3258">
        <v>1088</v>
      </c>
      <c r="BH86" s="3258">
        <v>2423</v>
      </c>
      <c r="BI86" s="3258">
        <v>4231</v>
      </c>
      <c r="BJ86" s="3258">
        <v>2195</v>
      </c>
      <c r="BK86" s="3258">
        <v>1290</v>
      </c>
      <c r="BL86" s="3258">
        <v>2648</v>
      </c>
      <c r="BM86" s="3115"/>
      <c r="BN86" s="1789">
        <f>SUM(W86:Z86)</f>
        <v>4260.2110000000002</v>
      </c>
      <c r="BO86" s="1789">
        <f>SUM(AA86:AD86)</f>
        <v>4867.232</v>
      </c>
      <c r="BP86" s="1789">
        <f>SUM(AE86:AH86)</f>
        <v>5728.3549999999996</v>
      </c>
      <c r="BQ86" s="2839">
        <f>SUM(AI86:AL86)</f>
        <v>5855</v>
      </c>
      <c r="BR86" s="1789">
        <v>879</v>
      </c>
      <c r="BS86" s="1769">
        <f>SUM(AQ86:AT86)</f>
        <v>2904</v>
      </c>
      <c r="BT86" s="1769">
        <f>SUM(AU86:AX86)</f>
        <v>5295</v>
      </c>
      <c r="BU86" s="1769">
        <v>7112</v>
      </c>
      <c r="BV86" s="1769">
        <v>8306</v>
      </c>
      <c r="BW86" s="1764">
        <f>SUM(BG86:BJ86)</f>
        <v>9937</v>
      </c>
    </row>
    <row r="87" spans="1:75" s="1020" customFormat="1" ht="12">
      <c r="A87" s="1757" t="s">
        <v>1412</v>
      </c>
      <c r="B87" s="1019"/>
      <c r="C87" s="1019"/>
      <c r="D87" s="1019"/>
      <c r="E87" s="1019"/>
      <c r="V87" s="223"/>
      <c r="W87" s="987">
        <f>W86/R86-1</f>
        <v>0.27180080303158527</v>
      </c>
      <c r="X87" s="987">
        <f>X86/S86-1</f>
        <v>7.7501009661685716E-2</v>
      </c>
      <c r="Y87" s="987">
        <f>Y86/T86-1</f>
        <v>0.15761272255929337</v>
      </c>
      <c r="Z87" s="468">
        <f>Z86/U86-1</f>
        <v>0.10007776128551815</v>
      </c>
      <c r="AA87" s="987">
        <f t="shared" ref="AA87:AG87" si="141">AA86/W86-1</f>
        <v>-6.1360924258533345E-2</v>
      </c>
      <c r="AB87" s="987">
        <f t="shared" si="141"/>
        <v>0.12345287466612542</v>
      </c>
      <c r="AC87" s="987">
        <f t="shared" si="141"/>
        <v>0.18365299763396647</v>
      </c>
      <c r="AD87" s="468">
        <f t="shared" si="141"/>
        <v>0.23259618450939823</v>
      </c>
      <c r="AE87" s="987">
        <f t="shared" si="141"/>
        <v>0.25748111505832871</v>
      </c>
      <c r="AF87" s="987">
        <f t="shared" si="141"/>
        <v>0.34773137659282027</v>
      </c>
      <c r="AG87" s="987">
        <f t="shared" si="141"/>
        <v>7.8896052249053383E-2</v>
      </c>
      <c r="AH87" s="468">
        <f>AH86/AD86-1</f>
        <v>0.17404875898282723</v>
      </c>
      <c r="AI87" s="987">
        <f>AI86/AE86-1</f>
        <v>-0.10048170582745042</v>
      </c>
      <c r="AJ87" s="987">
        <f>AJ86/AF86-1</f>
        <v>4.5796439112634424E-2</v>
      </c>
      <c r="AK87" s="987">
        <f>AK86/AG86-1</f>
        <v>5.1572380337036927E-2</v>
      </c>
      <c r="AL87" s="468">
        <f>AL86/AH86-1</f>
        <v>1.9888623707239539E-2</v>
      </c>
      <c r="AM87" s="987">
        <f t="shared" ref="AM87:AS87" si="142">AM86/AI86-1</f>
        <v>-0.59610027855153203</v>
      </c>
      <c r="AN87" s="987">
        <f t="shared" si="142"/>
        <v>-1.2738528769118718</v>
      </c>
      <c r="AO87" s="987">
        <f t="shared" si="142"/>
        <v>-0.59589041095890405</v>
      </c>
      <c r="AP87" s="987">
        <f t="shared" si="142"/>
        <v>-1.0296411856474259</v>
      </c>
      <c r="AQ87" s="987">
        <f t="shared" si="142"/>
        <v>-1.6724137931034484</v>
      </c>
      <c r="AR87" s="987">
        <f t="shared" si="142"/>
        <v>-1.1276595744680851</v>
      </c>
      <c r="AS87" s="987">
        <f t="shared" si="142"/>
        <v>1.1046859421734796</v>
      </c>
      <c r="AT87" s="468"/>
      <c r="AU87" s="2820"/>
      <c r="AV87" s="987"/>
      <c r="AW87" s="987"/>
      <c r="AX87" s="468"/>
      <c r="AY87" s="2820"/>
      <c r="AZ87" s="1511"/>
      <c r="BA87" s="1511"/>
      <c r="BB87" s="224"/>
      <c r="BC87" s="1511"/>
      <c r="BD87" s="1511"/>
      <c r="BE87" s="1511"/>
      <c r="BF87" s="224"/>
      <c r="BG87" s="1511"/>
      <c r="BH87" s="1511"/>
      <c r="BI87" s="1511"/>
      <c r="BJ87" s="1511"/>
      <c r="BK87" s="1511"/>
      <c r="BL87" s="1511"/>
      <c r="BM87" s="224"/>
      <c r="BN87" s="1014">
        <f>BN86/V86-1</f>
        <v>0.1444018553434876</v>
      </c>
      <c r="BO87" s="1014">
        <f t="shared" ref="BO87:BW87" si="143">BO86/BN86-1</f>
        <v>0.14248613507640817</v>
      </c>
      <c r="BP87" s="1014">
        <f t="shared" si="143"/>
        <v>0.17692253009513403</v>
      </c>
      <c r="BQ87" s="2820">
        <f t="shared" si="143"/>
        <v>2.2108441254077293E-2</v>
      </c>
      <c r="BR87" s="1014">
        <f t="shared" si="143"/>
        <v>-0.84987190435525195</v>
      </c>
      <c r="BS87" s="1014">
        <f t="shared" si="143"/>
        <v>2.303754266211604</v>
      </c>
      <c r="BT87" s="1014">
        <f t="shared" si="143"/>
        <v>0.82334710743801653</v>
      </c>
      <c r="BU87" s="1014">
        <f t="shared" si="143"/>
        <v>0.34315391879131263</v>
      </c>
      <c r="BV87" s="1014">
        <f t="shared" si="143"/>
        <v>0.16788526434195727</v>
      </c>
      <c r="BW87" s="1014">
        <f t="shared" si="143"/>
        <v>0.19636407416325552</v>
      </c>
    </row>
    <row r="88" spans="1:75" s="211" customFormat="1">
      <c r="A88" s="70" t="s">
        <v>1962</v>
      </c>
      <c r="B88" s="3259"/>
      <c r="C88" s="3259"/>
      <c r="D88" s="3259"/>
      <c r="E88" s="3259"/>
      <c r="F88" s="82"/>
      <c r="G88" s="82"/>
      <c r="H88" s="82"/>
      <c r="I88" s="82"/>
      <c r="J88" s="82"/>
      <c r="K88" s="82"/>
      <c r="L88" s="82"/>
      <c r="M88" s="82"/>
      <c r="N88" s="82"/>
      <c r="O88" s="82"/>
      <c r="P88" s="82"/>
      <c r="Q88" s="82"/>
      <c r="R88" s="82"/>
      <c r="S88" s="82"/>
      <c r="T88" s="82"/>
      <c r="U88" s="82"/>
      <c r="V88" s="1513"/>
      <c r="W88" s="82">
        <f t="shared" ref="W88:BC88" si="144">W86/W35</f>
        <v>0.33487385179132928</v>
      </c>
      <c r="X88" s="82">
        <f t="shared" si="144"/>
        <v>0.35685471092896665</v>
      </c>
      <c r="Y88" s="82">
        <f t="shared" si="144"/>
        <v>0.51496476935623581</v>
      </c>
      <c r="Z88" s="1513">
        <f t="shared" si="144"/>
        <v>0.38158139240656469</v>
      </c>
      <c r="AA88" s="82">
        <f t="shared" si="144"/>
        <v>0.27193705860806644</v>
      </c>
      <c r="AB88" s="82">
        <f t="shared" si="144"/>
        <v>0.33001300217425622</v>
      </c>
      <c r="AC88" s="82">
        <f t="shared" si="144"/>
        <v>0.50009132361637854</v>
      </c>
      <c r="AD88" s="1513">
        <f t="shared" si="144"/>
        <v>0.38652564330746159</v>
      </c>
      <c r="AE88" s="82">
        <f t="shared" si="144"/>
        <v>0.27259228447773909</v>
      </c>
      <c r="AF88" s="82">
        <f t="shared" si="144"/>
        <v>0.37117334173194155</v>
      </c>
      <c r="AG88" s="82">
        <f t="shared" si="144"/>
        <v>0.48675500103114044</v>
      </c>
      <c r="AH88" s="1513">
        <f t="shared" si="144"/>
        <v>0.39122315592903828</v>
      </c>
      <c r="AI88" s="82">
        <f t="shared" si="144"/>
        <v>0.25308424391963341</v>
      </c>
      <c r="AJ88" s="82">
        <f t="shared" si="144"/>
        <v>0.35662337662337662</v>
      </c>
      <c r="AK88" s="82">
        <f t="shared" si="144"/>
        <v>0.49246031746031749</v>
      </c>
      <c r="AL88" s="1513">
        <f t="shared" si="144"/>
        <v>0.38394728960766694</v>
      </c>
      <c r="AM88" s="82">
        <f t="shared" si="144"/>
        <v>0.12674825174825174</v>
      </c>
      <c r="AN88" s="82">
        <f t="shared" si="144"/>
        <v>-0.59682539682539681</v>
      </c>
      <c r="AO88" s="82">
        <f t="shared" si="144"/>
        <v>0.37992424242424244</v>
      </c>
      <c r="AP88" s="82">
        <f t="shared" si="144"/>
        <v>-3.0694668820678513E-2</v>
      </c>
      <c r="AQ88" s="82">
        <f t="shared" si="144"/>
        <v>-0.17090271691498685</v>
      </c>
      <c r="AR88" s="82">
        <f t="shared" si="144"/>
        <v>2.2222222222222223E-2</v>
      </c>
      <c r="AS88" s="82">
        <f t="shared" si="144"/>
        <v>0.45145423438836613</v>
      </c>
      <c r="AT88" s="1513">
        <f t="shared" si="144"/>
        <v>0.31533042603153305</v>
      </c>
      <c r="AU88" s="115">
        <f t="shared" si="144"/>
        <v>0.11502782931354361</v>
      </c>
      <c r="AV88" s="82">
        <f t="shared" si="144"/>
        <v>0.25291103865859338</v>
      </c>
      <c r="AW88" s="82">
        <f t="shared" si="144"/>
        <v>0.43919365499008595</v>
      </c>
      <c r="AX88" s="1513">
        <f t="shared" si="144"/>
        <v>0.30649543097061005</v>
      </c>
      <c r="AY88" s="115">
        <f t="shared" si="144"/>
        <v>0.15510852302805717</v>
      </c>
      <c r="AZ88" s="82">
        <f t="shared" si="144"/>
        <v>0.32552178689124861</v>
      </c>
      <c r="BA88" s="82">
        <f t="shared" si="144"/>
        <v>0.44735049720746495</v>
      </c>
      <c r="BB88" s="1513">
        <f t="shared" si="144"/>
        <v>0.30602006688963213</v>
      </c>
      <c r="BC88" s="82">
        <f t="shared" si="144"/>
        <v>0.20339750849377122</v>
      </c>
      <c r="BD88" s="82">
        <v>0.32400000000000001</v>
      </c>
      <c r="BE88" s="82">
        <v>0.45800000000000002</v>
      </c>
      <c r="BF88" s="1513">
        <f>BF86/BF35</f>
        <v>0.3377721613370484</v>
      </c>
      <c r="BG88" s="82">
        <v>0.22900000000000001</v>
      </c>
      <c r="BH88" s="82">
        <v>0.35599999999999998</v>
      </c>
      <c r="BI88" s="82">
        <v>0.47</v>
      </c>
      <c r="BJ88" s="82">
        <v>0.34599999999999997</v>
      </c>
      <c r="BK88" s="82">
        <v>0.23300000000000001</v>
      </c>
      <c r="BL88" s="3511">
        <v>0.36</v>
      </c>
      <c r="BM88" s="82"/>
      <c r="BN88" s="451">
        <f t="shared" ref="BN88:BU88" si="145">BN86/BN35</f>
        <v>0.41302357840641296</v>
      </c>
      <c r="BO88" s="451">
        <f t="shared" si="145"/>
        <v>0.39155419171082201</v>
      </c>
      <c r="BP88" s="451">
        <f t="shared" si="145"/>
        <v>0.39431669832546251</v>
      </c>
      <c r="BQ88" s="447">
        <f t="shared" si="145"/>
        <v>0.38862339041550509</v>
      </c>
      <c r="BR88" s="451">
        <f t="shared" si="145"/>
        <v>0.12934078869923485</v>
      </c>
      <c r="BS88" s="451">
        <f t="shared" si="145"/>
        <v>0.26501186347873701</v>
      </c>
      <c r="BT88" s="451">
        <f t="shared" si="145"/>
        <v>0.30983031012287887</v>
      </c>
      <c r="BU88" s="451">
        <f t="shared" si="145"/>
        <v>0.33288087994383336</v>
      </c>
      <c r="BV88" s="451">
        <f>BV86/BV30</f>
        <v>0.34988836935001472</v>
      </c>
      <c r="BW88" s="451">
        <f>BW86/BW30</f>
        <v>0.36917189880001489</v>
      </c>
    </row>
    <row r="89" spans="1:75" s="2023" customFormat="1">
      <c r="A89" s="476" t="s">
        <v>2043</v>
      </c>
      <c r="B89" s="1472"/>
      <c r="C89" s="1472"/>
      <c r="D89" s="1472"/>
      <c r="E89" s="1472"/>
      <c r="F89" s="1468"/>
      <c r="G89" s="1468"/>
      <c r="H89" s="1468"/>
      <c r="I89" s="1468"/>
      <c r="J89" s="1468"/>
      <c r="K89" s="1468"/>
      <c r="L89" s="1468"/>
      <c r="M89" s="1468"/>
      <c r="N89" s="1468"/>
      <c r="O89" s="1468"/>
      <c r="P89" s="1468"/>
      <c r="Q89" s="1475">
        <v>207.82</v>
      </c>
      <c r="R89" s="1475">
        <v>65.001999999999995</v>
      </c>
      <c r="S89" s="1475">
        <v>67.674000000000007</v>
      </c>
      <c r="T89" s="1475">
        <v>69.054000000000002</v>
      </c>
      <c r="U89" s="1475">
        <v>70.763999999999996</v>
      </c>
      <c r="V89" s="1476">
        <v>272.49400000000003</v>
      </c>
      <c r="W89" s="1466">
        <v>72</v>
      </c>
      <c r="X89" s="1475">
        <v>77.712000000000003</v>
      </c>
      <c r="Y89" s="1475">
        <v>78.745000000000005</v>
      </c>
      <c r="Z89" s="1476">
        <v>79.807000000000002</v>
      </c>
      <c r="AA89" s="1466">
        <v>83.43</v>
      </c>
      <c r="AB89" s="1466">
        <v>85.872</v>
      </c>
      <c r="AC89" s="1466">
        <v>95.91</v>
      </c>
      <c r="AD89" s="1478">
        <v>97.561999999999998</v>
      </c>
      <c r="AE89" s="1466">
        <v>103.09</v>
      </c>
      <c r="AF89" s="1466">
        <v>106.666</v>
      </c>
      <c r="AG89" s="1466">
        <v>107.64100000000001</v>
      </c>
      <c r="AH89" s="1478">
        <v>109</v>
      </c>
      <c r="AI89" s="1466">
        <v>116</v>
      </c>
      <c r="AJ89" s="1466">
        <v>119</v>
      </c>
      <c r="AK89" s="1466">
        <v>117</v>
      </c>
      <c r="AL89" s="1478">
        <v>117</v>
      </c>
      <c r="AM89" s="1466">
        <v>117</v>
      </c>
      <c r="AN89" s="1466">
        <v>112</v>
      </c>
      <c r="AO89" s="1466">
        <v>115</v>
      </c>
      <c r="AP89" s="1466">
        <v>114</v>
      </c>
      <c r="AQ89" s="1466">
        <v>113</v>
      </c>
      <c r="AR89" s="1466">
        <v>108</v>
      </c>
      <c r="AS89" s="1466">
        <v>102</v>
      </c>
      <c r="AT89" s="1478">
        <f>AT65</f>
        <v>98</v>
      </c>
      <c r="AU89" s="2825">
        <v>111</v>
      </c>
      <c r="AV89" s="1466">
        <v>107</v>
      </c>
      <c r="AW89" s="1466">
        <v>109</v>
      </c>
      <c r="AX89" s="1478">
        <v>124</v>
      </c>
      <c r="AY89" s="2825">
        <v>120</v>
      </c>
      <c r="AZ89" s="3216">
        <v>121</v>
      </c>
      <c r="BA89" s="3216">
        <v>129</v>
      </c>
      <c r="BB89" s="3116">
        <v>134</v>
      </c>
      <c r="BC89" s="3216">
        <v>137</v>
      </c>
      <c r="BD89" s="3216">
        <v>142</v>
      </c>
      <c r="BE89" s="3216">
        <f>BE65</f>
        <v>155</v>
      </c>
      <c r="BF89" s="3116">
        <f>BF65</f>
        <v>157</v>
      </c>
      <c r="BG89" s="3216">
        <v>154</v>
      </c>
      <c r="BH89" s="3216">
        <v>158</v>
      </c>
      <c r="BI89" s="3216">
        <v>160</v>
      </c>
      <c r="BJ89" s="3216">
        <v>151</v>
      </c>
      <c r="BK89" s="3216">
        <v>131</v>
      </c>
      <c r="BL89" s="3216">
        <v>129</v>
      </c>
      <c r="BM89" s="3116"/>
      <c r="BN89" s="1477">
        <f>SUM(W89:Z89)</f>
        <v>308.26400000000001</v>
      </c>
      <c r="BO89" s="1477">
        <f>SUM(AA89:AD89)</f>
        <v>362.774</v>
      </c>
      <c r="BP89" s="1477">
        <f>SUM(AE89:AH89)</f>
        <v>426.39699999999999</v>
      </c>
      <c r="BQ89" s="1541">
        <f>SUM(AI89:AL89)</f>
        <v>469</v>
      </c>
      <c r="BR89" s="1477">
        <v>458</v>
      </c>
      <c r="BS89" s="1769">
        <f>SUM(AQ89:AT89)</f>
        <v>421</v>
      </c>
      <c r="BT89" s="1769">
        <f>SUM(AU89:AX89)</f>
        <v>451</v>
      </c>
      <c r="BU89" s="1769">
        <v>504</v>
      </c>
      <c r="BV89" s="1769">
        <v>591</v>
      </c>
      <c r="BW89" s="1764">
        <v>623</v>
      </c>
    </row>
    <row r="90" spans="1:75" s="473" customFormat="1">
      <c r="A90" s="476"/>
      <c r="B90" s="444"/>
      <c r="C90" s="444"/>
      <c r="D90" s="444"/>
      <c r="E90" s="444"/>
      <c r="F90" s="211"/>
      <c r="G90" s="211"/>
      <c r="H90" s="211"/>
      <c r="I90" s="211"/>
      <c r="J90" s="211"/>
      <c r="K90" s="211"/>
      <c r="L90" s="211"/>
      <c r="M90" s="211"/>
      <c r="N90" s="211"/>
      <c r="O90" s="211"/>
      <c r="P90" s="211"/>
      <c r="Q90" s="424"/>
      <c r="R90" s="424"/>
      <c r="S90" s="424"/>
      <c r="T90" s="424"/>
      <c r="U90" s="424"/>
      <c r="V90" s="425"/>
      <c r="W90" s="376"/>
      <c r="X90" s="424"/>
      <c r="Y90" s="424"/>
      <c r="Z90" s="425"/>
      <c r="AA90" s="376"/>
      <c r="AB90" s="376"/>
      <c r="AC90" s="376"/>
      <c r="AD90" s="829"/>
      <c r="AE90" s="376"/>
      <c r="AF90" s="376"/>
      <c r="AG90" s="376"/>
      <c r="AH90" s="829"/>
      <c r="AI90" s="376"/>
      <c r="AJ90" s="376"/>
      <c r="AL90" s="486"/>
      <c r="AS90" s="2993"/>
      <c r="AT90" s="2994"/>
      <c r="AU90" s="2819"/>
      <c r="AX90" s="486"/>
      <c r="AY90" s="2819"/>
      <c r="AZ90" s="3101"/>
      <c r="BA90" s="3101"/>
      <c r="BB90" s="3102"/>
      <c r="BC90" s="3101"/>
      <c r="BD90" s="3101"/>
      <c r="BE90" s="3101"/>
      <c r="BF90" s="3102"/>
      <c r="BG90" s="3101"/>
      <c r="BH90" s="3101"/>
      <c r="BI90" s="3101"/>
      <c r="BJ90" s="3101"/>
      <c r="BK90" s="3101"/>
      <c r="BL90" s="3101"/>
      <c r="BM90" s="3102"/>
      <c r="BN90" s="442"/>
      <c r="BO90" s="442"/>
      <c r="BP90" s="442"/>
      <c r="BR90" s="489"/>
      <c r="BS90" s="489"/>
      <c r="BT90" s="489"/>
    </row>
    <row r="91" spans="1:75" s="473" customFormat="1">
      <c r="A91" s="476" t="s">
        <v>1119</v>
      </c>
      <c r="B91" s="444"/>
      <c r="C91" s="444"/>
      <c r="D91" s="444"/>
      <c r="E91" s="444"/>
      <c r="F91" s="211"/>
      <c r="G91" s="211"/>
      <c r="H91" s="211"/>
      <c r="I91" s="211"/>
      <c r="J91" s="211"/>
      <c r="K91" s="211"/>
      <c r="L91" s="211"/>
      <c r="M91" s="211"/>
      <c r="N91" s="211"/>
      <c r="O91" s="211"/>
      <c r="P91" s="211"/>
      <c r="Q91" s="424">
        <f t="shared" ref="Q91:AH91" si="146">Q86-Q89</f>
        <v>3256.5629999999996</v>
      </c>
      <c r="R91" s="424">
        <f t="shared" si="146"/>
        <v>466.733</v>
      </c>
      <c r="S91" s="424">
        <f t="shared" si="146"/>
        <v>737.05100000000004</v>
      </c>
      <c r="T91" s="424">
        <f t="shared" si="146"/>
        <v>1527.5429999999999</v>
      </c>
      <c r="U91" s="424">
        <f t="shared" si="146"/>
        <v>718.83199999999999</v>
      </c>
      <c r="V91" s="425">
        <f t="shared" si="146"/>
        <v>3450.1589999999997</v>
      </c>
      <c r="W91" s="424">
        <f t="shared" si="146"/>
        <v>604.26099999999997</v>
      </c>
      <c r="X91" s="424">
        <f t="shared" si="146"/>
        <v>789.38</v>
      </c>
      <c r="Y91" s="424">
        <f t="shared" si="146"/>
        <v>1769.4960000000001</v>
      </c>
      <c r="Z91" s="425">
        <f t="shared" si="146"/>
        <v>788.81</v>
      </c>
      <c r="AA91" s="424">
        <f t="shared" si="146"/>
        <v>551.33500000000004</v>
      </c>
      <c r="AB91" s="376">
        <f t="shared" si="146"/>
        <v>888.26499999999999</v>
      </c>
      <c r="AC91" s="376">
        <f t="shared" si="146"/>
        <v>2091.7660000000001</v>
      </c>
      <c r="AD91" s="829">
        <f t="shared" si="146"/>
        <v>973.09199999999998</v>
      </c>
      <c r="AE91" s="424">
        <f t="shared" si="146"/>
        <v>695.11500000000001</v>
      </c>
      <c r="AF91" s="424">
        <f t="shared" si="146"/>
        <v>1206.2090000000001</v>
      </c>
      <c r="AG91" s="424">
        <f t="shared" si="146"/>
        <v>2252.634</v>
      </c>
      <c r="AH91" s="425">
        <f t="shared" si="146"/>
        <v>1148</v>
      </c>
      <c r="AI91" s="424">
        <f t="shared" ref="AI91:AX91" si="147">AI86-AI89</f>
        <v>602</v>
      </c>
      <c r="AJ91" s="424">
        <f t="shared" si="147"/>
        <v>1254</v>
      </c>
      <c r="AK91" s="424">
        <f t="shared" si="147"/>
        <v>2365</v>
      </c>
      <c r="AL91" s="425">
        <f t="shared" si="147"/>
        <v>1165</v>
      </c>
      <c r="AM91" s="424">
        <f t="shared" si="147"/>
        <v>173</v>
      </c>
      <c r="AN91" s="424">
        <f t="shared" si="147"/>
        <v>-488</v>
      </c>
      <c r="AO91" s="424">
        <f t="shared" si="147"/>
        <v>888</v>
      </c>
      <c r="AP91" s="424">
        <f t="shared" si="147"/>
        <v>-152</v>
      </c>
      <c r="AQ91" s="424">
        <f t="shared" si="147"/>
        <v>-308</v>
      </c>
      <c r="AR91" s="424">
        <f t="shared" si="147"/>
        <v>-60</v>
      </c>
      <c r="AS91" s="424">
        <f t="shared" si="147"/>
        <v>2009</v>
      </c>
      <c r="AT91" s="425">
        <f t="shared" si="147"/>
        <v>842</v>
      </c>
      <c r="AU91" s="423">
        <f t="shared" si="147"/>
        <v>199</v>
      </c>
      <c r="AV91" s="424">
        <f t="shared" si="147"/>
        <v>979</v>
      </c>
      <c r="AW91" s="424">
        <f t="shared" si="147"/>
        <v>2549</v>
      </c>
      <c r="AX91" s="425">
        <f t="shared" si="147"/>
        <v>1117</v>
      </c>
      <c r="AY91" s="423">
        <f t="shared" ref="AY91:BD91" si="148">AY86-AY89</f>
        <v>466</v>
      </c>
      <c r="AZ91" s="217">
        <f t="shared" si="148"/>
        <v>1657</v>
      </c>
      <c r="BA91" s="217">
        <f t="shared" si="148"/>
        <v>3155</v>
      </c>
      <c r="BB91" s="3106">
        <f t="shared" si="148"/>
        <v>1330</v>
      </c>
      <c r="BC91" s="217">
        <f t="shared" si="148"/>
        <v>761</v>
      </c>
      <c r="BD91" s="217">
        <f t="shared" si="148"/>
        <v>1753</v>
      </c>
      <c r="BE91" s="217">
        <f t="shared" ref="BE91:BK91" si="149">BE86-BE89</f>
        <v>3510</v>
      </c>
      <c r="BF91" s="3106">
        <f t="shared" si="149"/>
        <v>1691</v>
      </c>
      <c r="BG91" s="217">
        <f t="shared" si="149"/>
        <v>934</v>
      </c>
      <c r="BH91" s="3109">
        <f t="shared" si="149"/>
        <v>2265</v>
      </c>
      <c r="BI91" s="3109">
        <f t="shared" si="149"/>
        <v>4071</v>
      </c>
      <c r="BJ91" s="3109">
        <f t="shared" si="149"/>
        <v>2044</v>
      </c>
      <c r="BK91" s="3109">
        <f t="shared" si="149"/>
        <v>1159</v>
      </c>
      <c r="BL91" s="3509">
        <f>BL86-BL89</f>
        <v>2519</v>
      </c>
      <c r="BM91" s="217"/>
      <c r="BN91" s="442">
        <f>BN86-BN89</f>
        <v>3951.9470000000001</v>
      </c>
      <c r="BO91" s="442">
        <f>BO86-BO89</f>
        <v>4504.4579999999996</v>
      </c>
      <c r="BP91" s="442">
        <f>SUM(AE91:AH91)</f>
        <v>5301.9580000000005</v>
      </c>
      <c r="BQ91" s="423">
        <f>SUM(AI91:AL91)</f>
        <v>5386</v>
      </c>
      <c r="BR91" s="442">
        <f>SUM(AM91:AP91)</f>
        <v>421</v>
      </c>
      <c r="BS91" s="1769">
        <f>SUM(AQ91:AT91)</f>
        <v>2483</v>
      </c>
      <c r="BT91" s="1769">
        <f>SUM(AU91:AX91)</f>
        <v>4844</v>
      </c>
      <c r="BU91" s="1769">
        <f>SUM(AY91:BB91)</f>
        <v>6608</v>
      </c>
      <c r="BV91" s="1769">
        <f>SUM(BC91:BF91)</f>
        <v>7715</v>
      </c>
      <c r="BW91" s="1764">
        <f>SUM(BG91:BJ91)</f>
        <v>9314</v>
      </c>
    </row>
    <row r="92" spans="1:75" s="473" customFormat="1">
      <c r="A92" s="476" t="s">
        <v>1120</v>
      </c>
      <c r="B92" s="444"/>
      <c r="C92" s="444"/>
      <c r="D92" s="444"/>
      <c r="E92" s="444"/>
      <c r="F92" s="211"/>
      <c r="G92" s="211"/>
      <c r="H92" s="211"/>
      <c r="I92" s="211"/>
      <c r="J92" s="211"/>
      <c r="K92" s="211"/>
      <c r="L92" s="211"/>
      <c r="M92" s="211"/>
      <c r="N92" s="211"/>
      <c r="O92" s="211"/>
      <c r="P92" s="211"/>
      <c r="Q92" s="211">
        <f t="shared" ref="Q92:BK92" si="150">Q91/Q35</f>
        <v>0.42939176939213852</v>
      </c>
      <c r="R92" s="211">
        <f t="shared" si="150"/>
        <v>0.27910713559569339</v>
      </c>
      <c r="S92" s="211">
        <f t="shared" si="150"/>
        <v>0.3521663180286167</v>
      </c>
      <c r="T92" s="211">
        <f t="shared" si="150"/>
        <v>0.5182887148226738</v>
      </c>
      <c r="U92" s="211">
        <f t="shared" si="150"/>
        <v>0.38248297446555596</v>
      </c>
      <c r="V92" s="446">
        <f t="shared" si="150"/>
        <v>0.40156383866630146</v>
      </c>
      <c r="W92" s="211">
        <f t="shared" si="150"/>
        <v>0.29922057986085315</v>
      </c>
      <c r="X92" s="211">
        <f t="shared" si="150"/>
        <v>0.32487206860760764</v>
      </c>
      <c r="Y92" s="211">
        <f t="shared" si="150"/>
        <v>0.49302450249549812</v>
      </c>
      <c r="Z92" s="446">
        <f t="shared" si="150"/>
        <v>0.34652236618005666</v>
      </c>
      <c r="AA92" s="473">
        <f t="shared" si="150"/>
        <v>0.23619515601471147</v>
      </c>
      <c r="AB92" s="473">
        <f t="shared" si="150"/>
        <v>0.30092173829380847</v>
      </c>
      <c r="AC92" s="473">
        <f t="shared" si="150"/>
        <v>0.47816679784197375</v>
      </c>
      <c r="AD92" s="486">
        <f t="shared" si="150"/>
        <v>0.35130397990139151</v>
      </c>
      <c r="AE92" s="473">
        <f t="shared" si="150"/>
        <v>0.23738636794400383</v>
      </c>
      <c r="AF92" s="473">
        <f t="shared" si="150"/>
        <v>0.34101694781083003</v>
      </c>
      <c r="AG92" s="473">
        <f t="shared" si="150"/>
        <v>0.46455640338214066</v>
      </c>
      <c r="AH92" s="486">
        <f t="shared" si="150"/>
        <v>0.35729847494553379</v>
      </c>
      <c r="AI92" s="473">
        <f t="shared" si="150"/>
        <v>0.21219598167077899</v>
      </c>
      <c r="AJ92" s="473">
        <f t="shared" si="150"/>
        <v>0.32571428571428573</v>
      </c>
      <c r="AK92" s="473">
        <f t="shared" si="150"/>
        <v>0.46924603174603174</v>
      </c>
      <c r="AL92" s="486">
        <f t="shared" si="150"/>
        <v>0.34890685834082058</v>
      </c>
      <c r="AM92" s="473">
        <f t="shared" si="150"/>
        <v>7.5611888111888112E-2</v>
      </c>
      <c r="AN92" s="473">
        <f t="shared" si="150"/>
        <v>-0.77460317460317463</v>
      </c>
      <c r="AO92" s="473">
        <f t="shared" si="150"/>
        <v>0.33636363636363636</v>
      </c>
      <c r="AP92" s="473">
        <f t="shared" si="150"/>
        <v>-0.12277867528271405</v>
      </c>
      <c r="AQ92" s="473">
        <f t="shared" si="150"/>
        <v>-0.26993865030674846</v>
      </c>
      <c r="AR92" s="473">
        <f t="shared" si="150"/>
        <v>-2.7777777777777776E-2</v>
      </c>
      <c r="AS92" s="473">
        <f t="shared" si="150"/>
        <v>0.42964071856287422</v>
      </c>
      <c r="AT92" s="486">
        <f t="shared" si="150"/>
        <v>0.28245555182824555</v>
      </c>
      <c r="AU92" s="2819">
        <f t="shared" si="150"/>
        <v>7.3840445269016702E-2</v>
      </c>
      <c r="AV92" s="473">
        <f t="shared" si="150"/>
        <v>0.227992547741034</v>
      </c>
      <c r="AW92" s="473">
        <f t="shared" si="150"/>
        <v>0.42118307997356247</v>
      </c>
      <c r="AX92" s="486">
        <f t="shared" si="150"/>
        <v>0.27587058532971104</v>
      </c>
      <c r="AY92" s="2819">
        <f t="shared" si="150"/>
        <v>0.12334568554790895</v>
      </c>
      <c r="AZ92" s="3101">
        <f t="shared" si="150"/>
        <v>0.30336872940314902</v>
      </c>
      <c r="BA92" s="3101">
        <f t="shared" si="150"/>
        <v>0.42977795940607549</v>
      </c>
      <c r="BB92" s="3102">
        <f t="shared" si="150"/>
        <v>0.27801003344481606</v>
      </c>
      <c r="BC92" s="3101">
        <f t="shared" si="150"/>
        <v>0.1723669309173273</v>
      </c>
      <c r="BD92" s="3101">
        <f t="shared" si="150"/>
        <v>0.29919781532684758</v>
      </c>
      <c r="BE92" s="3101">
        <f t="shared" si="150"/>
        <v>0.4390793094821116</v>
      </c>
      <c r="BF92" s="3102">
        <f t="shared" si="150"/>
        <v>0.30907614979488574</v>
      </c>
      <c r="BG92" s="3101">
        <f t="shared" si="150"/>
        <v>0.19613607727845442</v>
      </c>
      <c r="BH92" s="3101">
        <f t="shared" si="150"/>
        <v>0.33318623124448365</v>
      </c>
      <c r="BI92" s="3101">
        <f t="shared" si="150"/>
        <v>0.45193161634103018</v>
      </c>
      <c r="BJ92" s="3101">
        <f t="shared" si="150"/>
        <v>0.32194046306504959</v>
      </c>
      <c r="BK92" s="3101">
        <f t="shared" si="150"/>
        <v>0.20950831525668837</v>
      </c>
      <c r="BL92" s="3515">
        <f>BL91/BL35</f>
        <v>0.34262785636561482</v>
      </c>
      <c r="BM92" s="3101"/>
      <c r="BN92" s="451">
        <f t="shared" ref="BN92:BW92" si="151">BN91/BN35</f>
        <v>0.38313766421721562</v>
      </c>
      <c r="BO92" s="451">
        <f t="shared" si="151"/>
        <v>0.36237011329752633</v>
      </c>
      <c r="BP92" s="451">
        <f t="shared" si="151"/>
        <v>0.36496526022222309</v>
      </c>
      <c r="BQ92" s="447">
        <f t="shared" si="151"/>
        <v>0.35749369441125711</v>
      </c>
      <c r="BR92" s="451">
        <f t="shared" si="151"/>
        <v>6.1948204826368453E-2</v>
      </c>
      <c r="BS92" s="451">
        <f t="shared" si="151"/>
        <v>0.22659244387661981</v>
      </c>
      <c r="BT92" s="451">
        <f t="shared" si="151"/>
        <v>0.28344060854300762</v>
      </c>
      <c r="BU92" s="451">
        <f t="shared" si="151"/>
        <v>0.30929089632576645</v>
      </c>
      <c r="BV92" s="451">
        <f t="shared" si="151"/>
        <v>0.3249926281646236</v>
      </c>
      <c r="BW92" s="451">
        <f t="shared" si="151"/>
        <v>0.3460266745922651</v>
      </c>
    </row>
    <row r="93" spans="1:75">
      <c r="A93" s="66"/>
      <c r="B93" s="142"/>
      <c r="C93" s="142"/>
      <c r="D93" s="146"/>
      <c r="E93" s="146"/>
      <c r="F93" s="146"/>
      <c r="G93" s="146"/>
      <c r="H93" s="146"/>
      <c r="I93" s="146"/>
      <c r="J93" s="146"/>
      <c r="K93" s="146"/>
      <c r="L93" s="146"/>
      <c r="M93" s="146"/>
      <c r="N93" s="146"/>
      <c r="O93" s="146"/>
      <c r="P93" s="146"/>
      <c r="Q93" s="146"/>
      <c r="R93" s="146"/>
      <c r="S93" s="146"/>
      <c r="T93" s="146"/>
      <c r="U93" s="146"/>
      <c r="V93" s="147"/>
    </row>
    <row r="94" spans="1:75" s="1764" customFormat="1">
      <c r="A94" s="1574" t="s">
        <v>2740</v>
      </c>
      <c r="B94" s="1763">
        <v>7.5010000000000003</v>
      </c>
      <c r="C94" s="1763">
        <v>9.6869999999999994</v>
      </c>
      <c r="D94" s="1764">
        <v>6.9960000000000004</v>
      </c>
      <c r="E94" s="1764">
        <v>1.131</v>
      </c>
      <c r="F94" s="1764">
        <v>2.4740000000000002</v>
      </c>
      <c r="G94" s="1764">
        <v>5.1120000000000001</v>
      </c>
      <c r="H94" s="1764">
        <v>5.55</v>
      </c>
      <c r="I94" s="1764">
        <v>11.311999999999999</v>
      </c>
      <c r="J94" s="1764">
        <v>25.776</v>
      </c>
      <c r="K94" s="1764">
        <v>11.66</v>
      </c>
      <c r="L94" s="1764">
        <v>2</v>
      </c>
      <c r="M94" s="1764">
        <v>3.9</v>
      </c>
      <c r="N94" s="1764">
        <v>8</v>
      </c>
      <c r="O94" s="1764">
        <v>3.86</v>
      </c>
      <c r="P94" s="1764">
        <v>4.1669999999999998</v>
      </c>
      <c r="Q94" s="1764">
        <v>13.933</v>
      </c>
      <c r="S94" s="1764">
        <v>13.037000000000001</v>
      </c>
      <c r="T94" s="1764">
        <v>14.682</v>
      </c>
      <c r="U94" s="1764">
        <v>16.414000000000001</v>
      </c>
      <c r="V94" s="1768">
        <v>55.728999999999999</v>
      </c>
      <c r="W94" s="1767">
        <v>20.347000000000001</v>
      </c>
      <c r="X94" s="1764">
        <v>21.292000000000002</v>
      </c>
      <c r="Y94" s="1764">
        <v>24.218</v>
      </c>
      <c r="Z94" s="1768">
        <v>29.088999999999999</v>
      </c>
      <c r="AA94" s="1764">
        <v>31.992000000000001</v>
      </c>
      <c r="AB94" s="1764">
        <v>36.820999999999998</v>
      </c>
      <c r="AC94" s="1764">
        <v>41.482999999999997</v>
      </c>
      <c r="AD94" s="1768">
        <v>46.898000000000003</v>
      </c>
      <c r="AE94" s="1764">
        <v>46.878999999999998</v>
      </c>
      <c r="AF94" s="1764">
        <v>45.69</v>
      </c>
      <c r="AG94" s="1764">
        <v>48.640999999999998</v>
      </c>
      <c r="AH94" s="1768">
        <v>46</v>
      </c>
      <c r="AI94" s="1764">
        <v>35</v>
      </c>
      <c r="AJ94" s="1764">
        <v>34</v>
      </c>
      <c r="AK94" s="1764">
        <v>44</v>
      </c>
      <c r="AL94" s="1768">
        <v>39</v>
      </c>
      <c r="AM94" s="1764">
        <v>32</v>
      </c>
      <c r="AN94" s="1764">
        <v>12</v>
      </c>
      <c r="AO94" s="1764">
        <v>5</v>
      </c>
      <c r="AP94" s="1764">
        <v>5</v>
      </c>
      <c r="AQ94" s="1764">
        <v>4</v>
      </c>
      <c r="AR94" s="1764">
        <v>4</v>
      </c>
      <c r="AS94" s="1764">
        <v>4</v>
      </c>
      <c r="AT94" s="1768">
        <v>4</v>
      </c>
      <c r="AU94" s="1877">
        <v>3</v>
      </c>
      <c r="AV94" s="1764">
        <v>24</v>
      </c>
      <c r="AW94" s="1764">
        <v>61</v>
      </c>
      <c r="AX94" s="1768">
        <v>131</v>
      </c>
      <c r="AY94" s="1877">
        <v>228</v>
      </c>
      <c r="AZ94" s="3076">
        <v>266</v>
      </c>
      <c r="BA94" s="3076">
        <v>289</v>
      </c>
      <c r="BB94" s="3117">
        <v>237</v>
      </c>
      <c r="BC94" s="3076">
        <v>243</v>
      </c>
      <c r="BD94" s="3076">
        <v>293</v>
      </c>
      <c r="BE94" s="3076">
        <v>327</v>
      </c>
      <c r="BF94" s="3117">
        <v>251</v>
      </c>
      <c r="BG94" s="3076">
        <v>241</v>
      </c>
      <c r="BH94" s="3076">
        <v>234</v>
      </c>
      <c r="BI94" s="3076">
        <v>248</v>
      </c>
      <c r="BJ94" s="3076">
        <v>198</v>
      </c>
      <c r="BK94" s="3076">
        <v>187</v>
      </c>
      <c r="BL94" s="3076">
        <v>201</v>
      </c>
      <c r="BM94" s="3117"/>
      <c r="BN94" s="1769">
        <f>SUM(W94:Z94)</f>
        <v>94.945999999999998</v>
      </c>
      <c r="BO94" s="1769">
        <f>SUM(AA94:AD94)</f>
        <v>157.19399999999999</v>
      </c>
      <c r="BP94" s="1769">
        <f>SUM(AE94:AH94)</f>
        <v>187.20999999999998</v>
      </c>
      <c r="BQ94" s="1764">
        <v>152</v>
      </c>
      <c r="BR94" s="1769">
        <f>SUM(AM94:AP94)</f>
        <v>54</v>
      </c>
      <c r="BS94" s="1769">
        <f>SUM(AQ94:AT94)</f>
        <v>16</v>
      </c>
      <c r="BT94" s="1769">
        <f>SUM(AU94:AX94)</f>
        <v>219</v>
      </c>
      <c r="BU94" s="1764">
        <f>SUM(AY94:BB94)</f>
        <v>1020</v>
      </c>
      <c r="BV94" s="1764">
        <v>1114</v>
      </c>
      <c r="BW94" s="1764">
        <v>921</v>
      </c>
    </row>
    <row r="95" spans="1:75" s="1764" customFormat="1">
      <c r="A95" s="1574" t="s">
        <v>72</v>
      </c>
      <c r="B95" s="1763">
        <v>-0.38100000000000001</v>
      </c>
      <c r="C95" s="1763"/>
      <c r="F95" s="1764">
        <v>-0.90700000000000003</v>
      </c>
      <c r="G95" s="1764">
        <v>-3.722</v>
      </c>
      <c r="H95" s="1764">
        <v>-5.0750000000000002</v>
      </c>
      <c r="I95" s="1764">
        <v>-7.06</v>
      </c>
      <c r="J95" s="1764">
        <v>-10.412000000000001</v>
      </c>
      <c r="K95" s="1764">
        <v>-34.853000000000002</v>
      </c>
      <c r="L95" s="1764">
        <v>-24</v>
      </c>
      <c r="M95" s="1764">
        <v>-30</v>
      </c>
      <c r="N95" s="1764">
        <v>-32</v>
      </c>
      <c r="O95" s="1764">
        <v>-62.064</v>
      </c>
      <c r="P95" s="1764">
        <v>-83.289000000000001</v>
      </c>
      <c r="Q95" s="1764">
        <v>-88.352999999999994</v>
      </c>
      <c r="S95" s="1764">
        <v>-41.546999999999997</v>
      </c>
      <c r="T95" s="1764">
        <v>-41.436</v>
      </c>
      <c r="U95" s="1764">
        <v>-43.767000000000003</v>
      </c>
      <c r="V95" s="1768">
        <v>-160.22900000000001</v>
      </c>
      <c r="W95" s="1764">
        <v>-46.893999999999998</v>
      </c>
      <c r="X95" s="1764">
        <v>-50.29</v>
      </c>
      <c r="Y95" s="1764">
        <v>-55.48</v>
      </c>
      <c r="Z95" s="1768">
        <v>-55.235999999999997</v>
      </c>
      <c r="AA95" s="1764">
        <v>-55.716999999999999</v>
      </c>
      <c r="AB95" s="1764">
        <v>-60.942</v>
      </c>
      <c r="AC95" s="1764">
        <v>-66.337999999999994</v>
      </c>
      <c r="AD95" s="1768">
        <v>-70.978999999999999</v>
      </c>
      <c r="AE95" s="1764">
        <v>-70.234999999999999</v>
      </c>
      <c r="AF95" s="1764">
        <v>-64.837000000000003</v>
      </c>
      <c r="AG95" s="1764">
        <v>-68.17</v>
      </c>
      <c r="AH95" s="1768">
        <v>-66</v>
      </c>
      <c r="AI95" s="1764">
        <v>-66</v>
      </c>
      <c r="AJ95" s="1764">
        <v>-68</v>
      </c>
      <c r="AK95" s="1764">
        <v>-70</v>
      </c>
      <c r="AL95" s="1768">
        <v>-62</v>
      </c>
      <c r="AM95" s="1764">
        <v>-64</v>
      </c>
      <c r="AN95" s="1764">
        <v>-96</v>
      </c>
      <c r="AO95" s="1764">
        <v>-98</v>
      </c>
      <c r="AP95" s="1764">
        <v>-98</v>
      </c>
      <c r="AQ95" s="1764">
        <v>-98</v>
      </c>
      <c r="AR95" s="1764">
        <v>-81</v>
      </c>
      <c r="AS95" s="1764">
        <v>-80</v>
      </c>
      <c r="AT95" s="1768">
        <v>-75</v>
      </c>
      <c r="AU95" s="1877">
        <v>-68</v>
      </c>
      <c r="AV95" s="1764">
        <v>-76</v>
      </c>
      <c r="AW95" s="1764">
        <v>-102</v>
      </c>
      <c r="AX95" s="1768">
        <v>-145</v>
      </c>
      <c r="AY95" s="1877">
        <v>-194</v>
      </c>
      <c r="AZ95" s="3076">
        <v>-241</v>
      </c>
      <c r="BA95" s="3076">
        <v>-254</v>
      </c>
      <c r="BB95" s="3117">
        <v>-208</v>
      </c>
      <c r="BC95" s="3076">
        <v>-219</v>
      </c>
      <c r="BD95" s="3076">
        <v>-264</v>
      </c>
      <c r="BE95" s="3076">
        <v>-305</v>
      </c>
      <c r="BF95" s="3117">
        <v>-507</v>
      </c>
      <c r="BG95" s="3076">
        <v>-649</v>
      </c>
      <c r="BH95" s="3076">
        <v>-418</v>
      </c>
      <c r="BI95" s="3076">
        <v>-301</v>
      </c>
      <c r="BJ95" s="3076">
        <v>-249</v>
      </c>
      <c r="BK95" s="3076">
        <v>-253</v>
      </c>
      <c r="BL95" s="3076">
        <v>-300</v>
      </c>
      <c r="BM95" s="3117"/>
      <c r="BN95" s="1769">
        <f>SUM(W95:Z95)</f>
        <v>-207.89999999999998</v>
      </c>
      <c r="BO95" s="1769">
        <f>SUM(AA95:AD95)</f>
        <v>-253.976</v>
      </c>
      <c r="BP95" s="1769">
        <f>SUM(AE95:AH95)</f>
        <v>-269.24200000000002</v>
      </c>
      <c r="BQ95" s="1764">
        <v>-266</v>
      </c>
      <c r="BR95" s="1769">
        <v>-356</v>
      </c>
      <c r="BS95" s="1769">
        <f>SUM(AQ95:AT95)</f>
        <v>-334</v>
      </c>
      <c r="BT95" s="1769">
        <f>SUM(AU95:AX95)</f>
        <v>-391</v>
      </c>
      <c r="BU95" s="1764">
        <f>SUM(AY95:BB95)</f>
        <v>-897</v>
      </c>
      <c r="BV95" s="1764">
        <v>-1295</v>
      </c>
      <c r="BW95" s="1764">
        <v>-1617</v>
      </c>
    </row>
    <row r="96" spans="1:75" s="1764" customFormat="1">
      <c r="A96" s="1574" t="s">
        <v>1121</v>
      </c>
      <c r="B96" s="1763"/>
      <c r="C96" s="1763">
        <v>-2.5579999999999998</v>
      </c>
      <c r="D96" s="1764">
        <v>-0.41199999999999998</v>
      </c>
      <c r="E96" s="1764">
        <v>3.0089999999999999</v>
      </c>
      <c r="G96" s="1764">
        <v>1.4999999999999999E-2</v>
      </c>
      <c r="H96" s="1764">
        <v>-0.65600000000000003</v>
      </c>
      <c r="I96" s="1764">
        <v>-0.60599999999999998</v>
      </c>
      <c r="J96" s="1764">
        <v>-3.2759999999999998</v>
      </c>
      <c r="K96" s="1764">
        <v>9.8239999999999998</v>
      </c>
      <c r="N96" s="1764">
        <v>-7.5259999999999998</v>
      </c>
      <c r="O96" s="1764">
        <v>-9.7200000000000006</v>
      </c>
      <c r="P96" s="1764">
        <v>-36.755000000000003</v>
      </c>
      <c r="Q96" s="1764">
        <v>-9.4440000000000008</v>
      </c>
      <c r="S96" s="1764">
        <v>-1.444</v>
      </c>
      <c r="T96" s="1764">
        <v>-5.7830000000000004</v>
      </c>
      <c r="U96" s="1764">
        <v>-14.016999999999999</v>
      </c>
      <c r="V96" s="1768">
        <v>-26.087</v>
      </c>
      <c r="W96" s="1764">
        <f>-12.928-50.35</f>
        <v>-63.278000000000006</v>
      </c>
      <c r="X96" s="1764">
        <v>1.9970000000000001</v>
      </c>
      <c r="Y96" s="1764">
        <v>-4.4000000000000004</v>
      </c>
      <c r="Z96" s="1768">
        <v>-1.5509999999999999</v>
      </c>
      <c r="AA96" s="1764">
        <v>-5.1269999999999998</v>
      </c>
      <c r="AB96" s="1764">
        <v>-30.141999999999999</v>
      </c>
      <c r="AC96" s="1764">
        <v>-10.101000000000001</v>
      </c>
      <c r="AD96" s="1768">
        <v>-14.042</v>
      </c>
      <c r="AE96" s="1764">
        <f>54.514-8.056</f>
        <v>46.458000000000006</v>
      </c>
      <c r="AF96" s="1764">
        <f>21.849-15.046</f>
        <v>6.8030000000000008</v>
      </c>
      <c r="AG96" s="1764">
        <f>30.858-17.072</f>
        <v>13.786000000000001</v>
      </c>
      <c r="AH96" s="1768">
        <f>-474-17</f>
        <v>-491</v>
      </c>
      <c r="AI96" s="1764">
        <f>451-8</f>
        <v>443</v>
      </c>
      <c r="AJ96" s="1764">
        <f>17-23</f>
        <v>-6</v>
      </c>
      <c r="AK96" s="1764">
        <f>-49+68</f>
        <v>19</v>
      </c>
      <c r="AL96" s="1768">
        <f>310-39</f>
        <v>271</v>
      </c>
      <c r="AM96" s="1764">
        <f>-307+26</f>
        <v>-281</v>
      </c>
      <c r="AN96" s="1764">
        <f>835-58</f>
        <v>777</v>
      </c>
      <c r="AO96" s="1764">
        <f>730-117</f>
        <v>613</v>
      </c>
      <c r="AP96" s="1764">
        <f>496-5</f>
        <v>491</v>
      </c>
      <c r="AQ96" s="1764">
        <f>131-4</f>
        <v>127</v>
      </c>
      <c r="AR96" s="1764">
        <f>96-AR94</f>
        <v>92</v>
      </c>
      <c r="AS96" s="1764">
        <f>-967-AS94</f>
        <v>-971</v>
      </c>
      <c r="AT96" s="1768">
        <f>43-AT94</f>
        <v>39</v>
      </c>
      <c r="AU96" s="1877">
        <f>-955-AU94</f>
        <v>-958</v>
      </c>
      <c r="AV96" s="1764">
        <f>220-AV94</f>
        <v>196</v>
      </c>
      <c r="AW96" s="1764">
        <f>-305-AW94</f>
        <v>-366</v>
      </c>
      <c r="AX96" s="1768">
        <f>252-AX94</f>
        <v>121</v>
      </c>
      <c r="AY96" s="1877">
        <f>47-AY94</f>
        <v>-181</v>
      </c>
      <c r="AZ96" s="3076">
        <v>-80</v>
      </c>
      <c r="BA96" s="3076">
        <v>16</v>
      </c>
      <c r="BB96" s="3117">
        <f>10-BB94</f>
        <v>-227</v>
      </c>
      <c r="BC96" s="3076">
        <v>122</v>
      </c>
      <c r="BD96" s="3076">
        <v>37</v>
      </c>
      <c r="BE96" s="3076">
        <v>-332</v>
      </c>
      <c r="BF96" s="3117">
        <v>91</v>
      </c>
      <c r="BG96" s="3076">
        <v>-258</v>
      </c>
      <c r="BH96" s="3076">
        <v>-962</v>
      </c>
      <c r="BI96" s="3076">
        <v>39</v>
      </c>
      <c r="BJ96" s="3076">
        <v>-116</v>
      </c>
      <c r="BK96" s="3076">
        <v>194</v>
      </c>
      <c r="BL96" s="3076">
        <v>159</v>
      </c>
      <c r="BM96" s="3076"/>
      <c r="BN96" s="1769">
        <f>SUM(W96:Z96)</f>
        <v>-67.232000000000014</v>
      </c>
      <c r="BO96" s="1769">
        <f>SUM(AA96:AD96)</f>
        <v>-59.411999999999999</v>
      </c>
      <c r="BP96" s="1769">
        <f>-367-57</f>
        <v>-424</v>
      </c>
      <c r="BQ96" s="1764">
        <f>745-18</f>
        <v>727</v>
      </c>
      <c r="BR96" s="1769">
        <f>1811-207-4</f>
        <v>1600</v>
      </c>
      <c r="BS96" s="1769">
        <f>SUM(AQ96:AT96)</f>
        <v>-713</v>
      </c>
      <c r="BT96" s="1769">
        <f>SUM(AU96:AX96)</f>
        <v>-1007</v>
      </c>
      <c r="BU96" s="1764">
        <v>-477</v>
      </c>
      <c r="BV96" s="1764">
        <v>-82</v>
      </c>
      <c r="BW96" s="1764">
        <v>-1297</v>
      </c>
    </row>
    <row r="97" spans="1:75" s="1764" customFormat="1">
      <c r="A97" s="1574" t="s">
        <v>2085</v>
      </c>
      <c r="B97" s="1763"/>
      <c r="C97" s="1763"/>
      <c r="V97" s="1768"/>
      <c r="Z97" s="1768"/>
      <c r="AD97" s="1768"/>
      <c r="AH97" s="1768"/>
      <c r="AL97" s="1768"/>
      <c r="AM97" s="1764">
        <v>-100</v>
      </c>
      <c r="AT97" s="1768"/>
      <c r="AU97" s="1877"/>
      <c r="AV97" s="1764">
        <v>184</v>
      </c>
      <c r="AX97" s="1768"/>
      <c r="AY97" s="1877"/>
      <c r="AZ97" s="3076"/>
      <c r="BA97" s="3076"/>
      <c r="BB97" s="3117"/>
      <c r="BC97" s="3076"/>
      <c r="BD97" s="3076"/>
      <c r="BE97" s="3076"/>
      <c r="BF97" s="3117"/>
      <c r="BG97" s="3076"/>
      <c r="BH97" s="3076"/>
      <c r="BI97" s="3076"/>
      <c r="BJ97" s="3076"/>
      <c r="BK97" s="3076"/>
      <c r="BL97" s="3076"/>
      <c r="BM97" s="3117"/>
      <c r="BN97" s="1769"/>
      <c r="BO97" s="1768"/>
      <c r="BP97" s="1769"/>
      <c r="BR97" s="1769">
        <v>-100</v>
      </c>
      <c r="BS97" s="1769">
        <f>SUM(AQ97:AT97)</f>
        <v>0</v>
      </c>
      <c r="BT97" s="1769">
        <f>SUM(AU97:AX97)</f>
        <v>184</v>
      </c>
      <c r="BU97" s="1764">
        <f>SUM(AY97:BB97)</f>
        <v>0</v>
      </c>
    </row>
    <row r="98" spans="1:75" s="1563" customFormat="1" ht="23">
      <c r="A98" s="1579" t="s">
        <v>1122</v>
      </c>
      <c r="B98" s="1562">
        <f t="shared" ref="B98:K98" si="152">B79+SUM(B94:B96)</f>
        <v>-1055.0900000000001</v>
      </c>
      <c r="C98" s="1562">
        <f t="shared" si="152"/>
        <v>-315.1450000000001</v>
      </c>
      <c r="D98" s="1563">
        <f t="shared" si="152"/>
        <v>-7.3030000000000568</v>
      </c>
      <c r="E98" s="1563">
        <f t="shared" si="152"/>
        <v>-19.184000000000012</v>
      </c>
      <c r="F98" s="1563">
        <f t="shared" si="152"/>
        <v>9.584999999999944</v>
      </c>
      <c r="G98" s="1563">
        <f t="shared" si="152"/>
        <v>31.82699999999997</v>
      </c>
      <c r="H98" s="1563">
        <f t="shared" si="152"/>
        <v>35.70299999999996</v>
      </c>
      <c r="I98" s="1563">
        <f t="shared" si="152"/>
        <v>65.632000000000104</v>
      </c>
      <c r="J98" s="1563">
        <f t="shared" si="152"/>
        <v>150.02300000000011</v>
      </c>
      <c r="K98" s="1563">
        <f t="shared" si="152"/>
        <v>276.10500000000002</v>
      </c>
      <c r="L98" s="1563">
        <v>442.30200000000002</v>
      </c>
      <c r="M98" s="1563">
        <v>746.28300000000002</v>
      </c>
      <c r="N98" s="1563">
        <v>1367.7940000000001</v>
      </c>
      <c r="O98" s="1563">
        <f>O79+SUM(O94:O96)</f>
        <v>1761.8689999999999</v>
      </c>
      <c r="P98" s="1563">
        <f>P79+SUM(P94:P96)</f>
        <v>2296.5370000000003</v>
      </c>
      <c r="Q98" s="1563">
        <f>Q79+SUM(Q94:Q96)</f>
        <v>2989.4479999999999</v>
      </c>
      <c r="S98" s="1563">
        <f t="shared" ref="S98:AG98" si="153">S79+SUM(S94:S96)</f>
        <v>648.37699999999995</v>
      </c>
      <c r="T98" s="1563">
        <f t="shared" si="153"/>
        <v>1456.17</v>
      </c>
      <c r="U98" s="1563">
        <f t="shared" si="153"/>
        <v>616.53300000000024</v>
      </c>
      <c r="V98" s="1564">
        <f t="shared" si="153"/>
        <v>3128.32</v>
      </c>
      <c r="W98" s="1563">
        <f t="shared" si="153"/>
        <v>460.49299999999999</v>
      </c>
      <c r="X98" s="1563">
        <f t="shared" si="153"/>
        <v>705.40600000000018</v>
      </c>
      <c r="Y98" s="1563">
        <f t="shared" si="153"/>
        <v>797.56500000000074</v>
      </c>
      <c r="Z98" s="1564">
        <f t="shared" si="153"/>
        <v>762.6629999999999</v>
      </c>
      <c r="AA98" s="1563">
        <f t="shared" si="153"/>
        <v>527.61</v>
      </c>
      <c r="AB98" s="1563">
        <f t="shared" si="153"/>
        <v>838.99600000000044</v>
      </c>
      <c r="AC98" s="1563">
        <f t="shared" si="153"/>
        <v>2066.8450000000007</v>
      </c>
      <c r="AD98" s="1564">
        <f>AD79+SUM(AD94:AD96)</f>
        <v>948.34699999999975</v>
      </c>
      <c r="AE98" s="1563">
        <f t="shared" si="153"/>
        <v>753.33699999999965</v>
      </c>
      <c r="AF98" s="1563">
        <f t="shared" si="153"/>
        <v>1208.9110000000001</v>
      </c>
      <c r="AG98" s="1563">
        <f t="shared" si="153"/>
        <v>2240.7560000000003</v>
      </c>
      <c r="AH98" s="1564">
        <f>AH79+SUM(AH94:AH96)</f>
        <v>632</v>
      </c>
      <c r="AI98" s="1563">
        <f>AI79+SUM(AI94:AI96)</f>
        <v>968</v>
      </c>
      <c r="AJ98" s="1563">
        <f>AJ79+SUM(AJ94:AJ96)</f>
        <v>1207</v>
      </c>
      <c r="AK98" s="1563">
        <f>AK79+SUM(AK94:AK96)</f>
        <v>2363</v>
      </c>
      <c r="AL98" s="1564">
        <f>AL79+SUM(AL94:AL96)</f>
        <v>1420</v>
      </c>
      <c r="AM98" s="1563">
        <f t="shared" ref="AM98:AS98" si="154">AM79+SUM(AM94:AM97)</f>
        <v>-722</v>
      </c>
      <c r="AN98" s="1563">
        <f t="shared" si="154"/>
        <v>209</v>
      </c>
      <c r="AO98" s="1563">
        <f t="shared" si="154"/>
        <v>835</v>
      </c>
      <c r="AP98" s="1563">
        <f t="shared" si="154"/>
        <v>245</v>
      </c>
      <c r="AQ98" s="1563">
        <f t="shared" si="154"/>
        <v>-278</v>
      </c>
      <c r="AR98" s="1563">
        <f t="shared" si="154"/>
        <v>-41</v>
      </c>
      <c r="AS98" s="1563">
        <f t="shared" si="154"/>
        <v>968</v>
      </c>
      <c r="AT98" s="1564">
        <f>AT79+SUM(AT94:AT97)</f>
        <v>816</v>
      </c>
      <c r="AU98" s="1588">
        <f>AU79+SUM(AU94:AU97)</f>
        <v>-849</v>
      </c>
      <c r="AV98" s="1563">
        <f t="shared" ref="AV98:BQ98" si="155">AV79+SUM(AV94:AV96)</f>
        <v>1144</v>
      </c>
      <c r="AW98" s="1563">
        <f t="shared" si="155"/>
        <v>2176</v>
      </c>
      <c r="AX98" s="1564">
        <f t="shared" si="155"/>
        <v>1452</v>
      </c>
      <c r="AY98" s="1588">
        <f t="shared" si="155"/>
        <v>302</v>
      </c>
      <c r="AZ98" s="1583">
        <f t="shared" si="155"/>
        <v>1618</v>
      </c>
      <c r="BA98" s="1583">
        <f t="shared" si="155"/>
        <v>3154</v>
      </c>
      <c r="BB98" s="3111">
        <f t="shared" si="155"/>
        <v>411</v>
      </c>
      <c r="BC98" s="1583">
        <f t="shared" si="155"/>
        <v>937</v>
      </c>
      <c r="BD98" s="1583">
        <f t="shared" si="155"/>
        <v>1922</v>
      </c>
      <c r="BE98" s="1583">
        <f t="shared" ref="BE98:BM98" si="156">BE79+SUM(BE94:BE96)</f>
        <v>2869</v>
      </c>
      <c r="BF98" s="3111">
        <f t="shared" si="156"/>
        <v>1564.14360367893</v>
      </c>
      <c r="BG98" s="1583">
        <f t="shared" si="156"/>
        <v>396</v>
      </c>
      <c r="BH98" s="1583">
        <f t="shared" si="156"/>
        <v>1104</v>
      </c>
      <c r="BI98" s="1583">
        <f t="shared" si="156"/>
        <v>3469</v>
      </c>
      <c r="BJ98" s="1583">
        <f t="shared" si="156"/>
        <v>1863</v>
      </c>
      <c r="BK98" s="1583">
        <f t="shared" si="156"/>
        <v>1399</v>
      </c>
      <c r="BL98" s="3512">
        <f>BL79+SUM(BL94:BL96)</f>
        <v>2560</v>
      </c>
      <c r="BM98" s="1583">
        <f t="shared" si="156"/>
        <v>0</v>
      </c>
      <c r="BN98" s="1567">
        <f t="shared" si="155"/>
        <v>2726.1270000000009</v>
      </c>
      <c r="BO98" s="1564">
        <f t="shared" si="155"/>
        <v>4381.7980000000007</v>
      </c>
      <c r="BP98" s="1567">
        <f t="shared" si="155"/>
        <v>4834.9569999999994</v>
      </c>
      <c r="BQ98" s="1588">
        <f t="shared" si="155"/>
        <v>5958</v>
      </c>
      <c r="BR98" s="1567">
        <f t="shared" ref="BR98:BW98" si="157">BR79+SUM(BR94:BR97)</f>
        <v>567</v>
      </c>
      <c r="BS98" s="1567">
        <f t="shared" si="157"/>
        <v>1465</v>
      </c>
      <c r="BT98" s="1567">
        <f t="shared" si="157"/>
        <v>4107</v>
      </c>
      <c r="BU98" s="1567">
        <f t="shared" si="157"/>
        <v>5480</v>
      </c>
      <c r="BV98" s="1567">
        <f t="shared" si="157"/>
        <v>7292</v>
      </c>
      <c r="BW98" s="1567">
        <f t="shared" si="157"/>
        <v>6832</v>
      </c>
    </row>
    <row r="99" spans="1:75" s="1764" customFormat="1">
      <c r="A99" s="1574" t="s">
        <v>73</v>
      </c>
      <c r="B99" s="1763"/>
      <c r="C99" s="1763"/>
      <c r="D99" s="1763"/>
      <c r="E99" s="1763"/>
      <c r="G99" s="1764">
        <v>0.193</v>
      </c>
      <c r="H99" s="1764">
        <v>156.27699999999999</v>
      </c>
      <c r="I99" s="1764">
        <v>12.388</v>
      </c>
      <c r="J99" s="1764">
        <v>12.058999999999999</v>
      </c>
      <c r="K99" s="1764">
        <v>-90.171000000000006</v>
      </c>
      <c r="L99" s="1764">
        <v>47.167999999999999</v>
      </c>
      <c r="M99" s="1764">
        <v>-218.14099999999999</v>
      </c>
      <c r="N99" s="1764">
        <v>-308.66300000000001</v>
      </c>
      <c r="O99" s="1764">
        <v>-337.83199999999999</v>
      </c>
      <c r="P99" s="1764">
        <v>-403.73899999999998</v>
      </c>
      <c r="Q99" s="1764">
        <v>-567.69500000000005</v>
      </c>
      <c r="S99" s="1764">
        <v>-131.345</v>
      </c>
      <c r="T99" s="1764">
        <v>-259.43799999999999</v>
      </c>
      <c r="U99" s="1764">
        <v>-112.261</v>
      </c>
      <c r="V99" s="1768">
        <v>-576.96</v>
      </c>
      <c r="W99" s="1764">
        <v>-86.069000000000003</v>
      </c>
      <c r="X99" s="1764">
        <v>-111.91</v>
      </c>
      <c r="Y99" s="1764">
        <v>-291.517</v>
      </c>
      <c r="Z99" s="1768">
        <v>-88.754999999999995</v>
      </c>
      <c r="AA99" s="1764">
        <v>-71.986999999999995</v>
      </c>
      <c r="AB99" s="1764">
        <v>-142.90799999999999</v>
      </c>
      <c r="AC99" s="1764">
        <v>-346.45400000000001</v>
      </c>
      <c r="AD99" s="1768">
        <v>-1496.2080000000001</v>
      </c>
      <c r="AE99" s="1764">
        <v>-146.12700000000001</v>
      </c>
      <c r="AF99" s="1764">
        <v>-231.53899999999999</v>
      </c>
      <c r="AG99" s="1764">
        <v>-473.26799999999997</v>
      </c>
      <c r="AH99" s="1768">
        <v>14</v>
      </c>
      <c r="AI99" s="1764">
        <v>-203</v>
      </c>
      <c r="AJ99" s="1764">
        <v>-228</v>
      </c>
      <c r="AK99" s="1764">
        <v>-413</v>
      </c>
      <c r="AL99" s="1768">
        <v>-249</v>
      </c>
      <c r="AM99" s="1764">
        <v>23</v>
      </c>
      <c r="AN99" s="1764">
        <v>-87</v>
      </c>
      <c r="AO99" s="1764">
        <v>-34</v>
      </c>
      <c r="AP99" s="1764">
        <v>-410</v>
      </c>
      <c r="AQ99" s="1764">
        <v>223</v>
      </c>
      <c r="AR99" s="1764">
        <v>-126</v>
      </c>
      <c r="AS99" s="1764">
        <v>-199</v>
      </c>
      <c r="AT99" s="1768">
        <v>-198</v>
      </c>
      <c r="AU99" s="1877">
        <v>149</v>
      </c>
      <c r="AV99" s="1764">
        <v>-287</v>
      </c>
      <c r="AW99" s="1764">
        <v>-510</v>
      </c>
      <c r="AX99" s="1768">
        <v>-217</v>
      </c>
      <c r="AY99" s="1877">
        <v>-37</v>
      </c>
      <c r="AZ99" s="3076">
        <v>-328</v>
      </c>
      <c r="BA99" s="3076">
        <v>-638</v>
      </c>
      <c r="BB99" s="3117">
        <v>-189</v>
      </c>
      <c r="BC99" s="3076">
        <v>-161</v>
      </c>
      <c r="BD99" s="3076">
        <v>-401</v>
      </c>
      <c r="BE99" s="3076">
        <v>-352</v>
      </c>
      <c r="BF99" s="3117">
        <v>-496</v>
      </c>
      <c r="BG99" s="3076">
        <v>-63</v>
      </c>
      <c r="BH99" s="3076">
        <v>-209</v>
      </c>
      <c r="BI99" s="3076">
        <v>-721</v>
      </c>
      <c r="BJ99" s="3076">
        <v>-435</v>
      </c>
      <c r="BK99" s="3076">
        <v>-316</v>
      </c>
      <c r="BL99" s="3076">
        <v>-610</v>
      </c>
      <c r="BM99" s="3117"/>
      <c r="BN99" s="1769">
        <f>SUM(W99:Z99)</f>
        <v>-578.25099999999998</v>
      </c>
      <c r="BO99" s="1769">
        <f>SUM(AA99:AD99)</f>
        <v>-2057.5569999999998</v>
      </c>
      <c r="BP99" s="1769">
        <f>SUM(AE99:AH99)</f>
        <v>-836.93399999999997</v>
      </c>
      <c r="BQ99" s="1764">
        <v>-1093</v>
      </c>
      <c r="BR99" s="1769">
        <v>-508</v>
      </c>
      <c r="BS99" s="1769">
        <v>-300</v>
      </c>
      <c r="BT99" s="1769">
        <f>SUM(AU99:AX99)</f>
        <v>-865</v>
      </c>
      <c r="BU99" s="1769">
        <f>SUM(AV99:AY99)</f>
        <v>-1051</v>
      </c>
      <c r="BV99" s="1769">
        <f>SUM(BC99:BF99)</f>
        <v>-1410</v>
      </c>
      <c r="BW99" s="1764">
        <f>SUM(BG99:BJ99)</f>
        <v>-1428</v>
      </c>
    </row>
    <row r="100" spans="1:75" s="1563" customFormat="1">
      <c r="A100" s="1574" t="s">
        <v>74</v>
      </c>
      <c r="B100" s="1562"/>
      <c r="C100" s="1562"/>
      <c r="D100" s="1562"/>
      <c r="E100" s="1562"/>
      <c r="F100" s="1562">
        <v>2.331</v>
      </c>
      <c r="G100" s="1562">
        <v>-0.51100000000000001</v>
      </c>
      <c r="H100" s="1562">
        <v>0.749</v>
      </c>
      <c r="I100" s="1562">
        <v>-3.5539999999999998</v>
      </c>
      <c r="J100" s="1562">
        <v>-5</v>
      </c>
      <c r="K100" s="1562">
        <v>-3.6880000000000002</v>
      </c>
      <c r="L100" s="1562">
        <v>2E-3</v>
      </c>
      <c r="M100" s="1575" t="s">
        <v>140</v>
      </c>
      <c r="N100" s="1575" t="s">
        <v>140</v>
      </c>
      <c r="O100" s="1575" t="s">
        <v>140</v>
      </c>
      <c r="P100" s="1575" t="s">
        <v>140</v>
      </c>
      <c r="Q100" s="1575"/>
      <c r="R100" s="1575"/>
      <c r="S100" s="1575"/>
      <c r="T100" s="1575"/>
      <c r="U100" s="1575"/>
      <c r="V100" s="1576"/>
      <c r="W100" s="1565"/>
      <c r="Z100" s="1564"/>
      <c r="AD100" s="1564"/>
      <c r="AH100" s="1564"/>
      <c r="AL100" s="1564"/>
      <c r="AT100" s="1564"/>
      <c r="AU100" s="1588"/>
      <c r="AX100" s="1564"/>
      <c r="AY100" s="1588"/>
      <c r="AZ100" s="1583"/>
      <c r="BA100" s="1583"/>
      <c r="BB100" s="3111"/>
      <c r="BC100" s="1583"/>
      <c r="BD100" s="1583"/>
      <c r="BE100" s="1583"/>
      <c r="BF100" s="3111"/>
      <c r="BG100" s="1583"/>
      <c r="BH100" s="1583"/>
      <c r="BI100" s="1583"/>
      <c r="BJ100" s="1583"/>
      <c r="BK100" s="1583"/>
      <c r="BL100" s="1583"/>
      <c r="BM100" s="3111"/>
      <c r="BN100" s="1567"/>
      <c r="BO100" s="1567"/>
      <c r="BP100" s="1567"/>
      <c r="BR100" s="1567"/>
      <c r="BS100" s="1567"/>
      <c r="BT100" s="1567"/>
    </row>
    <row r="101" spans="1:75" s="1563" customFormat="1">
      <c r="A101" s="1574" t="s">
        <v>1123</v>
      </c>
      <c r="B101" s="1562">
        <f t="shared" ref="B101:K101" si="158">SUM(B98:B100)</f>
        <v>-1055.0900000000001</v>
      </c>
      <c r="C101" s="1563">
        <f t="shared" si="158"/>
        <v>-315.1450000000001</v>
      </c>
      <c r="D101" s="1563">
        <f t="shared" si="158"/>
        <v>-7.3030000000000568</v>
      </c>
      <c r="E101" s="1563">
        <f t="shared" si="158"/>
        <v>-19.184000000000012</v>
      </c>
      <c r="F101" s="1563">
        <f t="shared" si="158"/>
        <v>11.915999999999944</v>
      </c>
      <c r="G101" s="1563">
        <f t="shared" si="158"/>
        <v>31.508999999999968</v>
      </c>
      <c r="H101" s="1563">
        <f t="shared" si="158"/>
        <v>192.72899999999996</v>
      </c>
      <c r="I101" s="1563">
        <f t="shared" si="158"/>
        <v>74.466000000000108</v>
      </c>
      <c r="J101" s="1563">
        <f t="shared" si="158"/>
        <v>157.08200000000011</v>
      </c>
      <c r="K101" s="1563">
        <f t="shared" si="158"/>
        <v>182.24600000000004</v>
      </c>
      <c r="V101" s="1564"/>
      <c r="W101" s="1565"/>
      <c r="Z101" s="1564"/>
      <c r="AD101" s="1564"/>
      <c r="AH101" s="1564"/>
      <c r="AL101" s="1564"/>
      <c r="AT101" s="1564"/>
      <c r="AU101" s="1588"/>
      <c r="AX101" s="1564"/>
      <c r="AY101" s="1588"/>
      <c r="AZ101" s="1583"/>
      <c r="BA101" s="1583"/>
      <c r="BB101" s="3111"/>
      <c r="BC101" s="1583"/>
      <c r="BD101" s="1583"/>
      <c r="BE101" s="1583"/>
      <c r="BF101" s="3111"/>
      <c r="BG101" s="1583"/>
      <c r="BH101" s="1583"/>
      <c r="BI101" s="1583"/>
      <c r="BJ101" s="1583"/>
      <c r="BK101" s="1583"/>
      <c r="BL101" s="1583"/>
      <c r="BM101" s="3111"/>
      <c r="BN101" s="1567"/>
      <c r="BO101" s="1567"/>
      <c r="BP101" s="1567"/>
      <c r="BR101" s="1567"/>
      <c r="BS101" s="1567"/>
      <c r="BT101" s="1567"/>
    </row>
    <row r="102" spans="1:75" s="1563" customFormat="1">
      <c r="A102" s="1574" t="s">
        <v>75</v>
      </c>
      <c r="B102" s="1562"/>
      <c r="V102" s="1564"/>
      <c r="W102" s="1565"/>
      <c r="Z102" s="1564"/>
      <c r="AD102" s="1564"/>
      <c r="AH102" s="1564"/>
      <c r="AL102" s="1564"/>
      <c r="AT102" s="1564"/>
      <c r="AU102" s="1588"/>
      <c r="AX102" s="1564"/>
      <c r="AY102" s="1588"/>
      <c r="AZ102" s="1583"/>
      <c r="BA102" s="1583"/>
      <c r="BB102" s="3111"/>
      <c r="BC102" s="1583"/>
      <c r="BD102" s="1583"/>
      <c r="BE102" s="1583"/>
      <c r="BF102" s="3111"/>
      <c r="BG102" s="1583"/>
      <c r="BH102" s="1583"/>
      <c r="BI102" s="1583"/>
      <c r="BJ102" s="1583"/>
      <c r="BK102" s="1583"/>
      <c r="BL102" s="1583"/>
      <c r="BM102" s="3111"/>
      <c r="BN102" s="1567"/>
      <c r="BO102" s="1567"/>
      <c r="BP102" s="1567"/>
      <c r="BR102" s="1567"/>
      <c r="BS102" s="1567"/>
      <c r="BT102" s="1567"/>
    </row>
    <row r="103" spans="1:75" s="1563" customFormat="1" ht="12" customHeight="1">
      <c r="A103" s="1574" t="s">
        <v>76</v>
      </c>
      <c r="B103" s="1562"/>
      <c r="C103" s="1562"/>
      <c r="D103" s="1562"/>
      <c r="E103" s="1562"/>
      <c r="L103" s="1563" t="s">
        <v>140</v>
      </c>
      <c r="M103" s="1563">
        <v>-0.60099999999999998</v>
      </c>
      <c r="N103" s="1563">
        <v>-2.76</v>
      </c>
      <c r="O103" s="1563">
        <v>-4.4710000000000001</v>
      </c>
      <c r="P103" s="1563">
        <v>0.13500000000000001</v>
      </c>
      <c r="Q103" s="1575" t="s">
        <v>140</v>
      </c>
      <c r="R103" s="1575"/>
      <c r="S103" s="1575"/>
      <c r="T103" s="1575"/>
      <c r="U103" s="1575"/>
      <c r="V103" s="1576" t="s">
        <v>140</v>
      </c>
      <c r="W103" s="1565"/>
      <c r="Z103" s="1564"/>
      <c r="AD103" s="1564"/>
      <c r="AH103" s="1564"/>
      <c r="AL103" s="1564"/>
      <c r="AT103" s="1564"/>
      <c r="AU103" s="1588"/>
      <c r="AX103" s="1564"/>
      <c r="AY103" s="1588"/>
      <c r="AZ103" s="1583"/>
      <c r="BA103" s="1583"/>
      <c r="BB103" s="3111"/>
      <c r="BC103" s="1583"/>
      <c r="BD103" s="1583"/>
      <c r="BE103" s="1583"/>
      <c r="BF103" s="3111"/>
      <c r="BG103" s="1583"/>
      <c r="BH103" s="1583"/>
      <c r="BI103" s="1583"/>
      <c r="BJ103" s="1583"/>
      <c r="BK103" s="1583"/>
      <c r="BL103" s="1583"/>
      <c r="BM103" s="3111"/>
      <c r="BN103" s="1567"/>
      <c r="BO103" s="1567"/>
      <c r="BP103" s="1567"/>
      <c r="BR103" s="1567"/>
      <c r="BS103" s="1567"/>
      <c r="BT103" s="1567"/>
    </row>
    <row r="104" spans="1:75" s="1764" customFormat="1" ht="12" customHeight="1">
      <c r="A104" s="1561" t="s">
        <v>972</v>
      </c>
      <c r="B104" s="1763">
        <f>SUM(B101:B102)</f>
        <v>-1055.0900000000001</v>
      </c>
      <c r="C104" s="1764">
        <f>SUM(C101:C102)</f>
        <v>-315.1450000000001</v>
      </c>
      <c r="D104" s="1764">
        <f>SUM(D101:D102)</f>
        <v>-7.3030000000000568</v>
      </c>
      <c r="E104" s="1764">
        <f>SUM(E101:E102)</f>
        <v>-19.184000000000012</v>
      </c>
      <c r="F104" s="1764">
        <v>11.916</v>
      </c>
      <c r="G104" s="1764">
        <v>31.509</v>
      </c>
      <c r="H104" s="1764">
        <f>SUM(H101:H102)</f>
        <v>192.72899999999996</v>
      </c>
      <c r="I104" s="1764">
        <f>SUM(I101:I102)</f>
        <v>74.466000000000108</v>
      </c>
      <c r="J104" s="1764">
        <f>SUM(J101:J102)</f>
        <v>157.08200000000011</v>
      </c>
      <c r="K104" s="1764">
        <f>SUM(K101:K102)</f>
        <v>182.24600000000004</v>
      </c>
      <c r="L104" s="1764">
        <v>489.47199999999998</v>
      </c>
      <c r="M104" s="1764">
        <v>528.14200000000005</v>
      </c>
      <c r="N104" s="1764">
        <v>1056</v>
      </c>
      <c r="O104" s="1764">
        <v>1419.566</v>
      </c>
      <c r="P104" s="1764">
        <v>1892.798</v>
      </c>
      <c r="Q104" s="1764">
        <v>2551.36</v>
      </c>
      <c r="S104" s="1764">
        <v>517.03200000000004</v>
      </c>
      <c r="T104" s="1764">
        <v>1196.732</v>
      </c>
      <c r="U104" s="1764">
        <v>504.26900000000001</v>
      </c>
      <c r="V104" s="1768">
        <v>2421.7530000000002</v>
      </c>
      <c r="W104" s="1767">
        <v>374.42399999999998</v>
      </c>
      <c r="X104" s="1764">
        <v>580.63800000000003</v>
      </c>
      <c r="Y104" s="1764">
        <v>506.017</v>
      </c>
      <c r="Z104" s="1768">
        <v>673.90800000000002</v>
      </c>
      <c r="AA104" s="1764">
        <v>455.62299999999999</v>
      </c>
      <c r="AB104" s="1764">
        <v>720.20899999999995</v>
      </c>
      <c r="AC104" s="1764">
        <v>1720.3910000000001</v>
      </c>
      <c r="AD104" s="1768">
        <v>-555.45799999999997</v>
      </c>
      <c r="AE104" s="1764">
        <v>607.20999999999958</v>
      </c>
      <c r="AF104" s="1764">
        <v>977.37200000000007</v>
      </c>
      <c r="AG104" s="1764">
        <v>1767.4880000000003</v>
      </c>
      <c r="AH104" s="1768">
        <v>646</v>
      </c>
      <c r="AI104" s="1764">
        <v>765</v>
      </c>
      <c r="AJ104" s="1764">
        <v>979</v>
      </c>
      <c r="AK104" s="1764">
        <v>1950</v>
      </c>
      <c r="AL104" s="1768">
        <v>1171</v>
      </c>
      <c r="AM104" s="1764">
        <v>-699</v>
      </c>
      <c r="AN104" s="1764">
        <v>122</v>
      </c>
      <c r="AO104" s="1764">
        <v>801</v>
      </c>
      <c r="AP104" s="1764">
        <f>BR104-SUM(AM104:AO104)</f>
        <v>-165</v>
      </c>
      <c r="AQ104" s="1764">
        <v>-55</v>
      </c>
      <c r="AR104" s="1764">
        <v>-167</v>
      </c>
      <c r="AS104" s="1764">
        <v>769</v>
      </c>
      <c r="AT104" s="1768">
        <v>618</v>
      </c>
      <c r="AU104" s="1877">
        <v>-700</v>
      </c>
      <c r="AV104" s="1764">
        <v>857</v>
      </c>
      <c r="AW104" s="1764">
        <v>1666</v>
      </c>
      <c r="AX104" s="1768">
        <v>1235</v>
      </c>
      <c r="AY104" s="1877">
        <v>266</v>
      </c>
      <c r="AZ104" s="3076">
        <v>1290</v>
      </c>
      <c r="BA104" s="3076">
        <v>2511</v>
      </c>
      <c r="BB104" s="3117">
        <v>222</v>
      </c>
      <c r="BC104" s="3076">
        <v>776</v>
      </c>
      <c r="BD104" s="3076">
        <v>1521</v>
      </c>
      <c r="BE104" s="3076">
        <v>2517</v>
      </c>
      <c r="BF104" s="3117">
        <v>1068</v>
      </c>
      <c r="BG104" s="3076">
        <v>333</v>
      </c>
      <c r="BH104" s="3076">
        <v>895</v>
      </c>
      <c r="BI104" s="3076">
        <v>2748</v>
      </c>
      <c r="BJ104" s="3076">
        <v>1428</v>
      </c>
      <c r="BK104" s="3076">
        <v>1083</v>
      </c>
      <c r="BL104" s="3076">
        <v>1950</v>
      </c>
      <c r="BM104" s="3117"/>
      <c r="BN104" s="1769">
        <f>BN98+BN99</f>
        <v>2147.8760000000011</v>
      </c>
      <c r="BO104" s="1770">
        <f>BO98+BO99</f>
        <v>2324.2410000000009</v>
      </c>
      <c r="BP104" s="1770">
        <f>BP98+BP99</f>
        <v>3998.0229999999992</v>
      </c>
      <c r="BQ104" s="1764">
        <v>4865</v>
      </c>
      <c r="BR104" s="1769">
        <f>BR98+BR99</f>
        <v>59</v>
      </c>
      <c r="BS104" s="1769">
        <f>BS98+BS99</f>
        <v>1165</v>
      </c>
      <c r="BT104" s="1769">
        <f>BT98+BT99</f>
        <v>3242</v>
      </c>
      <c r="BU104" s="1769">
        <f>BU98+BU99</f>
        <v>4429</v>
      </c>
      <c r="BV104" s="1769">
        <v>5882</v>
      </c>
      <c r="BW104" s="1764">
        <v>5404</v>
      </c>
    </row>
    <row r="105" spans="1:75" s="1759" customFormat="1" ht="12" customHeight="1">
      <c r="A105" s="1574" t="s">
        <v>1969</v>
      </c>
      <c r="B105" s="1758"/>
      <c r="V105" s="1760"/>
      <c r="W105" s="1761">
        <f>W98+W99-W104</f>
        <v>0</v>
      </c>
      <c r="X105" s="1761">
        <f t="shared" ref="X105:AH105" si="159">X98+X99-X104</f>
        <v>12.858000000000175</v>
      </c>
      <c r="Y105" s="1761">
        <f t="shared" si="159"/>
        <v>3.1000000000744876E-2</v>
      </c>
      <c r="Z105" s="1832">
        <f t="shared" si="159"/>
        <v>0</v>
      </c>
      <c r="AA105" s="1761">
        <f t="shared" si="159"/>
        <v>0</v>
      </c>
      <c r="AB105" s="1761">
        <f t="shared" si="159"/>
        <v>-24.120999999999526</v>
      </c>
      <c r="AC105" s="1761">
        <f t="shared" si="159"/>
        <v>0</v>
      </c>
      <c r="AD105" s="1832">
        <f t="shared" si="159"/>
        <v>7.5969999999996389</v>
      </c>
      <c r="AE105" s="1761">
        <f t="shared" si="159"/>
        <v>0</v>
      </c>
      <c r="AF105" s="1761">
        <f t="shared" si="159"/>
        <v>0</v>
      </c>
      <c r="AG105" s="1761">
        <f t="shared" si="159"/>
        <v>0</v>
      </c>
      <c r="AH105" s="1832">
        <f t="shared" si="159"/>
        <v>0</v>
      </c>
      <c r="AI105" s="1761">
        <f t="shared" ref="AI105:AT105" si="160">AI98+AI99-AI104</f>
        <v>0</v>
      </c>
      <c r="AJ105" s="1761">
        <f t="shared" si="160"/>
        <v>0</v>
      </c>
      <c r="AK105" s="1761">
        <f t="shared" si="160"/>
        <v>0</v>
      </c>
      <c r="AL105" s="1832">
        <f t="shared" si="160"/>
        <v>0</v>
      </c>
      <c r="AM105" s="1761">
        <f t="shared" si="160"/>
        <v>0</v>
      </c>
      <c r="AN105" s="1761">
        <f t="shared" si="160"/>
        <v>0</v>
      </c>
      <c r="AO105" s="1761">
        <f t="shared" si="160"/>
        <v>0</v>
      </c>
      <c r="AP105" s="1761">
        <f t="shared" si="160"/>
        <v>0</v>
      </c>
      <c r="AQ105" s="1761">
        <f t="shared" si="160"/>
        <v>0</v>
      </c>
      <c r="AR105" s="1761">
        <f t="shared" si="160"/>
        <v>0</v>
      </c>
      <c r="AS105" s="1761">
        <f t="shared" si="160"/>
        <v>0</v>
      </c>
      <c r="AT105" s="1832">
        <f t="shared" si="160"/>
        <v>0</v>
      </c>
      <c r="AU105" s="2826">
        <f t="shared" ref="AU105:BD105" si="161">AU98+AU99-AU104</f>
        <v>0</v>
      </c>
      <c r="AV105" s="1761">
        <f t="shared" si="161"/>
        <v>0</v>
      </c>
      <c r="AW105" s="1761">
        <f t="shared" si="161"/>
        <v>0</v>
      </c>
      <c r="AX105" s="1832">
        <f t="shared" si="161"/>
        <v>0</v>
      </c>
      <c r="AY105" s="2826">
        <f t="shared" si="161"/>
        <v>-1</v>
      </c>
      <c r="AZ105" s="2826">
        <f t="shared" si="161"/>
        <v>0</v>
      </c>
      <c r="BA105" s="2826">
        <f t="shared" si="161"/>
        <v>5</v>
      </c>
      <c r="BB105" s="2826">
        <f t="shared" si="161"/>
        <v>0</v>
      </c>
      <c r="BC105" s="2826">
        <f t="shared" si="161"/>
        <v>0</v>
      </c>
      <c r="BD105" s="2826">
        <f t="shared" si="161"/>
        <v>0</v>
      </c>
      <c r="BE105" s="2826">
        <f t="shared" ref="BE105:BK105" si="162">BE98+BE99-BE104</f>
        <v>0</v>
      </c>
      <c r="BF105" s="2873">
        <f t="shared" si="162"/>
        <v>0.14360367893004877</v>
      </c>
      <c r="BG105" s="1761">
        <f t="shared" si="162"/>
        <v>0</v>
      </c>
      <c r="BH105" s="1761">
        <f t="shared" si="162"/>
        <v>0</v>
      </c>
      <c r="BI105" s="1761">
        <f t="shared" si="162"/>
        <v>0</v>
      </c>
      <c r="BJ105" s="1761">
        <f t="shared" si="162"/>
        <v>0</v>
      </c>
      <c r="BK105" s="1761">
        <f t="shared" si="162"/>
        <v>0</v>
      </c>
      <c r="BL105" s="1761">
        <f>BL98+BL99-BL104</f>
        <v>0</v>
      </c>
      <c r="BM105" s="1761"/>
      <c r="BN105" s="2873">
        <f t="shared" ref="BN105:BU105" si="163">BN98+BN99-BN104</f>
        <v>0</v>
      </c>
      <c r="BO105" s="2873">
        <f t="shared" si="163"/>
        <v>0</v>
      </c>
      <c r="BP105" s="2873">
        <f t="shared" si="163"/>
        <v>0</v>
      </c>
      <c r="BQ105" s="2873">
        <f t="shared" si="163"/>
        <v>0</v>
      </c>
      <c r="BR105" s="2873">
        <f t="shared" si="163"/>
        <v>0</v>
      </c>
      <c r="BS105" s="2873">
        <f t="shared" si="163"/>
        <v>0</v>
      </c>
      <c r="BT105" s="2873">
        <f t="shared" si="163"/>
        <v>0</v>
      </c>
      <c r="BU105" s="2873">
        <f t="shared" si="163"/>
        <v>0</v>
      </c>
      <c r="BV105" s="1761">
        <f>BV98+BV99-BV104</f>
        <v>0</v>
      </c>
      <c r="BW105" s="1761">
        <f>BW98+BW99-BW104</f>
        <v>0</v>
      </c>
    </row>
    <row r="106" spans="1:75" ht="12" customHeight="1" outlineLevel="1">
      <c r="A106" s="66" t="s">
        <v>78</v>
      </c>
      <c r="B106" s="142"/>
      <c r="C106" s="142">
        <v>-14.382</v>
      </c>
      <c r="D106" s="146">
        <v>-8.5630000000000006</v>
      </c>
      <c r="E106" s="146">
        <v>-2.3439999999999999</v>
      </c>
      <c r="F106" s="146">
        <v>-1.4910000000000001</v>
      </c>
      <c r="G106" s="146">
        <v>-1.512</v>
      </c>
      <c r="H106" s="146">
        <v>-1.8540000000000001</v>
      </c>
      <c r="I106" s="146">
        <v>-1.927</v>
      </c>
      <c r="J106" s="146">
        <v>-1.8540000000000001</v>
      </c>
      <c r="K106" s="146"/>
      <c r="L106" s="146"/>
      <c r="M106" s="146"/>
      <c r="N106" s="146"/>
      <c r="O106" s="146"/>
      <c r="P106" s="146"/>
      <c r="Q106" s="146"/>
      <c r="R106" s="146"/>
      <c r="S106" s="146"/>
      <c r="T106" s="146"/>
      <c r="U106" s="146"/>
      <c r="V106" s="147"/>
    </row>
    <row r="107" spans="1:75" ht="12" customHeight="1" outlineLevel="1">
      <c r="A107" s="66" t="s">
        <v>79</v>
      </c>
      <c r="B107" s="142">
        <v>-8.3539999999999992</v>
      </c>
      <c r="C107" s="142"/>
      <c r="D107" s="146"/>
      <c r="E107" s="146"/>
      <c r="F107" s="146"/>
      <c r="G107" s="146"/>
      <c r="H107" s="146"/>
      <c r="I107" s="146"/>
      <c r="J107" s="146"/>
      <c r="K107" s="146"/>
      <c r="L107" s="146"/>
      <c r="M107" s="146"/>
      <c r="N107" s="146"/>
      <c r="O107" s="146"/>
      <c r="P107" s="146"/>
      <c r="Q107" s="146"/>
      <c r="R107" s="146"/>
      <c r="S107" s="146"/>
      <c r="T107" s="146"/>
      <c r="U107" s="146"/>
      <c r="V107" s="147"/>
    </row>
    <row r="108" spans="1:75" s="473" customFormat="1" ht="12" customHeight="1">
      <c r="A108" s="67" t="s">
        <v>1977</v>
      </c>
      <c r="B108" s="444" t="s">
        <v>140</v>
      </c>
      <c r="C108" s="444" t="s">
        <v>140</v>
      </c>
      <c r="D108" s="444" t="s">
        <v>140</v>
      </c>
      <c r="E108" s="444" t="s">
        <v>140</v>
      </c>
      <c r="F108" s="211" t="e">
        <f>#REF!/F33</f>
        <v>#REF!</v>
      </c>
      <c r="G108" s="211" t="e">
        <f>#REF!/G33</f>
        <v>#REF!</v>
      </c>
      <c r="H108" s="211" t="e">
        <f>#REF!/H33</f>
        <v>#REF!</v>
      </c>
      <c r="I108" s="211" t="e">
        <f>#REF!/I33</f>
        <v>#REF!</v>
      </c>
      <c r="J108" s="211" t="e">
        <f>#REF!/J33</f>
        <v>#REF!</v>
      </c>
      <c r="K108" s="211" t="e">
        <f>#REF!/K33</f>
        <v>#REF!</v>
      </c>
      <c r="L108" s="211">
        <f t="shared" ref="L108:Q108" si="164">L104/L30</f>
        <v>0.20933602256767136</v>
      </c>
      <c r="M108" s="211">
        <f t="shared" si="164"/>
        <v>0.17120203053254476</v>
      </c>
      <c r="N108" s="211">
        <f t="shared" si="164"/>
        <v>0.24244594901747404</v>
      </c>
      <c r="O108" s="211">
        <f t="shared" si="164"/>
        <v>0.26983042625712894</v>
      </c>
      <c r="P108" s="211">
        <f t="shared" si="164"/>
        <v>0.27862693068735606</v>
      </c>
      <c r="Q108" s="211">
        <f t="shared" si="164"/>
        <v>0.30222326042105574</v>
      </c>
      <c r="R108" s="211"/>
      <c r="S108" s="211">
        <f t="shared" ref="S108:BI108" si="165">S104/S30</f>
        <v>0.22672894237275354</v>
      </c>
      <c r="T108" s="211">
        <f t="shared" si="165"/>
        <v>0.38568165726202674</v>
      </c>
      <c r="U108" s="211">
        <f t="shared" si="165"/>
        <v>0.25213513033782586</v>
      </c>
      <c r="V108" s="446">
        <f t="shared" si="165"/>
        <v>0.26254948104328424</v>
      </c>
      <c r="W108" s="211">
        <f t="shared" si="165"/>
        <v>0.17430319270021816</v>
      </c>
      <c r="X108" s="473">
        <f t="shared" si="165"/>
        <v>0.22717537683369707</v>
      </c>
      <c r="Y108" s="473">
        <f t="shared" si="165"/>
        <v>0.13711146733605162</v>
      </c>
      <c r="Z108" s="486">
        <f t="shared" si="165"/>
        <v>0.28696070954547137</v>
      </c>
      <c r="AA108" s="473">
        <f t="shared" si="165"/>
        <v>0.18832034666388911</v>
      </c>
      <c r="AB108" s="473">
        <f t="shared" si="165"/>
        <v>0.23812057042422091</v>
      </c>
      <c r="AC108" s="473">
        <f t="shared" si="165"/>
        <v>0.38799723682456744</v>
      </c>
      <c r="AD108" s="486">
        <f t="shared" si="165"/>
        <v>-0.19815896226061711</v>
      </c>
      <c r="AE108" s="211">
        <f t="shared" si="165"/>
        <v>0.20736622929914975</v>
      </c>
      <c r="AF108" s="211">
        <f t="shared" si="165"/>
        <v>0.27632061799884311</v>
      </c>
      <c r="AG108" s="211">
        <f t="shared" si="165"/>
        <v>0.36450567127242739</v>
      </c>
      <c r="AH108" s="446">
        <f t="shared" si="165"/>
        <v>0.20105820105820105</v>
      </c>
      <c r="AI108" s="211">
        <f t="shared" si="165"/>
        <v>0.26965103983080718</v>
      </c>
      <c r="AJ108" s="211">
        <f t="shared" si="165"/>
        <v>0.25428571428571428</v>
      </c>
      <c r="AK108" s="211">
        <f t="shared" si="165"/>
        <v>0.38690476190476192</v>
      </c>
      <c r="AL108" s="446">
        <f t="shared" si="165"/>
        <v>0.35070380353399222</v>
      </c>
      <c r="AM108" s="211">
        <f t="shared" si="165"/>
        <v>-0.30550699300699302</v>
      </c>
      <c r="AN108" s="211">
        <f t="shared" si="165"/>
        <v>0.19365079365079366</v>
      </c>
      <c r="AO108" s="211">
        <f t="shared" si="165"/>
        <v>0.30340909090909091</v>
      </c>
      <c r="AP108" s="211">
        <f t="shared" si="165"/>
        <v>-0.1332794830371567</v>
      </c>
      <c r="AQ108" s="211">
        <f t="shared" si="165"/>
        <v>-4.8203330411919369E-2</v>
      </c>
      <c r="AR108" s="211">
        <f t="shared" si="165"/>
        <v>-7.7314814814814808E-2</v>
      </c>
      <c r="AS108" s="211">
        <f t="shared" si="165"/>
        <v>0.16445680068434559</v>
      </c>
      <c r="AT108" s="446">
        <f t="shared" si="165"/>
        <v>0.2073129822207313</v>
      </c>
      <c r="AU108" s="447">
        <f t="shared" si="165"/>
        <v>-0.25974025974025972</v>
      </c>
      <c r="AV108" s="211">
        <f t="shared" si="165"/>
        <v>0.19958081043316256</v>
      </c>
      <c r="AW108" s="211">
        <f t="shared" si="165"/>
        <v>0.2752808988764045</v>
      </c>
      <c r="AX108" s="446">
        <f t="shared" si="165"/>
        <v>0.30501358360088909</v>
      </c>
      <c r="AY108" s="447">
        <f t="shared" si="165"/>
        <v>7.0407623080995241E-2</v>
      </c>
      <c r="AZ108" s="82">
        <f t="shared" si="165"/>
        <v>0.2361772244599048</v>
      </c>
      <c r="BA108" s="82">
        <f t="shared" si="165"/>
        <v>0.34205149162239479</v>
      </c>
      <c r="BB108" s="1513">
        <f t="shared" si="165"/>
        <v>4.6404682274247488E-2</v>
      </c>
      <c r="BC108" s="82">
        <f t="shared" si="165"/>
        <v>0.17576443941109854</v>
      </c>
      <c r="BD108" s="82">
        <f t="shared" si="165"/>
        <v>0.25960061443932414</v>
      </c>
      <c r="BE108" s="82">
        <f t="shared" si="165"/>
        <v>0.31486114585939456</v>
      </c>
      <c r="BF108" s="1513">
        <f t="shared" si="165"/>
        <v>0.19521111314202158</v>
      </c>
      <c r="BG108" s="82">
        <f t="shared" si="165"/>
        <v>6.9928601427971443E-2</v>
      </c>
      <c r="BH108" s="82">
        <f t="shared" si="165"/>
        <v>0.13165636952044718</v>
      </c>
      <c r="BI108" s="82">
        <f t="shared" si="165"/>
        <v>0.30506216696269983</v>
      </c>
      <c r="BJ108" s="82">
        <f t="shared" ref="BJ108:BK108" si="166">BJ104/BJ30</f>
        <v>0.22491730981256891</v>
      </c>
      <c r="BK108" s="82">
        <f t="shared" si="166"/>
        <v>0.1957700650759219</v>
      </c>
      <c r="BL108" s="3511">
        <f>BL104/BL30</f>
        <v>0.26523394994559302</v>
      </c>
      <c r="BM108" s="82"/>
      <c r="BN108" s="489">
        <f t="shared" ref="BN108" si="167">BN104/BN30</f>
        <v>0.19993249561621773</v>
      </c>
      <c r="BO108" s="489">
        <f t="shared" ref="BO108:BW108" si="168">BO104/BO30</f>
        <v>0.18328412354718632</v>
      </c>
      <c r="BP108" s="489">
        <f t="shared" si="168"/>
        <v>0.27520766942503744</v>
      </c>
      <c r="BQ108" s="489">
        <f t="shared" si="168"/>
        <v>0.32291251825302003</v>
      </c>
      <c r="BR108" s="489">
        <f t="shared" si="168"/>
        <v>8.6815773984696889E-3</v>
      </c>
      <c r="BS108" s="489">
        <f t="shared" si="168"/>
        <v>0.10631502098923161</v>
      </c>
      <c r="BT108" s="489">
        <f t="shared" si="168"/>
        <v>0.18970157987126976</v>
      </c>
      <c r="BU108" s="489">
        <f t="shared" si="168"/>
        <v>0.20730166159606833</v>
      </c>
      <c r="BV108" s="489">
        <f t="shared" si="168"/>
        <v>0.24777791819368972</v>
      </c>
      <c r="BW108" s="489">
        <f t="shared" si="168"/>
        <v>0.20076531559980682</v>
      </c>
    </row>
    <row r="109" spans="1:75" s="473" customFormat="1">
      <c r="A109" s="67" t="s">
        <v>1978</v>
      </c>
      <c r="B109" s="444" t="s">
        <v>140</v>
      </c>
      <c r="C109" s="444" t="s">
        <v>140</v>
      </c>
      <c r="D109" s="444" t="s">
        <v>140</v>
      </c>
      <c r="E109" s="444" t="s">
        <v>140</v>
      </c>
      <c r="F109" s="211"/>
      <c r="G109" s="211"/>
      <c r="H109" s="211"/>
      <c r="I109" s="211"/>
      <c r="J109" s="211"/>
      <c r="K109" s="211"/>
      <c r="L109" s="211">
        <f t="shared" ref="L109:Q109" si="169">L104/L35</f>
        <v>0.38823474356401638</v>
      </c>
      <c r="M109" s="211">
        <f t="shared" si="169"/>
        <v>0.27666318660681594</v>
      </c>
      <c r="N109" s="211">
        <f t="shared" si="169"/>
        <v>0.34287050144810843</v>
      </c>
      <c r="O109" s="211">
        <f t="shared" si="169"/>
        <v>0.3476192190330244</v>
      </c>
      <c r="P109" s="211">
        <f t="shared" si="169"/>
        <v>0.33114691230720833</v>
      </c>
      <c r="Q109" s="211">
        <f t="shared" si="169"/>
        <v>0.33640773562689458</v>
      </c>
      <c r="R109" s="211"/>
      <c r="S109" s="211">
        <f t="shared" ref="S109:BI109" si="170">S104/S35</f>
        <v>0.24704023974320874</v>
      </c>
      <c r="T109" s="211">
        <f t="shared" si="170"/>
        <v>0.40604597727669084</v>
      </c>
      <c r="U109" s="211">
        <f t="shared" si="170"/>
        <v>0.26831625059926584</v>
      </c>
      <c r="V109" s="446">
        <f t="shared" si="170"/>
        <v>0.28186771420726747</v>
      </c>
      <c r="W109" s="211">
        <f t="shared" si="170"/>
        <v>0.18540889846245262</v>
      </c>
      <c r="X109" s="473">
        <f t="shared" si="170"/>
        <v>0.23896357669586776</v>
      </c>
      <c r="Y109" s="473">
        <f t="shared" si="170"/>
        <v>0.14098860900463436</v>
      </c>
      <c r="Z109" s="486">
        <f t="shared" si="170"/>
        <v>0.29604618951036327</v>
      </c>
      <c r="AA109" s="473">
        <f t="shared" si="170"/>
        <v>0.19519157239952273</v>
      </c>
      <c r="AB109" s="473">
        <f t="shared" si="170"/>
        <v>0.24398861174857223</v>
      </c>
      <c r="AC109" s="473">
        <f t="shared" si="170"/>
        <v>0.39327240977535299</v>
      </c>
      <c r="AD109" s="486">
        <f t="shared" si="170"/>
        <v>-0.20053048023009862</v>
      </c>
      <c r="AE109" s="473">
        <f t="shared" si="170"/>
        <v>0.20736622929914975</v>
      </c>
      <c r="AF109" s="473">
        <f t="shared" si="170"/>
        <v>0.27632061799884311</v>
      </c>
      <c r="AG109" s="473">
        <f t="shared" si="170"/>
        <v>0.36450567127242739</v>
      </c>
      <c r="AH109" s="486">
        <f t="shared" si="170"/>
        <v>0.20105820105820105</v>
      </c>
      <c r="AI109" s="473">
        <f t="shared" si="170"/>
        <v>0.26965103983080718</v>
      </c>
      <c r="AJ109" s="473">
        <f t="shared" si="170"/>
        <v>0.25428571428571428</v>
      </c>
      <c r="AK109" s="473">
        <f t="shared" si="170"/>
        <v>0.38690476190476192</v>
      </c>
      <c r="AL109" s="486">
        <f t="shared" si="170"/>
        <v>0.35070380353399222</v>
      </c>
      <c r="AM109" s="473">
        <f t="shared" si="170"/>
        <v>-0.30550699300699302</v>
      </c>
      <c r="AN109" s="473">
        <f t="shared" si="170"/>
        <v>0.19365079365079366</v>
      </c>
      <c r="AO109" s="473">
        <f t="shared" si="170"/>
        <v>0.30340909090909091</v>
      </c>
      <c r="AP109" s="473">
        <f t="shared" si="170"/>
        <v>-0.1332794830371567</v>
      </c>
      <c r="AQ109" s="473">
        <f t="shared" si="170"/>
        <v>-4.8203330411919369E-2</v>
      </c>
      <c r="AR109" s="473">
        <f t="shared" si="170"/>
        <v>-7.7314814814814808E-2</v>
      </c>
      <c r="AS109" s="473">
        <f t="shared" si="170"/>
        <v>0.16445680068434559</v>
      </c>
      <c r="AT109" s="486">
        <f t="shared" si="170"/>
        <v>0.2073129822207313</v>
      </c>
      <c r="AU109" s="2819">
        <f t="shared" si="170"/>
        <v>-0.25974025974025972</v>
      </c>
      <c r="AV109" s="473">
        <f t="shared" si="170"/>
        <v>0.19958081043316256</v>
      </c>
      <c r="AW109" s="473">
        <f t="shared" si="170"/>
        <v>0.2752808988764045</v>
      </c>
      <c r="AX109" s="486">
        <f t="shared" si="170"/>
        <v>0.30501358360088909</v>
      </c>
      <c r="AY109" s="2819">
        <f t="shared" si="170"/>
        <v>7.0407623080995241E-2</v>
      </c>
      <c r="AZ109" s="3101">
        <f t="shared" si="170"/>
        <v>0.2361772244599048</v>
      </c>
      <c r="BA109" s="3101">
        <f t="shared" si="170"/>
        <v>0.34205149162239479</v>
      </c>
      <c r="BB109" s="3102">
        <f t="shared" si="170"/>
        <v>4.6404682274247488E-2</v>
      </c>
      <c r="BC109" s="3101">
        <f t="shared" si="170"/>
        <v>0.17576443941109854</v>
      </c>
      <c r="BD109" s="3101">
        <f t="shared" si="170"/>
        <v>0.25960061443932414</v>
      </c>
      <c r="BE109" s="3101">
        <f t="shared" si="170"/>
        <v>0.31486114585939456</v>
      </c>
      <c r="BF109" s="3102">
        <f t="shared" si="170"/>
        <v>0.19520598934413835</v>
      </c>
      <c r="BG109" s="3101">
        <f t="shared" si="170"/>
        <v>6.9928601427971443E-2</v>
      </c>
      <c r="BH109" s="3101">
        <f t="shared" si="170"/>
        <v>0.13165636952044718</v>
      </c>
      <c r="BI109" s="3101">
        <f t="shared" si="170"/>
        <v>0.30506216696269983</v>
      </c>
      <c r="BJ109" s="3101">
        <f t="shared" ref="BJ109:BK109" si="171">BJ104/BJ35</f>
        <v>0.22491730981256891</v>
      </c>
      <c r="BK109" s="3101">
        <f t="shared" si="171"/>
        <v>0.1957700650759219</v>
      </c>
      <c r="BL109" s="3515">
        <f>BL104/BL35</f>
        <v>0.26523394994559302</v>
      </c>
      <c r="BM109" s="3101"/>
      <c r="BN109" s="489">
        <f t="shared" ref="BN109" si="172">BN104/BN35</f>
        <v>0.2082346230018309</v>
      </c>
      <c r="BO109" s="489">
        <f t="shared" ref="BO109:BW109" si="173">BO104/BO35</f>
        <v>0.18697820570216359</v>
      </c>
      <c r="BP109" s="489">
        <f t="shared" si="173"/>
        <v>0.27520766942503744</v>
      </c>
      <c r="BQ109" s="489">
        <f t="shared" si="173"/>
        <v>0.32291251825302003</v>
      </c>
      <c r="BR109" s="489">
        <f t="shared" si="173"/>
        <v>8.6815773984696889E-3</v>
      </c>
      <c r="BS109" s="489">
        <f t="shared" si="173"/>
        <v>0.10631502098923161</v>
      </c>
      <c r="BT109" s="489">
        <f t="shared" si="173"/>
        <v>0.18970157987126976</v>
      </c>
      <c r="BU109" s="489">
        <f t="shared" si="173"/>
        <v>0.20730166159606833</v>
      </c>
      <c r="BV109" s="489">
        <f t="shared" si="173"/>
        <v>0.24777791819368972</v>
      </c>
      <c r="BW109" s="489">
        <f t="shared" si="173"/>
        <v>0.20076531559980682</v>
      </c>
    </row>
    <row r="110" spans="1:75" s="473" customFormat="1">
      <c r="A110" s="476" t="s">
        <v>973</v>
      </c>
      <c r="B110" s="469" t="s">
        <v>140</v>
      </c>
      <c r="C110" s="469" t="s">
        <v>140</v>
      </c>
      <c r="D110" s="469" t="s">
        <v>140</v>
      </c>
      <c r="E110" s="469" t="s">
        <v>140</v>
      </c>
      <c r="F110" s="2"/>
      <c r="G110" s="2"/>
      <c r="H110" s="2"/>
      <c r="I110" s="2"/>
      <c r="J110" s="2"/>
      <c r="K110" s="2"/>
      <c r="L110" s="2">
        <f t="shared" ref="L110:Q110" si="174">-L99/L98</f>
        <v>-0.10664206808922409</v>
      </c>
      <c r="M110" s="2">
        <f t="shared" si="174"/>
        <v>0.29230332193015246</v>
      </c>
      <c r="N110" s="2">
        <f t="shared" si="174"/>
        <v>0.2256648296453998</v>
      </c>
      <c r="O110" s="2">
        <f t="shared" si="174"/>
        <v>0.19174637841973496</v>
      </c>
      <c r="P110" s="2">
        <f t="shared" si="174"/>
        <v>0.17580339441515636</v>
      </c>
      <c r="Q110" s="2">
        <f t="shared" si="174"/>
        <v>0.1898996068839465</v>
      </c>
      <c r="R110" s="2"/>
      <c r="S110" s="2">
        <f t="shared" ref="S110:AI110" si="175">-S99/S98</f>
        <v>0.202575045074085</v>
      </c>
      <c r="T110" s="2">
        <f t="shared" si="175"/>
        <v>0.17816463737063665</v>
      </c>
      <c r="U110" s="2">
        <f t="shared" si="175"/>
        <v>0.18208433287431483</v>
      </c>
      <c r="V110" s="480">
        <f t="shared" si="175"/>
        <v>0.18443126022913256</v>
      </c>
      <c r="W110" s="2">
        <f t="shared" si="175"/>
        <v>0.18690620704332098</v>
      </c>
      <c r="X110" s="473">
        <f t="shared" si="175"/>
        <v>0.1586462264284681</v>
      </c>
      <c r="Y110" s="473">
        <f t="shared" si="175"/>
        <v>0.36550876731050097</v>
      </c>
      <c r="Z110" s="486">
        <f t="shared" si="175"/>
        <v>0.11637512243284387</v>
      </c>
      <c r="AA110" s="473">
        <f t="shared" si="175"/>
        <v>0.13643979454521329</v>
      </c>
      <c r="AB110" s="473">
        <f t="shared" si="175"/>
        <v>0.1703321589137492</v>
      </c>
      <c r="AC110" s="473">
        <f t="shared" si="175"/>
        <v>0.16762456788002966</v>
      </c>
      <c r="AD110" s="486">
        <f t="shared" si="175"/>
        <v>1.5777009891948839</v>
      </c>
      <c r="AE110" s="473">
        <f t="shared" si="175"/>
        <v>0.19397294968918302</v>
      </c>
      <c r="AF110" s="473">
        <f t="shared" si="175"/>
        <v>0.19152691968225946</v>
      </c>
      <c r="AG110" s="473">
        <f t="shared" si="175"/>
        <v>0.21120907408035497</v>
      </c>
      <c r="AH110" s="486">
        <f t="shared" si="175"/>
        <v>-2.2151898734177215E-2</v>
      </c>
      <c r="AI110" s="473">
        <f t="shared" si="175"/>
        <v>0.20971074380165289</v>
      </c>
      <c r="AJ110" s="473">
        <f t="shared" ref="AJ110:AX110" si="176">-AJ99/AJ98</f>
        <v>0.18889809444904723</v>
      </c>
      <c r="AK110" s="473">
        <f t="shared" si="176"/>
        <v>0.17477782479898435</v>
      </c>
      <c r="AL110" s="486">
        <f t="shared" si="176"/>
        <v>0.17535211267605633</v>
      </c>
      <c r="AM110" s="473">
        <f t="shared" si="176"/>
        <v>3.1855955678670361E-2</v>
      </c>
      <c r="AN110" s="473">
        <f t="shared" si="176"/>
        <v>0.41626794258373206</v>
      </c>
      <c r="AO110" s="473">
        <f t="shared" si="176"/>
        <v>4.0718562874251497E-2</v>
      </c>
      <c r="AP110" s="473">
        <f t="shared" si="176"/>
        <v>1.6734693877551021</v>
      </c>
      <c r="AQ110" s="473">
        <f t="shared" si="176"/>
        <v>0.80215827338129497</v>
      </c>
      <c r="AR110" s="473">
        <f t="shared" si="176"/>
        <v>-3.0731707317073171</v>
      </c>
      <c r="AS110" s="473">
        <f t="shared" si="176"/>
        <v>0.20557851239669422</v>
      </c>
      <c r="AT110" s="486">
        <f t="shared" si="176"/>
        <v>0.24264705882352941</v>
      </c>
      <c r="AU110" s="2819">
        <f t="shared" si="176"/>
        <v>0.17550058892815076</v>
      </c>
      <c r="AV110" s="473">
        <f t="shared" si="176"/>
        <v>0.25087412587412589</v>
      </c>
      <c r="AW110" s="473">
        <f t="shared" si="176"/>
        <v>0.234375</v>
      </c>
      <c r="AX110" s="486">
        <f t="shared" si="176"/>
        <v>0.14944903581267219</v>
      </c>
      <c r="AY110" s="2819">
        <f>-AY99/AY98</f>
        <v>0.12251655629139073</v>
      </c>
      <c r="AZ110" s="3101">
        <f>-AZ99/AZ98</f>
        <v>0.20271940667490729</v>
      </c>
      <c r="BA110" s="3101">
        <f>-BA99/BA98</f>
        <v>0.20228281547241597</v>
      </c>
      <c r="BB110" s="3102">
        <f t="shared" ref="BB110:BG110" si="177">-BB99/BB98</f>
        <v>0.45985401459854014</v>
      </c>
      <c r="BC110" s="3101">
        <f t="shared" si="177"/>
        <v>0.17182497331910351</v>
      </c>
      <c r="BD110" s="3101">
        <f t="shared" si="177"/>
        <v>0.20863683662851196</v>
      </c>
      <c r="BE110" s="3101">
        <f t="shared" si="177"/>
        <v>0.12269083304287208</v>
      </c>
      <c r="BF110" s="3102">
        <f t="shared" si="177"/>
        <v>0.31710643372730457</v>
      </c>
      <c r="BG110" s="3101">
        <f t="shared" si="177"/>
        <v>0.15909090909090909</v>
      </c>
      <c r="BH110" s="3101">
        <f>-BH99/BH98</f>
        <v>0.18931159420289856</v>
      </c>
      <c r="BI110" s="3101">
        <f>-BI99/BI98</f>
        <v>0.20784087633323725</v>
      </c>
      <c r="BJ110" s="3101">
        <f>-BJ99/BJ98</f>
        <v>0.23349436392914655</v>
      </c>
      <c r="BK110" s="3101">
        <f>-BK99/BK98</f>
        <v>0.22587562544674766</v>
      </c>
      <c r="BL110" s="3515">
        <f>-BL99/BL98</f>
        <v>0.23828125</v>
      </c>
      <c r="BM110" s="3101"/>
      <c r="BN110" s="489">
        <f>-BN99/BN98</f>
        <v>0.21211447595801655</v>
      </c>
      <c r="BO110" s="489">
        <f t="shared" ref="BO110:BW110" si="178">-BO99/BO98</f>
        <v>0.46956911295317572</v>
      </c>
      <c r="BP110" s="489">
        <f t="shared" si="178"/>
        <v>0.17310060875412131</v>
      </c>
      <c r="BQ110" s="489">
        <f t="shared" si="178"/>
        <v>0.18345082242363209</v>
      </c>
      <c r="BR110" s="489">
        <f t="shared" si="178"/>
        <v>0.89594356261022923</v>
      </c>
      <c r="BS110" s="489">
        <f t="shared" si="178"/>
        <v>0.20477815699658702</v>
      </c>
      <c r="BT110" s="489">
        <f t="shared" si="178"/>
        <v>0.21061602142683225</v>
      </c>
      <c r="BU110" s="489">
        <f t="shared" si="178"/>
        <v>0.19178832116788322</v>
      </c>
      <c r="BV110" s="489">
        <f t="shared" si="178"/>
        <v>0.19336258913878224</v>
      </c>
      <c r="BW110" s="489">
        <f t="shared" si="178"/>
        <v>0.20901639344262296</v>
      </c>
    </row>
    <row r="111" spans="1:75" s="473" customFormat="1">
      <c r="A111" s="476"/>
      <c r="B111" s="469"/>
      <c r="C111" s="469"/>
      <c r="D111" s="469"/>
      <c r="E111" s="469"/>
      <c r="F111" s="2"/>
      <c r="G111" s="2"/>
      <c r="H111" s="2"/>
      <c r="I111" s="2"/>
      <c r="J111" s="2"/>
      <c r="K111" s="2"/>
      <c r="L111" s="2"/>
      <c r="M111" s="2"/>
      <c r="N111" s="2"/>
      <c r="O111" s="2"/>
      <c r="P111" s="2"/>
      <c r="Q111" s="2"/>
      <c r="R111" s="2"/>
      <c r="S111" s="2"/>
      <c r="T111" s="2"/>
      <c r="U111" s="2"/>
      <c r="V111" s="480"/>
      <c r="W111" s="2"/>
      <c r="Z111" s="486"/>
      <c r="AD111" s="486"/>
      <c r="AH111" s="486"/>
      <c r="AL111" s="486"/>
      <c r="AT111" s="486"/>
      <c r="AU111" s="2819"/>
      <c r="AX111" s="486"/>
      <c r="AY111" s="2819"/>
      <c r="AZ111" s="3101"/>
      <c r="BA111" s="3101"/>
      <c r="BB111" s="3102"/>
      <c r="BC111" s="3101"/>
      <c r="BD111" s="3101"/>
      <c r="BE111" s="3101"/>
      <c r="BF111" s="3102"/>
      <c r="BG111" s="3101"/>
      <c r="BH111" s="3101"/>
      <c r="BI111" s="3101"/>
      <c r="BJ111" s="3101"/>
      <c r="BK111" s="3101"/>
      <c r="BL111" s="3101"/>
      <c r="BM111" s="3102"/>
      <c r="BN111" s="489"/>
      <c r="BO111" s="489"/>
      <c r="BP111" s="489"/>
      <c r="BQ111" s="2819"/>
      <c r="BR111" s="489"/>
      <c r="BS111" s="489"/>
      <c r="BT111" s="489"/>
    </row>
    <row r="112" spans="1:75" s="1563" customFormat="1">
      <c r="A112" s="1579" t="s">
        <v>83</v>
      </c>
      <c r="B112" s="1562" t="e">
        <f>#REF!+B75</f>
        <v>#REF!</v>
      </c>
      <c r="C112" s="1562" t="e">
        <f>#REF!+C75</f>
        <v>#REF!</v>
      </c>
      <c r="D112" s="1563" t="e">
        <f>#REF!+D75</f>
        <v>#REF!</v>
      </c>
      <c r="E112" s="1563" t="e">
        <f>#REF!+E75</f>
        <v>#REF!</v>
      </c>
      <c r="F112" s="1563" t="e">
        <f>#REF!+F75</f>
        <v>#REF!</v>
      </c>
      <c r="G112" s="1563" t="e">
        <f>#REF!+G75</f>
        <v>#REF!</v>
      </c>
      <c r="H112" s="1563" t="e">
        <f>#REF!+H75</f>
        <v>#REF!</v>
      </c>
      <c r="I112" s="1563" t="e">
        <f>#REF!+I75</f>
        <v>#REF!</v>
      </c>
      <c r="J112" s="1563" t="e">
        <f>#REF!+J75</f>
        <v>#REF!</v>
      </c>
      <c r="K112" s="1563" t="e">
        <f>#REF!+K75</f>
        <v>#REF!</v>
      </c>
      <c r="L112" s="1563">
        <f t="shared" ref="L112:Q112" si="179">L104+L75</f>
        <v>530.17200000000003</v>
      </c>
      <c r="M112" s="1563">
        <f t="shared" si="179"/>
        <v>596.3420000000001</v>
      </c>
      <c r="N112" s="1563">
        <f t="shared" si="179"/>
        <v>1121.7239999999999</v>
      </c>
      <c r="O112" s="1563">
        <f t="shared" si="179"/>
        <v>1491.1310000000001</v>
      </c>
      <c r="P112" s="1563">
        <f t="shared" si="179"/>
        <v>2033.3240000000001</v>
      </c>
      <c r="Q112" s="1563">
        <f t="shared" si="179"/>
        <v>2737.7850000000003</v>
      </c>
      <c r="S112" s="1563">
        <f t="shared" ref="S112:X112" si="180">S104+S75</f>
        <v>577.19600000000003</v>
      </c>
      <c r="T112" s="1563">
        <f t="shared" si="180"/>
        <v>1255.0059999999999</v>
      </c>
      <c r="U112" s="1563">
        <f t="shared" si="180"/>
        <v>579.21799999999996</v>
      </c>
      <c r="V112" s="1564">
        <f t="shared" si="180"/>
        <v>2669.1480000000001</v>
      </c>
      <c r="W112" s="1565">
        <f t="shared" si="180"/>
        <v>440.42399999999998</v>
      </c>
      <c r="X112" s="1563">
        <f t="shared" si="180"/>
        <v>635.61400000000003</v>
      </c>
      <c r="Y112" s="1563">
        <v>1483.7</v>
      </c>
      <c r="Z112" s="1564">
        <f t="shared" ref="Z112:AO112" si="181">Z104+Z75</f>
        <v>748.58400000000006</v>
      </c>
      <c r="AA112" s="1563">
        <f t="shared" si="181"/>
        <v>514.68200000000002</v>
      </c>
      <c r="AB112" s="1563">
        <f t="shared" si="181"/>
        <v>787.19699999999989</v>
      </c>
      <c r="AC112" s="1563">
        <f t="shared" si="181"/>
        <v>1786.8920000000001</v>
      </c>
      <c r="AD112" s="1564">
        <f t="shared" si="181"/>
        <v>-486.73199999999997</v>
      </c>
      <c r="AE112" s="1563">
        <f t="shared" si="181"/>
        <v>678.70999999999958</v>
      </c>
      <c r="AF112" s="1563">
        <f t="shared" si="181"/>
        <v>1055.373</v>
      </c>
      <c r="AG112" s="1563">
        <f t="shared" si="181"/>
        <v>1843.8700000000003</v>
      </c>
      <c r="AH112" s="1564">
        <f t="shared" si="181"/>
        <v>751.11699999999996</v>
      </c>
      <c r="AI112" s="1563">
        <f t="shared" si="181"/>
        <v>843</v>
      </c>
      <c r="AJ112" s="1563">
        <f t="shared" si="181"/>
        <v>1063</v>
      </c>
      <c r="AK112" s="1563">
        <f t="shared" si="181"/>
        <v>2033</v>
      </c>
      <c r="AL112" s="1564">
        <f t="shared" si="181"/>
        <v>1251</v>
      </c>
      <c r="AM112" s="1563">
        <f t="shared" si="181"/>
        <v>-688</v>
      </c>
      <c r="AN112" s="1563">
        <f t="shared" si="181"/>
        <v>205</v>
      </c>
      <c r="AO112" s="1563">
        <f t="shared" si="181"/>
        <v>880</v>
      </c>
      <c r="AP112" s="1563">
        <f t="shared" ref="AP112:AU112" si="182">AP104+AP75</f>
        <v>-83</v>
      </c>
      <c r="AQ112" s="1563">
        <f t="shared" si="182"/>
        <v>54</v>
      </c>
      <c r="AR112" s="1563">
        <f t="shared" si="182"/>
        <v>-77</v>
      </c>
      <c r="AS112" s="1563">
        <f t="shared" si="182"/>
        <v>854</v>
      </c>
      <c r="AT112" s="1564">
        <f t="shared" si="182"/>
        <v>710</v>
      </c>
      <c r="AU112" s="1588">
        <f t="shared" si="182"/>
        <v>-607</v>
      </c>
      <c r="AV112" s="1563">
        <f t="shared" ref="AV112:BA112" si="183">AV104+AV75</f>
        <v>965</v>
      </c>
      <c r="AW112" s="1563">
        <f t="shared" si="183"/>
        <v>1767</v>
      </c>
      <c r="AX112" s="1564">
        <f t="shared" si="183"/>
        <v>1337</v>
      </c>
      <c r="AY112" s="1588">
        <f t="shared" si="183"/>
        <v>379</v>
      </c>
      <c r="AZ112" s="1583">
        <f t="shared" si="183"/>
        <v>1418</v>
      </c>
      <c r="BA112" s="1583">
        <f t="shared" si="183"/>
        <v>2639</v>
      </c>
      <c r="BB112" s="3111">
        <f t="shared" ref="BB112:BG112" si="184">BB104+BB75</f>
        <v>383</v>
      </c>
      <c r="BC112" s="1583">
        <f t="shared" si="184"/>
        <v>920</v>
      </c>
      <c r="BD112" s="1583">
        <f t="shared" si="184"/>
        <v>1661</v>
      </c>
      <c r="BE112" s="1583">
        <f t="shared" si="184"/>
        <v>2665</v>
      </c>
      <c r="BF112" s="3111">
        <f t="shared" si="184"/>
        <v>1235</v>
      </c>
      <c r="BG112" s="1583">
        <f t="shared" si="184"/>
        <v>475</v>
      </c>
      <c r="BH112" s="1583">
        <f>BH104+BH75</f>
        <v>1049</v>
      </c>
      <c r="BI112" s="1583">
        <f>BI104+BI75</f>
        <v>2898</v>
      </c>
      <c r="BJ112" s="1583">
        <f>BJ104+BJ75</f>
        <v>1595</v>
      </c>
      <c r="BK112" s="1583">
        <f>BK104+BK75</f>
        <v>1224</v>
      </c>
      <c r="BL112" s="3512">
        <f>BL104+BL75</f>
        <v>2090</v>
      </c>
      <c r="BM112" s="1583"/>
      <c r="BN112" s="1567">
        <f t="shared" ref="BN112:BW112" si="185">BN104+BN75</f>
        <v>2397.6020000000012</v>
      </c>
      <c r="BO112" s="1567">
        <f t="shared" si="185"/>
        <v>2585.5150000000008</v>
      </c>
      <c r="BP112" s="1567">
        <f t="shared" si="185"/>
        <v>4329.0229999999992</v>
      </c>
      <c r="BQ112" s="1588">
        <f t="shared" si="185"/>
        <v>5190</v>
      </c>
      <c r="BR112" s="1567">
        <f t="shared" si="185"/>
        <v>314</v>
      </c>
      <c r="BS112" s="1567">
        <f t="shared" si="185"/>
        <v>1541</v>
      </c>
      <c r="BT112" s="1567">
        <f t="shared" si="185"/>
        <v>3646</v>
      </c>
      <c r="BU112" s="1567">
        <f t="shared" si="185"/>
        <v>4959</v>
      </c>
      <c r="BV112" s="1567">
        <f t="shared" si="185"/>
        <v>6481</v>
      </c>
      <c r="BW112" s="1567">
        <f t="shared" si="185"/>
        <v>6017</v>
      </c>
    </row>
    <row r="113" spans="1:75" s="473" customFormat="1">
      <c r="A113" s="476" t="s">
        <v>1979</v>
      </c>
      <c r="B113" s="469" t="s">
        <v>140</v>
      </c>
      <c r="C113" s="469" t="s">
        <v>140</v>
      </c>
      <c r="D113" s="469" t="s">
        <v>140</v>
      </c>
      <c r="E113" s="469" t="s">
        <v>140</v>
      </c>
      <c r="F113" s="2" t="e">
        <f t="shared" ref="F113:K113" si="186">F112/F33</f>
        <v>#REF!</v>
      </c>
      <c r="G113" s="2" t="e">
        <f t="shared" si="186"/>
        <v>#REF!</v>
      </c>
      <c r="H113" s="2" t="e">
        <f t="shared" si="186"/>
        <v>#REF!</v>
      </c>
      <c r="I113" s="2" t="e">
        <f t="shared" si="186"/>
        <v>#REF!</v>
      </c>
      <c r="J113" s="2" t="e">
        <f t="shared" si="186"/>
        <v>#REF!</v>
      </c>
      <c r="K113" s="2" t="e">
        <f t="shared" si="186"/>
        <v>#REF!</v>
      </c>
      <c r="L113" s="2"/>
      <c r="M113" s="2">
        <f>M112/M33</f>
        <v>0.19330968052500808</v>
      </c>
      <c r="N113" s="2">
        <f>N112/N33</f>
        <v>0.25753545427620933</v>
      </c>
      <c r="O113" s="2">
        <f>O112/O33</f>
        <v>0.2834334672253484</v>
      </c>
      <c r="P113" s="2">
        <f>P112/P33</f>
        <v>0.29931288241689691</v>
      </c>
      <c r="Q113" s="2">
        <f>Q112/Q33</f>
        <v>0.32430637347605201</v>
      </c>
      <c r="R113" s="2"/>
      <c r="S113" s="2">
        <f t="shared" ref="S113:BI113" si="187">S112/S33</f>
        <v>0.25311206776714756</v>
      </c>
      <c r="T113" s="2">
        <f t="shared" si="187"/>
        <v>0.40446214687481163</v>
      </c>
      <c r="U113" s="2">
        <f t="shared" si="187"/>
        <v>0.28960972402431007</v>
      </c>
      <c r="V113" s="480">
        <f t="shared" si="187"/>
        <v>0.28937031242563549</v>
      </c>
      <c r="W113" s="473">
        <f t="shared" si="187"/>
        <v>0.20502774753167768</v>
      </c>
      <c r="X113" s="473">
        <f t="shared" si="187"/>
        <v>0.24868480872897319</v>
      </c>
      <c r="Y113" s="473">
        <f t="shared" si="187"/>
        <v>0.40202658030560195</v>
      </c>
      <c r="Z113" s="486">
        <f t="shared" si="187"/>
        <v>0.31875893414885587</v>
      </c>
      <c r="AA113" s="473">
        <f t="shared" si="187"/>
        <v>0.2127309039746979</v>
      </c>
      <c r="AB113" s="473">
        <f t="shared" si="187"/>
        <v>0.26026861463302381</v>
      </c>
      <c r="AC113" s="473">
        <f t="shared" si="187"/>
        <v>0.40299510896297697</v>
      </c>
      <c r="AD113" s="486">
        <f t="shared" si="187"/>
        <v>-0.17364104580190526</v>
      </c>
      <c r="AE113" s="473">
        <f t="shared" si="187"/>
        <v>0.23178395198963445</v>
      </c>
      <c r="AF113" s="473">
        <f t="shared" si="187"/>
        <v>0.29837290159662144</v>
      </c>
      <c r="AG113" s="473">
        <f t="shared" si="187"/>
        <v>0.38025778511033209</v>
      </c>
      <c r="AH113" s="486">
        <f t="shared" si="187"/>
        <v>0.23377435418611889</v>
      </c>
      <c r="AI113" s="473">
        <f t="shared" si="187"/>
        <v>0.29714487134296791</v>
      </c>
      <c r="AJ113" s="473">
        <f t="shared" si="187"/>
        <v>0.27610389610389613</v>
      </c>
      <c r="AK113" s="473">
        <f t="shared" si="187"/>
        <v>0.40337301587301588</v>
      </c>
      <c r="AL113" s="486">
        <f t="shared" si="187"/>
        <v>0.3746630727762803</v>
      </c>
      <c r="AM113" s="473">
        <f t="shared" si="187"/>
        <v>-0.30069930069930068</v>
      </c>
      <c r="AN113" s="473">
        <f t="shared" si="187"/>
        <v>0.32539682539682541</v>
      </c>
      <c r="AO113" s="473">
        <f t="shared" si="187"/>
        <v>0.33333333333333331</v>
      </c>
      <c r="AP113" s="473">
        <f t="shared" si="187"/>
        <v>-6.7043618739903069E-2</v>
      </c>
      <c r="AQ113" s="473">
        <f t="shared" si="187"/>
        <v>4.7326906222611743E-2</v>
      </c>
      <c r="AR113" s="473">
        <f t="shared" si="187"/>
        <v>-3.5648148148148151E-2</v>
      </c>
      <c r="AS113" s="473">
        <f t="shared" si="187"/>
        <v>0.18263473053892215</v>
      </c>
      <c r="AT113" s="486">
        <f t="shared" si="187"/>
        <v>0.2381751090238175</v>
      </c>
      <c r="AU113" s="2819">
        <f t="shared" si="187"/>
        <v>-0.22523191094619666</v>
      </c>
      <c r="AV113" s="473">
        <f t="shared" si="187"/>
        <v>0.22473218444340942</v>
      </c>
      <c r="AW113" s="473">
        <f t="shared" si="187"/>
        <v>0.29196959682749507</v>
      </c>
      <c r="AX113" s="486">
        <f t="shared" si="187"/>
        <v>0.33020498888614475</v>
      </c>
      <c r="AY113" s="2819">
        <f t="shared" si="187"/>
        <v>0.10031762837480149</v>
      </c>
      <c r="AZ113" s="3101">
        <f t="shared" si="187"/>
        <v>0.25961186378615891</v>
      </c>
      <c r="BA113" s="3101">
        <f t="shared" si="187"/>
        <v>0.35948780820051762</v>
      </c>
      <c r="BB113" s="3102">
        <f t="shared" si="187"/>
        <v>8.0058528428093648E-2</v>
      </c>
      <c r="BC113" s="3101">
        <f t="shared" si="187"/>
        <v>0.20838052095130238</v>
      </c>
      <c r="BD113" s="3101">
        <f t="shared" si="187"/>
        <v>0.28349547704386413</v>
      </c>
      <c r="BE113" s="3101">
        <f t="shared" si="187"/>
        <v>0.33337503127345508</v>
      </c>
      <c r="BF113" s="3102">
        <f t="shared" si="187"/>
        <v>0.22572977232210756</v>
      </c>
      <c r="BG113" s="3101">
        <f t="shared" si="187"/>
        <v>9.9748005039899196E-2</v>
      </c>
      <c r="BH113" s="3101">
        <f t="shared" si="187"/>
        <v>0.15431009120329509</v>
      </c>
      <c r="BI113" s="3101">
        <f t="shared" si="187"/>
        <v>0.32171403197158083</v>
      </c>
      <c r="BJ113" s="3101">
        <f t="shared" ref="BJ113:BK113" si="188">BJ112/BJ33</f>
        <v>0.25122066467160181</v>
      </c>
      <c r="BK113" s="3101">
        <f t="shared" si="188"/>
        <v>0.22125813449023862</v>
      </c>
      <c r="BL113" s="3515">
        <f>BL112/BL33</f>
        <v>0.28427638737758432</v>
      </c>
      <c r="BM113" s="3101"/>
      <c r="BN113" s="489">
        <f t="shared" ref="BN113:BU113" si="189">BN112/BN33</f>
        <v>0.22317794479496716</v>
      </c>
      <c r="BO113" s="489">
        <f t="shared" si="189"/>
        <v>0.20388757047703029</v>
      </c>
      <c r="BP113" s="489">
        <f t="shared" si="189"/>
        <v>0.29799236540594787</v>
      </c>
      <c r="BQ113" s="2819">
        <f t="shared" si="189"/>
        <v>0.344484269215452</v>
      </c>
      <c r="BR113" s="489">
        <f t="shared" si="189"/>
        <v>4.6203649205414948E-2</v>
      </c>
      <c r="BS113" s="489">
        <f t="shared" si="189"/>
        <v>0.14062785179777332</v>
      </c>
      <c r="BT113" s="489">
        <f t="shared" si="189"/>
        <v>0.2133411351667642</v>
      </c>
      <c r="BU113" s="489">
        <f t="shared" si="189"/>
        <v>0.23210858881347998</v>
      </c>
      <c r="BV113" s="489">
        <f t="shared" ref="BV113:BW113" si="190">BV112/BV33</f>
        <v>0.27301065756771559</v>
      </c>
      <c r="BW113" s="489">
        <f t="shared" si="190"/>
        <v>0.22353902738046588</v>
      </c>
    </row>
    <row r="114" spans="1:75" s="473" customFormat="1">
      <c r="A114" s="476" t="s">
        <v>1980</v>
      </c>
      <c r="B114" s="469" t="s">
        <v>140</v>
      </c>
      <c r="C114" s="469" t="s">
        <v>140</v>
      </c>
      <c r="D114" s="469" t="s">
        <v>140</v>
      </c>
      <c r="E114" s="469" t="s">
        <v>140</v>
      </c>
      <c r="F114" s="2"/>
      <c r="G114" s="2"/>
      <c r="H114" s="2"/>
      <c r="I114" s="2"/>
      <c r="J114" s="2"/>
      <c r="K114" s="2"/>
      <c r="L114" s="2"/>
      <c r="M114" s="2">
        <f>M112/M35</f>
        <v>0.31238924006703089</v>
      </c>
      <c r="N114" s="2">
        <f>N112/N35</f>
        <v>0.36421029390755488</v>
      </c>
      <c r="O114" s="2">
        <f>O112/O35</f>
        <v>0.36514384938490546</v>
      </c>
      <c r="P114" s="2">
        <f>P112/P35</f>
        <v>0.35573207723177125</v>
      </c>
      <c r="Q114" s="2">
        <f>Q112/Q35</f>
        <v>0.36098866976172617</v>
      </c>
      <c r="R114" s="2"/>
      <c r="S114" s="2">
        <f t="shared" ref="S114:BI114" si="191">S112/S35</f>
        <v>0.27578687241567468</v>
      </c>
      <c r="T114" s="2">
        <f t="shared" si="191"/>
        <v>0.4258180927376477</v>
      </c>
      <c r="U114" s="2">
        <f t="shared" si="191"/>
        <v>0.30819582809890267</v>
      </c>
      <c r="V114" s="480">
        <f t="shared" si="191"/>
        <v>0.31066200625782214</v>
      </c>
      <c r="W114" s="473">
        <f t="shared" si="191"/>
        <v>0.21809106439872242</v>
      </c>
      <c r="X114" s="473">
        <f t="shared" si="191"/>
        <v>0.26158913959810981</v>
      </c>
      <c r="Y114" s="473">
        <f t="shared" si="191"/>
        <v>0.41339480527368844</v>
      </c>
      <c r="Z114" s="486">
        <f t="shared" si="191"/>
        <v>0.32885117958004029</v>
      </c>
      <c r="AA114" s="473">
        <f t="shared" si="191"/>
        <v>0.22049279528410806</v>
      </c>
      <c r="AB114" s="473">
        <f t="shared" si="191"/>
        <v>0.26668245356922893</v>
      </c>
      <c r="AC114" s="473">
        <f t="shared" si="191"/>
        <v>0.40847419153454073</v>
      </c>
      <c r="AD114" s="486">
        <f t="shared" si="191"/>
        <v>-0.17571913934691075</v>
      </c>
      <c r="AE114" s="473">
        <f t="shared" si="191"/>
        <v>0.23178395198963445</v>
      </c>
      <c r="AF114" s="473">
        <f t="shared" si="191"/>
        <v>0.29837290159662144</v>
      </c>
      <c r="AG114" s="473">
        <f t="shared" si="191"/>
        <v>0.38025778511033209</v>
      </c>
      <c r="AH114" s="486">
        <f t="shared" si="191"/>
        <v>0.23377435418611889</v>
      </c>
      <c r="AI114" s="473">
        <f t="shared" si="191"/>
        <v>0.29714487134296791</v>
      </c>
      <c r="AJ114" s="473">
        <f t="shared" si="191"/>
        <v>0.27610389610389613</v>
      </c>
      <c r="AK114" s="473">
        <f t="shared" si="191"/>
        <v>0.40337301587301588</v>
      </c>
      <c r="AL114" s="486">
        <f t="shared" si="191"/>
        <v>0.3746630727762803</v>
      </c>
      <c r="AM114" s="473">
        <f t="shared" si="191"/>
        <v>-0.30069930069930068</v>
      </c>
      <c r="AN114" s="473">
        <f t="shared" si="191"/>
        <v>0.32539682539682541</v>
      </c>
      <c r="AO114" s="473">
        <f t="shared" si="191"/>
        <v>0.33333333333333331</v>
      </c>
      <c r="AP114" s="473">
        <f t="shared" si="191"/>
        <v>-6.7043618739903069E-2</v>
      </c>
      <c r="AQ114" s="473">
        <f t="shared" si="191"/>
        <v>4.7326906222611743E-2</v>
      </c>
      <c r="AR114" s="473">
        <f t="shared" si="191"/>
        <v>-3.5648148148148151E-2</v>
      </c>
      <c r="AS114" s="473">
        <f t="shared" si="191"/>
        <v>0.18263473053892215</v>
      </c>
      <c r="AT114" s="486">
        <f t="shared" si="191"/>
        <v>0.2381751090238175</v>
      </c>
      <c r="AU114" s="2819">
        <f t="shared" si="191"/>
        <v>-0.22523191094619666</v>
      </c>
      <c r="AV114" s="473">
        <f t="shared" si="191"/>
        <v>0.22473218444340942</v>
      </c>
      <c r="AW114" s="473">
        <f t="shared" si="191"/>
        <v>0.29196959682749507</v>
      </c>
      <c r="AX114" s="486">
        <f t="shared" si="191"/>
        <v>0.33020498888614475</v>
      </c>
      <c r="AY114" s="2819">
        <f t="shared" si="191"/>
        <v>0.10031762837480149</v>
      </c>
      <c r="AZ114" s="3101">
        <f t="shared" si="191"/>
        <v>0.25961186378615891</v>
      </c>
      <c r="BA114" s="3101">
        <f t="shared" si="191"/>
        <v>0.35948780820051762</v>
      </c>
      <c r="BB114" s="3102">
        <f t="shared" si="191"/>
        <v>8.0058528428093648E-2</v>
      </c>
      <c r="BC114" s="3101">
        <f t="shared" si="191"/>
        <v>0.20838052095130238</v>
      </c>
      <c r="BD114" s="3101">
        <f t="shared" si="191"/>
        <v>0.28349547704386413</v>
      </c>
      <c r="BE114" s="3101">
        <f t="shared" si="191"/>
        <v>0.33337503127345508</v>
      </c>
      <c r="BF114" s="3102">
        <f t="shared" si="191"/>
        <v>0.22572977232210756</v>
      </c>
      <c r="BG114" s="3101">
        <f t="shared" si="191"/>
        <v>9.9748005039899196E-2</v>
      </c>
      <c r="BH114" s="3101">
        <f t="shared" si="191"/>
        <v>0.15431009120329509</v>
      </c>
      <c r="BI114" s="3101">
        <f t="shared" si="191"/>
        <v>0.32171403197158083</v>
      </c>
      <c r="BJ114" s="3101">
        <f t="shared" ref="BJ114:BK114" si="192">BJ112/BJ35</f>
        <v>0.25122066467160181</v>
      </c>
      <c r="BK114" s="3101">
        <f t="shared" si="192"/>
        <v>0.22125813449023862</v>
      </c>
      <c r="BL114" s="3515">
        <f>BL112/BL35</f>
        <v>0.28427638737758432</v>
      </c>
      <c r="BM114" s="3101"/>
      <c r="BN114" s="489">
        <f t="shared" ref="BN114:BU114" si="193">BN112/BN35</f>
        <v>0.23244533137780571</v>
      </c>
      <c r="BO114" s="489">
        <f t="shared" si="193"/>
        <v>0.20799691405324552</v>
      </c>
      <c r="BP114" s="489">
        <f t="shared" si="193"/>
        <v>0.29799236540594787</v>
      </c>
      <c r="BQ114" s="2819">
        <f t="shared" si="193"/>
        <v>0.344484269215452</v>
      </c>
      <c r="BR114" s="489">
        <f t="shared" si="193"/>
        <v>4.6203649205414948E-2</v>
      </c>
      <c r="BS114" s="489">
        <f t="shared" si="193"/>
        <v>0.14062785179777332</v>
      </c>
      <c r="BT114" s="489">
        <f t="shared" si="193"/>
        <v>0.2133411351667642</v>
      </c>
      <c r="BU114" s="489">
        <f t="shared" si="193"/>
        <v>0.23210858881347998</v>
      </c>
      <c r="BV114" s="489">
        <f t="shared" ref="BV114:BW114" si="194">BV112/BV35</f>
        <v>0.27301065756771559</v>
      </c>
      <c r="BW114" s="489">
        <f t="shared" si="194"/>
        <v>0.22353902738046588</v>
      </c>
    </row>
    <row r="115" spans="1:75" s="27" customFormat="1">
      <c r="A115" s="448" t="s">
        <v>1029</v>
      </c>
      <c r="B115" s="60"/>
      <c r="C115" s="60"/>
      <c r="D115" s="10"/>
      <c r="E115" s="10"/>
      <c r="F115" s="10"/>
      <c r="G115" s="10"/>
      <c r="H115" s="10"/>
      <c r="I115" s="10"/>
      <c r="J115" s="10"/>
      <c r="K115" s="10"/>
      <c r="L115" s="10"/>
      <c r="M115" s="10"/>
      <c r="N115" s="10"/>
      <c r="O115" s="10"/>
      <c r="P115" s="10"/>
      <c r="Q115" s="10"/>
      <c r="R115" s="10"/>
      <c r="S115" s="10"/>
      <c r="T115" s="10"/>
      <c r="U115" s="10"/>
      <c r="V115" s="101"/>
      <c r="Z115" s="97">
        <v>0.11600000000000001</v>
      </c>
      <c r="AD115" s="97"/>
      <c r="AH115" s="97"/>
      <c r="AL115" s="97"/>
      <c r="AT115" s="97"/>
      <c r="AU115" s="98"/>
      <c r="AX115" s="97"/>
      <c r="AY115" s="98"/>
      <c r="AZ115" s="570"/>
      <c r="BA115" s="570"/>
      <c r="BB115" s="3105"/>
      <c r="BC115" s="570"/>
      <c r="BD115" s="570"/>
      <c r="BE115" s="570"/>
      <c r="BF115" s="3105"/>
      <c r="BG115" s="570"/>
      <c r="BH115" s="570"/>
      <c r="BI115" s="570"/>
      <c r="BJ115" s="570"/>
      <c r="BK115" s="570"/>
      <c r="BL115" s="570"/>
      <c r="BM115" s="3105"/>
      <c r="BN115" s="452">
        <v>0.21299999999999999</v>
      </c>
      <c r="BO115" s="452"/>
      <c r="BP115" s="452"/>
      <c r="BR115" s="452"/>
      <c r="BS115" s="452"/>
      <c r="BT115" s="452"/>
    </row>
    <row r="116" spans="1:75">
      <c r="A116" s="67"/>
      <c r="B116" s="60"/>
      <c r="C116" s="60"/>
      <c r="D116" s="10"/>
      <c r="E116" s="10"/>
      <c r="F116" s="10"/>
      <c r="G116" s="10"/>
      <c r="H116" s="10"/>
      <c r="I116" s="10"/>
      <c r="J116" s="10"/>
      <c r="K116" s="10"/>
      <c r="L116" s="10"/>
      <c r="M116" s="10"/>
      <c r="N116" s="10"/>
      <c r="O116" s="10"/>
      <c r="P116" s="10"/>
      <c r="Q116" s="10"/>
      <c r="R116" s="10"/>
      <c r="S116" s="10"/>
      <c r="T116" s="10"/>
      <c r="U116" s="10"/>
      <c r="V116" s="101"/>
    </row>
    <row r="117" spans="1:75">
      <c r="A117" s="62" t="s">
        <v>86</v>
      </c>
      <c r="B117" s="83">
        <v>134.62200000000001</v>
      </c>
      <c r="C117" s="83">
        <v>166.952</v>
      </c>
      <c r="D117" s="6">
        <v>205</v>
      </c>
      <c r="E117" s="6">
        <v>227.28299999999999</v>
      </c>
      <c r="F117" s="6">
        <v>39.009</v>
      </c>
      <c r="G117" s="6">
        <v>42.326999999999998</v>
      </c>
      <c r="H117" s="6">
        <v>46.436</v>
      </c>
      <c r="I117" s="6">
        <v>44.722000000000001</v>
      </c>
      <c r="J117" s="6">
        <v>45.503999999999998</v>
      </c>
      <c r="K117" s="6">
        <v>48.670999999999999</v>
      </c>
      <c r="L117" s="6"/>
      <c r="M117" s="6"/>
      <c r="N117" s="6"/>
      <c r="O117" s="6"/>
      <c r="P117" s="6"/>
      <c r="Q117" s="6"/>
      <c r="R117" s="6"/>
      <c r="S117" s="6"/>
      <c r="T117" s="6"/>
      <c r="U117" s="6"/>
      <c r="V117" s="111"/>
    </row>
    <row r="118" spans="1:75">
      <c r="A118" s="65" t="s">
        <v>87</v>
      </c>
      <c r="B118" s="12"/>
      <c r="C118" s="12"/>
      <c r="D118" s="1"/>
      <c r="E118" s="1"/>
      <c r="F118" s="1"/>
      <c r="G118" s="1"/>
      <c r="H118" s="1"/>
      <c r="I118" s="1"/>
      <c r="J118" s="1"/>
      <c r="K118" s="1"/>
      <c r="L118" s="1"/>
      <c r="M118" s="1"/>
      <c r="N118" s="1"/>
      <c r="O118" s="1"/>
      <c r="P118" s="1"/>
      <c r="Q118" s="1"/>
      <c r="R118" s="1"/>
      <c r="S118" s="1"/>
      <c r="T118" s="1"/>
      <c r="U118" s="1"/>
      <c r="V118" s="102"/>
    </row>
    <row r="119" spans="1:75" s="1800" customFormat="1">
      <c r="A119" s="67" t="s">
        <v>483</v>
      </c>
      <c r="B119" s="1796">
        <v>-7.9</v>
      </c>
      <c r="C119" s="1796">
        <v>-1.97</v>
      </c>
      <c r="D119" s="1797">
        <v>-0.08</v>
      </c>
      <c r="E119" s="1797">
        <v>-0.09</v>
      </c>
      <c r="F119" s="1797">
        <v>0.28000000000000003</v>
      </c>
      <c r="G119" s="1797">
        <v>0.78</v>
      </c>
      <c r="H119" s="1797">
        <v>4.87</v>
      </c>
      <c r="I119" s="1797">
        <v>1.88</v>
      </c>
      <c r="J119" s="1797">
        <v>4.13</v>
      </c>
      <c r="K119" s="1797">
        <v>4.92</v>
      </c>
      <c r="L119" s="1797">
        <v>11.54</v>
      </c>
      <c r="M119" s="1797">
        <v>11</v>
      </c>
      <c r="N119" s="1797">
        <v>21.27</v>
      </c>
      <c r="O119" s="1797">
        <v>28.48</v>
      </c>
      <c r="P119" s="1797">
        <v>37.17</v>
      </c>
      <c r="Q119" s="1797">
        <v>46.3</v>
      </c>
      <c r="R119" s="1797"/>
      <c r="S119" s="1797">
        <v>0.40079999999999999</v>
      </c>
      <c r="T119" s="1797">
        <v>0.94680000000000009</v>
      </c>
      <c r="U119" s="1797">
        <v>0.40560000000000002</v>
      </c>
      <c r="V119" s="1798">
        <v>50.09</v>
      </c>
      <c r="W119" s="1799">
        <v>0.30159999999999998</v>
      </c>
      <c r="X119" s="2070">
        <v>0.46840000000000004</v>
      </c>
      <c r="Y119" s="2070">
        <v>0.40960000000000002</v>
      </c>
      <c r="Z119" s="2071">
        <v>0.5464</v>
      </c>
      <c r="AA119" s="2070">
        <v>0.37040000000000001</v>
      </c>
      <c r="AB119" s="2070">
        <v>0.58640000000000003</v>
      </c>
      <c r="AC119" s="2070">
        <v>1.4047999999999998</v>
      </c>
      <c r="AD119" s="2071">
        <v>-0.45640000000000003</v>
      </c>
      <c r="AE119" s="2070">
        <v>0.50240000000000007</v>
      </c>
      <c r="AF119" s="2070">
        <v>0.81359999999999999</v>
      </c>
      <c r="AG119" s="2070">
        <v>1.4956</v>
      </c>
      <c r="AH119" s="1802">
        <v>0.56000000000000005</v>
      </c>
      <c r="AI119" s="1803">
        <v>0.68040000000000012</v>
      </c>
      <c r="AJ119" s="1803">
        <v>0.90480000000000005</v>
      </c>
      <c r="AK119" s="1803">
        <v>1.8403999999999998</v>
      </c>
      <c r="AL119" s="1802">
        <v>1.1228</v>
      </c>
      <c r="AM119" s="1803">
        <v>-0.68040000000000012</v>
      </c>
      <c r="AN119" s="1803">
        <v>2.98</v>
      </c>
      <c r="AO119" s="1803">
        <v>0.78239999999999998</v>
      </c>
      <c r="AP119" s="1803">
        <v>-0.16079999999999997</v>
      </c>
      <c r="AQ119" s="1803">
        <v>-1.34</v>
      </c>
      <c r="AR119" s="1803">
        <v>-0.16320000000000001</v>
      </c>
      <c r="AS119" s="1803">
        <v>0.74919999999999998</v>
      </c>
      <c r="AT119" s="1802">
        <v>0.60199999999999998</v>
      </c>
      <c r="AU119" s="2827">
        <v>-0.68400000000000005</v>
      </c>
      <c r="AV119" s="1803">
        <v>0.84599999999999997</v>
      </c>
      <c r="AW119" s="1803">
        <v>1.6840000000000002</v>
      </c>
      <c r="AX119" s="1802">
        <v>1.2827999999999999</v>
      </c>
      <c r="AY119" s="2827">
        <v>0.2828</v>
      </c>
      <c r="AZ119" s="3217">
        <v>1.4063999999999999</v>
      </c>
      <c r="BA119" s="3217">
        <v>2.8248000000000002</v>
      </c>
      <c r="BB119" s="3118">
        <v>0.25480000000000003</v>
      </c>
      <c r="BC119" s="3217">
        <v>0.90760000000000007</v>
      </c>
      <c r="BD119" s="3217">
        <v>1.7975999999999999</v>
      </c>
      <c r="BE119" s="3217">
        <v>3.0148000000000001</v>
      </c>
      <c r="BF119" s="3118">
        <v>1.2924</v>
      </c>
      <c r="BG119" s="3217">
        <v>0.40560000000000002</v>
      </c>
      <c r="BH119" s="3217">
        <v>1.1015999999999999</v>
      </c>
      <c r="BI119" s="3217">
        <v>3.3944000000000001</v>
      </c>
      <c r="BJ119" s="3217">
        <v>1.7796000000000001</v>
      </c>
      <c r="BK119" s="3217">
        <v>1.37</v>
      </c>
      <c r="BL119" s="3217">
        <v>2.54</v>
      </c>
      <c r="BM119" s="3118"/>
      <c r="BN119" s="2085">
        <v>43.14</v>
      </c>
      <c r="BO119" s="2085">
        <v>47.78</v>
      </c>
      <c r="BP119" s="2085">
        <v>47.445999999999998</v>
      </c>
      <c r="BQ119" s="2086">
        <v>112.93</v>
      </c>
      <c r="BR119" s="2085">
        <v>1.45</v>
      </c>
      <c r="BS119" s="2085">
        <v>28.39</v>
      </c>
      <c r="BT119" s="3026">
        <v>76.7</v>
      </c>
      <c r="BU119" s="3026">
        <v>118.67</v>
      </c>
      <c r="BV119" s="3026">
        <v>174.96</v>
      </c>
      <c r="BW119" s="3491">
        <v>166.52</v>
      </c>
    </row>
    <row r="120" spans="1:75" s="1800" customFormat="1" ht="10.5" customHeight="1">
      <c r="A120" s="70" t="s">
        <v>974</v>
      </c>
      <c r="B120" s="1796">
        <v>-7.9</v>
      </c>
      <c r="C120" s="1796">
        <v>-1.97</v>
      </c>
      <c r="D120" s="1797">
        <v>-0.08</v>
      </c>
      <c r="E120" s="1797">
        <v>-0.09</v>
      </c>
      <c r="F120" s="1797">
        <v>0.27</v>
      </c>
      <c r="G120" s="1797">
        <v>0.76</v>
      </c>
      <c r="H120" s="1797">
        <v>4.21</v>
      </c>
      <c r="I120" s="1797">
        <v>1.68</v>
      </c>
      <c r="J120" s="1797">
        <v>3.42</v>
      </c>
      <c r="K120" s="1797">
        <v>3.98</v>
      </c>
      <c r="L120" s="1797">
        <v>9.8800000000000008</v>
      </c>
      <c r="M120" s="1797">
        <v>10.35</v>
      </c>
      <c r="N120" s="1797">
        <v>20.63</v>
      </c>
      <c r="O120" s="1797">
        <v>27.66</v>
      </c>
      <c r="P120" s="1797">
        <v>36.11</v>
      </c>
      <c r="Q120" s="1797">
        <v>45.67</v>
      </c>
      <c r="R120" s="1797"/>
      <c r="S120" s="1797">
        <v>0.39759999999999995</v>
      </c>
      <c r="T120" s="1797">
        <v>0.93640000000000001</v>
      </c>
      <c r="U120" s="1797">
        <v>0.4</v>
      </c>
      <c r="V120" s="1798">
        <v>49.45</v>
      </c>
      <c r="W120" s="1799">
        <v>0.29880000000000001</v>
      </c>
      <c r="X120" s="2070">
        <v>0.46399999999999997</v>
      </c>
      <c r="Y120" s="2070">
        <v>0.4052</v>
      </c>
      <c r="Z120" s="2071">
        <v>0.53880000000000006</v>
      </c>
      <c r="AA120" s="2070">
        <v>0.3644</v>
      </c>
      <c r="AB120" s="2070">
        <v>0.46399999999999997</v>
      </c>
      <c r="AC120" s="2070">
        <v>1.3772</v>
      </c>
      <c r="AD120" s="2071">
        <v>-0.45640000000000003</v>
      </c>
      <c r="AE120" s="2070">
        <v>0.49359999999999998</v>
      </c>
      <c r="AF120" s="2070">
        <v>0.80519999999999992</v>
      </c>
      <c r="AG120" s="2070">
        <v>1.4808000000000001</v>
      </c>
      <c r="AH120" s="1802">
        <v>0.5544</v>
      </c>
      <c r="AI120" s="1803">
        <v>0.67400000000000004</v>
      </c>
      <c r="AJ120" s="1803">
        <v>0.89760000000000006</v>
      </c>
      <c r="AK120" s="1803">
        <v>1.8215999999999999</v>
      </c>
      <c r="AL120" s="1802">
        <v>1.1100000000000001</v>
      </c>
      <c r="AM120" s="1803">
        <v>-0.68040000000000012</v>
      </c>
      <c r="AN120" s="1803">
        <v>2.97</v>
      </c>
      <c r="AO120" s="1803">
        <v>0.77959999999999996</v>
      </c>
      <c r="AP120" s="1803">
        <v>-0.16079999999999997</v>
      </c>
      <c r="AQ120" s="1803">
        <v>-1.34</v>
      </c>
      <c r="AR120" s="1803">
        <v>-0.16320000000000001</v>
      </c>
      <c r="AS120" s="1803">
        <v>0.74400000000000011</v>
      </c>
      <c r="AT120" s="1802">
        <v>0.59760000000000002</v>
      </c>
      <c r="AU120" s="2827">
        <v>-0.68400000000000005</v>
      </c>
      <c r="AV120" s="1803">
        <v>0.84279999999999999</v>
      </c>
      <c r="AW120" s="1803">
        <v>1.6791999999999998</v>
      </c>
      <c r="AX120" s="1802">
        <v>1.2768000000000002</v>
      </c>
      <c r="AY120" s="2827">
        <v>0.28000000000000003</v>
      </c>
      <c r="AZ120" s="3217">
        <v>1.3956</v>
      </c>
      <c r="BA120" s="3217">
        <v>2.7919999999999998</v>
      </c>
      <c r="BB120" s="3118">
        <v>0.25120000000000003</v>
      </c>
      <c r="BC120" s="3217">
        <v>0.89480000000000004</v>
      </c>
      <c r="BD120" s="3217">
        <v>1.7752000000000001</v>
      </c>
      <c r="BE120" s="3217">
        <v>2.9736000000000002</v>
      </c>
      <c r="BF120" s="3118">
        <v>1.278</v>
      </c>
      <c r="BG120" s="3217">
        <v>0.40279999999999999</v>
      </c>
      <c r="BH120" s="3217">
        <v>1.0972</v>
      </c>
      <c r="BI120" s="3217">
        <v>3.3763999999999998</v>
      </c>
      <c r="BJ120" s="3217">
        <v>1.7687999999999999</v>
      </c>
      <c r="BK120" s="3217">
        <v>1.36</v>
      </c>
      <c r="BL120" s="3217">
        <v>2.5299999999999998</v>
      </c>
      <c r="BM120" s="3118"/>
      <c r="BN120" s="2085">
        <v>42.65</v>
      </c>
      <c r="BO120" s="2085">
        <v>46.86</v>
      </c>
      <c r="BP120" s="2085">
        <v>48.017000000000003</v>
      </c>
      <c r="BQ120" s="2086">
        <v>111.82</v>
      </c>
      <c r="BR120" s="2085">
        <v>1.44</v>
      </c>
      <c r="BS120" s="2085">
        <v>28.17</v>
      </c>
      <c r="BT120" s="3026">
        <v>76.349999999999994</v>
      </c>
      <c r="BU120" s="3026">
        <v>117.4</v>
      </c>
      <c r="BV120" s="3026">
        <v>172.69</v>
      </c>
      <c r="BW120" s="3491">
        <v>165.57</v>
      </c>
    </row>
    <row r="121" spans="1:75" s="473" customFormat="1">
      <c r="A121" s="70" t="s">
        <v>1031</v>
      </c>
      <c r="B121" s="485"/>
      <c r="C121" s="485"/>
      <c r="D121" s="483"/>
      <c r="E121" s="483"/>
      <c r="F121" s="483"/>
      <c r="G121" s="483"/>
      <c r="H121" s="483"/>
      <c r="I121" s="483"/>
      <c r="J121" s="483"/>
      <c r="K121" s="483"/>
      <c r="L121" s="483"/>
      <c r="M121" s="2">
        <f>M120/L120-1</f>
        <v>4.7570850202429016E-2</v>
      </c>
      <c r="N121" s="2">
        <f>N120/M120-1</f>
        <v>0.99323671497584543</v>
      </c>
      <c r="O121" s="2">
        <f>O120/N120-1</f>
        <v>0.34076587493940869</v>
      </c>
      <c r="P121" s="2">
        <f>P120/N120-1</f>
        <v>0.75036354823073204</v>
      </c>
      <c r="Q121" s="2">
        <f>Q120/P120-1</f>
        <v>0.2647466075879259</v>
      </c>
      <c r="R121" s="2"/>
      <c r="S121" s="2"/>
      <c r="T121" s="2"/>
      <c r="U121" s="2"/>
      <c r="V121" s="480">
        <f>V120/Q120-1</f>
        <v>8.2767681191153963E-2</v>
      </c>
      <c r="W121" s="2">
        <f>W119/6.42-1</f>
        <v>-0.95302180685358251</v>
      </c>
      <c r="X121" s="473">
        <f>X119/S119-1</f>
        <v>0.16866267465069873</v>
      </c>
      <c r="Y121" s="473">
        <f>Y119/T119-1</f>
        <v>-0.5673848753696662</v>
      </c>
      <c r="Z121" s="486">
        <f>Z119/U119-1</f>
        <v>0.34714003944773175</v>
      </c>
      <c r="AA121" s="473">
        <f t="shared" ref="AA121:AG121" si="195">AA119/W119-1</f>
        <v>0.2281167108753317</v>
      </c>
      <c r="AB121" s="473">
        <f t="shared" si="195"/>
        <v>0.25192143467122108</v>
      </c>
      <c r="AC121" s="473">
        <f t="shared" si="195"/>
        <v>2.4296874999999996</v>
      </c>
      <c r="AD121" s="486">
        <f t="shared" si="195"/>
        <v>-1.835285505124451</v>
      </c>
      <c r="AE121" s="473">
        <f t="shared" si="195"/>
        <v>0.35637149028077775</v>
      </c>
      <c r="AF121" s="473">
        <f t="shared" si="195"/>
        <v>0.38744884038199179</v>
      </c>
      <c r="AG121" s="473">
        <f t="shared" si="195"/>
        <v>6.46355353075172E-2</v>
      </c>
      <c r="AH121" s="486">
        <f>AH119/AD119-1</f>
        <v>-2.2269938650306749</v>
      </c>
      <c r="AI121" s="473">
        <f>AI119/AE119-1</f>
        <v>0.35429936305732479</v>
      </c>
      <c r="AJ121" s="473">
        <f>AJ119/AF119-1</f>
        <v>0.11209439528023601</v>
      </c>
      <c r="AK121" s="473">
        <f t="shared" ref="AK121:AV121" si="196">AK119/AG119-1</f>
        <v>0.2305429259160201</v>
      </c>
      <c r="AL121" s="486">
        <f t="shared" si="196"/>
        <v>1.0049999999999999</v>
      </c>
      <c r="AM121" s="473">
        <f t="shared" si="196"/>
        <v>-2</v>
      </c>
      <c r="AN121" s="473">
        <f t="shared" si="196"/>
        <v>2.2935455349248453</v>
      </c>
      <c r="AO121" s="473">
        <f t="shared" si="196"/>
        <v>-0.57487502716800698</v>
      </c>
      <c r="AP121" s="473">
        <f t="shared" si="196"/>
        <v>-1.1432133950837193</v>
      </c>
      <c r="AQ121" s="473">
        <f t="shared" si="196"/>
        <v>0.96942974720752484</v>
      </c>
      <c r="AR121" s="473">
        <f t="shared" si="196"/>
        <v>-1.0547651006711409</v>
      </c>
      <c r="AS121" s="473">
        <f t="shared" si="196"/>
        <v>-4.2433537832310853E-2</v>
      </c>
      <c r="AT121" s="486">
        <f t="shared" si="196"/>
        <v>-4.743781094527364</v>
      </c>
      <c r="AU121" s="2819">
        <f t="shared" si="196"/>
        <v>-0.4895522388059701</v>
      </c>
      <c r="AV121" s="473">
        <f t="shared" si="196"/>
        <v>-6.1838235294117645</v>
      </c>
      <c r="AW121" s="473">
        <f t="shared" ref="AW121:BD121" si="197">AW119/AS119-1</f>
        <v>1.247730912973839</v>
      </c>
      <c r="AX121" s="486">
        <f t="shared" si="197"/>
        <v>1.1308970099667772</v>
      </c>
      <c r="AY121" s="2819">
        <f t="shared" si="197"/>
        <v>-1.4134502923976608</v>
      </c>
      <c r="AZ121" s="3101">
        <f t="shared" si="197"/>
        <v>0.66241134751773045</v>
      </c>
      <c r="BA121" s="3101">
        <f t="shared" si="197"/>
        <v>0.67743467933491686</v>
      </c>
      <c r="BB121" s="3102">
        <f t="shared" si="197"/>
        <v>-0.80137199875272835</v>
      </c>
      <c r="BC121" s="3101">
        <f t="shared" si="197"/>
        <v>2.2093352192362095</v>
      </c>
      <c r="BD121" s="3101">
        <f t="shared" si="197"/>
        <v>0.27815699658703075</v>
      </c>
      <c r="BE121" s="3101">
        <f t="shared" ref="BE121:BI121" si="198">BE119/BA119-1</f>
        <v>6.7261399037100045E-2</v>
      </c>
      <c r="BF121" s="3102">
        <f t="shared" si="198"/>
        <v>4.0722135007849287</v>
      </c>
      <c r="BG121" s="3101">
        <f t="shared" si="198"/>
        <v>-0.55310709563684446</v>
      </c>
      <c r="BH121" s="3101">
        <f t="shared" si="198"/>
        <v>-0.38718291054739651</v>
      </c>
      <c r="BI121" s="3101">
        <f t="shared" si="198"/>
        <v>0.12591216664455351</v>
      </c>
      <c r="BJ121" s="3101">
        <f>BJ119/BF119-1</f>
        <v>0.37697307335190344</v>
      </c>
      <c r="BK121" s="3101">
        <f>(BK119*25/BG119)-1</f>
        <v>83.442800788954628</v>
      </c>
      <c r="BL121" s="3515">
        <f>BL119/BH119-1</f>
        <v>1.3057371096586783</v>
      </c>
      <c r="BM121" s="3101"/>
      <c r="BN121" s="489">
        <f>BN119/V119-1</f>
        <v>-0.13875024955080861</v>
      </c>
      <c r="BO121" s="489">
        <f>BO119/BN119-1</f>
        <v>0.10755679184051936</v>
      </c>
      <c r="BP121" s="489">
        <f t="shared" ref="BP121:BW121" si="199">BP120/BO120-1</f>
        <v>2.4690567648314232E-2</v>
      </c>
      <c r="BQ121" s="2819">
        <f t="shared" si="199"/>
        <v>1.3287585646750109</v>
      </c>
      <c r="BR121" s="489">
        <f t="shared" si="199"/>
        <v>-0.98712216061527458</v>
      </c>
      <c r="BS121" s="489">
        <f t="shared" si="199"/>
        <v>18.562500000000004</v>
      </c>
      <c r="BT121" s="489">
        <f t="shared" si="199"/>
        <v>1.7103301384451539</v>
      </c>
      <c r="BU121" s="489">
        <f t="shared" si="199"/>
        <v>0.53765553372626074</v>
      </c>
      <c r="BV121" s="489">
        <f t="shared" si="199"/>
        <v>0.47095400340715488</v>
      </c>
      <c r="BW121" s="489">
        <f t="shared" si="199"/>
        <v>-4.1229949620707695E-2</v>
      </c>
    </row>
    <row r="122" spans="1:75">
      <c r="A122" s="67" t="s">
        <v>90</v>
      </c>
      <c r="B122" s="86"/>
      <c r="C122" s="157"/>
      <c r="D122" s="156"/>
      <c r="E122" s="156"/>
      <c r="F122" s="156"/>
      <c r="G122" s="156"/>
      <c r="H122" s="156"/>
      <c r="I122" s="156"/>
      <c r="J122" s="156"/>
      <c r="K122" s="156"/>
      <c r="L122" s="156"/>
      <c r="M122" s="7"/>
      <c r="N122" s="7"/>
      <c r="O122" s="7"/>
      <c r="P122" s="7"/>
      <c r="Q122" s="7"/>
      <c r="R122" s="7"/>
      <c r="S122" s="7"/>
      <c r="T122" s="7"/>
      <c r="U122" s="7"/>
      <c r="V122" s="113"/>
      <c r="BH122" s="3494">
        <v>2.2200000000000002</v>
      </c>
      <c r="BK122" s="3494">
        <v>1.1399999999999999</v>
      </c>
      <c r="BL122" s="3516">
        <v>2.54</v>
      </c>
    </row>
    <row r="123" spans="1:75">
      <c r="A123" s="67"/>
      <c r="B123" s="86"/>
      <c r="C123" s="157"/>
      <c r="D123" s="156"/>
      <c r="E123" s="156"/>
      <c r="F123" s="156"/>
      <c r="G123" s="156"/>
      <c r="H123" s="156"/>
      <c r="I123" s="156"/>
      <c r="J123" s="156"/>
      <c r="K123" s="156"/>
      <c r="L123" s="156"/>
      <c r="M123" s="7"/>
      <c r="N123" s="7"/>
      <c r="O123" s="7"/>
      <c r="P123" s="7"/>
      <c r="Q123" s="7"/>
      <c r="R123" s="7"/>
      <c r="S123" s="7"/>
      <c r="T123" s="7"/>
      <c r="U123" s="7"/>
      <c r="V123" s="113"/>
    </row>
    <row r="124" spans="1:75">
      <c r="A124" s="1415"/>
      <c r="B124" s="1440"/>
      <c r="C124" s="1440"/>
      <c r="D124" s="1427"/>
      <c r="E124" s="1427"/>
      <c r="F124" s="1427"/>
      <c r="G124" s="1427"/>
      <c r="H124" s="1427"/>
      <c r="I124" s="1427"/>
      <c r="J124" s="1427"/>
      <c r="K124" s="1427"/>
      <c r="L124" s="1427" t="s">
        <v>979</v>
      </c>
      <c r="M124" s="1427" t="s">
        <v>979</v>
      </c>
      <c r="N124" s="1427" t="s">
        <v>979</v>
      </c>
      <c r="O124" s="1427" t="s">
        <v>979</v>
      </c>
      <c r="P124" s="1427" t="s">
        <v>979</v>
      </c>
      <c r="Q124" s="1427" t="s">
        <v>979</v>
      </c>
      <c r="R124" s="1427"/>
      <c r="S124" s="1427" t="s">
        <v>697</v>
      </c>
      <c r="T124" s="1427" t="s">
        <v>697</v>
      </c>
      <c r="U124" s="1427" t="s">
        <v>697</v>
      </c>
      <c r="V124" s="1428" t="s">
        <v>979</v>
      </c>
      <c r="W124" s="1441" t="s">
        <v>979</v>
      </c>
      <c r="X124" s="1427" t="s">
        <v>979</v>
      </c>
      <c r="Y124" s="1427" t="s">
        <v>979</v>
      </c>
      <c r="Z124" s="1428" t="s">
        <v>979</v>
      </c>
      <c r="AA124" s="1427" t="s">
        <v>979</v>
      </c>
      <c r="AB124" s="1427" t="s">
        <v>979</v>
      </c>
      <c r="AC124" s="1427" t="s">
        <v>979</v>
      </c>
      <c r="AD124" s="1428" t="s">
        <v>979</v>
      </c>
      <c r="AE124" s="1427" t="s">
        <v>979</v>
      </c>
      <c r="AF124" s="1427" t="s">
        <v>979</v>
      </c>
      <c r="AG124" s="1442" t="s">
        <v>399</v>
      </c>
      <c r="AH124" s="1443" t="s">
        <v>399</v>
      </c>
      <c r="AI124" s="1442" t="s">
        <v>399</v>
      </c>
      <c r="AJ124" s="1442" t="s">
        <v>399</v>
      </c>
      <c r="AK124" s="1442" t="s">
        <v>399</v>
      </c>
      <c r="AL124" s="1443" t="s">
        <v>399</v>
      </c>
      <c r="AM124" s="835" t="s">
        <v>399</v>
      </c>
      <c r="AN124" s="835" t="s">
        <v>399</v>
      </c>
      <c r="AO124" s="835" t="s">
        <v>399</v>
      </c>
      <c r="AP124" s="835" t="s">
        <v>399</v>
      </c>
      <c r="AQ124" s="835" t="s">
        <v>2701</v>
      </c>
      <c r="AR124" s="1442" t="s">
        <v>697</v>
      </c>
      <c r="AS124" s="1442" t="s">
        <v>697</v>
      </c>
      <c r="AT124" s="1443" t="s">
        <v>697</v>
      </c>
      <c r="AU124" s="2817" t="s">
        <v>399</v>
      </c>
      <c r="AV124" s="3077" t="s">
        <v>697</v>
      </c>
      <c r="AW124" s="835" t="s">
        <v>399</v>
      </c>
      <c r="AX124" s="836" t="s">
        <v>399</v>
      </c>
      <c r="AY124" s="2817" t="s">
        <v>399</v>
      </c>
      <c r="AZ124" s="835" t="s">
        <v>399</v>
      </c>
      <c r="BA124" s="835" t="s">
        <v>399</v>
      </c>
      <c r="BB124" s="836" t="s">
        <v>399</v>
      </c>
      <c r="BC124" s="1442" t="s">
        <v>697</v>
      </c>
      <c r="BD124" s="1442" t="s">
        <v>697</v>
      </c>
      <c r="BE124" s="1442" t="s">
        <v>697</v>
      </c>
      <c r="BF124" s="1443" t="s">
        <v>697</v>
      </c>
      <c r="BG124" s="2945" t="s">
        <v>697</v>
      </c>
      <c r="BH124" s="2945" t="s">
        <v>697</v>
      </c>
      <c r="BI124" s="2945" t="s">
        <v>697</v>
      </c>
      <c r="BJ124" s="2945" t="s">
        <v>697</v>
      </c>
      <c r="BK124" s="2945" t="s">
        <v>697</v>
      </c>
      <c r="BL124" s="3495" t="s">
        <v>399</v>
      </c>
      <c r="BM124" s="1445"/>
      <c r="BN124" s="2875" t="s">
        <v>399</v>
      </c>
      <c r="BO124" s="2875" t="s">
        <v>399</v>
      </c>
      <c r="BP124" s="2875" t="s">
        <v>1421</v>
      </c>
      <c r="BQ124" s="2876" t="s">
        <v>1421</v>
      </c>
      <c r="BR124" s="2875" t="s">
        <v>1421</v>
      </c>
      <c r="BS124" s="2875" t="s">
        <v>1421</v>
      </c>
      <c r="BT124" s="2875" t="s">
        <v>1421</v>
      </c>
      <c r="BU124" s="2875" t="s">
        <v>1421</v>
      </c>
      <c r="BV124" s="2875" t="s">
        <v>1421</v>
      </c>
      <c r="BW124" s="2875" t="s">
        <v>1421</v>
      </c>
    </row>
    <row r="125" spans="1:75" ht="12.75" customHeight="1">
      <c r="A125" s="1431" t="s">
        <v>91</v>
      </c>
      <c r="B125" s="1427">
        <v>2016</v>
      </c>
      <c r="C125" s="1427">
        <v>2017</v>
      </c>
      <c r="D125" s="1427">
        <v>2018</v>
      </c>
      <c r="E125" s="1427">
        <v>2019</v>
      </c>
      <c r="F125" s="1427">
        <v>2020</v>
      </c>
      <c r="G125" s="1427">
        <v>2021</v>
      </c>
      <c r="H125" s="1427">
        <v>2022</v>
      </c>
      <c r="I125" s="1427">
        <v>2023</v>
      </c>
      <c r="J125" s="1427">
        <v>2024</v>
      </c>
      <c r="K125" s="1427">
        <v>2025</v>
      </c>
      <c r="L125" s="1427">
        <v>2026</v>
      </c>
      <c r="M125" s="1427">
        <v>2010</v>
      </c>
      <c r="N125" s="1427">
        <v>2011</v>
      </c>
      <c r="O125" s="1427">
        <v>2012</v>
      </c>
      <c r="P125" s="1427">
        <v>2013</v>
      </c>
      <c r="Q125" s="1427">
        <v>2014</v>
      </c>
      <c r="R125" s="1427"/>
      <c r="S125" s="1427" t="s">
        <v>698</v>
      </c>
      <c r="T125" s="1427" t="s">
        <v>699</v>
      </c>
      <c r="U125" s="1427" t="s">
        <v>700</v>
      </c>
      <c r="V125" s="1428">
        <v>2015</v>
      </c>
      <c r="W125" s="1441" t="s">
        <v>695</v>
      </c>
      <c r="X125" s="1427" t="s">
        <v>983</v>
      </c>
      <c r="Y125" s="1427" t="s">
        <v>1039</v>
      </c>
      <c r="Z125" s="1428" t="s">
        <v>747</v>
      </c>
      <c r="AA125" s="1427" t="s">
        <v>770</v>
      </c>
      <c r="AB125" s="1427" t="s">
        <v>1124</v>
      </c>
      <c r="AC125" s="1427" t="s">
        <v>1048</v>
      </c>
      <c r="AD125" s="1428" t="s">
        <v>774</v>
      </c>
      <c r="AE125" s="1427" t="s">
        <v>1182</v>
      </c>
      <c r="AF125" s="1427" t="s">
        <v>1177</v>
      </c>
      <c r="AG125" s="1442" t="s">
        <v>1178</v>
      </c>
      <c r="AH125" s="1443" t="s">
        <v>1099</v>
      </c>
      <c r="AI125" s="1442" t="str">
        <f>AI4</f>
        <v>2019Q1</v>
      </c>
      <c r="AJ125" s="1442" t="str">
        <f>AJ4</f>
        <v>2019Q2</v>
      </c>
      <c r="AK125" s="1442" t="str">
        <f>AK4</f>
        <v>2019Q3</v>
      </c>
      <c r="AL125" s="1443" t="str">
        <f>AL4</f>
        <v>2019Q4</v>
      </c>
      <c r="AM125" s="835" t="s">
        <v>2083</v>
      </c>
      <c r="AN125" s="835" t="s">
        <v>2602</v>
      </c>
      <c r="AO125" s="835" t="s">
        <v>2639</v>
      </c>
      <c r="AP125" s="835" t="s">
        <v>2681</v>
      </c>
      <c r="AQ125" s="835" t="s">
        <v>2700</v>
      </c>
      <c r="AR125" s="1442" t="s">
        <v>2703</v>
      </c>
      <c r="AS125" s="1442" t="s">
        <v>2706</v>
      </c>
      <c r="AT125" s="1443" t="s">
        <v>2708</v>
      </c>
      <c r="AU125" s="2817" t="s">
        <v>2714</v>
      </c>
      <c r="AV125" s="3077" t="s">
        <v>2721</v>
      </c>
      <c r="AW125" s="835" t="s">
        <v>2746</v>
      </c>
      <c r="AX125" s="836" t="s">
        <v>2775</v>
      </c>
      <c r="AY125" s="2817" t="s">
        <v>2752</v>
      </c>
      <c r="AZ125" s="835" t="s">
        <v>2759</v>
      </c>
      <c r="BA125" s="835" t="s">
        <v>2774</v>
      </c>
      <c r="BB125" s="836" t="s">
        <v>2784</v>
      </c>
      <c r="BC125" s="1442" t="s">
        <v>2785</v>
      </c>
      <c r="BD125" s="1442" t="s">
        <v>2794</v>
      </c>
      <c r="BE125" s="1442" t="s">
        <v>2814</v>
      </c>
      <c r="BF125" s="1443" t="s">
        <v>2823</v>
      </c>
      <c r="BG125" s="2945" t="s">
        <v>2824</v>
      </c>
      <c r="BH125" s="2945" t="s">
        <v>2828</v>
      </c>
      <c r="BI125" s="2945" t="s">
        <v>2852</v>
      </c>
      <c r="BJ125" s="2945" t="s">
        <v>2879</v>
      </c>
      <c r="BK125" s="2945" t="s">
        <v>2881</v>
      </c>
      <c r="BL125" s="3495" t="s">
        <v>2883</v>
      </c>
      <c r="BM125" s="1445"/>
      <c r="BN125" s="2877">
        <v>2016</v>
      </c>
      <c r="BO125" s="2877">
        <v>2017</v>
      </c>
      <c r="BP125" s="2877">
        <v>2018</v>
      </c>
      <c r="BQ125" s="2878">
        <v>2019</v>
      </c>
      <c r="BR125" s="2877">
        <v>2020</v>
      </c>
      <c r="BS125" s="2877">
        <v>2021</v>
      </c>
      <c r="BT125" s="2877">
        <v>2022</v>
      </c>
      <c r="BU125" s="2877">
        <v>2023</v>
      </c>
      <c r="BV125" s="2877">
        <v>2024</v>
      </c>
      <c r="BW125" s="2877">
        <v>2025</v>
      </c>
    </row>
    <row r="126" spans="1:75" hidden="1">
      <c r="A126" s="160" t="s">
        <v>92</v>
      </c>
      <c r="AA126" s="6"/>
      <c r="AE126" s="6"/>
      <c r="AF126" s="21"/>
    </row>
    <row r="127" spans="1:75" s="488" customFormat="1" hidden="1">
      <c r="A127" s="492" t="s">
        <v>487</v>
      </c>
      <c r="C127" s="444"/>
      <c r="D127" s="444"/>
      <c r="E127" s="444"/>
      <c r="F127" s="444"/>
      <c r="G127" s="444"/>
      <c r="H127" s="444"/>
      <c r="I127" s="444"/>
      <c r="J127" s="444"/>
      <c r="K127" s="444"/>
      <c r="L127" s="444" t="s">
        <v>140</v>
      </c>
      <c r="M127" s="444" t="s">
        <v>140</v>
      </c>
      <c r="N127" s="444">
        <v>0.72</v>
      </c>
      <c r="O127" s="444">
        <v>0.74</v>
      </c>
      <c r="P127" s="444" t="s">
        <v>140</v>
      </c>
      <c r="Q127" s="444" t="s">
        <v>140</v>
      </c>
      <c r="R127" s="444"/>
      <c r="S127" s="444"/>
      <c r="T127" s="444"/>
      <c r="U127" s="444"/>
      <c r="V127" s="445" t="s">
        <v>140</v>
      </c>
      <c r="W127" s="820"/>
      <c r="Z127" s="507"/>
      <c r="AD127" s="507"/>
      <c r="AH127" s="507"/>
      <c r="AL127" s="507"/>
      <c r="AT127" s="507"/>
      <c r="AU127" s="506"/>
      <c r="AX127" s="507"/>
      <c r="AY127" s="506"/>
      <c r="AZ127" s="3120"/>
      <c r="BA127" s="3120"/>
      <c r="BB127" s="3119"/>
      <c r="BC127" s="3120"/>
      <c r="BD127" s="3120"/>
      <c r="BE127" s="3120"/>
      <c r="BF127" s="3119"/>
      <c r="BG127" s="3120"/>
      <c r="BH127" s="3120"/>
      <c r="BI127" s="3120"/>
      <c r="BJ127" s="3120"/>
      <c r="BK127" s="3120"/>
      <c r="BL127" s="3120"/>
      <c r="BM127" s="3119"/>
      <c r="BN127" s="1015"/>
      <c r="BO127" s="1015"/>
      <c r="BP127" s="1015"/>
      <c r="BR127" s="1015"/>
      <c r="BS127" s="1015"/>
      <c r="BT127" s="1015"/>
    </row>
    <row r="128" spans="1:75" s="488" customFormat="1" hidden="1">
      <c r="A128" s="492" t="s">
        <v>488</v>
      </c>
      <c r="C128" s="444"/>
      <c r="D128" s="444"/>
      <c r="E128" s="444"/>
      <c r="F128" s="444"/>
      <c r="G128" s="444"/>
      <c r="H128" s="444"/>
      <c r="I128" s="444"/>
      <c r="J128" s="444"/>
      <c r="K128" s="444"/>
      <c r="L128" s="444" t="s">
        <v>140</v>
      </c>
      <c r="M128" s="444" t="s">
        <v>140</v>
      </c>
      <c r="N128" s="444">
        <v>0.11</v>
      </c>
      <c r="O128" s="444">
        <v>0.08</v>
      </c>
      <c r="P128" s="444" t="s">
        <v>140</v>
      </c>
      <c r="Q128" s="444" t="s">
        <v>140</v>
      </c>
      <c r="R128" s="444"/>
      <c r="S128" s="444"/>
      <c r="T128" s="444"/>
      <c r="U128" s="444"/>
      <c r="V128" s="445" t="s">
        <v>140</v>
      </c>
      <c r="W128" s="820"/>
      <c r="Z128" s="507"/>
      <c r="AD128" s="507"/>
      <c r="AH128" s="507"/>
      <c r="AL128" s="507"/>
      <c r="AT128" s="507"/>
      <c r="AU128" s="506"/>
      <c r="AX128" s="507"/>
      <c r="AY128" s="506"/>
      <c r="AZ128" s="3120"/>
      <c r="BA128" s="3120"/>
      <c r="BB128" s="3119"/>
      <c r="BC128" s="3120"/>
      <c r="BD128" s="3120"/>
      <c r="BE128" s="3120"/>
      <c r="BF128" s="3119"/>
      <c r="BG128" s="3120"/>
      <c r="BH128" s="3120"/>
      <c r="BI128" s="3120"/>
      <c r="BJ128" s="3120"/>
      <c r="BK128" s="3120"/>
      <c r="BL128" s="3120"/>
      <c r="BM128" s="3119"/>
      <c r="BN128" s="1015"/>
      <c r="BO128" s="1015"/>
      <c r="BP128" s="1015"/>
      <c r="BR128" s="1015"/>
      <c r="BS128" s="1015"/>
      <c r="BT128" s="1015"/>
    </row>
    <row r="129" spans="1:75" s="488" customFormat="1" hidden="1">
      <c r="A129" s="492" t="s">
        <v>489</v>
      </c>
      <c r="C129" s="444"/>
      <c r="D129" s="444"/>
      <c r="E129" s="444"/>
      <c r="F129" s="444"/>
      <c r="G129" s="444"/>
      <c r="H129" s="444"/>
      <c r="I129" s="444"/>
      <c r="J129" s="444"/>
      <c r="K129" s="444"/>
      <c r="L129" s="444" t="s">
        <v>140</v>
      </c>
      <c r="M129" s="444" t="s">
        <v>140</v>
      </c>
      <c r="N129" s="444" t="s">
        <v>140</v>
      </c>
      <c r="O129" s="444" t="s">
        <v>140</v>
      </c>
      <c r="P129" s="444" t="s">
        <v>140</v>
      </c>
      <c r="Q129" s="444" t="s">
        <v>140</v>
      </c>
      <c r="R129" s="444"/>
      <c r="S129" s="444"/>
      <c r="T129" s="444"/>
      <c r="U129" s="444"/>
      <c r="V129" s="445" t="s">
        <v>140</v>
      </c>
      <c r="W129" s="820"/>
      <c r="Z129" s="507"/>
      <c r="AD129" s="507"/>
      <c r="AH129" s="507"/>
      <c r="AL129" s="507"/>
      <c r="AT129" s="507"/>
      <c r="AU129" s="506"/>
      <c r="AX129" s="507"/>
      <c r="AY129" s="506"/>
      <c r="AZ129" s="3120"/>
      <c r="BA129" s="3120"/>
      <c r="BB129" s="3119"/>
      <c r="BC129" s="3120"/>
      <c r="BD129" s="3120"/>
      <c r="BE129" s="3120"/>
      <c r="BF129" s="3119"/>
      <c r="BG129" s="3120"/>
      <c r="BH129" s="3120"/>
      <c r="BI129" s="3120"/>
      <c r="BJ129" s="3120"/>
      <c r="BK129" s="3120"/>
      <c r="BL129" s="3120"/>
      <c r="BM129" s="3119"/>
      <c r="BN129" s="1015"/>
      <c r="BO129" s="1015"/>
      <c r="BP129" s="1015"/>
      <c r="BR129" s="1015"/>
      <c r="BS129" s="1015"/>
      <c r="BT129" s="1015"/>
    </row>
    <row r="130" spans="1:75" s="488" customFormat="1" hidden="1">
      <c r="A130" s="492" t="s">
        <v>490</v>
      </c>
      <c r="C130" s="444"/>
      <c r="D130" s="444"/>
      <c r="E130" s="444"/>
      <c r="F130" s="444"/>
      <c r="G130" s="444"/>
      <c r="H130" s="444"/>
      <c r="I130" s="444"/>
      <c r="J130" s="444"/>
      <c r="K130" s="444"/>
      <c r="L130" s="444" t="s">
        <v>140</v>
      </c>
      <c r="M130" s="444" t="s">
        <v>140</v>
      </c>
      <c r="N130" s="444" t="s">
        <v>140</v>
      </c>
      <c r="O130" s="444" t="s">
        <v>140</v>
      </c>
      <c r="P130" s="444" t="s">
        <v>140</v>
      </c>
      <c r="Q130" s="444" t="s">
        <v>140</v>
      </c>
      <c r="R130" s="444"/>
      <c r="S130" s="444"/>
      <c r="T130" s="444"/>
      <c r="U130" s="444"/>
      <c r="V130" s="445" t="s">
        <v>140</v>
      </c>
      <c r="W130" s="820"/>
      <c r="Z130" s="507"/>
      <c r="AD130" s="507"/>
      <c r="AH130" s="507"/>
      <c r="AL130" s="507"/>
      <c r="AT130" s="507"/>
      <c r="AU130" s="506"/>
      <c r="AX130" s="507"/>
      <c r="AY130" s="506"/>
      <c r="AZ130" s="3120"/>
      <c r="BA130" s="3120"/>
      <c r="BB130" s="3119"/>
      <c r="BC130" s="3120"/>
      <c r="BD130" s="3120"/>
      <c r="BE130" s="3120"/>
      <c r="BF130" s="3119"/>
      <c r="BG130" s="3120"/>
      <c r="BH130" s="3120"/>
      <c r="BI130" s="3120"/>
      <c r="BJ130" s="3120"/>
      <c r="BK130" s="3120"/>
      <c r="BL130" s="3120"/>
      <c r="BM130" s="3119"/>
      <c r="BN130" s="1015"/>
      <c r="BO130" s="1015"/>
      <c r="BP130" s="1015"/>
      <c r="BR130" s="1015"/>
      <c r="BS130" s="1015"/>
      <c r="BT130" s="1015"/>
    </row>
    <row r="131" spans="1:75" s="488" customFormat="1" hidden="1">
      <c r="A131" s="508" t="s">
        <v>491</v>
      </c>
      <c r="C131" s="444"/>
      <c r="D131" s="444"/>
      <c r="E131" s="444"/>
      <c r="F131" s="444"/>
      <c r="G131" s="444"/>
      <c r="H131" s="444"/>
      <c r="I131" s="444"/>
      <c r="J131" s="444"/>
      <c r="K131" s="444"/>
      <c r="L131" s="444" t="s">
        <v>140</v>
      </c>
      <c r="M131" s="444" t="s">
        <v>140</v>
      </c>
      <c r="N131" s="444">
        <v>0.17</v>
      </c>
      <c r="O131" s="444">
        <v>0.18</v>
      </c>
      <c r="P131" s="444" t="s">
        <v>140</v>
      </c>
      <c r="Q131" s="444" t="s">
        <v>140</v>
      </c>
      <c r="R131" s="444"/>
      <c r="S131" s="444"/>
      <c r="T131" s="444"/>
      <c r="U131" s="444"/>
      <c r="V131" s="445" t="s">
        <v>140</v>
      </c>
      <c r="W131" s="820"/>
      <c r="Z131" s="507"/>
      <c r="AD131" s="507"/>
      <c r="AH131" s="507"/>
      <c r="AL131" s="507"/>
      <c r="AT131" s="507"/>
      <c r="AU131" s="506"/>
      <c r="AX131" s="507"/>
      <c r="AY131" s="506"/>
      <c r="AZ131" s="3120"/>
      <c r="BA131" s="3120"/>
      <c r="BB131" s="3119"/>
      <c r="BC131" s="3120"/>
      <c r="BD131" s="3120"/>
      <c r="BE131" s="3120"/>
      <c r="BF131" s="3119"/>
      <c r="BG131" s="3120"/>
      <c r="BH131" s="3120"/>
      <c r="BI131" s="3120"/>
      <c r="BJ131" s="3120"/>
      <c r="BK131" s="3120"/>
      <c r="BL131" s="3120"/>
      <c r="BM131" s="3119"/>
      <c r="BN131" s="1015"/>
      <c r="BO131" s="1015"/>
      <c r="BP131" s="1015"/>
      <c r="BR131" s="1015"/>
      <c r="BS131" s="1015"/>
      <c r="BT131" s="1015"/>
    </row>
    <row r="132" spans="1:75" ht="12">
      <c r="A132" s="70" t="s">
        <v>1981</v>
      </c>
      <c r="B132" s="86"/>
      <c r="C132" s="157"/>
      <c r="D132" s="156"/>
      <c r="E132" s="156"/>
      <c r="F132" s="156"/>
      <c r="G132" s="156"/>
      <c r="H132" s="156"/>
      <c r="I132" s="156"/>
      <c r="J132" s="156"/>
      <c r="K132" s="156"/>
      <c r="L132" s="156"/>
      <c r="M132" s="7"/>
      <c r="N132" s="7"/>
      <c r="O132" s="7"/>
      <c r="P132" s="7"/>
      <c r="Q132" s="7"/>
      <c r="R132" s="7"/>
      <c r="S132" s="7"/>
      <c r="T132" s="7"/>
      <c r="U132" s="7"/>
      <c r="V132" s="113"/>
      <c r="W132" s="27"/>
    </row>
    <row r="133" spans="1:75" outlineLevel="1">
      <c r="A133" s="1460" t="s">
        <v>1402</v>
      </c>
      <c r="B133" s="86"/>
      <c r="C133" s="157"/>
      <c r="D133" s="156"/>
      <c r="E133" s="156"/>
      <c r="F133" s="156"/>
      <c r="G133" s="156"/>
      <c r="H133" s="156"/>
      <c r="I133" s="156"/>
      <c r="J133" s="156"/>
      <c r="K133" s="156"/>
      <c r="L133" s="156"/>
      <c r="M133" s="7"/>
      <c r="N133" s="7"/>
      <c r="O133" s="7"/>
      <c r="P133" s="7"/>
      <c r="Q133" s="7"/>
      <c r="R133" s="7"/>
      <c r="S133" s="7"/>
      <c r="T133" s="7"/>
      <c r="U133" s="7"/>
      <c r="V133" s="113"/>
      <c r="W133" s="211">
        <f t="shared" ref="W133:AL133" si="200">W58/W$35</f>
        <v>0.38619871747257917</v>
      </c>
      <c r="X133" s="211">
        <f t="shared" si="200"/>
        <v>0.37894319656863185</v>
      </c>
      <c r="Y133" s="211">
        <f t="shared" si="200"/>
        <v>0.28981073890316217</v>
      </c>
      <c r="Z133" s="446">
        <f t="shared" si="200"/>
        <v>0.32440636612558377</v>
      </c>
      <c r="AA133" s="211">
        <f t="shared" si="200"/>
        <v>0.42016892043860193</v>
      </c>
      <c r="AB133" s="211">
        <f t="shared" si="200"/>
        <v>0.38877415717928027</v>
      </c>
      <c r="AC133" s="211">
        <f t="shared" si="200"/>
        <v>0.27987888133941907</v>
      </c>
      <c r="AD133" s="446">
        <f t="shared" si="200"/>
        <v>0.28486651169356192</v>
      </c>
      <c r="AE133" s="211">
        <f t="shared" si="200"/>
        <v>0.3777770036961261</v>
      </c>
      <c r="AF133" s="211">
        <f t="shared" si="200"/>
        <v>0.32283365949561987</v>
      </c>
      <c r="AG133" s="211">
        <f t="shared" si="200"/>
        <v>0.27099505052588163</v>
      </c>
      <c r="AH133" s="446">
        <f t="shared" si="200"/>
        <v>0.27544351073762841</v>
      </c>
      <c r="AI133" s="211">
        <f t="shared" si="200"/>
        <v>0.36305956996827637</v>
      </c>
      <c r="AJ133" s="211">
        <f t="shared" si="200"/>
        <v>0.30961038961038961</v>
      </c>
      <c r="AK133" s="211">
        <f t="shared" si="200"/>
        <v>0.25615079365079363</v>
      </c>
      <c r="AL133" s="446">
        <f t="shared" si="200"/>
        <v>0.27133872416891286</v>
      </c>
      <c r="AM133" s="211"/>
      <c r="AN133" s="211"/>
      <c r="AO133" s="211"/>
      <c r="AP133" s="211"/>
      <c r="AQ133" s="211"/>
      <c r="AR133" s="211"/>
      <c r="AS133" s="211"/>
      <c r="AT133" s="446"/>
      <c r="AU133" s="447"/>
      <c r="AV133" s="211"/>
      <c r="AW133" s="211"/>
      <c r="AX133" s="446"/>
      <c r="AY133" s="447"/>
      <c r="AZ133" s="82"/>
      <c r="BA133" s="82"/>
      <c r="BB133" s="1513"/>
      <c r="BC133" s="82"/>
      <c r="BD133" s="82"/>
      <c r="BE133" s="82"/>
      <c r="BF133" s="1513"/>
      <c r="BG133" s="82"/>
      <c r="BH133" s="82"/>
      <c r="BI133" s="82"/>
      <c r="BJ133" s="82"/>
      <c r="BK133" s="82"/>
      <c r="BL133" s="82"/>
      <c r="BM133" s="1513"/>
      <c r="BN133" s="451">
        <f t="shared" ref="BN133:BQ140" si="201">BN58/BN$35</f>
        <v>0.33731370747667505</v>
      </c>
      <c r="BO133" s="451">
        <f t="shared" si="201"/>
        <v>0.33319303377285553</v>
      </c>
      <c r="BP133" s="451">
        <f t="shared" si="201"/>
        <v>0.3061240926132498</v>
      </c>
      <c r="BQ133" s="447">
        <f t="shared" si="201"/>
        <v>0.29330943847072877</v>
      </c>
      <c r="BR133" s="451"/>
      <c r="BS133" s="451"/>
    </row>
    <row r="134" spans="1:75" outlineLevel="1">
      <c r="A134" s="1460" t="s">
        <v>1403</v>
      </c>
      <c r="B134" s="86"/>
      <c r="C134" s="157"/>
      <c r="D134" s="156"/>
      <c r="E134" s="156"/>
      <c r="F134" s="156"/>
      <c r="G134" s="156"/>
      <c r="H134" s="156"/>
      <c r="I134" s="156"/>
      <c r="J134" s="156"/>
      <c r="K134" s="156"/>
      <c r="L134" s="156"/>
      <c r="M134" s="7"/>
      <c r="N134" s="7"/>
      <c r="O134" s="7"/>
      <c r="P134" s="7"/>
      <c r="Q134" s="7"/>
      <c r="R134" s="7"/>
      <c r="S134" s="7"/>
      <c r="T134" s="7"/>
      <c r="U134" s="7"/>
      <c r="V134" s="113"/>
      <c r="W134" s="211">
        <f t="shared" ref="W134:AL134" si="202">W59/W$35</f>
        <v>3.4586149694223675E-2</v>
      </c>
      <c r="X134" s="211">
        <f t="shared" si="202"/>
        <v>4.6226095946280743E-2</v>
      </c>
      <c r="Y134" s="211">
        <f t="shared" si="202"/>
        <v>2.028161667822493E-2</v>
      </c>
      <c r="Z134" s="446">
        <f t="shared" si="202"/>
        <v>1.7896985583569568E-2</v>
      </c>
      <c r="AA134" s="211">
        <f t="shared" si="202"/>
        <v>3.1278770132398832E-2</v>
      </c>
      <c r="AB134" s="211">
        <f t="shared" si="202"/>
        <v>4.1055093579744524E-2</v>
      </c>
      <c r="AC134" s="211">
        <f t="shared" si="202"/>
        <v>2.5784577304241139E-2</v>
      </c>
      <c r="AD134" s="446">
        <f t="shared" si="202"/>
        <v>3.053817352920259E-2</v>
      </c>
      <c r="AE134" s="211">
        <f t="shared" si="202"/>
        <v>3.4629453374273145E-2</v>
      </c>
      <c r="AF134" s="211">
        <f t="shared" si="202"/>
        <v>3.498182406235175E-2</v>
      </c>
      <c r="AG134" s="211">
        <f t="shared" si="202"/>
        <v>3.3022478861620956E-2</v>
      </c>
      <c r="AH134" s="446">
        <f t="shared" si="202"/>
        <v>3.8593215063803296E-2</v>
      </c>
      <c r="AI134" s="211">
        <f t="shared" si="202"/>
        <v>5.7455058160028195E-2</v>
      </c>
      <c r="AJ134" s="211">
        <f t="shared" si="202"/>
        <v>4.5454545454545456E-2</v>
      </c>
      <c r="AK134" s="211">
        <f t="shared" si="202"/>
        <v>2.4603174603174603E-2</v>
      </c>
      <c r="AL134" s="446">
        <f t="shared" si="202"/>
        <v>2.575621443545972E-2</v>
      </c>
      <c r="AM134" s="211"/>
      <c r="AN134" s="211"/>
      <c r="AO134" s="211"/>
      <c r="AP134" s="211"/>
      <c r="AQ134" s="211"/>
      <c r="AR134" s="211"/>
      <c r="AS134" s="211"/>
      <c r="AT134" s="446"/>
      <c r="AU134" s="447"/>
      <c r="AV134" s="211"/>
      <c r="AW134" s="211"/>
      <c r="AX134" s="446"/>
      <c r="AY134" s="447"/>
      <c r="AZ134" s="82"/>
      <c r="BA134" s="82"/>
      <c r="BB134" s="1513"/>
      <c r="BC134" s="82"/>
      <c r="BD134" s="82"/>
      <c r="BE134" s="82"/>
      <c r="BF134" s="1513"/>
      <c r="BG134" s="82"/>
      <c r="BH134" s="82"/>
      <c r="BI134" s="82"/>
      <c r="BJ134" s="82"/>
      <c r="BK134" s="82"/>
      <c r="BL134" s="82"/>
      <c r="BM134" s="1513"/>
      <c r="BN134" s="451">
        <f t="shared" si="201"/>
        <v>2.8667651927948987E-2</v>
      </c>
      <c r="BO134" s="451">
        <f t="shared" si="201"/>
        <v>3.150175635903333E-2</v>
      </c>
      <c r="BP134" s="451">
        <f t="shared" si="201"/>
        <v>3.5055528231511784E-2</v>
      </c>
      <c r="BQ134" s="447">
        <f t="shared" si="201"/>
        <v>3.6373290853577593E-2</v>
      </c>
      <c r="BR134" s="451"/>
      <c r="BS134" s="451"/>
    </row>
    <row r="135" spans="1:75" s="3312" customFormat="1">
      <c r="A135" s="3300" t="s">
        <v>2084</v>
      </c>
      <c r="B135" s="3301"/>
      <c r="C135" s="3302"/>
      <c r="D135" s="3303"/>
      <c r="E135" s="3303"/>
      <c r="F135" s="3303"/>
      <c r="G135" s="3303"/>
      <c r="H135" s="3303"/>
      <c r="I135" s="3303"/>
      <c r="J135" s="3303"/>
      <c r="K135" s="3303"/>
      <c r="L135" s="3303"/>
      <c r="M135" s="3304"/>
      <c r="N135" s="3304"/>
      <c r="O135" s="3304"/>
      <c r="P135" s="3304"/>
      <c r="Q135" s="3304"/>
      <c r="R135" s="3304"/>
      <c r="S135" s="3304"/>
      <c r="T135" s="3304"/>
      <c r="U135" s="3304"/>
      <c r="V135" s="3305"/>
      <c r="W135" s="3306">
        <f t="shared" ref="W135:AL135" si="203">W60/W$35</f>
        <v>0.42078486716680286</v>
      </c>
      <c r="X135" s="3306">
        <f t="shared" si="203"/>
        <v>0.42516929251491264</v>
      </c>
      <c r="Y135" s="3306">
        <f t="shared" si="203"/>
        <v>0.31009235558138704</v>
      </c>
      <c r="Z135" s="3306">
        <f t="shared" si="203"/>
        <v>0.34230335170915338</v>
      </c>
      <c r="AA135" s="3306">
        <f t="shared" si="203"/>
        <v>0.45144769057100081</v>
      </c>
      <c r="AB135" s="3306">
        <f t="shared" si="203"/>
        <v>0.42982925075902478</v>
      </c>
      <c r="AC135" s="3306">
        <f t="shared" si="203"/>
        <v>0.30566345864366024</v>
      </c>
      <c r="AD135" s="3306">
        <f t="shared" si="203"/>
        <v>0.31540468522276455</v>
      </c>
      <c r="AE135" s="3306">
        <f t="shared" si="203"/>
        <v>0.41240645707039925</v>
      </c>
      <c r="AF135" s="3306">
        <f t="shared" si="203"/>
        <v>0.3578154835579716</v>
      </c>
      <c r="AG135" s="3306">
        <f t="shared" si="203"/>
        <v>0.30401752938750259</v>
      </c>
      <c r="AH135" s="3306">
        <f t="shared" si="203"/>
        <v>0.31403672580143166</v>
      </c>
      <c r="AI135" s="3306">
        <f t="shared" si="203"/>
        <v>0.42051462812830454</v>
      </c>
      <c r="AJ135" s="3306">
        <f t="shared" si="203"/>
        <v>0.35506493506493508</v>
      </c>
      <c r="AK135" s="3306">
        <f t="shared" si="203"/>
        <v>0.28075396825396826</v>
      </c>
      <c r="AL135" s="3307">
        <f t="shared" si="203"/>
        <v>0.29709493860437258</v>
      </c>
      <c r="AM135" s="3306">
        <f t="shared" ref="AM135:BI135" si="204">AM60/AM$35</f>
        <v>0.37194055944055943</v>
      </c>
      <c r="AN135" s="3306">
        <f t="shared" si="204"/>
        <v>0.3349206349206349</v>
      </c>
      <c r="AO135" s="3306">
        <f t="shared" si="204"/>
        <v>0.27689393939393941</v>
      </c>
      <c r="AP135" s="3306">
        <f t="shared" si="204"/>
        <v>0.31179321486268174</v>
      </c>
      <c r="AQ135" s="3306">
        <f t="shared" si="204"/>
        <v>0.40403155127081508</v>
      </c>
      <c r="AR135" s="3306">
        <f t="shared" si="204"/>
        <v>0.45740740740740743</v>
      </c>
      <c r="AS135" s="3306">
        <f t="shared" si="204"/>
        <v>0.29469632164242943</v>
      </c>
      <c r="AT135" s="3307">
        <f t="shared" si="204"/>
        <v>0.32673599463267361</v>
      </c>
      <c r="AU135" s="3308">
        <f t="shared" si="204"/>
        <v>0.42560296846011131</v>
      </c>
      <c r="AV135" s="3306">
        <f t="shared" si="204"/>
        <v>0.40451793199813696</v>
      </c>
      <c r="AW135" s="3306">
        <f t="shared" si="204"/>
        <v>0.29659616655651022</v>
      </c>
      <c r="AX135" s="3307">
        <f t="shared" si="204"/>
        <v>0.32452457396888118</v>
      </c>
      <c r="AY135" s="3308">
        <f t="shared" si="204"/>
        <v>0.40153520381154051</v>
      </c>
      <c r="AZ135" s="3309">
        <f t="shared" si="204"/>
        <v>0.3297326986451849</v>
      </c>
      <c r="BA135" s="3309">
        <f t="shared" si="204"/>
        <v>0.27543931344503475</v>
      </c>
      <c r="BB135" s="3310">
        <f t="shared" si="204"/>
        <v>0.29954013377926419</v>
      </c>
      <c r="BC135" s="3309">
        <f t="shared" si="204"/>
        <v>0.36466591166477919</v>
      </c>
      <c r="BD135" s="3421">
        <f t="shared" si="204"/>
        <v>0.33094384707287933</v>
      </c>
      <c r="BE135" s="3309">
        <f t="shared" si="204"/>
        <v>0.26907680760570429</v>
      </c>
      <c r="BF135" s="3396">
        <f t="shared" si="204"/>
        <v>0.28842233257027183</v>
      </c>
      <c r="BG135" s="3309">
        <f t="shared" si="204"/>
        <v>0.37316253674926503</v>
      </c>
      <c r="BH135" s="3421">
        <f t="shared" si="204"/>
        <v>0.31465136804942628</v>
      </c>
      <c r="BI135" s="3309">
        <f t="shared" si="204"/>
        <v>0.25976909413854354</v>
      </c>
      <c r="BJ135" s="3309">
        <f t="shared" ref="BJ135:BK135" si="205">BJ60/BJ$35</f>
        <v>0.30398487950858405</v>
      </c>
      <c r="BK135" s="3309">
        <f t="shared" si="205"/>
        <v>0.37382501807664498</v>
      </c>
      <c r="BL135" s="3517">
        <f t="shared" ref="BL135:BL140" si="206">BL60/BL$35</f>
        <v>0.32249727965179542</v>
      </c>
      <c r="BM135" s="3309"/>
      <c r="BN135" s="3311">
        <f t="shared" si="201"/>
        <v>0.36598135940462401</v>
      </c>
      <c r="BO135" s="3311">
        <f t="shared" si="201"/>
        <v>0.36469479013188888</v>
      </c>
      <c r="BP135" s="3311">
        <f t="shared" si="201"/>
        <v>0.34117962084476156</v>
      </c>
      <c r="BQ135" s="3308">
        <f t="shared" si="201"/>
        <v>0.32968272932430637</v>
      </c>
      <c r="BR135" s="3311">
        <f t="shared" ref="BR135:BV140" si="207">BR60/BR$35</f>
        <v>0.32062978222483812</v>
      </c>
      <c r="BS135" s="3311">
        <f t="shared" si="207"/>
        <v>0.34686986676400805</v>
      </c>
      <c r="BT135" s="3311">
        <f t="shared" si="207"/>
        <v>0.35067290813341134</v>
      </c>
      <c r="BU135" s="3311">
        <f t="shared" si="207"/>
        <v>0.31701380762930026</v>
      </c>
      <c r="BV135" s="3311">
        <f t="shared" si="207"/>
        <v>0.30658410211045117</v>
      </c>
      <c r="BW135" s="3311">
        <f t="shared" ref="BW135" si="208">BW60/BW$35</f>
        <v>0.30412007281643572</v>
      </c>
    </row>
    <row r="136" spans="1:75" s="3312" customFormat="1">
      <c r="A136" s="3300" t="s">
        <v>1422</v>
      </c>
      <c r="B136" s="3301"/>
      <c r="C136" s="3302"/>
      <c r="D136" s="3303"/>
      <c r="E136" s="3303"/>
      <c r="F136" s="3303"/>
      <c r="G136" s="3303"/>
      <c r="H136" s="3303"/>
      <c r="I136" s="3303"/>
      <c r="J136" s="3303"/>
      <c r="K136" s="3303"/>
      <c r="L136" s="3303"/>
      <c r="M136" s="3304"/>
      <c r="N136" s="3304"/>
      <c r="O136" s="3304"/>
      <c r="P136" s="3304"/>
      <c r="Q136" s="3304"/>
      <c r="R136" s="3304"/>
      <c r="S136" s="3304"/>
      <c r="T136" s="3304"/>
      <c r="U136" s="3304"/>
      <c r="V136" s="3305"/>
      <c r="W136" s="3306">
        <f t="shared" ref="W136:AL136" si="209">W61/W$35</f>
        <v>4.5716903117185369E-2</v>
      </c>
      <c r="X136" s="3306">
        <f t="shared" si="209"/>
        <v>4.3427943985928162E-2</v>
      </c>
      <c r="Y136" s="3306">
        <f t="shared" si="209"/>
        <v>3.4790417443215677E-2</v>
      </c>
      <c r="Z136" s="3307">
        <f t="shared" si="209"/>
        <v>4.94275732188348E-2</v>
      </c>
      <c r="AA136" s="3306">
        <f t="shared" si="209"/>
        <v>4.8853692965789647E-2</v>
      </c>
      <c r="AB136" s="3306">
        <f t="shared" si="209"/>
        <v>4.4628150689711488E-2</v>
      </c>
      <c r="AC136" s="3306">
        <f t="shared" si="209"/>
        <v>3.7841352019280586E-2</v>
      </c>
      <c r="AD136" s="3307">
        <f t="shared" si="209"/>
        <v>5.4387039733308599E-2</v>
      </c>
      <c r="AE136" s="3306">
        <f t="shared" si="209"/>
        <v>5.6621796113040058E-2</v>
      </c>
      <c r="AF136" s="3306">
        <f t="shared" si="209"/>
        <v>5.7559397629805706E-2</v>
      </c>
      <c r="AG136" s="3306">
        <f t="shared" si="209"/>
        <v>5.0108063518251186E-2</v>
      </c>
      <c r="AH136" s="3307">
        <f t="shared" si="209"/>
        <v>6.7849361967009025E-2</v>
      </c>
      <c r="AI136" s="3306">
        <f t="shared" si="209"/>
        <v>7.5784279168135349E-2</v>
      </c>
      <c r="AJ136" s="3306">
        <f t="shared" si="209"/>
        <v>6.4415584415584412E-2</v>
      </c>
      <c r="AK136" s="3306">
        <f t="shared" si="209"/>
        <v>5.4761904761904762E-2</v>
      </c>
      <c r="AL136" s="3307">
        <f t="shared" si="209"/>
        <v>6.4690026954177901E-2</v>
      </c>
      <c r="AM136" s="3306">
        <f t="shared" ref="AM136:BI136" si="210">AM61/AM$35</f>
        <v>0.16477272727272727</v>
      </c>
      <c r="AN136" s="3306">
        <f t="shared" si="210"/>
        <v>0.20793650793650795</v>
      </c>
      <c r="AO136" s="3306">
        <f t="shared" si="210"/>
        <v>4.8863636363636366E-2</v>
      </c>
      <c r="AP136" s="3306">
        <f t="shared" si="210"/>
        <v>9.5315024232633286E-2</v>
      </c>
      <c r="AQ136" s="3306">
        <f t="shared" si="210"/>
        <v>9.815950920245399E-2</v>
      </c>
      <c r="AR136" s="3306">
        <f t="shared" si="210"/>
        <v>9.5370370370370369E-2</v>
      </c>
      <c r="AS136" s="3306">
        <f t="shared" si="210"/>
        <v>6.4585115483319078E-2</v>
      </c>
      <c r="AT136" s="3307">
        <f t="shared" si="210"/>
        <v>8.7554511908755447E-2</v>
      </c>
      <c r="AU136" s="3308">
        <f t="shared" si="210"/>
        <v>0.12578849721706864</v>
      </c>
      <c r="AV136" s="3306">
        <f t="shared" si="210"/>
        <v>0.10829063809967396</v>
      </c>
      <c r="AW136" s="3306">
        <f t="shared" si="210"/>
        <v>8.9226701916721746E-2</v>
      </c>
      <c r="AX136" s="3307">
        <f t="shared" si="210"/>
        <v>0.12620400098789825</v>
      </c>
      <c r="AY136" s="3308">
        <f t="shared" si="210"/>
        <v>0.15087347803070408</v>
      </c>
      <c r="AZ136" s="3309">
        <f t="shared" si="210"/>
        <v>0.13127059685097034</v>
      </c>
      <c r="BA136" s="3309">
        <f t="shared" si="210"/>
        <v>9.8487944421740914E-2</v>
      </c>
      <c r="BB136" s="3310">
        <f t="shared" si="210"/>
        <v>0.1358695652173913</v>
      </c>
      <c r="BC136" s="3309">
        <f t="shared" si="210"/>
        <v>0.15356738391845981</v>
      </c>
      <c r="BD136" s="3421">
        <f t="shared" si="210"/>
        <v>0.13995562382659157</v>
      </c>
      <c r="BE136" s="3309">
        <f t="shared" si="210"/>
        <v>0.1090818113585189</v>
      </c>
      <c r="BF136" s="3396">
        <f t="shared" si="210"/>
        <v>0.13708285768549042</v>
      </c>
      <c r="BG136" s="3309">
        <f t="shared" si="210"/>
        <v>0.14741705165896682</v>
      </c>
      <c r="BH136" s="3421">
        <f t="shared" si="210"/>
        <v>0.13224477787584585</v>
      </c>
      <c r="BI136" s="3309">
        <f t="shared" si="210"/>
        <v>0.11345470692717584</v>
      </c>
      <c r="BJ136" s="3309">
        <f t="shared" ref="BJ136:BK136" si="211">BJ61/BJ$35</f>
        <v>0.13072924870058278</v>
      </c>
      <c r="BK136" s="3309">
        <f t="shared" si="211"/>
        <v>0.14533622559652928</v>
      </c>
      <c r="BL136" s="3517">
        <f t="shared" si="206"/>
        <v>0.12812840043525572</v>
      </c>
      <c r="BM136" s="3309"/>
      <c r="BN136" s="3311">
        <f t="shared" si="201"/>
        <v>4.2194667567388343E-2</v>
      </c>
      <c r="BO136" s="3311">
        <f t="shared" si="201"/>
        <v>4.5207832802182039E-2</v>
      </c>
      <c r="BP136" s="3311">
        <f t="shared" si="201"/>
        <v>5.7159092590878063E-2</v>
      </c>
      <c r="BQ136" s="3308">
        <f t="shared" si="201"/>
        <v>6.3387760520377007E-2</v>
      </c>
      <c r="BR136" s="3311">
        <f t="shared" si="207"/>
        <v>0.11109476162448499</v>
      </c>
      <c r="BS136" s="3311">
        <f t="shared" si="207"/>
        <v>8.0397882825333084E-2</v>
      </c>
      <c r="BT136" s="3311">
        <f t="shared" si="207"/>
        <v>0.11620830895260387</v>
      </c>
      <c r="BU136" s="3311">
        <f t="shared" si="207"/>
        <v>0.12843435525391997</v>
      </c>
      <c r="BV136" s="3311">
        <f t="shared" si="207"/>
        <v>0.13142929356754707</v>
      </c>
      <c r="BW136" s="3311">
        <f t="shared" ref="BW136" si="212">BW61/BW$35</f>
        <v>0.12828324107441394</v>
      </c>
    </row>
    <row r="137" spans="1:75" s="3312" customFormat="1">
      <c r="A137" s="3300" t="s">
        <v>1404</v>
      </c>
      <c r="B137" s="3301"/>
      <c r="C137" s="3302"/>
      <c r="D137" s="3303"/>
      <c r="E137" s="3303"/>
      <c r="F137" s="3303"/>
      <c r="G137" s="3303"/>
      <c r="H137" s="3303"/>
      <c r="I137" s="3303"/>
      <c r="J137" s="3303"/>
      <c r="K137" s="3303"/>
      <c r="L137" s="3303"/>
      <c r="M137" s="3304"/>
      <c r="N137" s="3304"/>
      <c r="O137" s="3304"/>
      <c r="P137" s="3304"/>
      <c r="Q137" s="3304"/>
      <c r="R137" s="3304"/>
      <c r="S137" s="3304"/>
      <c r="T137" s="3304"/>
      <c r="U137" s="3304"/>
      <c r="V137" s="3305"/>
      <c r="W137" s="3306">
        <f t="shared" ref="W137:AL137" si="213">W62/W$35</f>
        <v>0.15269058406992003</v>
      </c>
      <c r="X137" s="3306">
        <f t="shared" si="213"/>
        <v>0.13690490398869379</v>
      </c>
      <c r="Y137" s="3306">
        <f t="shared" si="213"/>
        <v>9.6852576842479499E-2</v>
      </c>
      <c r="Z137" s="3307">
        <f t="shared" si="213"/>
        <v>0.15876963276035744</v>
      </c>
      <c r="AA137" s="3306">
        <f t="shared" si="213"/>
        <v>0.15038331616139761</v>
      </c>
      <c r="AB137" s="3306">
        <f t="shared" si="213"/>
        <v>0.13066812475311793</v>
      </c>
      <c r="AC137" s="3306">
        <f t="shared" si="213"/>
        <v>0.11051140539387679</v>
      </c>
      <c r="AD137" s="3307">
        <f t="shared" si="213"/>
        <v>0.15863322819278231</v>
      </c>
      <c r="AE137" s="3306">
        <f t="shared" si="213"/>
        <v>0.17037320866976002</v>
      </c>
      <c r="AF137" s="3306">
        <f t="shared" si="213"/>
        <v>0.14764945460878337</v>
      </c>
      <c r="AG137" s="3306">
        <f t="shared" si="213"/>
        <v>0.11068983295524851</v>
      </c>
      <c r="AH137" s="3307">
        <f t="shared" si="213"/>
        <v>0.15063803299097417</v>
      </c>
      <c r="AI137" s="3306">
        <f t="shared" si="213"/>
        <v>0.17659499471272472</v>
      </c>
      <c r="AJ137" s="3306">
        <f t="shared" si="213"/>
        <v>0.16077922077922077</v>
      </c>
      <c r="AK137" s="3306">
        <f t="shared" si="213"/>
        <v>0.11230158730158731</v>
      </c>
      <c r="AL137" s="3307">
        <f t="shared" si="213"/>
        <v>0.16831386642707397</v>
      </c>
      <c r="AM137" s="3306">
        <f t="shared" ref="AM137:BI137" si="214">AM62/AM$35</f>
        <v>0.21153846153846154</v>
      </c>
      <c r="AN137" s="3306">
        <f t="shared" si="214"/>
        <v>0.71746031746031746</v>
      </c>
      <c r="AO137" s="3306">
        <f t="shared" si="214"/>
        <v>0.19583333333333333</v>
      </c>
      <c r="AP137" s="3306">
        <f t="shared" si="214"/>
        <v>0.3966074313408724</v>
      </c>
      <c r="AQ137" s="3306">
        <f t="shared" si="214"/>
        <v>0.48378615249780893</v>
      </c>
      <c r="AR137" s="3306">
        <f t="shared" si="214"/>
        <v>0.31759259259259259</v>
      </c>
      <c r="AS137" s="3306">
        <f t="shared" si="214"/>
        <v>0.12639007698887939</v>
      </c>
      <c r="AT137" s="3307">
        <f t="shared" si="214"/>
        <v>0.16269708151626971</v>
      </c>
      <c r="AU137" s="3308">
        <f t="shared" si="214"/>
        <v>0.22115027829313544</v>
      </c>
      <c r="AV137" s="3306">
        <f t="shared" si="214"/>
        <v>0.14788076385654403</v>
      </c>
      <c r="AW137" s="3306">
        <f t="shared" si="214"/>
        <v>0.10508922670191673</v>
      </c>
      <c r="AX137" s="3307">
        <f t="shared" si="214"/>
        <v>0.14769078784885156</v>
      </c>
      <c r="AY137" s="3308">
        <f t="shared" si="214"/>
        <v>0.19110640550555849</v>
      </c>
      <c r="AZ137" s="3309">
        <f t="shared" si="214"/>
        <v>0.13767850604174295</v>
      </c>
      <c r="BA137" s="3309">
        <f t="shared" si="214"/>
        <v>0.10734232393406892</v>
      </c>
      <c r="BB137" s="3310">
        <f t="shared" si="214"/>
        <v>0.2157190635451505</v>
      </c>
      <c r="BC137" s="3309">
        <f t="shared" si="214"/>
        <v>0.1870894677236693</v>
      </c>
      <c r="BD137" s="3421">
        <f t="shared" si="214"/>
        <v>0.13773681515617001</v>
      </c>
      <c r="BE137" s="3309">
        <f t="shared" si="214"/>
        <v>0.10858143607705779</v>
      </c>
      <c r="BF137" s="3396">
        <f t="shared" si="214"/>
        <v>0.15590890347429778</v>
      </c>
      <c r="BG137" s="3309">
        <f t="shared" si="214"/>
        <v>0.14552708945821083</v>
      </c>
      <c r="BH137" s="3421">
        <f t="shared" si="214"/>
        <v>0.13180347160929684</v>
      </c>
      <c r="BI137" s="3309">
        <f t="shared" si="214"/>
        <v>0.10490674955595027</v>
      </c>
      <c r="BJ137" s="3309">
        <f t="shared" ref="BJ137:BK137" si="215">BJ62/BJ$35</f>
        <v>0.136871948338321</v>
      </c>
      <c r="BK137" s="3309">
        <f t="shared" si="215"/>
        <v>0.16142443962400579</v>
      </c>
      <c r="BL137" s="3517">
        <f t="shared" si="206"/>
        <v>0.12241566920565833</v>
      </c>
      <c r="BM137" s="3309"/>
      <c r="BN137" s="3311">
        <f t="shared" si="201"/>
        <v>0.13088437347426371</v>
      </c>
      <c r="BO137" s="3311">
        <f t="shared" si="201"/>
        <v>0.13350830554895218</v>
      </c>
      <c r="BP137" s="3311">
        <f t="shared" si="201"/>
        <v>0.14055417749828855</v>
      </c>
      <c r="BQ137" s="3308">
        <f t="shared" si="201"/>
        <v>0.14921014204168326</v>
      </c>
      <c r="BR137" s="3311">
        <f t="shared" si="207"/>
        <v>0.28605061801059445</v>
      </c>
      <c r="BS137" s="3311">
        <f t="shared" si="207"/>
        <v>0.21116992151852529</v>
      </c>
      <c r="BT137" s="3311">
        <f t="shared" si="207"/>
        <v>0.14423639555295495</v>
      </c>
      <c r="BU137" s="3311">
        <f t="shared" si="207"/>
        <v>0.15417739293236601</v>
      </c>
      <c r="BV137" s="3311">
        <f t="shared" si="207"/>
        <v>0.14128649058511311</v>
      </c>
      <c r="BW137" s="3311">
        <f t="shared" ref="BW137" si="216">BW62/BW$35</f>
        <v>0.12642567893896051</v>
      </c>
    </row>
    <row r="138" spans="1:75" s="3312" customFormat="1">
      <c r="A138" s="3300" t="s">
        <v>1405</v>
      </c>
      <c r="B138" s="3313"/>
      <c r="C138" s="3313"/>
      <c r="D138" s="3314"/>
      <c r="E138" s="3314"/>
      <c r="F138" s="3314"/>
      <c r="G138" s="3314"/>
      <c r="H138" s="3314"/>
      <c r="I138" s="3314"/>
      <c r="J138" s="3314"/>
      <c r="K138" s="3314"/>
      <c r="L138" s="3314"/>
      <c r="M138" s="3314"/>
      <c r="N138" s="3314"/>
      <c r="O138" s="3314"/>
      <c r="P138" s="3314"/>
      <c r="Q138" s="3314"/>
      <c r="R138" s="3314"/>
      <c r="S138" s="3314"/>
      <c r="T138" s="3314"/>
      <c r="U138" s="3314"/>
      <c r="V138" s="3315"/>
      <c r="W138" s="3306">
        <f t="shared" ref="W138:AL138" si="217">W63/W$35</f>
        <v>5.5978112852509344E-2</v>
      </c>
      <c r="X138" s="3306">
        <f t="shared" si="217"/>
        <v>4.6358204606270915E-2</v>
      </c>
      <c r="Y138" s="3306">
        <f t="shared" si="217"/>
        <v>3.1926438739024642E-2</v>
      </c>
      <c r="Z138" s="3307">
        <f t="shared" si="217"/>
        <v>5.0798621132588373E-2</v>
      </c>
      <c r="AA138" s="3306">
        <f t="shared" si="217"/>
        <v>5.8069131856903863E-2</v>
      </c>
      <c r="AB138" s="3306">
        <f t="shared" si="217"/>
        <v>4.7982020547365112E-2</v>
      </c>
      <c r="AC138" s="3306">
        <f t="shared" si="217"/>
        <v>3.2648592896234195E-2</v>
      </c>
      <c r="AD138" s="3307">
        <f t="shared" si="217"/>
        <v>5.9761879576583354E-2</v>
      </c>
      <c r="AE138" s="3306">
        <f t="shared" si="217"/>
        <v>5.5371540409965031E-2</v>
      </c>
      <c r="AF138" s="3306">
        <f t="shared" si="217"/>
        <v>4.4882324303510163E-2</v>
      </c>
      <c r="AG138" s="3306">
        <f t="shared" si="217"/>
        <v>3.7786760156733351E-2</v>
      </c>
      <c r="AH138" s="3307">
        <f t="shared" si="217"/>
        <v>6.0379707438530966E-2</v>
      </c>
      <c r="AI138" s="3306">
        <f t="shared" si="217"/>
        <v>6.7324638702855127E-2</v>
      </c>
      <c r="AJ138" s="3306">
        <f t="shared" si="217"/>
        <v>4.6753246753246755E-2</v>
      </c>
      <c r="AK138" s="3306">
        <f t="shared" si="217"/>
        <v>4.4642857142857144E-2</v>
      </c>
      <c r="AL138" s="3307">
        <f t="shared" si="217"/>
        <v>6.0197663971248878E-2</v>
      </c>
      <c r="AM138" s="3306">
        <f t="shared" ref="AM138:BI138" si="218">AM63/AM$35</f>
        <v>8.7849650349650352E-2</v>
      </c>
      <c r="AN138" s="3306">
        <f t="shared" si="218"/>
        <v>0.16507936507936508</v>
      </c>
      <c r="AO138" s="3306">
        <f t="shared" si="218"/>
        <v>5.6060606060606061E-2</v>
      </c>
      <c r="AP138" s="3306">
        <f t="shared" si="218"/>
        <v>0.10339256865912763</v>
      </c>
      <c r="AQ138" s="3306">
        <f t="shared" si="218"/>
        <v>0.10429447852760736</v>
      </c>
      <c r="AR138" s="3306">
        <f t="shared" si="218"/>
        <v>6.2037037037037036E-2</v>
      </c>
      <c r="AS138" s="3306">
        <f t="shared" si="218"/>
        <v>3.8280581693755346E-2</v>
      </c>
      <c r="AT138" s="3307">
        <f t="shared" si="218"/>
        <v>6.3066085206306605E-2</v>
      </c>
      <c r="AU138" s="3308">
        <f t="shared" si="218"/>
        <v>5.8627087198515768E-2</v>
      </c>
      <c r="AV138" s="3306">
        <f t="shared" si="218"/>
        <v>4.8206800186306471E-2</v>
      </c>
      <c r="AW138" s="3306">
        <f t="shared" si="218"/>
        <v>4.3291473892927958E-2</v>
      </c>
      <c r="AX138" s="3307">
        <f t="shared" si="218"/>
        <v>6.6683131637441342E-2</v>
      </c>
      <c r="AY138" s="3308">
        <f t="shared" si="218"/>
        <v>6.9348861831656963E-2</v>
      </c>
      <c r="AZ138" s="3309">
        <f t="shared" si="218"/>
        <v>4.6503112413035515E-2</v>
      </c>
      <c r="BA138" s="3309">
        <f t="shared" si="218"/>
        <v>5.2717613404168369E-2</v>
      </c>
      <c r="BB138" s="3310">
        <f t="shared" si="218"/>
        <v>0.15426421404682275</v>
      </c>
      <c r="BC138" s="3309">
        <f t="shared" si="218"/>
        <v>4.2129105322763309E-2</v>
      </c>
      <c r="BD138" s="3421">
        <f t="shared" si="218"/>
        <v>1.9115890083632018E-2</v>
      </c>
      <c r="BE138" s="3309">
        <f t="shared" si="218"/>
        <v>7.1928946710032526E-2</v>
      </c>
      <c r="BF138" s="3396">
        <f t="shared" si="218"/>
        <v>2.9792674403646587E-2</v>
      </c>
      <c r="BG138" s="3309">
        <f t="shared" si="218"/>
        <v>2.981940361192776E-2</v>
      </c>
      <c r="BH138" s="3421">
        <f t="shared" si="218"/>
        <v>2.9273315681082671E-2</v>
      </c>
      <c r="BI138" s="3309">
        <f t="shared" si="218"/>
        <v>2.819715808170515E-2</v>
      </c>
      <c r="BJ138" s="3309">
        <f t="shared" ref="BJ138:BK138" si="219">BJ63/BJ$35</f>
        <v>4.1266341156087571E-2</v>
      </c>
      <c r="BK138" s="3309">
        <f t="shared" si="219"/>
        <v>1.8076644974692697E-2</v>
      </c>
      <c r="BL138" s="3517">
        <f t="shared" si="206"/>
        <v>2.9515778019586505E-2</v>
      </c>
      <c r="BM138" s="3309"/>
      <c r="BN138" s="3311">
        <f t="shared" si="201"/>
        <v>4.4199962538871741E-2</v>
      </c>
      <c r="BO138" s="3311">
        <f t="shared" si="201"/>
        <v>4.5552387284708756E-2</v>
      </c>
      <c r="BP138" s="3311">
        <f t="shared" si="201"/>
        <v>4.8055746097260363E-2</v>
      </c>
      <c r="BQ138" s="3308">
        <f t="shared" si="201"/>
        <v>5.2900570821717778E-2</v>
      </c>
      <c r="BR138" s="3311">
        <f t="shared" si="207"/>
        <v>8.5491465567981165E-2</v>
      </c>
      <c r="BS138" s="3311">
        <f t="shared" si="207"/>
        <v>5.6579667822595367E-2</v>
      </c>
      <c r="BT138" s="3311">
        <f t="shared" si="207"/>
        <v>4.4821533060269161E-2</v>
      </c>
      <c r="BU138" s="3311">
        <f t="shared" si="207"/>
        <v>7.2782588345424754E-2</v>
      </c>
      <c r="BV138" s="3311">
        <f t="shared" si="207"/>
        <v>4.3641265428198323E-2</v>
      </c>
      <c r="BW138" s="3311">
        <f t="shared" ref="BW138" si="220">BW63/BW$35</f>
        <v>3.1838615001671809E-2</v>
      </c>
    </row>
    <row r="139" spans="1:75" s="3312" customFormat="1">
      <c r="A139" s="3300" t="s">
        <v>1406</v>
      </c>
      <c r="B139" s="3313"/>
      <c r="C139" s="3313"/>
      <c r="D139" s="3314"/>
      <c r="E139" s="3314"/>
      <c r="F139" s="3314"/>
      <c r="G139" s="3314"/>
      <c r="H139" s="3314"/>
      <c r="I139" s="3314"/>
      <c r="J139" s="3314"/>
      <c r="K139" s="3314"/>
      <c r="L139" s="3314"/>
      <c r="M139" s="3314"/>
      <c r="N139" s="3314"/>
      <c r="O139" s="3314"/>
      <c r="P139" s="3314"/>
      <c r="Q139" s="3314"/>
      <c r="R139" s="3314"/>
      <c r="S139" s="3314"/>
      <c r="T139" s="3314"/>
      <c r="U139" s="3314"/>
      <c r="V139" s="3315"/>
      <c r="W139" s="3306">
        <f t="shared" ref="W139:AL139" si="221">W64/W$35</f>
        <v>1.6236103889672927E-2</v>
      </c>
      <c r="X139" s="3306">
        <f t="shared" si="221"/>
        <v>1.473237913292271E-2</v>
      </c>
      <c r="Y139" s="3306">
        <f t="shared" si="221"/>
        <v>1.0138857969336288E-2</v>
      </c>
      <c r="Z139" s="3307">
        <f t="shared" si="221"/>
        <v>1.6438078143141618E-2</v>
      </c>
      <c r="AA139" s="3306">
        <f t="shared" si="221"/>
        <v>1.7112672888548067E-2</v>
      </c>
      <c r="AB139" s="3306">
        <f t="shared" si="221"/>
        <v>1.5187610059441416E-2</v>
      </c>
      <c r="AC139" s="3306">
        <f t="shared" si="221"/>
        <v>1.0949918768843353E-2</v>
      </c>
      <c r="AD139" s="3307">
        <f t="shared" si="221"/>
        <v>2.0457821695247885E-2</v>
      </c>
      <c r="AE139" s="3306">
        <f t="shared" si="221"/>
        <v>2.0641001078819384E-2</v>
      </c>
      <c r="AF139" s="3306">
        <f t="shared" si="221"/>
        <v>1.6666223741862669E-2</v>
      </c>
      <c r="AG139" s="3306">
        <f t="shared" si="221"/>
        <v>1.1908022272633533E-2</v>
      </c>
      <c r="AH139" s="3307">
        <f t="shared" si="221"/>
        <v>1.7429193899782137E-2</v>
      </c>
      <c r="AI139" s="3306">
        <f t="shared" si="221"/>
        <v>2.2911526260133944E-2</v>
      </c>
      <c r="AJ139" s="3306">
        <f t="shared" si="221"/>
        <v>1.8181818181818181E-2</v>
      </c>
      <c r="AK139" s="3306">
        <f t="shared" si="221"/>
        <v>1.4087301587301588E-2</v>
      </c>
      <c r="AL139" s="3307">
        <f t="shared" si="221"/>
        <v>2.3659778376759508E-2</v>
      </c>
      <c r="AM139" s="3306">
        <f t="shared" ref="AM139:BI139" si="222">AM64/AM$35</f>
        <v>3.4090909090909088E-2</v>
      </c>
      <c r="AN139" s="3306">
        <f t="shared" si="222"/>
        <v>0.1111111111111111</v>
      </c>
      <c r="AO139" s="3306">
        <f t="shared" si="222"/>
        <v>2.6893939393939394E-2</v>
      </c>
      <c r="AP139" s="3306">
        <f t="shared" si="222"/>
        <v>6.4620355411954766E-2</v>
      </c>
      <c r="AQ139" s="3306">
        <f t="shared" si="222"/>
        <v>7.6248904469763359E-2</v>
      </c>
      <c r="AR139" s="3306">
        <f t="shared" si="222"/>
        <v>4.3055555555555555E-2</v>
      </c>
      <c r="AS139" s="3306">
        <f t="shared" si="222"/>
        <v>2.3310521813515825E-2</v>
      </c>
      <c r="AT139" s="3307">
        <f t="shared" si="222"/>
        <v>4.1261321704126129E-2</v>
      </c>
      <c r="AU139" s="3308">
        <f t="shared" si="222"/>
        <v>4.9721706864564008E-2</v>
      </c>
      <c r="AV139" s="3306">
        <f t="shared" si="222"/>
        <v>3.1904983698183509E-2</v>
      </c>
      <c r="AW139" s="3306">
        <f t="shared" si="222"/>
        <v>2.1315267680105752E-2</v>
      </c>
      <c r="AX139" s="3307">
        <f t="shared" si="222"/>
        <v>3.1118794764139295E-2</v>
      </c>
      <c r="AY139" s="3308">
        <f t="shared" si="222"/>
        <v>3.6262572789835891E-2</v>
      </c>
      <c r="AZ139" s="3309">
        <f t="shared" si="222"/>
        <v>2.6363969242035885E-2</v>
      </c>
      <c r="BA139" s="3309">
        <f t="shared" si="222"/>
        <v>2.5473368750851384E-2</v>
      </c>
      <c r="BB139" s="3310">
        <f t="shared" si="222"/>
        <v>3.9088628762541808E-2</v>
      </c>
      <c r="BC139" s="3309">
        <f t="shared" si="222"/>
        <v>4.2355605889014721E-2</v>
      </c>
      <c r="BD139" s="3421">
        <f t="shared" si="222"/>
        <v>3.1233998975934461E-2</v>
      </c>
      <c r="BE139" s="3309">
        <f t="shared" si="222"/>
        <v>2.4268201150863148E-2</v>
      </c>
      <c r="BF139" s="3396">
        <f t="shared" si="222"/>
        <v>3.7834868721195354E-2</v>
      </c>
      <c r="BG139" s="3309">
        <f t="shared" si="222"/>
        <v>4.1999160016799666E-2</v>
      </c>
      <c r="BH139" s="3421">
        <f t="shared" si="222"/>
        <v>3.2215357458075904E-2</v>
      </c>
      <c r="BI139" s="3309">
        <f t="shared" si="222"/>
        <v>2.6865008880994672E-2</v>
      </c>
      <c r="BJ139" s="3309">
        <f t="shared" ref="BJ139:BK139" si="223">BJ64/BJ$35</f>
        <v>3.8903764372342102E-2</v>
      </c>
      <c r="BK139" s="3309">
        <f t="shared" si="223"/>
        <v>4.3383947939262472E-2</v>
      </c>
      <c r="BL139" s="3517">
        <f t="shared" si="206"/>
        <v>3.5772578890097932E-2</v>
      </c>
      <c r="BM139" s="3309"/>
      <c r="BN139" s="3311">
        <f t="shared" si="201"/>
        <v>1.3804871730537372E-2</v>
      </c>
      <c r="BO139" s="3311">
        <f t="shared" si="201"/>
        <v>1.523215595132796E-2</v>
      </c>
      <c r="BP139" s="3311">
        <f t="shared" si="201"/>
        <v>1.6047929087968545E-2</v>
      </c>
      <c r="BQ139" s="3308">
        <f t="shared" si="201"/>
        <v>1.8916766228594187E-2</v>
      </c>
      <c r="BR139" s="3311">
        <f t="shared" si="207"/>
        <v>4.3996468510888759E-2</v>
      </c>
      <c r="BS139" s="3311">
        <f t="shared" si="207"/>
        <v>3.7598101843402079E-2</v>
      </c>
      <c r="BT139" s="3311">
        <f t="shared" si="207"/>
        <v>3.0778232884727912E-2</v>
      </c>
      <c r="BU139" s="3311">
        <f t="shared" si="207"/>
        <v>3.0657617598876669E-2</v>
      </c>
      <c r="BV139" s="3311">
        <f t="shared" si="207"/>
        <v>3.2478200429672692E-2</v>
      </c>
      <c r="BW139" s="3311">
        <f t="shared" ref="BW139" si="224">BW64/BW$35</f>
        <v>3.3733328379834303E-2</v>
      </c>
    </row>
    <row r="140" spans="1:75">
      <c r="A140" s="1460" t="s">
        <v>1407</v>
      </c>
      <c r="B140" s="60"/>
      <c r="C140" s="60"/>
      <c r="D140" s="10"/>
      <c r="E140" s="10"/>
      <c r="F140" s="10"/>
      <c r="G140" s="10"/>
      <c r="H140" s="10"/>
      <c r="I140" s="10"/>
      <c r="J140" s="10"/>
      <c r="K140" s="10"/>
      <c r="L140" s="10"/>
      <c r="M140" s="10"/>
      <c r="N140" s="10"/>
      <c r="O140" s="10"/>
      <c r="P140" s="10"/>
      <c r="Q140" s="10"/>
      <c r="R140" s="10"/>
      <c r="S140" s="10"/>
      <c r="T140" s="10"/>
      <c r="U140" s="10"/>
      <c r="V140" s="101"/>
      <c r="W140" s="211">
        <f t="shared" ref="W140:AL140" si="225">W65/W$35</f>
        <v>3.6084577483968407E-2</v>
      </c>
      <c r="X140" s="211">
        <f t="shared" si="225"/>
        <v>3.1982642321359049E-2</v>
      </c>
      <c r="Y140" s="211">
        <f t="shared" si="225"/>
        <v>2.1940266860737748E-2</v>
      </c>
      <c r="Z140" s="446">
        <f t="shared" si="225"/>
        <v>3.5059026226508014E-2</v>
      </c>
      <c r="AA140" s="211">
        <f t="shared" si="225"/>
        <v>3.5741902593354996E-2</v>
      </c>
      <c r="AB140" s="211">
        <f t="shared" si="225"/>
        <v>2.9091263880447752E-2</v>
      </c>
      <c r="AC140" s="211">
        <f t="shared" si="225"/>
        <v>2.1924525774404832E-2</v>
      </c>
      <c r="AD140" s="446">
        <f t="shared" si="225"/>
        <v>3.5221663406070094E-2</v>
      </c>
      <c r="AE140" s="211">
        <f t="shared" si="225"/>
        <v>3.520591653373522E-2</v>
      </c>
      <c r="AF140" s="211">
        <f t="shared" si="225"/>
        <v>3.015639392111151E-2</v>
      </c>
      <c r="AG140" s="211">
        <f t="shared" si="225"/>
        <v>2.2198597648999795E-2</v>
      </c>
      <c r="AH140" s="446">
        <f t="shared" si="225"/>
        <v>3.3924680983504513E-2</v>
      </c>
      <c r="AI140" s="211">
        <f t="shared" si="225"/>
        <v>4.0888262248854425E-2</v>
      </c>
      <c r="AJ140" s="211">
        <f t="shared" si="225"/>
        <v>3.090909090909091E-2</v>
      </c>
      <c r="AK140" s="211">
        <f t="shared" si="225"/>
        <v>2.3214285714285715E-2</v>
      </c>
      <c r="AL140" s="446">
        <f t="shared" si="225"/>
        <v>3.5040431266846361E-2</v>
      </c>
      <c r="AM140" s="211">
        <f t="shared" ref="AM140:BI140" si="226">AM65/AM$35</f>
        <v>5.113636363636364E-2</v>
      </c>
      <c r="AN140" s="211">
        <f t="shared" si="226"/>
        <v>0.17777777777777778</v>
      </c>
      <c r="AO140" s="211">
        <f t="shared" si="226"/>
        <v>4.3560606060606064E-2</v>
      </c>
      <c r="AP140" s="211">
        <f t="shared" si="226"/>
        <v>9.2084006462035545E-2</v>
      </c>
      <c r="AQ140" s="211">
        <f t="shared" si="226"/>
        <v>9.9035933391761616E-2</v>
      </c>
      <c r="AR140" s="211">
        <f t="shared" si="226"/>
        <v>0.05</v>
      </c>
      <c r="AS140" s="211">
        <f t="shared" si="226"/>
        <v>2.1813515825491875E-2</v>
      </c>
      <c r="AT140" s="446">
        <f t="shared" si="226"/>
        <v>3.2874874203287489E-2</v>
      </c>
      <c r="AU140" s="447">
        <f t="shared" si="226"/>
        <v>4.1187384044526903E-2</v>
      </c>
      <c r="AV140" s="211">
        <f t="shared" si="226"/>
        <v>2.4918490917559384E-2</v>
      </c>
      <c r="AW140" s="211">
        <f t="shared" si="226"/>
        <v>1.8010575016523464E-2</v>
      </c>
      <c r="AX140" s="446">
        <f t="shared" si="226"/>
        <v>3.0624845640898988E-2</v>
      </c>
      <c r="AY140" s="447">
        <f t="shared" si="226"/>
        <v>3.1762837480148229E-2</v>
      </c>
      <c r="AZ140" s="82">
        <f t="shared" si="226"/>
        <v>2.2153057488099596E-2</v>
      </c>
      <c r="BA140" s="82">
        <f t="shared" si="226"/>
        <v>1.7572537801389457E-2</v>
      </c>
      <c r="BB140" s="1513">
        <f t="shared" si="226"/>
        <v>2.8010033444816052E-2</v>
      </c>
      <c r="BC140" s="82">
        <f t="shared" si="226"/>
        <v>3.1030577576443941E-2</v>
      </c>
      <c r="BD140" s="3414">
        <f t="shared" si="226"/>
        <v>2.4236217784604882E-2</v>
      </c>
      <c r="BE140" s="82">
        <f t="shared" si="226"/>
        <v>1.9389542156617465E-2</v>
      </c>
      <c r="BF140" s="1513">
        <f t="shared" si="226"/>
        <v>2.8696011542162662E-2</v>
      </c>
      <c r="BG140" s="82">
        <f t="shared" si="226"/>
        <v>3.233935321293574E-2</v>
      </c>
      <c r="BH140" s="3414">
        <f t="shared" si="226"/>
        <v>2.3242130038246545E-2</v>
      </c>
      <c r="BI140" s="82">
        <f t="shared" si="226"/>
        <v>1.7761989342806393E-2</v>
      </c>
      <c r="BJ140" s="82">
        <f t="shared" ref="BJ140:BK140" si="227">BJ65/BJ$35</f>
        <v>2.3783272956371081E-2</v>
      </c>
      <c r="BK140" s="82">
        <f t="shared" si="227"/>
        <v>2.3680404916847433E-2</v>
      </c>
      <c r="BL140" s="3511">
        <f t="shared" si="206"/>
        <v>1.7546245919477694E-2</v>
      </c>
      <c r="BM140" s="82"/>
      <c r="BN140" s="451">
        <f t="shared" si="201"/>
        <v>2.9970356846331429E-2</v>
      </c>
      <c r="BO140" s="451">
        <f t="shared" si="201"/>
        <v>2.9184078413295636E-2</v>
      </c>
      <c r="BP140" s="451">
        <f t="shared" si="201"/>
        <v>2.9351438103239452E-2</v>
      </c>
      <c r="BQ140" s="447">
        <f t="shared" si="201"/>
        <v>3.1129696004247975E-2</v>
      </c>
      <c r="BR140" s="451">
        <f t="shared" si="207"/>
        <v>6.7392583872866396E-2</v>
      </c>
      <c r="BS140" s="451">
        <f t="shared" si="207"/>
        <v>3.8419419602117172E-2</v>
      </c>
      <c r="BT140" s="451">
        <f t="shared" si="207"/>
        <v>2.6389701579871271E-2</v>
      </c>
      <c r="BU140" s="451">
        <f t="shared" si="207"/>
        <v>2.3589983618066933E-2</v>
      </c>
      <c r="BV140" s="451">
        <f t="shared" si="207"/>
        <v>2.4895741185391129E-2</v>
      </c>
      <c r="BW140" s="451">
        <f t="shared" ref="BW140" si="228">BW65/BW$35</f>
        <v>2.314522420774975E-2</v>
      </c>
    </row>
    <row r="141" spans="1:75" ht="12">
      <c r="A141" s="70" t="s">
        <v>1982</v>
      </c>
      <c r="B141" s="86"/>
      <c r="C141" s="157"/>
      <c r="D141" s="156"/>
      <c r="E141" s="156"/>
      <c r="F141" s="156"/>
      <c r="G141" s="156"/>
      <c r="H141" s="156"/>
      <c r="I141" s="156"/>
      <c r="J141" s="156"/>
      <c r="K141" s="156"/>
      <c r="L141" s="156"/>
      <c r="M141" s="7"/>
      <c r="N141" s="7"/>
      <c r="O141" s="7"/>
      <c r="P141" s="7"/>
      <c r="Q141" s="7"/>
      <c r="R141" s="7"/>
      <c r="S141" s="7"/>
      <c r="T141" s="7"/>
      <c r="U141" s="7"/>
      <c r="V141" s="113"/>
      <c r="BM141" s="163"/>
      <c r="BQ141" s="137"/>
    </row>
    <row r="142" spans="1:75" s="488" customFormat="1">
      <c r="A142" s="492" t="s">
        <v>57</v>
      </c>
      <c r="B142" s="469"/>
      <c r="C142" s="469"/>
      <c r="D142" s="469"/>
      <c r="E142" s="469"/>
      <c r="F142" s="469"/>
      <c r="G142" s="469"/>
      <c r="H142" s="469"/>
      <c r="I142" s="469"/>
      <c r="J142" s="469"/>
      <c r="K142" s="469"/>
      <c r="L142" s="469">
        <f t="shared" ref="L142:Q142" si="229">-L69/L30</f>
        <v>8.1853142486652194E-3</v>
      </c>
      <c r="M142" s="469">
        <f t="shared" si="229"/>
        <v>6.8066925885886271E-3</v>
      </c>
      <c r="N142" s="469">
        <f t="shared" si="229"/>
        <v>7.7630917368634944E-3</v>
      </c>
      <c r="O142" s="469">
        <f t="shared" si="229"/>
        <v>8.3036239040965177E-3</v>
      </c>
      <c r="P142" s="469">
        <f t="shared" si="229"/>
        <v>1.0582476337736001E-2</v>
      </c>
      <c r="Q142" s="469">
        <f t="shared" si="229"/>
        <v>1.1549198640933499E-2</v>
      </c>
      <c r="R142" s="469"/>
      <c r="S142" s="469">
        <f t="shared" ref="S142:AG142" si="230">-S69/S30</f>
        <v>1.1908452782563738E-2</v>
      </c>
      <c r="T142" s="469">
        <f t="shared" si="230"/>
        <v>9.2913051367091628E-3</v>
      </c>
      <c r="U142" s="469">
        <f t="shared" si="230"/>
        <v>1.6135040337600846E-2</v>
      </c>
      <c r="V142" s="504">
        <f t="shared" si="230"/>
        <v>1.2317558556836647E-2</v>
      </c>
      <c r="W142" s="469">
        <f t="shared" si="230"/>
        <v>1.5263586421422646E-2</v>
      </c>
      <c r="X142" s="488">
        <f t="shared" si="230"/>
        <v>1.4005623063795089E-2</v>
      </c>
      <c r="Y142" s="488">
        <f t="shared" si="230"/>
        <v>9.8600426169310178E-3</v>
      </c>
      <c r="Z142" s="507">
        <f t="shared" si="230"/>
        <v>1.5933603385747005E-2</v>
      </c>
      <c r="AA142" s="488">
        <f t="shared" si="230"/>
        <v>1.6510264511425128E-2</v>
      </c>
      <c r="AB142" s="488">
        <f t="shared" si="230"/>
        <v>1.4822340865898996E-2</v>
      </c>
      <c r="AC142" s="488">
        <f t="shared" si="230"/>
        <v>1.0803041658049597E-2</v>
      </c>
      <c r="AD142" s="507">
        <f t="shared" si="230"/>
        <v>2.0215882955007203E-2</v>
      </c>
      <c r="AE142" s="488">
        <f t="shared" si="230"/>
        <v>2.0641001078819384E-2</v>
      </c>
      <c r="AF142" s="488">
        <f t="shared" si="230"/>
        <v>1.6666223741862669E-2</v>
      </c>
      <c r="AG142" s="488">
        <f t="shared" si="230"/>
        <v>1.1908022272633533E-2</v>
      </c>
      <c r="AH142" s="507">
        <f t="shared" ref="AH142:BI142" si="231">-AH69/AH35</f>
        <v>1.7429193899782137E-2</v>
      </c>
      <c r="AI142" s="488">
        <f t="shared" si="231"/>
        <v>2.2911526260133944E-2</v>
      </c>
      <c r="AJ142" s="488">
        <f t="shared" si="231"/>
        <v>1.8181818181818181E-2</v>
      </c>
      <c r="AK142" s="488">
        <f t="shared" si="231"/>
        <v>1.4087301587301588E-2</v>
      </c>
      <c r="AL142" s="507">
        <f t="shared" si="231"/>
        <v>2.3659778376759508E-2</v>
      </c>
      <c r="AM142" s="488">
        <f t="shared" si="231"/>
        <v>3.4090909090909088E-2</v>
      </c>
      <c r="AN142" s="488">
        <f t="shared" si="231"/>
        <v>0.1111111111111111</v>
      </c>
      <c r="AO142" s="488">
        <f t="shared" si="231"/>
        <v>2.6893939393939394E-2</v>
      </c>
      <c r="AP142" s="488">
        <f t="shared" si="231"/>
        <v>6.4620355411954766E-2</v>
      </c>
      <c r="AQ142" s="488">
        <f t="shared" si="231"/>
        <v>7.6248904469763359E-2</v>
      </c>
      <c r="AR142" s="488">
        <f t="shared" si="231"/>
        <v>4.3055555555555555E-2</v>
      </c>
      <c r="AS142" s="488">
        <f t="shared" si="231"/>
        <v>2.3310521813515825E-2</v>
      </c>
      <c r="AT142" s="507">
        <f t="shared" si="231"/>
        <v>4.1261321704126129E-2</v>
      </c>
      <c r="AU142" s="506">
        <f t="shared" si="231"/>
        <v>4.9721706864564008E-2</v>
      </c>
      <c r="AV142" s="488">
        <f t="shared" si="231"/>
        <v>3.1904983698183509E-2</v>
      </c>
      <c r="AW142" s="488">
        <f t="shared" si="231"/>
        <v>2.1315267680105752E-2</v>
      </c>
      <c r="AX142" s="507">
        <f t="shared" si="231"/>
        <v>3.1118794764139295E-2</v>
      </c>
      <c r="AY142" s="506">
        <f t="shared" si="231"/>
        <v>3.6262572789835891E-2</v>
      </c>
      <c r="AZ142" s="3120">
        <f t="shared" si="231"/>
        <v>2.6363969242035885E-2</v>
      </c>
      <c r="BA142" s="3120">
        <f t="shared" si="231"/>
        <v>2.5473368750851384E-2</v>
      </c>
      <c r="BB142" s="3119">
        <f t="shared" si="231"/>
        <v>3.9088628762541808E-2</v>
      </c>
      <c r="BC142" s="3120">
        <f t="shared" si="231"/>
        <v>4.2355605889014721E-2</v>
      </c>
      <c r="BD142" s="3120">
        <f t="shared" si="231"/>
        <v>3.1233998975934461E-2</v>
      </c>
      <c r="BE142" s="3120">
        <f t="shared" si="231"/>
        <v>2.4268201150863148E-2</v>
      </c>
      <c r="BF142" s="3119">
        <f t="shared" si="231"/>
        <v>3.7834868721195354E-2</v>
      </c>
      <c r="BG142" s="3120">
        <f t="shared" si="231"/>
        <v>4.1999160016799666E-2</v>
      </c>
      <c r="BH142" s="3120">
        <f t="shared" si="231"/>
        <v>3.2215357458075904E-2</v>
      </c>
      <c r="BI142" s="3120">
        <f t="shared" si="231"/>
        <v>2.6865008880994672E-2</v>
      </c>
      <c r="BJ142" s="3120">
        <f t="shared" ref="BJ142:BK142" si="232">-BJ69/BJ35</f>
        <v>3.8903764372342102E-2</v>
      </c>
      <c r="BK142" s="3120">
        <f t="shared" si="232"/>
        <v>4.3383947939262472E-2</v>
      </c>
      <c r="BL142" s="3518">
        <f>-BL69/BL35</f>
        <v>3.5772578890097932E-2</v>
      </c>
      <c r="BM142" s="3120"/>
      <c r="BN142" s="1015">
        <f>-BN69/BN30</f>
        <v>1.3254483893986466E-2</v>
      </c>
      <c r="BO142" s="1015">
        <f>-BO69/BO30</f>
        <v>1.4931218014361865E-2</v>
      </c>
      <c r="BP142" s="1015">
        <f t="shared" ref="BP142:BV142" si="233">-BP69/BP35</f>
        <v>1.6047929087968545E-2</v>
      </c>
      <c r="BQ142" s="506">
        <f t="shared" si="233"/>
        <v>1.8916766228594187E-2</v>
      </c>
      <c r="BR142" s="1015">
        <f t="shared" si="233"/>
        <v>4.3996468510888759E-2</v>
      </c>
      <c r="BS142" s="1015">
        <f t="shared" si="233"/>
        <v>3.7598101843402079E-2</v>
      </c>
      <c r="BT142" s="1015">
        <f t="shared" si="233"/>
        <v>3.0778232884727912E-2</v>
      </c>
      <c r="BU142" s="1015">
        <f t="shared" si="233"/>
        <v>3.0657617598876669E-2</v>
      </c>
      <c r="BV142" s="1015">
        <f t="shared" si="233"/>
        <v>3.2478200429672692E-2</v>
      </c>
      <c r="BW142" s="1015">
        <f t="shared" ref="BW142" si="234">-BW69/BW35</f>
        <v>3.3733328379834303E-2</v>
      </c>
    </row>
    <row r="143" spans="1:75" s="488" customFormat="1">
      <c r="A143" s="492" t="s">
        <v>505</v>
      </c>
      <c r="B143" s="469"/>
      <c r="C143" s="469"/>
      <c r="D143" s="469"/>
      <c r="E143" s="469"/>
      <c r="F143" s="469"/>
      <c r="G143" s="469"/>
      <c r="H143" s="469"/>
      <c r="I143" s="469"/>
      <c r="J143" s="469"/>
      <c r="K143" s="469"/>
      <c r="L143" s="469">
        <f t="shared" ref="L143:Q143" si="235">-L70/L30</f>
        <v>0.20652062345073929</v>
      </c>
      <c r="M143" s="469">
        <f t="shared" si="235"/>
        <v>0.22825889289945719</v>
      </c>
      <c r="N143" s="469">
        <f t="shared" si="235"/>
        <v>0.25653674227031348</v>
      </c>
      <c r="O143" s="469">
        <f t="shared" si="235"/>
        <v>0.28608165512123651</v>
      </c>
      <c r="P143" s="469">
        <f t="shared" si="235"/>
        <v>0.30135664432015868</v>
      </c>
      <c r="Q143" s="469">
        <f t="shared" si="235"/>
        <v>0.3438107048697514</v>
      </c>
      <c r="R143" s="469">
        <f t="shared" ref="R143:BI143" si="236">-R70/R35</f>
        <v>0.47166907063357072</v>
      </c>
      <c r="S143" s="469">
        <f t="shared" si="236"/>
        <v>0.44514373794140782</v>
      </c>
      <c r="T143" s="469">
        <f t="shared" si="236"/>
        <v>0.32085697941357494</v>
      </c>
      <c r="U143" s="469">
        <f t="shared" si="236"/>
        <v>0.37198271986072023</v>
      </c>
      <c r="V143" s="504">
        <f t="shared" si="236"/>
        <v>0.39166848137999372</v>
      </c>
      <c r="W143" s="469">
        <f t="shared" si="236"/>
        <v>0.4665017702839882</v>
      </c>
      <c r="X143" s="488">
        <f t="shared" si="236"/>
        <v>0.46859723650084079</v>
      </c>
      <c r="Y143" s="488">
        <f t="shared" si="236"/>
        <v>0.34488277302460274</v>
      </c>
      <c r="Z143" s="507">
        <f t="shared" si="236"/>
        <v>0.39173092492798817</v>
      </c>
      <c r="AA143" s="488">
        <f t="shared" si="236"/>
        <v>0.50030138353679043</v>
      </c>
      <c r="AB143" s="488">
        <f t="shared" si="236"/>
        <v>0.47445740144873622</v>
      </c>
      <c r="AC143" s="488">
        <f t="shared" si="236"/>
        <v>0.34350481066294081</v>
      </c>
      <c r="AD143" s="507">
        <f t="shared" si="236"/>
        <v>0.36979172495607321</v>
      </c>
      <c r="AE143" s="488">
        <f t="shared" si="236"/>
        <v>0.46902825318343927</v>
      </c>
      <c r="AF143" s="488">
        <f t="shared" si="236"/>
        <v>0.41537488118777732</v>
      </c>
      <c r="AG143" s="488">
        <f t="shared" si="236"/>
        <v>0.35412559290575374</v>
      </c>
      <c r="AH143" s="507">
        <f t="shared" si="236"/>
        <v>0.38188608776844069</v>
      </c>
      <c r="AI143" s="488">
        <f t="shared" si="236"/>
        <v>0.49629890729643988</v>
      </c>
      <c r="AJ143" s="488">
        <f t="shared" si="236"/>
        <v>0.41948051948051945</v>
      </c>
      <c r="AK143" s="488">
        <f t="shared" si="236"/>
        <v>0.33551587301587299</v>
      </c>
      <c r="AL143" s="507">
        <f t="shared" si="236"/>
        <v>0.36178496555855044</v>
      </c>
      <c r="AM143" s="488">
        <f t="shared" si="236"/>
        <v>0.53671328671328666</v>
      </c>
      <c r="AN143" s="488">
        <f t="shared" si="236"/>
        <v>0.54285714285714282</v>
      </c>
      <c r="AO143" s="488">
        <f t="shared" si="236"/>
        <v>0.32575757575757575</v>
      </c>
      <c r="AP143" s="488">
        <f t="shared" si="236"/>
        <v>0.40710823909531502</v>
      </c>
      <c r="AQ143" s="488">
        <f t="shared" si="236"/>
        <v>0.50219106047326911</v>
      </c>
      <c r="AR143" s="488">
        <f t="shared" si="236"/>
        <v>0.55277777777777781</v>
      </c>
      <c r="AS143" s="488">
        <f t="shared" si="236"/>
        <v>0.3592814371257485</v>
      </c>
      <c r="AT143" s="507">
        <f t="shared" si="236"/>
        <v>0.41429050654142907</v>
      </c>
      <c r="AU143" s="506">
        <f t="shared" si="236"/>
        <v>0.55139146567718</v>
      </c>
      <c r="AV143" s="488">
        <f t="shared" si="236"/>
        <v>0.51280857009781089</v>
      </c>
      <c r="AW143" s="488">
        <f t="shared" si="236"/>
        <v>0.38582286847323199</v>
      </c>
      <c r="AX143" s="507">
        <f t="shared" si="236"/>
        <v>0.45072857495677943</v>
      </c>
      <c r="AY143" s="506">
        <f t="shared" si="236"/>
        <v>0.55240868184224456</v>
      </c>
      <c r="AZ143" s="3120">
        <f t="shared" si="236"/>
        <v>0.46100329549615526</v>
      </c>
      <c r="BA143" s="3120">
        <f t="shared" si="236"/>
        <v>0.37392725786677566</v>
      </c>
      <c r="BB143" s="3119">
        <f t="shared" si="236"/>
        <v>0.43540969899665549</v>
      </c>
      <c r="BC143" s="3120">
        <f t="shared" si="236"/>
        <v>0.51823329558323894</v>
      </c>
      <c r="BD143" s="3120">
        <f t="shared" si="236"/>
        <v>0.47089947089947087</v>
      </c>
      <c r="BE143" s="3120">
        <f t="shared" si="236"/>
        <v>0.37815861896422315</v>
      </c>
      <c r="BF143" s="3119">
        <f t="shared" si="236"/>
        <v>0.42550519025576228</v>
      </c>
      <c r="BG143" s="3120">
        <f t="shared" si="236"/>
        <v>0.52057958840823182</v>
      </c>
      <c r="BH143" s="3120">
        <f t="shared" si="236"/>
        <v>0.44689614592527216</v>
      </c>
      <c r="BI143" s="3120">
        <f t="shared" si="236"/>
        <v>0.37322380106571934</v>
      </c>
      <c r="BJ143" s="3120">
        <f t="shared" ref="BJ143:BK143" si="237">-BJ70/BJ35</f>
        <v>0.43471412820916677</v>
      </c>
      <c r="BK143" s="3120">
        <f t="shared" si="237"/>
        <v>0.51916124367317429</v>
      </c>
      <c r="BL143" s="3518">
        <f>-BL70/BL35</f>
        <v>0.45062568008705112</v>
      </c>
      <c r="BM143" s="3120"/>
      <c r="BN143" s="1015">
        <f t="shared" ref="BN143:BV143" si="238">-BN70/BN35</f>
        <v>0.40817602697201227</v>
      </c>
      <c r="BO143" s="1015">
        <f t="shared" si="238"/>
        <v>0.40990262293407087</v>
      </c>
      <c r="BP143" s="1015">
        <f t="shared" si="238"/>
        <v>0.39833871343563959</v>
      </c>
      <c r="BQ143" s="506">
        <f t="shared" si="238"/>
        <v>0.3930704898446834</v>
      </c>
      <c r="BR143" s="1015">
        <f t="shared" si="238"/>
        <v>0.43172454384932313</v>
      </c>
      <c r="BS143" s="1015">
        <f t="shared" si="238"/>
        <v>0.42726774958934111</v>
      </c>
      <c r="BT143" s="1015">
        <f t="shared" si="238"/>
        <v>0.45921591574019893</v>
      </c>
      <c r="BU143" s="1015">
        <f t="shared" si="238"/>
        <v>0.44151649894687572</v>
      </c>
      <c r="BV143" s="1015">
        <f t="shared" si="238"/>
        <v>0.43801339567799824</v>
      </c>
      <c r="BW143" s="1015">
        <f t="shared" ref="BW143" si="239">-BW70/BW35</f>
        <v>0.43240331389084963</v>
      </c>
    </row>
    <row r="144" spans="1:75" s="488" customFormat="1">
      <c r="A144" s="492" t="s">
        <v>506</v>
      </c>
      <c r="B144" s="469"/>
      <c r="C144" s="469"/>
      <c r="D144" s="469"/>
      <c r="E144" s="469"/>
      <c r="F144" s="469"/>
      <c r="G144" s="469"/>
      <c r="H144" s="469"/>
      <c r="I144" s="469"/>
      <c r="J144" s="469"/>
      <c r="K144" s="469"/>
      <c r="L144" s="469">
        <f t="shared" ref="L144:Q144" si="240">-L71/L30</f>
        <v>0.10636631751098703</v>
      </c>
      <c r="M144" s="469">
        <f t="shared" si="240"/>
        <v>0.11380285616574903</v>
      </c>
      <c r="N144" s="469">
        <f t="shared" si="240"/>
        <v>0.10927218001611716</v>
      </c>
      <c r="O144" s="469">
        <f t="shared" si="240"/>
        <v>0.12165070378843693</v>
      </c>
      <c r="P144" s="469">
        <f t="shared" si="240"/>
        <v>0.14009173147801676</v>
      </c>
      <c r="Q144" s="469">
        <f t="shared" si="240"/>
        <v>0.15435494862514926</v>
      </c>
      <c r="R144" s="469"/>
      <c r="S144" s="469">
        <f t="shared" ref="S144:AG144" si="241">-S71/S30</f>
        <v>0.17019010286366804</v>
      </c>
      <c r="T144" s="469">
        <f t="shared" si="241"/>
        <v>0.13375708731925384</v>
      </c>
      <c r="U144" s="469">
        <f t="shared" si="241"/>
        <v>0.2096745241863105</v>
      </c>
      <c r="V144" s="504">
        <f t="shared" si="241"/>
        <v>0.1714709701997629</v>
      </c>
      <c r="W144" s="469">
        <f t="shared" si="241"/>
        <v>0.19616976526905633</v>
      </c>
      <c r="X144" s="488">
        <f t="shared" si="241"/>
        <v>0.174222642339182</v>
      </c>
      <c r="Y144" s="488">
        <f t="shared" si="241"/>
        <v>0.12523763382821865</v>
      </c>
      <c r="Z144" s="507">
        <f t="shared" si="241"/>
        <v>0.2031367298960626</v>
      </c>
      <c r="AA144" s="488">
        <f t="shared" si="241"/>
        <v>0.20111440668858943</v>
      </c>
      <c r="AB144" s="488">
        <f t="shared" si="241"/>
        <v>0.17435352494713272</v>
      </c>
      <c r="AC144" s="488">
        <f t="shared" si="241"/>
        <v>0.14123971674519945</v>
      </c>
      <c r="AD144" s="507">
        <f t="shared" si="241"/>
        <v>0.21581231874932441</v>
      </c>
      <c r="AE144" s="488">
        <f t="shared" si="241"/>
        <v>0.22574474907972508</v>
      </c>
      <c r="AF144" s="488">
        <f t="shared" si="241"/>
        <v>0.19253177891229351</v>
      </c>
      <c r="AG144" s="488">
        <f t="shared" si="241"/>
        <v>0.14847659311198186</v>
      </c>
      <c r="AH144" s="507">
        <f t="shared" ref="AH144:BI144" si="242">-AH71/AH35</f>
        <v>0.21101774042950514</v>
      </c>
      <c r="AI144" s="488">
        <f t="shared" si="242"/>
        <v>0.24391963341557985</v>
      </c>
      <c r="AJ144" s="488">
        <f t="shared" si="242"/>
        <v>0.20753246753246754</v>
      </c>
      <c r="AK144" s="488">
        <f t="shared" si="242"/>
        <v>0.15694444444444444</v>
      </c>
      <c r="AL144" s="507">
        <f t="shared" si="242"/>
        <v>0.22851153039832284</v>
      </c>
      <c r="AM144" s="488">
        <f t="shared" si="242"/>
        <v>0.29938811188811187</v>
      </c>
      <c r="AN144" s="488">
        <f t="shared" si="242"/>
        <v>0.88253968253968251</v>
      </c>
      <c r="AO144" s="488">
        <f t="shared" si="242"/>
        <v>0.25189393939393939</v>
      </c>
      <c r="AP144" s="488">
        <f t="shared" si="242"/>
        <v>0.5</v>
      </c>
      <c r="AQ144" s="488">
        <f t="shared" si="242"/>
        <v>0.5880806310254163</v>
      </c>
      <c r="AR144" s="488">
        <f t="shared" si="242"/>
        <v>0.37962962962962965</v>
      </c>
      <c r="AS144" s="488">
        <f t="shared" si="242"/>
        <v>0.16467065868263472</v>
      </c>
      <c r="AT144" s="507">
        <f t="shared" si="242"/>
        <v>0.22576316672257632</v>
      </c>
      <c r="AU144" s="506">
        <f t="shared" si="242"/>
        <v>0.27977736549165122</v>
      </c>
      <c r="AV144" s="488">
        <f t="shared" si="242"/>
        <v>0.19608756404285049</v>
      </c>
      <c r="AW144" s="488">
        <f t="shared" si="242"/>
        <v>0.14838070059484468</v>
      </c>
      <c r="AX144" s="507">
        <f t="shared" si="242"/>
        <v>0.21437391948629292</v>
      </c>
      <c r="AY144" s="506">
        <f t="shared" si="242"/>
        <v>0.26045526733721547</v>
      </c>
      <c r="AZ144" s="3120">
        <f t="shared" si="242"/>
        <v>0.18418161845477846</v>
      </c>
      <c r="BA144" s="3120">
        <f t="shared" si="242"/>
        <v>0.16005993733823728</v>
      </c>
      <c r="BB144" s="3119">
        <f t="shared" si="242"/>
        <v>0.36998327759197325</v>
      </c>
      <c r="BC144" s="3120">
        <f t="shared" si="242"/>
        <v>0.22921857304643262</v>
      </c>
      <c r="BD144" s="3120">
        <f t="shared" si="242"/>
        <v>0.15685270523980202</v>
      </c>
      <c r="BE144" s="3120">
        <f t="shared" si="242"/>
        <v>0.18051038278709031</v>
      </c>
      <c r="BF144" s="3119">
        <f t="shared" si="242"/>
        <v>0.18570157787794436</v>
      </c>
      <c r="BG144" s="3120">
        <f t="shared" si="242"/>
        <v>0.17534649307013861</v>
      </c>
      <c r="BH144" s="3120">
        <f t="shared" si="242"/>
        <v>0.16107678729037953</v>
      </c>
      <c r="BI144" s="3120">
        <f t="shared" si="242"/>
        <v>0.13310390763765542</v>
      </c>
      <c r="BJ144" s="3120">
        <f t="shared" ref="BJ144:BK144" si="243">-BJ71/BJ35</f>
        <v>0.17813828949440857</v>
      </c>
      <c r="BK144" s="3120">
        <f t="shared" si="243"/>
        <v>0.17950108459869848</v>
      </c>
      <c r="BL144" s="3518">
        <f>-BL71/BL35</f>
        <v>0.15193144722524482</v>
      </c>
      <c r="BM144" s="3120"/>
      <c r="BN144" s="1015">
        <f>-BN71/BN30</f>
        <v>0.16810388079463043</v>
      </c>
      <c r="BO144" s="1015">
        <f>-BO71/BO30</f>
        <v>0.17704498717065306</v>
      </c>
      <c r="BP144" s="1015">
        <f t="shared" ref="BP144:BV144" si="244">-BP71/BP35</f>
        <v>0.18860992359554896</v>
      </c>
      <c r="BQ144" s="506">
        <f t="shared" si="244"/>
        <v>0.20211071286340104</v>
      </c>
      <c r="BR144" s="1015">
        <f t="shared" si="244"/>
        <v>0.37154208357857565</v>
      </c>
      <c r="BS144" s="1015">
        <f t="shared" si="244"/>
        <v>0.26774958934112064</v>
      </c>
      <c r="BT144" s="1015">
        <f t="shared" si="244"/>
        <v>0.1890579286132241</v>
      </c>
      <c r="BU144" s="1015">
        <f t="shared" si="244"/>
        <v>0.22695998127779077</v>
      </c>
      <c r="BV144" s="1015">
        <f t="shared" si="244"/>
        <v>0.18492775601331143</v>
      </c>
      <c r="BW144" s="1015">
        <f t="shared" ref="BW144" si="245">-BW71/BW35</f>
        <v>0.15826429394063232</v>
      </c>
    </row>
    <row r="145" spans="1:75" s="488" customFormat="1">
      <c r="A145" s="492" t="s">
        <v>1125</v>
      </c>
      <c r="B145" s="444"/>
      <c r="C145" s="469"/>
      <c r="D145" s="469"/>
      <c r="E145" s="469"/>
      <c r="F145" s="469"/>
      <c r="G145" s="469"/>
      <c r="H145" s="469"/>
      <c r="I145" s="469"/>
      <c r="J145" s="469"/>
      <c r="K145" s="469"/>
      <c r="L145" s="469">
        <f t="shared" ref="L145:Q145" si="246">L75/L33</f>
        <v>1.7406462715955612E-2</v>
      </c>
      <c r="M145" s="444">
        <f t="shared" si="246"/>
        <v>2.2107649992463299E-2</v>
      </c>
      <c r="N145" s="444">
        <f t="shared" si="246"/>
        <v>1.5089505258735288E-2</v>
      </c>
      <c r="O145" s="444">
        <f t="shared" si="246"/>
        <v>1.3603040968219463E-2</v>
      </c>
      <c r="P145" s="444">
        <f t="shared" si="246"/>
        <v>2.0685951729540818E-2</v>
      </c>
      <c r="Q145" s="444">
        <f t="shared" si="246"/>
        <v>2.2083113054996283E-2</v>
      </c>
      <c r="R145" s="444"/>
      <c r="S145" s="444">
        <f t="shared" ref="S145:AG145" si="247">S75/S33</f>
        <v>2.6383125394394049E-2</v>
      </c>
      <c r="T145" s="444">
        <f t="shared" si="247"/>
        <v>1.8780489612784942E-2</v>
      </c>
      <c r="U145" s="444">
        <f t="shared" si="247"/>
        <v>3.7474593686484217E-2</v>
      </c>
      <c r="V145" s="445">
        <f t="shared" si="247"/>
        <v>2.6820831382351258E-2</v>
      </c>
      <c r="W145" s="444">
        <f t="shared" si="247"/>
        <v>3.072455483145952E-2</v>
      </c>
      <c r="X145" s="488">
        <f t="shared" si="247"/>
        <v>2.1509431895276109E-2</v>
      </c>
      <c r="Y145" s="488">
        <f t="shared" si="247"/>
        <v>1.4652008696801996E-2</v>
      </c>
      <c r="Z145" s="507">
        <f t="shared" si="247"/>
        <v>3.1798224603384467E-2</v>
      </c>
      <c r="AA145" s="488">
        <f t="shared" si="247"/>
        <v>2.4410557310808777E-2</v>
      </c>
      <c r="AB145" s="488">
        <f t="shared" si="247"/>
        <v>2.214804420880288E-2</v>
      </c>
      <c r="AC145" s="488">
        <f t="shared" si="247"/>
        <v>1.4997872138409559E-2</v>
      </c>
      <c r="AD145" s="507">
        <f t="shared" si="247"/>
        <v>2.4517916458711861E-2</v>
      </c>
      <c r="AE145" s="488">
        <f t="shared" si="247"/>
        <v>2.4417722690484703E-2</v>
      </c>
      <c r="AF145" s="488">
        <f t="shared" si="247"/>
        <v>2.2052283597778291E-2</v>
      </c>
      <c r="AG145" s="488">
        <f t="shared" si="247"/>
        <v>1.5752113837904723E-2</v>
      </c>
      <c r="AH145" s="507">
        <f t="shared" ref="AH145:BI145" si="248">AH75/AH35</f>
        <v>3.2716153127917834E-2</v>
      </c>
      <c r="AI145" s="488">
        <f t="shared" si="248"/>
        <v>2.7493831512160734E-2</v>
      </c>
      <c r="AJ145" s="488">
        <f t="shared" si="248"/>
        <v>2.181818181818182E-2</v>
      </c>
      <c r="AK145" s="488">
        <f t="shared" si="248"/>
        <v>1.6468253968253969E-2</v>
      </c>
      <c r="AL145" s="507">
        <f t="shared" si="248"/>
        <v>2.3959269242288112E-2</v>
      </c>
      <c r="AM145" s="488">
        <f t="shared" si="248"/>
        <v>4.807692307692308E-3</v>
      </c>
      <c r="AN145" s="488">
        <f t="shared" si="248"/>
        <v>0.13174603174603175</v>
      </c>
      <c r="AO145" s="488">
        <f t="shared" si="248"/>
        <v>2.9924242424242423E-2</v>
      </c>
      <c r="AP145" s="488">
        <f t="shared" si="248"/>
        <v>6.623586429725363E-2</v>
      </c>
      <c r="AQ145" s="488">
        <f t="shared" si="248"/>
        <v>9.5530236634531113E-2</v>
      </c>
      <c r="AR145" s="488">
        <f t="shared" si="248"/>
        <v>4.1666666666666664E-2</v>
      </c>
      <c r="AS145" s="488">
        <f t="shared" si="248"/>
        <v>1.8177929854576561E-2</v>
      </c>
      <c r="AT145" s="507">
        <f t="shared" si="248"/>
        <v>3.0862126803086212E-2</v>
      </c>
      <c r="AU145" s="506">
        <f t="shared" si="248"/>
        <v>3.450834879406308E-2</v>
      </c>
      <c r="AV145" s="488">
        <f t="shared" si="248"/>
        <v>2.5151374010246856E-2</v>
      </c>
      <c r="AW145" s="488">
        <f t="shared" si="248"/>
        <v>1.6688697951090549E-2</v>
      </c>
      <c r="AX145" s="507">
        <f t="shared" si="248"/>
        <v>2.5191405285255618E-2</v>
      </c>
      <c r="AY145" s="506">
        <f t="shared" si="248"/>
        <v>2.9910005293806247E-2</v>
      </c>
      <c r="AZ145" s="3120">
        <f t="shared" si="248"/>
        <v>2.3434639326254121E-2</v>
      </c>
      <c r="BA145" s="3120">
        <f t="shared" si="248"/>
        <v>1.7436316578122873E-2</v>
      </c>
      <c r="BB145" s="3119">
        <f t="shared" si="248"/>
        <v>3.3653846153846152E-2</v>
      </c>
      <c r="BC145" s="3120">
        <f t="shared" si="248"/>
        <v>3.2616081540203852E-2</v>
      </c>
      <c r="BD145" s="3120">
        <f t="shared" si="248"/>
        <v>2.3894862604540025E-2</v>
      </c>
      <c r="BE145" s="3120">
        <f t="shared" si="248"/>
        <v>1.8513885414060547E-2</v>
      </c>
      <c r="BF145" s="3119">
        <f t="shared" si="248"/>
        <v>3.0523782977969201E-2</v>
      </c>
      <c r="BG145" s="3120">
        <f t="shared" si="248"/>
        <v>2.981940361192776E-2</v>
      </c>
      <c r="BH145" s="3120">
        <f t="shared" si="248"/>
        <v>2.2653721682847898E-2</v>
      </c>
      <c r="BI145" s="3120">
        <f t="shared" si="248"/>
        <v>1.6651865008880995E-2</v>
      </c>
      <c r="BJ145" s="3120">
        <f t="shared" ref="BJ145:BK145" si="249">BJ75/BJ35</f>
        <v>2.6303354859032919E-2</v>
      </c>
      <c r="BK145" s="3120">
        <f t="shared" si="249"/>
        <v>2.5488069414316701E-2</v>
      </c>
      <c r="BL145" s="3518">
        <f>BL75/BL35</f>
        <v>1.9042437431991296E-2</v>
      </c>
      <c r="BM145" s="3120"/>
      <c r="BN145" s="1015">
        <f>BN75/BN33</f>
        <v>2.3245449178749409E-2</v>
      </c>
      <c r="BO145" s="1015">
        <f>BO75/BO33</f>
        <v>2.0603446929843994E-2</v>
      </c>
      <c r="BP145" s="1015">
        <f t="shared" ref="BP145:BV145" si="250">BP75/BP35</f>
        <v>2.2784695980910416E-2</v>
      </c>
      <c r="BQ145" s="506">
        <f t="shared" si="250"/>
        <v>2.1571750962431965E-2</v>
      </c>
      <c r="BR145" s="1015">
        <f t="shared" si="250"/>
        <v>3.7522071806945265E-2</v>
      </c>
      <c r="BS145" s="1015">
        <f t="shared" si="250"/>
        <v>3.4312830808541701E-2</v>
      </c>
      <c r="BT145" s="1015">
        <f t="shared" si="250"/>
        <v>2.3639555295494441E-2</v>
      </c>
      <c r="BU145" s="1015">
        <f t="shared" si="250"/>
        <v>2.4806927217411654E-2</v>
      </c>
      <c r="BV145" s="1015">
        <f t="shared" si="250"/>
        <v>2.5232739374025863E-2</v>
      </c>
      <c r="BW145" s="1015">
        <f t="shared" ref="BW145" si="251">BW75/BW35</f>
        <v>2.2773711780659064E-2</v>
      </c>
    </row>
    <row r="146" spans="1:75" s="488" customFormat="1">
      <c r="A146" s="508" t="s">
        <v>1035</v>
      </c>
      <c r="B146" s="469"/>
      <c r="C146" s="469"/>
      <c r="D146" s="469"/>
      <c r="E146" s="469"/>
      <c r="F146" s="469"/>
      <c r="G146" s="469"/>
      <c r="H146" s="469"/>
      <c r="I146" s="469"/>
      <c r="J146" s="469"/>
      <c r="K146" s="469"/>
      <c r="L146" s="469">
        <f t="shared" ref="L146:Q146" si="252">-L212/L30</f>
        <v>6.4604920340841634E-3</v>
      </c>
      <c r="M146" s="469">
        <f t="shared" si="252"/>
        <v>7.3237263384123659E-3</v>
      </c>
      <c r="N146" s="469">
        <f t="shared" si="252"/>
        <v>1.075234008554485E-2</v>
      </c>
      <c r="O146" s="469">
        <f t="shared" si="252"/>
        <v>1.0484406256201345E-2</v>
      </c>
      <c r="P146" s="469">
        <f t="shared" si="252"/>
        <v>1.2430619200724949E-2</v>
      </c>
      <c r="Q146" s="469">
        <f t="shared" si="252"/>
        <v>1.557740485012327E-2</v>
      </c>
      <c r="R146" s="469"/>
      <c r="S146" s="469">
        <f t="shared" ref="S146:AG146" si="253">-S212/S30</f>
        <v>3.6989611896525033E-2</v>
      </c>
      <c r="T146" s="469">
        <f t="shared" si="253"/>
        <v>4.0812452604836576E-2</v>
      </c>
      <c r="U146" s="469">
        <f t="shared" si="253"/>
        <v>8.6957717394293491E-2</v>
      </c>
      <c r="V146" s="504">
        <f t="shared" si="253"/>
        <v>1.8854644959928935E-2</v>
      </c>
      <c r="W146" s="469">
        <f t="shared" si="253"/>
        <v>2.479192260763952E-2</v>
      </c>
      <c r="X146" s="488">
        <f t="shared" si="253"/>
        <v>4.4484882440719554E-2</v>
      </c>
      <c r="Y146" s="488">
        <f t="shared" si="253"/>
        <v>4.5542238667819882E-2</v>
      </c>
      <c r="Z146" s="507">
        <f t="shared" si="253"/>
        <v>9.3632221996539824E-2</v>
      </c>
      <c r="AA146" s="488">
        <f t="shared" si="253"/>
        <v>2.9163794058371401E-2</v>
      </c>
      <c r="AB146" s="488">
        <f t="shared" si="253"/>
        <v>4.8691113670899136E-2</v>
      </c>
      <c r="AC146" s="488">
        <f t="shared" si="253"/>
        <v>5.0448925796380668E-2</v>
      </c>
      <c r="AD146" s="507">
        <f t="shared" si="253"/>
        <v>0.10267408180891609</v>
      </c>
      <c r="AE146" s="488">
        <f t="shared" si="253"/>
        <v>4.5074433073412648E-2</v>
      </c>
      <c r="AF146" s="488">
        <f t="shared" si="253"/>
        <v>6.6448615728052468E-2</v>
      </c>
      <c r="AG146" s="488">
        <f t="shared" si="253"/>
        <v>7.3419467931532284E-2</v>
      </c>
      <c r="AH146" s="507">
        <f t="shared" ref="AH146:BI146" si="254">-AH212/AH35</f>
        <v>0.13756613756613756</v>
      </c>
      <c r="AI146" s="488">
        <f t="shared" si="254"/>
        <v>3.9125837151921042E-2</v>
      </c>
      <c r="AJ146" s="488">
        <f t="shared" si="254"/>
        <v>5.1688311688311686E-2</v>
      </c>
      <c r="AK146" s="488">
        <f t="shared" si="254"/>
        <v>5.5753968253968257E-2</v>
      </c>
      <c r="AL146" s="507">
        <f t="shared" si="254"/>
        <v>0.11021263851452531</v>
      </c>
      <c r="AM146" s="488">
        <f t="shared" si="254"/>
        <v>3.4965034965034968E-2</v>
      </c>
      <c r="AN146" s="488">
        <f t="shared" si="254"/>
        <v>0.1111111111111111</v>
      </c>
      <c r="AO146" s="488">
        <f t="shared" si="254"/>
        <v>0</v>
      </c>
      <c r="AP146" s="488">
        <f t="shared" si="254"/>
        <v>0.23101777059773829</v>
      </c>
      <c r="AQ146" s="488">
        <f t="shared" si="254"/>
        <v>5.696757230499562E-2</v>
      </c>
      <c r="AR146" s="488">
        <f t="shared" si="254"/>
        <v>5.7407407407407407E-2</v>
      </c>
      <c r="AS146" s="488">
        <f t="shared" si="254"/>
        <v>4.3413173652694613E-2</v>
      </c>
      <c r="AT146" s="507">
        <f t="shared" si="254"/>
        <v>0.10197920161019793</v>
      </c>
      <c r="AU146" s="506">
        <f t="shared" si="254"/>
        <v>4.0445269016697587E-2</v>
      </c>
      <c r="AV146" s="488">
        <f t="shared" si="254"/>
        <v>0</v>
      </c>
      <c r="AW146" s="488">
        <f t="shared" si="254"/>
        <v>0</v>
      </c>
      <c r="AX146" s="507">
        <f t="shared" si="254"/>
        <v>0</v>
      </c>
      <c r="AY146" s="506">
        <f t="shared" si="254"/>
        <v>0</v>
      </c>
      <c r="AZ146" s="3120">
        <f t="shared" si="254"/>
        <v>0</v>
      </c>
      <c r="BA146" s="3120">
        <f t="shared" si="254"/>
        <v>0</v>
      </c>
      <c r="BB146" s="3119">
        <f t="shared" si="254"/>
        <v>0</v>
      </c>
      <c r="BC146" s="3120">
        <f t="shared" si="254"/>
        <v>0</v>
      </c>
      <c r="BD146" s="3120">
        <f t="shared" si="254"/>
        <v>0</v>
      </c>
      <c r="BE146" s="3120">
        <f t="shared" si="254"/>
        <v>0</v>
      </c>
      <c r="BF146" s="3119">
        <f t="shared" si="254"/>
        <v>0</v>
      </c>
      <c r="BG146" s="3120">
        <f t="shared" si="254"/>
        <v>0</v>
      </c>
      <c r="BH146" s="3120">
        <f t="shared" si="254"/>
        <v>0</v>
      </c>
      <c r="BI146" s="3120">
        <f t="shared" si="254"/>
        <v>0</v>
      </c>
      <c r="BJ146" s="3120">
        <f t="shared" ref="BJ146:BK146" si="255">-BJ212/BJ35</f>
        <v>0</v>
      </c>
      <c r="BK146" s="3120">
        <f t="shared" si="255"/>
        <v>0</v>
      </c>
      <c r="BL146" s="3518">
        <f>-BL212/BL35</f>
        <v>0</v>
      </c>
      <c r="BM146" s="3120"/>
      <c r="BN146" s="1015">
        <f>-BN212/BN30</f>
        <v>2.0468107343512607E-2</v>
      </c>
      <c r="BO146" s="1015">
        <f>-BO212/BO30</f>
        <v>2.2695618559993538E-2</v>
      </c>
      <c r="BP146" s="1015">
        <f t="shared" ref="BP146:BV146" si="256">-BP212/BP35</f>
        <v>3.0425485267560132E-2</v>
      </c>
      <c r="BQ146" s="506">
        <f t="shared" si="256"/>
        <v>2.4425859551307581E-2</v>
      </c>
      <c r="BR146" s="1015">
        <f t="shared" si="256"/>
        <v>4.2083578575632725E-2</v>
      </c>
      <c r="BS146" s="1015">
        <f t="shared" si="256"/>
        <v>2.7742288738820953E-2</v>
      </c>
      <c r="BT146" s="1015">
        <f t="shared" si="256"/>
        <v>6.3779988297249851E-3</v>
      </c>
      <c r="BU146" s="1015">
        <f t="shared" si="256"/>
        <v>0</v>
      </c>
      <c r="BV146" s="1015">
        <f t="shared" si="256"/>
        <v>0</v>
      </c>
      <c r="BW146" s="1015">
        <f t="shared" ref="BW146" si="257">-BW212/BW35</f>
        <v>0</v>
      </c>
    </row>
    <row r="147" spans="1:75">
      <c r="A147" s="69"/>
      <c r="B147" s="60"/>
      <c r="C147" s="60"/>
      <c r="D147" s="10"/>
      <c r="E147" s="10"/>
      <c r="F147" s="10"/>
      <c r="G147" s="10"/>
      <c r="H147" s="10"/>
      <c r="I147" s="10"/>
      <c r="J147" s="10"/>
      <c r="K147" s="10"/>
      <c r="L147" s="10"/>
      <c r="M147" s="10"/>
      <c r="N147" s="10"/>
      <c r="O147" s="10"/>
      <c r="P147" s="10"/>
      <c r="Q147" s="10"/>
      <c r="R147" s="10"/>
      <c r="S147" s="10"/>
      <c r="T147" s="10"/>
      <c r="U147" s="10"/>
      <c r="V147" s="101"/>
      <c r="W147" s="27"/>
      <c r="BM147" s="163"/>
      <c r="BN147" s="136"/>
    </row>
    <row r="148" spans="1:75">
      <c r="A148" s="69"/>
      <c r="B148" s="60"/>
      <c r="C148" s="60"/>
      <c r="D148" s="10"/>
      <c r="E148" s="10"/>
      <c r="F148" s="10"/>
      <c r="G148" s="10"/>
      <c r="H148" s="10"/>
      <c r="I148" s="10"/>
      <c r="J148" s="10"/>
      <c r="K148" s="10"/>
      <c r="L148" s="10"/>
      <c r="M148" s="10"/>
      <c r="N148" s="10"/>
      <c r="O148" s="10"/>
      <c r="P148" s="10"/>
      <c r="Q148" s="10"/>
      <c r="R148" s="10"/>
      <c r="S148" s="10"/>
      <c r="T148" s="10"/>
      <c r="U148" s="10"/>
      <c r="V148" s="101"/>
      <c r="W148" s="27"/>
      <c r="BM148" s="163"/>
      <c r="BN148" s="136"/>
    </row>
    <row r="149" spans="1:75" s="163" customFormat="1">
      <c r="A149" s="161" t="s">
        <v>498</v>
      </c>
      <c r="B149" s="165"/>
      <c r="C149" s="165"/>
      <c r="V149" s="164"/>
      <c r="W149" s="570"/>
      <c r="Z149" s="164"/>
      <c r="AD149" s="164"/>
      <c r="AH149" s="164"/>
      <c r="AL149" s="164"/>
      <c r="AT149" s="164"/>
      <c r="AU149" s="162"/>
      <c r="AV149" s="133"/>
      <c r="AX149" s="164"/>
      <c r="AY149" s="162"/>
      <c r="BA149" s="3316"/>
      <c r="BB149" s="3316"/>
      <c r="BC149" s="3316"/>
      <c r="BF149" s="164"/>
      <c r="BG149" s="3316"/>
      <c r="BH149" s="3316"/>
      <c r="BI149" s="3316"/>
      <c r="BJ149" s="3316"/>
      <c r="BK149" s="3316"/>
      <c r="BL149" s="3316"/>
      <c r="BN149" s="164"/>
      <c r="BO149" s="160"/>
      <c r="BP149" s="160"/>
      <c r="BR149" s="160"/>
      <c r="BS149" s="160"/>
      <c r="BT149" s="160"/>
    </row>
    <row r="150" spans="1:75">
      <c r="A150" s="66" t="s">
        <v>499</v>
      </c>
      <c r="B150" s="12"/>
      <c r="M150" s="1"/>
      <c r="N150" s="1"/>
      <c r="O150" s="1"/>
      <c r="P150" s="1"/>
      <c r="Q150" s="1"/>
      <c r="R150" s="1"/>
      <c r="S150" s="1"/>
      <c r="T150" s="1"/>
      <c r="U150" s="1"/>
      <c r="V150" s="102"/>
      <c r="W150" s="27"/>
      <c r="BM150" s="163"/>
      <c r="BN150" s="136"/>
    </row>
    <row r="151" spans="1:75" s="473" customFormat="1">
      <c r="A151" s="476" t="s">
        <v>487</v>
      </c>
      <c r="B151" s="488"/>
      <c r="C151" s="488"/>
      <c r="D151" s="466"/>
      <c r="E151" s="466"/>
      <c r="F151" s="466"/>
      <c r="G151" s="466"/>
      <c r="H151" s="466"/>
      <c r="I151" s="466"/>
      <c r="J151" s="466"/>
      <c r="K151" s="466"/>
      <c r="L151" s="466" t="s">
        <v>140</v>
      </c>
      <c r="M151" s="466"/>
      <c r="N151" s="466"/>
      <c r="O151" s="211">
        <f>O25/N25-1</f>
        <v>0.24140904871342195</v>
      </c>
      <c r="P151" s="466"/>
      <c r="Q151" s="466"/>
      <c r="R151" s="466"/>
      <c r="S151" s="466"/>
      <c r="T151" s="466"/>
      <c r="U151" s="466"/>
      <c r="V151" s="467"/>
      <c r="W151" s="27"/>
      <c r="Z151" s="486"/>
      <c r="AD151" s="486"/>
      <c r="AH151" s="486"/>
      <c r="AL151" s="486"/>
      <c r="AT151" s="486"/>
      <c r="AU151" s="2819"/>
      <c r="AX151" s="486"/>
      <c r="AY151" s="2819"/>
      <c r="AZ151" s="3101"/>
      <c r="BA151" s="3101"/>
      <c r="BB151" s="3102"/>
      <c r="BC151" s="3101"/>
      <c r="BD151" s="3101"/>
      <c r="BE151" s="3101"/>
      <c r="BF151" s="3102"/>
      <c r="BG151" s="3101"/>
      <c r="BH151" s="3101"/>
      <c r="BI151" s="3101"/>
      <c r="BJ151" s="3101"/>
      <c r="BK151" s="3101"/>
      <c r="BL151" s="3101"/>
      <c r="BM151" s="3101"/>
      <c r="BN151" s="486"/>
      <c r="BO151" s="489"/>
      <c r="BP151" s="489"/>
      <c r="BR151" s="489"/>
      <c r="BS151" s="489"/>
      <c r="BT151" s="489"/>
    </row>
    <row r="152" spans="1:75" s="473" customFormat="1">
      <c r="A152" s="476" t="s">
        <v>488</v>
      </c>
      <c r="B152" s="488"/>
      <c r="C152" s="488"/>
      <c r="D152" s="466"/>
      <c r="E152" s="466"/>
      <c r="F152" s="466"/>
      <c r="G152" s="466"/>
      <c r="H152" s="466"/>
      <c r="I152" s="466"/>
      <c r="J152" s="466"/>
      <c r="K152" s="466"/>
      <c r="L152" s="466" t="s">
        <v>140</v>
      </c>
      <c r="M152" s="466"/>
      <c r="N152" s="466"/>
      <c r="O152" s="211">
        <f>O26/N26-1</f>
        <v>-0.12155821614381945</v>
      </c>
      <c r="P152" s="466"/>
      <c r="Q152" s="466"/>
      <c r="R152" s="466"/>
      <c r="S152" s="466"/>
      <c r="T152" s="466"/>
      <c r="U152" s="466"/>
      <c r="V152" s="467"/>
      <c r="W152" s="27"/>
      <c r="Z152" s="486"/>
      <c r="AD152" s="486"/>
      <c r="AH152" s="486"/>
      <c r="AL152" s="486"/>
      <c r="AT152" s="486"/>
      <c r="AU152" s="2819"/>
      <c r="AX152" s="486"/>
      <c r="AY152" s="2819"/>
      <c r="AZ152" s="3101"/>
      <c r="BA152" s="3101"/>
      <c r="BB152" s="3102"/>
      <c r="BC152" s="3101"/>
      <c r="BD152" s="3101"/>
      <c r="BE152" s="3101"/>
      <c r="BF152" s="3102"/>
      <c r="BG152" s="3101"/>
      <c r="BH152" s="3101"/>
      <c r="BI152" s="3101"/>
      <c r="BJ152" s="3101"/>
      <c r="BK152" s="3101"/>
      <c r="BL152" s="3101"/>
      <c r="BM152" s="3101"/>
      <c r="BN152" s="486"/>
      <c r="BO152" s="489"/>
      <c r="BP152" s="489"/>
      <c r="BR152" s="489"/>
      <c r="BS152" s="489"/>
      <c r="BT152" s="489"/>
    </row>
    <row r="153" spans="1:75" s="473" customFormat="1">
      <c r="A153" s="476" t="s">
        <v>489</v>
      </c>
      <c r="B153" s="488"/>
      <c r="C153" s="488"/>
      <c r="D153" s="466"/>
      <c r="E153" s="466"/>
      <c r="F153" s="466"/>
      <c r="G153" s="466"/>
      <c r="H153" s="466"/>
      <c r="I153" s="466"/>
      <c r="J153" s="466"/>
      <c r="K153" s="466"/>
      <c r="L153" s="466" t="s">
        <v>140</v>
      </c>
      <c r="M153" s="466"/>
      <c r="N153" s="466"/>
      <c r="O153" s="466" t="s">
        <v>140</v>
      </c>
      <c r="P153" s="466"/>
      <c r="Q153" s="466"/>
      <c r="R153" s="466"/>
      <c r="S153" s="466"/>
      <c r="T153" s="466"/>
      <c r="U153" s="466"/>
      <c r="V153" s="467"/>
      <c r="W153" s="27"/>
      <c r="Z153" s="486"/>
      <c r="AD153" s="486"/>
      <c r="AH153" s="486"/>
      <c r="AL153" s="486"/>
      <c r="AT153" s="486"/>
      <c r="AU153" s="2819"/>
      <c r="AX153" s="486"/>
      <c r="AY153" s="2819"/>
      <c r="AZ153" s="3101"/>
      <c r="BA153" s="3101"/>
      <c r="BB153" s="3102"/>
      <c r="BC153" s="3101"/>
      <c r="BD153" s="3101"/>
      <c r="BE153" s="3101"/>
      <c r="BF153" s="3102"/>
      <c r="BG153" s="3101"/>
      <c r="BH153" s="3101"/>
      <c r="BI153" s="3101"/>
      <c r="BJ153" s="3101"/>
      <c r="BK153" s="3101"/>
      <c r="BL153" s="3101"/>
      <c r="BM153" s="3101"/>
      <c r="BN153" s="486"/>
      <c r="BO153" s="489"/>
      <c r="BP153" s="489"/>
      <c r="BR153" s="489"/>
      <c r="BS153" s="489"/>
      <c r="BT153" s="489"/>
    </row>
    <row r="154" spans="1:75" s="473" customFormat="1">
      <c r="A154" s="476" t="s">
        <v>490</v>
      </c>
      <c r="B154" s="488"/>
      <c r="C154" s="488"/>
      <c r="D154" s="466"/>
      <c r="E154" s="466"/>
      <c r="F154" s="466"/>
      <c r="G154" s="466"/>
      <c r="H154" s="466"/>
      <c r="I154" s="466"/>
      <c r="J154" s="466"/>
      <c r="K154" s="466"/>
      <c r="L154" s="466" t="s">
        <v>140</v>
      </c>
      <c r="M154" s="466"/>
      <c r="N154" s="466"/>
      <c r="O154" s="466" t="s">
        <v>140</v>
      </c>
      <c r="P154" s="466"/>
      <c r="Q154" s="466"/>
      <c r="R154" s="466"/>
      <c r="S154" s="466"/>
      <c r="T154" s="466"/>
      <c r="U154" s="466"/>
      <c r="V154" s="467"/>
      <c r="W154" s="27"/>
      <c r="Z154" s="486"/>
      <c r="AD154" s="486"/>
      <c r="AH154" s="486"/>
      <c r="AL154" s="486"/>
      <c r="AT154" s="486"/>
      <c r="AU154" s="2819"/>
      <c r="AX154" s="486"/>
      <c r="AY154" s="2819"/>
      <c r="AZ154" s="3101"/>
      <c r="BA154" s="3101"/>
      <c r="BB154" s="3102"/>
      <c r="BC154" s="3101"/>
      <c r="BD154" s="3101"/>
      <c r="BE154" s="3101"/>
      <c r="BF154" s="3102"/>
      <c r="BG154" s="3101"/>
      <c r="BH154" s="3101"/>
      <c r="BI154" s="3101"/>
      <c r="BJ154" s="3101"/>
      <c r="BK154" s="3101"/>
      <c r="BL154" s="3101"/>
      <c r="BM154" s="3101"/>
      <c r="BN154" s="486"/>
      <c r="BO154" s="489"/>
      <c r="BP154" s="489"/>
      <c r="BR154" s="489"/>
      <c r="BS154" s="489"/>
      <c r="BT154" s="489"/>
    </row>
    <row r="155" spans="1:75" s="473" customFormat="1">
      <c r="A155" s="476" t="s">
        <v>491</v>
      </c>
      <c r="B155" s="488"/>
      <c r="C155" s="488"/>
      <c r="D155" s="466"/>
      <c r="E155" s="466"/>
      <c r="F155" s="466"/>
      <c r="G155" s="466"/>
      <c r="H155" s="466"/>
      <c r="I155" s="466"/>
      <c r="J155" s="466"/>
      <c r="K155" s="466"/>
      <c r="L155" s="466" t="s">
        <v>140</v>
      </c>
      <c r="M155" s="466"/>
      <c r="N155" s="466"/>
      <c r="O155" s="211">
        <f>O29/N29-1</f>
        <v>0.27890789120238035</v>
      </c>
      <c r="P155" s="466"/>
      <c r="Q155" s="466"/>
      <c r="R155" s="466"/>
      <c r="S155" s="466"/>
      <c r="T155" s="466"/>
      <c r="U155" s="466"/>
      <c r="V155" s="467"/>
      <c r="W155" s="27"/>
      <c r="Z155" s="486"/>
      <c r="AD155" s="486"/>
      <c r="AH155" s="486"/>
      <c r="AL155" s="486"/>
      <c r="AT155" s="486"/>
      <c r="AU155" s="2819"/>
      <c r="AX155" s="486"/>
      <c r="AY155" s="2819"/>
      <c r="AZ155" s="3101"/>
      <c r="BA155" s="3101"/>
      <c r="BB155" s="3102"/>
      <c r="BC155" s="3101"/>
      <c r="BD155" s="3101"/>
      <c r="BE155" s="3101"/>
      <c r="BF155" s="3102"/>
      <c r="BG155" s="3101"/>
      <c r="BH155" s="3101"/>
      <c r="BI155" s="3101"/>
      <c r="BJ155" s="3101"/>
      <c r="BK155" s="3101"/>
      <c r="BL155" s="3101"/>
      <c r="BM155" s="3101"/>
      <c r="BN155" s="486"/>
      <c r="BO155" s="489"/>
      <c r="BP155" s="489"/>
      <c r="BR155" s="489"/>
      <c r="BS155" s="489"/>
      <c r="BT155" s="489"/>
    </row>
    <row r="156" spans="1:75" s="473" customFormat="1">
      <c r="A156" s="476" t="s">
        <v>500</v>
      </c>
      <c r="B156" s="488"/>
      <c r="C156" s="444"/>
      <c r="D156" s="211"/>
      <c r="E156" s="211"/>
      <c r="F156" s="211"/>
      <c r="G156" s="211"/>
      <c r="H156" s="211"/>
      <c r="I156" s="211"/>
      <c r="J156" s="211"/>
      <c r="K156" s="211"/>
      <c r="L156" s="211" t="s">
        <v>140</v>
      </c>
      <c r="M156" s="211">
        <f>M30/L30-1</f>
        <v>0.31934358390086115</v>
      </c>
      <c r="N156" s="211">
        <f>N30/M30-1</f>
        <v>0.41191057747321214</v>
      </c>
      <c r="O156" s="211">
        <f>O30/N30-1</f>
        <v>0.20785745280224832</v>
      </c>
      <c r="P156" s="211">
        <f>P30/N30-1</f>
        <v>0.55966810618948903</v>
      </c>
      <c r="Q156" s="211">
        <f>Q30/P30-1</f>
        <v>0.24268964183271002</v>
      </c>
      <c r="R156" s="211"/>
      <c r="S156" s="211"/>
      <c r="T156" s="211"/>
      <c r="U156" s="211"/>
      <c r="V156" s="446">
        <f>V30/Q30-1</f>
        <v>9.2634291209955588E-2</v>
      </c>
      <c r="W156" s="211">
        <f>W30/1840.694-1</f>
        <v>0.16701581034109969</v>
      </c>
      <c r="X156" s="473">
        <f>X30/S30-1</f>
        <v>0.12081448975770459</v>
      </c>
      <c r="Y156" s="473">
        <f>Y30/T30-1</f>
        <v>0.18938760856372805</v>
      </c>
      <c r="Z156" s="486">
        <f>Z30/U30-1</f>
        <v>0.17421943554858887</v>
      </c>
      <c r="AA156" s="473">
        <f t="shared" ref="AA156:AI156" si="258">AA30/W30-1</f>
        <v>0.12628955844624978</v>
      </c>
      <c r="AB156" s="473">
        <f t="shared" si="258"/>
        <v>0.18336149038578164</v>
      </c>
      <c r="AC156" s="473">
        <f t="shared" si="258"/>
        <v>0.20145414561290576</v>
      </c>
      <c r="AD156" s="486">
        <f t="shared" si="258"/>
        <v>0.19360143551040188</v>
      </c>
      <c r="AE156" s="473">
        <f t="shared" si="258"/>
        <v>0.21029848673474949</v>
      </c>
      <c r="AF156" s="473">
        <f t="shared" si="258"/>
        <v>0.16945892223519743</v>
      </c>
      <c r="AG156" s="473">
        <f t="shared" si="258"/>
        <v>9.3587795659432871E-2</v>
      </c>
      <c r="AH156" s="486">
        <f t="shared" si="258"/>
        <v>0.1462338209970202</v>
      </c>
      <c r="AI156" s="473">
        <f t="shared" si="258"/>
        <v>-3.1145744434893596E-2</v>
      </c>
      <c r="AL156" s="486"/>
      <c r="AT156" s="486"/>
      <c r="AU156" s="2819"/>
      <c r="AX156" s="486"/>
      <c r="AY156" s="2819"/>
      <c r="AZ156" s="3101"/>
      <c r="BA156" s="3101"/>
      <c r="BB156" s="3102"/>
      <c r="BC156" s="3101"/>
      <c r="BD156" s="3101"/>
      <c r="BE156" s="3101"/>
      <c r="BF156" s="3102"/>
      <c r="BG156" s="3101"/>
      <c r="BH156" s="3101"/>
      <c r="BI156" s="3101"/>
      <c r="BJ156" s="3101"/>
      <c r="BK156" s="3101"/>
      <c r="BL156" s="3101"/>
      <c r="BM156" s="3101"/>
      <c r="BN156" s="486">
        <f>BN30/V30-1</f>
        <v>0.16468138994558457</v>
      </c>
      <c r="BO156" s="489">
        <f>BO30/BN30-1</f>
        <v>0.18040351089816031</v>
      </c>
      <c r="BP156" s="489"/>
      <c r="BR156" s="489"/>
      <c r="BS156" s="489"/>
      <c r="BT156" s="489"/>
    </row>
    <row r="157" spans="1:75" s="473" customFormat="1">
      <c r="A157" s="476" t="s">
        <v>501</v>
      </c>
      <c r="B157" s="488"/>
      <c r="C157" s="488"/>
      <c r="D157" s="466"/>
      <c r="E157" s="466"/>
      <c r="F157" s="466"/>
      <c r="G157" s="466"/>
      <c r="H157" s="466"/>
      <c r="I157" s="466"/>
      <c r="J157" s="466"/>
      <c r="K157" s="466"/>
      <c r="L157" s="466" t="s">
        <v>140</v>
      </c>
      <c r="M157" s="466" t="s">
        <v>140</v>
      </c>
      <c r="N157" s="466" t="s">
        <v>140</v>
      </c>
      <c r="O157" s="466" t="s">
        <v>140</v>
      </c>
      <c r="P157" s="466" t="s">
        <v>140</v>
      </c>
      <c r="Q157" s="466" t="s">
        <v>140</v>
      </c>
      <c r="R157" s="466"/>
      <c r="S157" s="466"/>
      <c r="T157" s="466"/>
      <c r="U157" s="466"/>
      <c r="V157" s="467" t="s">
        <v>140</v>
      </c>
      <c r="W157" s="211"/>
      <c r="Z157" s="486"/>
      <c r="AD157" s="486"/>
      <c r="AH157" s="486"/>
      <c r="AL157" s="486"/>
      <c r="AT157" s="486"/>
      <c r="AU157" s="2819"/>
      <c r="AX157" s="486"/>
      <c r="AY157" s="2819"/>
      <c r="AZ157" s="3101"/>
      <c r="BA157" s="3101"/>
      <c r="BB157" s="3102"/>
      <c r="BC157" s="3101"/>
      <c r="BD157" s="3101"/>
      <c r="BE157" s="3101"/>
      <c r="BF157" s="3102"/>
      <c r="BG157" s="3101"/>
      <c r="BH157" s="3101"/>
      <c r="BI157" s="3101"/>
      <c r="BJ157" s="3101"/>
      <c r="BK157" s="3101"/>
      <c r="BL157" s="3101"/>
      <c r="BM157" s="3101"/>
      <c r="BN157" s="486"/>
      <c r="BO157" s="489"/>
      <c r="BP157" s="489"/>
      <c r="BR157" s="489"/>
      <c r="BS157" s="489"/>
      <c r="BT157" s="489"/>
    </row>
    <row r="158" spans="1:75" s="1804" customFormat="1" ht="12">
      <c r="A158" s="464" t="s">
        <v>2781</v>
      </c>
      <c r="D158" s="1805"/>
      <c r="E158" s="1805"/>
      <c r="F158" s="1805"/>
      <c r="G158" s="1805"/>
      <c r="H158" s="1805"/>
      <c r="I158" s="1805"/>
      <c r="J158" s="1805"/>
      <c r="K158" s="1805"/>
      <c r="L158" s="1805"/>
      <c r="M158" s="1805"/>
      <c r="Q158" s="1804">
        <v>0.33</v>
      </c>
      <c r="R158" s="1804">
        <v>0.19</v>
      </c>
      <c r="S158" s="1804">
        <v>0.11</v>
      </c>
      <c r="T158" s="1804">
        <v>0.12</v>
      </c>
      <c r="U158" s="1804">
        <v>0.12</v>
      </c>
      <c r="V158" s="1806">
        <v>0.13</v>
      </c>
      <c r="W158" s="1785">
        <v>0.21</v>
      </c>
      <c r="X158" s="1804">
        <v>0.16</v>
      </c>
      <c r="Y158" s="1780">
        <v>0.22</v>
      </c>
      <c r="Z158" s="1806">
        <v>0.21</v>
      </c>
      <c r="AA158" s="1804">
        <v>0.16</v>
      </c>
      <c r="AB158" s="1804">
        <v>0.215</v>
      </c>
      <c r="AC158" s="1804">
        <v>0.219</v>
      </c>
      <c r="AD158" s="1806">
        <v>0.217</v>
      </c>
      <c r="AE158" s="1804">
        <v>0.252</v>
      </c>
      <c r="AF158" s="1804">
        <v>0.2</v>
      </c>
      <c r="AG158" s="1804">
        <v>0.11</v>
      </c>
      <c r="AH158" s="1806">
        <v>0.16300000000000001</v>
      </c>
      <c r="AI158" s="1804">
        <v>-3.1E-2</v>
      </c>
      <c r="AJ158" s="1804">
        <v>8.8999999999999996E-2</v>
      </c>
      <c r="AK158" s="1804">
        <v>3.9E-2</v>
      </c>
      <c r="AL158" s="1806">
        <v>3.9E-2</v>
      </c>
      <c r="AM158" s="1804">
        <v>-0.193</v>
      </c>
      <c r="AN158" s="1804">
        <v>-0.83699999999999997</v>
      </c>
      <c r="AO158" s="1804">
        <v>-0.47599999999999998</v>
      </c>
      <c r="AP158" s="1804">
        <v>-0.629</v>
      </c>
      <c r="AQ158" s="1804">
        <v>-0.502</v>
      </c>
      <c r="AR158" s="1804">
        <v>2.4319999999999999</v>
      </c>
      <c r="AS158" s="1804">
        <v>0.77100000000000002</v>
      </c>
      <c r="AT158" s="1806">
        <v>1.407</v>
      </c>
      <c r="AU158" s="2828">
        <v>1.363</v>
      </c>
      <c r="AV158" s="1804">
        <v>0.98699999999999999</v>
      </c>
      <c r="AW158" s="1804">
        <v>0.29399999999999998</v>
      </c>
      <c r="AX158" s="1806">
        <v>0.35799999999999998</v>
      </c>
      <c r="AY158" s="2828">
        <v>0.40200000000000002</v>
      </c>
      <c r="AZ158" s="3121">
        <v>0.27200000000000002</v>
      </c>
      <c r="BA158" s="3121">
        <v>0.21299999999999999</v>
      </c>
      <c r="BB158" s="3272">
        <v>0.18099999999999999</v>
      </c>
      <c r="BC158" s="3121">
        <v>0.16900000000000001</v>
      </c>
      <c r="BD158" s="3121">
        <f t="shared" ref="BD158:BI158" si="259">BD30/AZ30-1</f>
        <v>7.2683998535335137E-2</v>
      </c>
      <c r="BE158" s="3121">
        <f t="shared" si="259"/>
        <v>8.8952458793079892E-2</v>
      </c>
      <c r="BF158" s="3272">
        <f t="shared" si="259"/>
        <v>0.14360367892976589</v>
      </c>
      <c r="BG158" s="3121">
        <f t="shared" si="259"/>
        <v>7.859569648924114E-2</v>
      </c>
      <c r="BH158" s="3121">
        <f t="shared" si="259"/>
        <v>0.1602662570404505</v>
      </c>
      <c r="BI158" s="3121">
        <f t="shared" si="259"/>
        <v>0.12684513385038776</v>
      </c>
      <c r="BJ158" s="3121">
        <f>BJ30/BF30-1</f>
        <v>0.16048254432462072</v>
      </c>
      <c r="BK158" s="3121">
        <v>0.16</v>
      </c>
      <c r="BL158" s="3121">
        <v>8.1000000000000003E-2</v>
      </c>
      <c r="BM158" s="3121"/>
      <c r="BN158" s="1806">
        <v>0.2</v>
      </c>
      <c r="BO158" s="1808">
        <v>0.21</v>
      </c>
      <c r="BP158" s="1808">
        <v>0.17</v>
      </c>
      <c r="BQ158" s="1804">
        <v>0.04</v>
      </c>
      <c r="BR158" s="1807">
        <v>-0.54900000000000004</v>
      </c>
      <c r="BS158" s="1807">
        <v>0.61199999999999999</v>
      </c>
      <c r="BT158" s="1807">
        <v>0.56000000000000005</v>
      </c>
      <c r="BU158" s="1804">
        <v>0.25</v>
      </c>
      <c r="BV158" s="1804">
        <f>BV33/BU33-1</f>
        <v>0.11111631172478353</v>
      </c>
      <c r="BW158" s="1804">
        <f>BW33/BV33-1</f>
        <v>0.13387253043514891</v>
      </c>
    </row>
    <row r="159" spans="1:75" s="1804" customFormat="1" ht="12">
      <c r="A159" s="464" t="s">
        <v>2782</v>
      </c>
      <c r="Q159" s="1804">
        <f>Q158</f>
        <v>0.33</v>
      </c>
      <c r="R159" s="1804">
        <v>0.32</v>
      </c>
      <c r="S159" s="1804">
        <v>0.26</v>
      </c>
      <c r="T159" s="1804">
        <v>0.28999999999999998</v>
      </c>
      <c r="U159" s="1804">
        <v>0.23</v>
      </c>
      <c r="V159" s="1806">
        <v>0.27</v>
      </c>
      <c r="W159" s="1785">
        <v>0.27</v>
      </c>
      <c r="X159" s="1804">
        <v>0.18</v>
      </c>
      <c r="Y159" s="1780">
        <v>0.23</v>
      </c>
      <c r="Z159" s="1806">
        <v>0.24</v>
      </c>
      <c r="AA159" s="1804">
        <v>0.17</v>
      </c>
      <c r="AB159" s="1804">
        <v>0.24</v>
      </c>
      <c r="AC159" s="1804">
        <v>0.19</v>
      </c>
      <c r="AD159" s="1806">
        <v>0.17</v>
      </c>
      <c r="AE159" s="1804">
        <v>0.18</v>
      </c>
      <c r="AF159" s="1804">
        <v>0.16</v>
      </c>
      <c r="AG159" s="1804">
        <v>0.13</v>
      </c>
      <c r="AH159" s="1806">
        <v>0.21</v>
      </c>
      <c r="AI159" s="1804">
        <v>0.03</v>
      </c>
      <c r="AJ159" s="1804">
        <v>0.14000000000000001</v>
      </c>
      <c r="AK159" s="1804">
        <v>7.0000000000000007E-2</v>
      </c>
      <c r="AL159" s="1806">
        <v>0.05</v>
      </c>
      <c r="AM159" s="1804">
        <v>-0.17</v>
      </c>
      <c r="AN159" s="1804">
        <v>-0.83</v>
      </c>
      <c r="AO159" s="1804">
        <v>-0.49</v>
      </c>
      <c r="AP159" s="1804">
        <v>-0.63</v>
      </c>
      <c r="AQ159" s="1804">
        <v>-0.51</v>
      </c>
      <c r="AR159" s="1804">
        <v>2.29</v>
      </c>
      <c r="AS159" s="1804">
        <v>0.76</v>
      </c>
      <c r="AT159" s="1806">
        <v>1.46</v>
      </c>
      <c r="AU159" s="2828">
        <v>1.46</v>
      </c>
      <c r="AV159" s="1804">
        <v>1.1599999999999999</v>
      </c>
      <c r="AW159" s="1935">
        <v>0.47</v>
      </c>
      <c r="AX159" s="1936">
        <v>0.49</v>
      </c>
      <c r="AY159" s="2850">
        <v>0.47</v>
      </c>
      <c r="AZ159" s="3122">
        <v>0.28000000000000003</v>
      </c>
      <c r="BA159" s="3122">
        <v>0.18</v>
      </c>
      <c r="BB159" s="3273">
        <v>0.17</v>
      </c>
      <c r="BC159" s="3122">
        <v>0.17</v>
      </c>
      <c r="BD159" s="3122">
        <v>0.09</v>
      </c>
      <c r="BE159" s="3122">
        <v>0.09</v>
      </c>
      <c r="BF159" s="3273">
        <v>0.15</v>
      </c>
      <c r="BG159" s="3122">
        <v>0.1</v>
      </c>
      <c r="BH159" s="3122">
        <v>0.12</v>
      </c>
      <c r="BI159" s="3122">
        <v>0.08</v>
      </c>
      <c r="BJ159" s="3122">
        <v>0.11</v>
      </c>
      <c r="BK159" s="3122">
        <v>0.1</v>
      </c>
      <c r="BL159" s="3122">
        <v>7.0000000000000007E-2</v>
      </c>
      <c r="BM159" s="3122"/>
      <c r="BN159" s="1806">
        <v>0.23</v>
      </c>
      <c r="BO159" s="1808">
        <v>0.19</v>
      </c>
      <c r="BP159" s="1808">
        <v>0.16</v>
      </c>
      <c r="BQ159" s="1804">
        <v>7.0000000000000007E-2</v>
      </c>
      <c r="BR159" s="1807">
        <v>-0.55000000000000004</v>
      </c>
      <c r="BS159" s="1807"/>
      <c r="BT159" s="1807">
        <v>0.71</v>
      </c>
      <c r="BU159" s="1804">
        <v>0.25</v>
      </c>
      <c r="BV159" s="1804">
        <v>0.12</v>
      </c>
      <c r="BW159" s="1804">
        <v>0.1</v>
      </c>
    </row>
    <row r="160" spans="1:75" s="1804" customFormat="1" ht="12">
      <c r="A160" s="2954" t="s">
        <v>2716</v>
      </c>
      <c r="V160" s="1806"/>
      <c r="W160" s="1785"/>
      <c r="Y160" s="1780"/>
      <c r="Z160" s="1806"/>
      <c r="AD160" s="1806"/>
      <c r="AH160" s="1806"/>
      <c r="AL160" s="1806"/>
      <c r="AQ160" s="3016">
        <f>AQ33/AI33-1</f>
        <v>-0.59781459287980265</v>
      </c>
      <c r="AR160" s="3016">
        <f>AR33/AJ33-1</f>
        <v>-0.438961038961039</v>
      </c>
      <c r="AS160" s="3016">
        <f>AS33/AK33-1</f>
        <v>-7.2222222222222188E-2</v>
      </c>
      <c r="AT160" s="3017">
        <f>AT33/AL33-1</f>
        <v>-0.10721772985923927</v>
      </c>
      <c r="AU160" s="3263">
        <f>AU33/AI33-1</f>
        <v>-5.005287275290804E-2</v>
      </c>
      <c r="AV160" s="3016">
        <f>AV33/AJ33-1</f>
        <v>0.11532467532467527</v>
      </c>
      <c r="AW160" s="3016">
        <f>AW33/AK33-1</f>
        <v>0.20079365079365075</v>
      </c>
      <c r="AX160" s="3017">
        <f>AX33/AL33-1</f>
        <v>0.21263851452530691</v>
      </c>
      <c r="AY160" s="3263">
        <f>AY33/AI33-1</f>
        <v>0.3316884032428622</v>
      </c>
      <c r="AZ160" s="3123">
        <f>AZ33/AJ33-1</f>
        <v>0.4187012987012988</v>
      </c>
      <c r="BA160" s="3123">
        <f>BA33/AK33-1</f>
        <v>0.45654761904761898</v>
      </c>
      <c r="BB160" s="3274">
        <f>BB33/AL33-1</f>
        <v>0.4327643006888291</v>
      </c>
      <c r="BC160" s="3123"/>
      <c r="BD160" s="3123"/>
      <c r="BE160" s="3123"/>
      <c r="BF160" s="3274"/>
      <c r="BG160" s="3123"/>
      <c r="BH160" s="3123"/>
      <c r="BI160" s="3123"/>
      <c r="BJ160" s="3123"/>
      <c r="BK160" s="3123"/>
      <c r="BL160" s="3123"/>
      <c r="BM160" s="3167"/>
      <c r="BN160" s="1806"/>
      <c r="BO160" s="1808"/>
      <c r="BP160" s="1808"/>
      <c r="BR160" s="1807"/>
      <c r="BS160" s="2992">
        <f>BS33/BQ33-1</f>
        <v>-0.27266693216514004</v>
      </c>
      <c r="BT160" s="2992">
        <f>BT33/BQ33-1</f>
        <v>0.13434222753219172</v>
      </c>
      <c r="BU160" s="2992">
        <f>BU33/BQ33-1</f>
        <v>0.41809372096110442</v>
      </c>
      <c r="BV160" s="2992"/>
      <c r="BW160" s="3492"/>
    </row>
    <row r="161" spans="1:75" s="988" customFormat="1" ht="12">
      <c r="A161" s="476" t="s">
        <v>54</v>
      </c>
      <c r="B161" s="1479"/>
      <c r="C161" s="1479"/>
      <c r="D161" s="986"/>
      <c r="E161" s="986"/>
      <c r="F161" s="986"/>
      <c r="G161" s="986"/>
      <c r="H161" s="986"/>
      <c r="I161" s="986"/>
      <c r="J161" s="986"/>
      <c r="K161" s="986"/>
      <c r="L161" s="986" t="s">
        <v>140</v>
      </c>
      <c r="M161" s="986" t="s">
        <v>140</v>
      </c>
      <c r="N161" s="986" t="s">
        <v>140</v>
      </c>
      <c r="O161" s="986" t="s">
        <v>140</v>
      </c>
      <c r="P161" s="986" t="s">
        <v>140</v>
      </c>
      <c r="Q161" s="986" t="s">
        <v>140</v>
      </c>
      <c r="R161" s="986"/>
      <c r="S161" s="986"/>
      <c r="T161" s="986"/>
      <c r="U161" s="986"/>
      <c r="V161" s="477" t="s">
        <v>140</v>
      </c>
      <c r="W161" s="987"/>
      <c r="Z161" s="989"/>
      <c r="AD161" s="989"/>
      <c r="AH161" s="989"/>
      <c r="AL161" s="989"/>
      <c r="AT161" s="989"/>
      <c r="AU161" s="2829"/>
      <c r="AV161" s="1020"/>
      <c r="AX161" s="989"/>
      <c r="AY161" s="2829"/>
      <c r="AZ161" s="3124"/>
      <c r="BA161" s="3124"/>
      <c r="BB161" s="3275"/>
      <c r="BC161" s="3124"/>
      <c r="BD161" s="3124"/>
      <c r="BE161" s="3124"/>
      <c r="BF161" s="3275"/>
      <c r="BG161" s="3124"/>
      <c r="BH161" s="3124"/>
      <c r="BI161" s="3124"/>
      <c r="BJ161" s="3124"/>
      <c r="BK161" s="3124"/>
      <c r="BL161" s="3124"/>
      <c r="BM161" s="3124"/>
      <c r="BN161" s="989"/>
      <c r="BO161" s="1009"/>
      <c r="BP161" s="1009"/>
      <c r="BR161" s="1009"/>
      <c r="BS161" s="1009"/>
      <c r="BT161" s="1009"/>
    </row>
    <row r="162" spans="1:75" s="988" customFormat="1" ht="12">
      <c r="A162" s="476" t="s">
        <v>2686</v>
      </c>
      <c r="B162" s="1479"/>
      <c r="C162" s="1479"/>
      <c r="D162" s="986"/>
      <c r="E162" s="986"/>
      <c r="F162" s="986"/>
      <c r="G162" s="986"/>
      <c r="H162" s="986"/>
      <c r="I162" s="986"/>
      <c r="J162" s="986"/>
      <c r="K162" s="986"/>
      <c r="L162" s="986"/>
      <c r="M162" s="986"/>
      <c r="N162" s="986"/>
      <c r="O162" s="986"/>
      <c r="P162" s="986"/>
      <c r="Q162" s="986"/>
      <c r="R162" s="986"/>
      <c r="S162" s="986"/>
      <c r="T162" s="986"/>
      <c r="U162" s="986"/>
      <c r="V162" s="477"/>
      <c r="W162" s="987"/>
      <c r="Z162" s="989"/>
      <c r="AD162" s="989"/>
      <c r="AH162" s="989"/>
      <c r="AL162" s="989"/>
      <c r="AT162" s="989"/>
      <c r="AU162" s="2829"/>
      <c r="AX162" s="989"/>
      <c r="AY162" s="2829"/>
      <c r="AZ162" s="3124"/>
      <c r="BA162" s="3124"/>
      <c r="BB162" s="3275"/>
      <c r="BC162" s="3124"/>
      <c r="BD162" s="3124"/>
      <c r="BE162" s="3124"/>
      <c r="BF162" s="3275"/>
      <c r="BG162" s="3124"/>
      <c r="BH162" s="3124"/>
      <c r="BI162" s="3124"/>
      <c r="BJ162" s="3124"/>
      <c r="BK162" s="3124"/>
      <c r="BL162" s="3124"/>
      <c r="BM162" s="3124"/>
      <c r="BN162" s="989"/>
      <c r="BO162" s="1009"/>
      <c r="BP162" s="1009"/>
      <c r="BR162" s="1009"/>
      <c r="BS162" s="1009"/>
      <c r="BT162" s="1009"/>
    </row>
    <row r="163" spans="1:75" s="988" customFormat="1" ht="12">
      <c r="A163" s="490" t="s">
        <v>57</v>
      </c>
      <c r="B163" s="1479"/>
      <c r="C163" s="1474"/>
      <c r="D163" s="987"/>
      <c r="E163" s="987"/>
      <c r="F163" s="987"/>
      <c r="G163" s="987"/>
      <c r="H163" s="987"/>
      <c r="I163" s="987"/>
      <c r="J163" s="987"/>
      <c r="K163" s="987"/>
      <c r="L163" s="987" t="s">
        <v>140</v>
      </c>
      <c r="M163" s="987">
        <f t="shared" ref="M163:O165" si="260">M69/L69-1</f>
        <v>9.7131511573227636E-2</v>
      </c>
      <c r="N163" s="987">
        <f t="shared" si="260"/>
        <v>0.61029621868749406</v>
      </c>
      <c r="O163" s="987">
        <f t="shared" si="260"/>
        <v>0.29195871410404273</v>
      </c>
      <c r="P163" s="987">
        <f>P69/N69-1</f>
        <v>1.1261053440984234</v>
      </c>
      <c r="Q163" s="987">
        <f>Q69/P69-1</f>
        <v>0.35621087772986515</v>
      </c>
      <c r="R163" s="987"/>
      <c r="S163" s="987"/>
      <c r="T163" s="987"/>
      <c r="U163" s="987"/>
      <c r="V163" s="468">
        <f>V69/Q69-1</f>
        <v>0.16532646823524577</v>
      </c>
      <c r="W163" s="987">
        <f>W69/-25.361-1</f>
        <v>0.29285122826386956</v>
      </c>
      <c r="X163" s="988">
        <f t="shared" ref="X163:Z165" si="261">X69/S69-1</f>
        <v>0.31819855648843709</v>
      </c>
      <c r="Y163" s="988">
        <f t="shared" si="261"/>
        <v>0.26219216094346187</v>
      </c>
      <c r="Z163" s="989">
        <f t="shared" si="261"/>
        <v>0.15955996281375873</v>
      </c>
      <c r="AA163" s="988">
        <f t="shared" ref="AA163:AJ165" si="262">AA69/W69-1</f>
        <v>0.21828107844333311</v>
      </c>
      <c r="AB163" s="988">
        <f t="shared" si="262"/>
        <v>0.25236751683101954</v>
      </c>
      <c r="AC163" s="988">
        <f t="shared" si="262"/>
        <v>0.31635933936079574</v>
      </c>
      <c r="AD163" s="989">
        <f t="shared" si="262"/>
        <v>0.51439108474304507</v>
      </c>
      <c r="AE163" s="988">
        <f t="shared" si="262"/>
        <v>0.513105520090124</v>
      </c>
      <c r="AF163" s="988">
        <f t="shared" si="262"/>
        <v>0.31493832392763932</v>
      </c>
      <c r="AG163" s="988">
        <f t="shared" si="262"/>
        <v>0.2054445627439927</v>
      </c>
      <c r="AH163" s="989">
        <f t="shared" si="262"/>
        <v>-1.1770518996947144E-2</v>
      </c>
      <c r="AI163" s="988">
        <f t="shared" si="262"/>
        <v>7.5428930692741591E-2</v>
      </c>
      <c r="AJ163" s="988">
        <f t="shared" si="262"/>
        <v>0.18744698897370649</v>
      </c>
      <c r="AK163" s="988">
        <f t="shared" ref="AK163:BE165" si="263">AK69/AG69-1</f>
        <v>0.22960756468428523</v>
      </c>
      <c r="AL163" s="989">
        <f t="shared" si="263"/>
        <v>0.41071428571428581</v>
      </c>
      <c r="AM163" s="988">
        <f t="shared" si="263"/>
        <v>0.19999999999999996</v>
      </c>
      <c r="AN163" s="988">
        <f t="shared" si="263"/>
        <v>0</v>
      </c>
      <c r="AO163" s="988">
        <f t="shared" si="263"/>
        <v>0</v>
      </c>
      <c r="AP163" s="988">
        <f t="shared" si="263"/>
        <v>1.2658227848101333E-2</v>
      </c>
      <c r="AQ163" s="988">
        <f t="shared" si="263"/>
        <v>0.11538461538461542</v>
      </c>
      <c r="AR163" s="988">
        <f t="shared" si="263"/>
        <v>0.32857142857142851</v>
      </c>
      <c r="AS163" s="988">
        <f t="shared" si="263"/>
        <v>0.53521126760563376</v>
      </c>
      <c r="AT163" s="989">
        <f t="shared" si="263"/>
        <v>0.53750000000000009</v>
      </c>
      <c r="AU163" s="2829">
        <f t="shared" si="263"/>
        <v>0.54022988505747116</v>
      </c>
      <c r="AV163" s="988">
        <f t="shared" si="263"/>
        <v>0.4731182795698925</v>
      </c>
      <c r="AW163" s="988">
        <f t="shared" si="263"/>
        <v>0.1834862385321101</v>
      </c>
      <c r="AX163" s="989">
        <f t="shared" si="263"/>
        <v>2.4390243902439046E-2</v>
      </c>
      <c r="AY163" s="2829">
        <f t="shared" si="263"/>
        <v>2.2388059701492491E-2</v>
      </c>
      <c r="AZ163" s="3124">
        <f t="shared" si="263"/>
        <v>5.1094890510948954E-2</v>
      </c>
      <c r="BA163" s="3124">
        <f t="shared" si="263"/>
        <v>0.4496124031007751</v>
      </c>
      <c r="BB163" s="3275">
        <f t="shared" si="263"/>
        <v>0.48412698412698418</v>
      </c>
      <c r="BC163" s="3124">
        <f t="shared" si="263"/>
        <v>0.36496350364963503</v>
      </c>
      <c r="BD163" s="3124">
        <f t="shared" si="263"/>
        <v>0.27083333333333326</v>
      </c>
      <c r="BE163" s="3124">
        <f t="shared" si="263"/>
        <v>3.7433155080213831E-2</v>
      </c>
      <c r="BF163" s="3275">
        <f t="shared" ref="BF163:BI165" si="264">BF69/BB69-1</f>
        <v>0.10695187165775399</v>
      </c>
      <c r="BG163" s="3124">
        <f t="shared" si="264"/>
        <v>6.9518716577540163E-2</v>
      </c>
      <c r="BH163" s="3124">
        <f>BH69/BD69-1</f>
        <v>0.19672131147540983</v>
      </c>
      <c r="BI163" s="3124">
        <f>BI69/BE69-1</f>
        <v>0.24742268041237114</v>
      </c>
      <c r="BJ163" s="3124">
        <f>BJ69/BF69-1</f>
        <v>0.19323671497584538</v>
      </c>
      <c r="BK163" s="3124">
        <f>BK69/BG69-1</f>
        <v>0.19999999999999996</v>
      </c>
      <c r="BL163" s="3519">
        <f>BL69/BH69-1</f>
        <v>0.20091324200913241</v>
      </c>
      <c r="BM163" s="3124"/>
      <c r="BN163" s="1009">
        <f>BN69/V69-1</f>
        <v>0.25327195754156495</v>
      </c>
      <c r="BO163" s="1009">
        <f t="shared" ref="BO163:BW165" si="265">BO69/BN69-1</f>
        <v>0.32972828720512992</v>
      </c>
      <c r="BP163" s="1009">
        <f t="shared" si="265"/>
        <v>0.23126690045631215</v>
      </c>
      <c r="BQ163" s="2829">
        <f t="shared" si="265"/>
        <v>0.22247815624557643</v>
      </c>
      <c r="BR163" s="1009">
        <f t="shared" si="265"/>
        <v>4.912280701754379E-2</v>
      </c>
      <c r="BS163" s="1009">
        <f t="shared" si="265"/>
        <v>0.37792642140468224</v>
      </c>
      <c r="BT163" s="1009">
        <f t="shared" si="265"/>
        <v>0.27669902912621369</v>
      </c>
      <c r="BU163" s="1009">
        <f t="shared" si="265"/>
        <v>0.24524714828897332</v>
      </c>
      <c r="BV163" s="1009">
        <f t="shared" si="265"/>
        <v>0.1770992366412214</v>
      </c>
      <c r="BW163" s="1009">
        <f t="shared" si="265"/>
        <v>0.17769130998702987</v>
      </c>
    </row>
    <row r="164" spans="1:75" s="988" customFormat="1" ht="12">
      <c r="A164" s="490" t="s">
        <v>505</v>
      </c>
      <c r="B164" s="987" t="e">
        <f>B70/#REF!-1</f>
        <v>#REF!</v>
      </c>
      <c r="C164" s="987">
        <f t="shared" ref="C164:L164" si="266">C70/B70-1</f>
        <v>0.86150520879148518</v>
      </c>
      <c r="D164" s="987">
        <f t="shared" si="266"/>
        <v>-0.22119986768647104</v>
      </c>
      <c r="E164" s="987">
        <f t="shared" si="266"/>
        <v>-0.28279562436073025</v>
      </c>
      <c r="F164" s="987">
        <f t="shared" si="266"/>
        <v>-8.5229813514460906E-2</v>
      </c>
      <c r="G164" s="987">
        <f t="shared" si="266"/>
        <v>0.22933319240576577</v>
      </c>
      <c r="H164" s="987">
        <f t="shared" si="266"/>
        <v>0.33037067288574606</v>
      </c>
      <c r="I164" s="987">
        <f t="shared" si="266"/>
        <v>0.51689595838012048</v>
      </c>
      <c r="J164" s="987">
        <f t="shared" si="266"/>
        <v>0.36227446051594492</v>
      </c>
      <c r="K164" s="987">
        <f t="shared" si="266"/>
        <v>0.5117182766021493</v>
      </c>
      <c r="L164" s="987">
        <f t="shared" si="266"/>
        <v>0.24876581681075183</v>
      </c>
      <c r="M164" s="987">
        <f t="shared" si="260"/>
        <v>0.45821710579449948</v>
      </c>
      <c r="N164" s="987">
        <f t="shared" si="260"/>
        <v>0.58682509724393839</v>
      </c>
      <c r="O164" s="987">
        <f t="shared" si="260"/>
        <v>0.34696440046036492</v>
      </c>
      <c r="P164" s="987">
        <f>P70/N70-1</f>
        <v>0.83215995718532909</v>
      </c>
      <c r="Q164" s="987">
        <f>Q70/P70-1</f>
        <v>0.41775537306201294</v>
      </c>
      <c r="R164" s="987"/>
      <c r="S164" s="987"/>
      <c r="T164" s="987"/>
      <c r="U164" s="987"/>
      <c r="V164" s="468">
        <f>V70/Q70-1</f>
        <v>0.15941759347307771</v>
      </c>
      <c r="W164" s="987">
        <f>W70/(-633.544-73.254-81.944)-1</f>
        <v>0.19440450743082027</v>
      </c>
      <c r="X164" s="988">
        <f t="shared" si="261"/>
        <v>0.22214708622606905</v>
      </c>
      <c r="Y164" s="988">
        <f t="shared" si="261"/>
        <v>0.3089389799250466</v>
      </c>
      <c r="Z164" s="989">
        <f t="shared" si="261"/>
        <v>0.27553075534474436</v>
      </c>
      <c r="AA164" s="988">
        <f t="shared" si="262"/>
        <v>0.23962372502460005</v>
      </c>
      <c r="AB164" s="988">
        <f t="shared" si="262"/>
        <v>0.23002162293190076</v>
      </c>
      <c r="AC164" s="988">
        <f t="shared" si="262"/>
        <v>0.21398668288891831</v>
      </c>
      <c r="AD164" s="989">
        <f t="shared" si="262"/>
        <v>0.14867991221469512</v>
      </c>
      <c r="AE164" s="988">
        <f t="shared" si="262"/>
        <v>0.17604410264929293</v>
      </c>
      <c r="AF164" s="988">
        <f t="shared" si="262"/>
        <v>4.9060699316677781E-2</v>
      </c>
      <c r="AG164" s="988">
        <f t="shared" si="262"/>
        <v>0.14272832539196623</v>
      </c>
      <c r="AH164" s="989">
        <f t="shared" si="262"/>
        <v>0.19788890385843216</v>
      </c>
      <c r="AI164" s="988">
        <f t="shared" si="262"/>
        <v>2.5186233671105951E-2</v>
      </c>
      <c r="AJ164" s="988">
        <f t="shared" si="262"/>
        <v>9.9222716815725365E-2</v>
      </c>
      <c r="AK164" s="988">
        <f t="shared" si="263"/>
        <v>-1.5231589460473871E-2</v>
      </c>
      <c r="AL164" s="989">
        <f t="shared" si="263"/>
        <v>-1.5484922575387139E-2</v>
      </c>
      <c r="AM164" s="988">
        <f t="shared" si="263"/>
        <v>-0.12784090909090906</v>
      </c>
      <c r="AN164" s="988">
        <f t="shared" si="263"/>
        <v>-0.78823529411764703</v>
      </c>
      <c r="AO164" s="988">
        <f t="shared" si="263"/>
        <v>-0.49142519219396807</v>
      </c>
      <c r="AP164" s="988">
        <f t="shared" si="263"/>
        <v>-0.58278145695364236</v>
      </c>
      <c r="AQ164" s="988">
        <f t="shared" si="263"/>
        <v>-0.53338762214983715</v>
      </c>
      <c r="AR164" s="988">
        <f t="shared" si="263"/>
        <v>2.4912280701754388</v>
      </c>
      <c r="AS164" s="988">
        <f t="shared" si="263"/>
        <v>0.95348837209302317</v>
      </c>
      <c r="AT164" s="989">
        <f t="shared" si="263"/>
        <v>1.4503968253968256</v>
      </c>
      <c r="AU164" s="2829">
        <f t="shared" si="263"/>
        <v>1.593368237347295</v>
      </c>
      <c r="AV164" s="988">
        <f t="shared" si="263"/>
        <v>0.84422110552763829</v>
      </c>
      <c r="AW164" s="988">
        <f t="shared" si="263"/>
        <v>0.38988095238095233</v>
      </c>
      <c r="AX164" s="989">
        <f t="shared" si="263"/>
        <v>0.47773279352226727</v>
      </c>
      <c r="AY164" s="2829">
        <f t="shared" si="263"/>
        <v>0.40444145356662187</v>
      </c>
      <c r="AZ164" s="3124">
        <f t="shared" si="263"/>
        <v>0.14350590372388727</v>
      </c>
      <c r="BA164" s="3124">
        <f t="shared" si="263"/>
        <v>0.17558886509635974</v>
      </c>
      <c r="BB164" s="3275">
        <f t="shared" si="263"/>
        <v>0.14136986301369858</v>
      </c>
      <c r="BC164" s="3124">
        <f t="shared" si="263"/>
        <v>9.6310493531384767E-2</v>
      </c>
      <c r="BD164" s="3124">
        <f t="shared" si="263"/>
        <v>9.571088165210484E-2</v>
      </c>
      <c r="BE164" s="3124">
        <f t="shared" si="263"/>
        <v>0.10127504553734057</v>
      </c>
      <c r="BF164" s="3275">
        <f t="shared" si="264"/>
        <v>0.11761881901104188</v>
      </c>
      <c r="BG164" s="3124">
        <f t="shared" si="264"/>
        <v>8.3479020979021046E-2</v>
      </c>
      <c r="BH164" s="3124">
        <f t="shared" si="264"/>
        <v>0.101123595505618</v>
      </c>
      <c r="BI164" s="3124">
        <f t="shared" si="264"/>
        <v>0.11214025802183269</v>
      </c>
      <c r="BJ164" s="3124">
        <f t="shared" ref="BJ164:BL165" si="267">BJ70/BF70-1</f>
        <v>0.18556701030927836</v>
      </c>
      <c r="BK164" s="3124">
        <f t="shared" si="267"/>
        <v>0.15853166599435253</v>
      </c>
      <c r="BL164" s="3519">
        <f t="shared" si="267"/>
        <v>9.0520078999341669E-2</v>
      </c>
      <c r="BM164" s="3124"/>
      <c r="BN164" s="1009">
        <f>BN70/V70-1</f>
        <v>0.2511247674688124</v>
      </c>
      <c r="BO164" s="1009">
        <f t="shared" si="265"/>
        <v>0.21022775586015929</v>
      </c>
      <c r="BP164" s="1009">
        <f t="shared" si="265"/>
        <v>0.13570726665859389</v>
      </c>
      <c r="BQ164" s="2829">
        <f t="shared" si="265"/>
        <v>2.3366346488826961E-2</v>
      </c>
      <c r="BR164" s="1009">
        <f t="shared" si="265"/>
        <v>-0.50455927051671734</v>
      </c>
      <c r="BS164" s="1009">
        <f t="shared" si="265"/>
        <v>0.59577368779822759</v>
      </c>
      <c r="BT164" s="1009">
        <f t="shared" si="265"/>
        <v>0.67620674925245616</v>
      </c>
      <c r="BU164" s="1009">
        <f t="shared" si="265"/>
        <v>0.20196228338430178</v>
      </c>
      <c r="BV164" s="1009">
        <f t="shared" si="265"/>
        <v>0.10230043464433369</v>
      </c>
      <c r="BW164" s="1009">
        <f t="shared" si="265"/>
        <v>0.11934987497595695</v>
      </c>
    </row>
    <row r="165" spans="1:75" s="988" customFormat="1" ht="12">
      <c r="A165" s="490" t="s">
        <v>506</v>
      </c>
      <c r="B165" s="1479"/>
      <c r="C165" s="1474"/>
      <c r="D165" s="987"/>
      <c r="E165" s="987"/>
      <c r="F165" s="987"/>
      <c r="G165" s="987"/>
      <c r="H165" s="987"/>
      <c r="I165" s="987"/>
      <c r="J165" s="987"/>
      <c r="K165" s="987"/>
      <c r="L165" s="987" t="s">
        <v>140</v>
      </c>
      <c r="M165" s="987">
        <f t="shared" si="260"/>
        <v>0.41158471615193792</v>
      </c>
      <c r="N165" s="987">
        <f t="shared" si="260"/>
        <v>0.35570012903372805</v>
      </c>
      <c r="O165" s="987">
        <f t="shared" si="260"/>
        <v>0.34468543766427784</v>
      </c>
      <c r="P165" s="987">
        <f>P71/N71-1</f>
        <v>0.99956297654991011</v>
      </c>
      <c r="Q165" s="987">
        <f>Q71/P71-1</f>
        <v>0.36921211407964383</v>
      </c>
      <c r="R165" s="987"/>
      <c r="S165" s="987"/>
      <c r="T165" s="987"/>
      <c r="U165" s="987"/>
      <c r="V165" s="468">
        <f>V71/Q71-1</f>
        <v>0.21379368563228107</v>
      </c>
      <c r="W165" s="987">
        <f>W71/-100.178-1</f>
        <v>3.2064724789874024</v>
      </c>
      <c r="X165" s="988">
        <f t="shared" si="261"/>
        <v>0.14737143166340716</v>
      </c>
      <c r="Y165" s="988">
        <f t="shared" si="261"/>
        <v>0.1136313804859832</v>
      </c>
      <c r="Z165" s="989">
        <f t="shared" si="261"/>
        <v>0.13760647481328148</v>
      </c>
      <c r="AA165" s="988">
        <f t="shared" si="262"/>
        <v>0.15467873449202174</v>
      </c>
      <c r="AB165" s="988">
        <f t="shared" si="262"/>
        <v>0.18425047608781564</v>
      </c>
      <c r="AC165" s="988">
        <f t="shared" si="262"/>
        <v>0.35496845494119356</v>
      </c>
      <c r="AD165" s="989">
        <f t="shared" si="262"/>
        <v>0.26808132429730036</v>
      </c>
      <c r="AE165" s="988">
        <f t="shared" si="262"/>
        <v>0.35852290593266867</v>
      </c>
      <c r="AF165" s="988">
        <f t="shared" si="262"/>
        <v>0.29138775216083679</v>
      </c>
      <c r="AG165" s="988">
        <f t="shared" si="262"/>
        <v>0.14962132401666395</v>
      </c>
      <c r="AH165" s="989">
        <f t="shared" si="262"/>
        <v>0.12076860260983691</v>
      </c>
      <c r="AI165" s="988">
        <f t="shared" si="262"/>
        <v>4.6857460977329124E-2</v>
      </c>
      <c r="AJ165" s="988">
        <f t="shared" si="262"/>
        <v>0.17326942759429853</v>
      </c>
      <c r="AK165" s="988">
        <f t="shared" si="263"/>
        <v>9.8667570416813177E-2</v>
      </c>
      <c r="AL165" s="989">
        <f t="shared" si="263"/>
        <v>0.12536873156342176</v>
      </c>
      <c r="AM165" s="988">
        <f t="shared" si="263"/>
        <v>-1.0115606936416222E-2</v>
      </c>
      <c r="AN165" s="988">
        <f t="shared" si="263"/>
        <v>-0.30413016270337923</v>
      </c>
      <c r="AO165" s="988">
        <f t="shared" si="263"/>
        <v>-0.15929203539823011</v>
      </c>
      <c r="AP165" s="988">
        <f t="shared" si="263"/>
        <v>-0.18872870249017037</v>
      </c>
      <c r="AQ165" s="988">
        <f t="shared" si="263"/>
        <v>-2.0437956204379604E-2</v>
      </c>
      <c r="AR165" s="988">
        <f t="shared" si="263"/>
        <v>0.47482014388489202</v>
      </c>
      <c r="AS165" s="988">
        <f t="shared" si="263"/>
        <v>0.15789473684210531</v>
      </c>
      <c r="AT165" s="989">
        <f t="shared" si="263"/>
        <v>8.7237479806138829E-2</v>
      </c>
      <c r="AU165" s="2829">
        <f t="shared" si="263"/>
        <v>0.1236959761549925</v>
      </c>
      <c r="AV165" s="988">
        <f t="shared" si="263"/>
        <v>2.6829268292682951E-2</v>
      </c>
      <c r="AW165" s="988">
        <f t="shared" si="263"/>
        <v>0.16623376623376629</v>
      </c>
      <c r="AX165" s="989">
        <f t="shared" si="263"/>
        <v>0.28974739970282326</v>
      </c>
      <c r="AY165" s="2829">
        <f t="shared" si="263"/>
        <v>0.30503978779840857</v>
      </c>
      <c r="AZ165" s="3124">
        <f t="shared" si="263"/>
        <v>0.19477434679334915</v>
      </c>
      <c r="BA165" s="3124">
        <f t="shared" si="263"/>
        <v>0.30846325167037869</v>
      </c>
      <c r="BB165" s="3275">
        <f t="shared" si="263"/>
        <v>1.0391705069124426</v>
      </c>
      <c r="BC165" s="3124">
        <f t="shared" si="263"/>
        <v>2.8455284552845628E-2</v>
      </c>
      <c r="BD165" s="3124">
        <f t="shared" si="263"/>
        <v>-8.6481113320079572E-2</v>
      </c>
      <c r="BE165" s="3124">
        <f t="shared" si="263"/>
        <v>0.22808510638297874</v>
      </c>
      <c r="BF165" s="3275">
        <f t="shared" si="264"/>
        <v>-0.42598870056497173</v>
      </c>
      <c r="BG165" s="3124">
        <f t="shared" si="264"/>
        <v>-0.17490118577075098</v>
      </c>
      <c r="BH165" s="3124">
        <f t="shared" si="264"/>
        <v>0.19151251360174104</v>
      </c>
      <c r="BI165" s="3124">
        <f t="shared" si="264"/>
        <v>-0.16909216909216906</v>
      </c>
      <c r="BJ165" s="3124">
        <f t="shared" si="267"/>
        <v>0.11318897637795278</v>
      </c>
      <c r="BK165" s="3124">
        <f t="shared" si="267"/>
        <v>0.18922155688622744</v>
      </c>
      <c r="BL165" s="3519">
        <f t="shared" si="267"/>
        <v>2.0091324200913308E-2</v>
      </c>
      <c r="BM165" s="3124"/>
      <c r="BN165" s="1009">
        <f>BN71/V71-1</f>
        <v>0.1418111258777246</v>
      </c>
      <c r="BO165" s="1009">
        <f t="shared" si="265"/>
        <v>0.24318679292402146</v>
      </c>
      <c r="BP165" s="1009">
        <f t="shared" si="265"/>
        <v>0.22042009298381138</v>
      </c>
      <c r="BQ165" s="2829">
        <f t="shared" si="265"/>
        <v>0.11131711333463734</v>
      </c>
      <c r="BR165" s="1009">
        <f t="shared" si="265"/>
        <v>-0.17077175697865354</v>
      </c>
      <c r="BS165" s="1009">
        <f t="shared" si="265"/>
        <v>0.1619801980198019</v>
      </c>
      <c r="BT165" s="1009">
        <f t="shared" si="265"/>
        <v>0.10122699386503076</v>
      </c>
      <c r="BU165" s="1009">
        <f t="shared" si="265"/>
        <v>0.5007737542556483</v>
      </c>
      <c r="BV165" s="1009">
        <f t="shared" si="265"/>
        <v>-9.465869251392045E-2</v>
      </c>
      <c r="BW165" s="1009">
        <f t="shared" si="265"/>
        <v>-2.9612756264236872E-2</v>
      </c>
    </row>
    <row r="166" spans="1:75" s="988" customFormat="1" ht="12">
      <c r="A166" s="490" t="s">
        <v>1020</v>
      </c>
      <c r="B166" s="1479"/>
      <c r="C166" s="1474"/>
      <c r="D166" s="987"/>
      <c r="E166" s="987"/>
      <c r="F166" s="987"/>
      <c r="G166" s="987"/>
      <c r="H166" s="987"/>
      <c r="I166" s="987"/>
      <c r="J166" s="987"/>
      <c r="K166" s="987"/>
      <c r="L166" s="987" t="s">
        <v>140</v>
      </c>
      <c r="M166" s="987"/>
      <c r="N166" s="987">
        <f>N75/M75-1</f>
        <v>-3.6304985337243356E-2</v>
      </c>
      <c r="O166" s="987">
        <f>O75/N75-1</f>
        <v>8.887164506116485E-2</v>
      </c>
      <c r="P166" s="987">
        <f>P75/O75-1</f>
        <v>0.96361349821840303</v>
      </c>
      <c r="Q166" s="987">
        <f>Q75/P75-1</f>
        <v>0.32662283136216774</v>
      </c>
      <c r="R166" s="987"/>
      <c r="S166" s="987"/>
      <c r="T166" s="987"/>
      <c r="U166" s="987"/>
      <c r="V166" s="468">
        <f>V75/Q75-1</f>
        <v>0.32704841088909742</v>
      </c>
      <c r="W166" s="987">
        <f>W75/54.008-1</f>
        <v>0.22204117908457999</v>
      </c>
      <c r="X166" s="988">
        <f t="shared" ref="X166:Z167" si="268">X75/S75-1</f>
        <v>-8.6230968685592768E-2</v>
      </c>
      <c r="Y166" s="988">
        <f t="shared" si="268"/>
        <v>-7.207330885128882E-2</v>
      </c>
      <c r="Z166" s="989">
        <f t="shared" si="268"/>
        <v>-3.6424768842814315E-3</v>
      </c>
      <c r="AA166" s="988">
        <f t="shared" ref="AA166:AJ167" si="269">AA75/W75-1</f>
        <v>-0.10516666666666674</v>
      </c>
      <c r="AB166" s="988">
        <f t="shared" si="269"/>
        <v>0.21849534342258448</v>
      </c>
      <c r="AC166" s="988">
        <f t="shared" si="269"/>
        <v>0.2298146983762992</v>
      </c>
      <c r="AD166" s="989">
        <f t="shared" si="269"/>
        <v>-7.9677540307461436E-2</v>
      </c>
      <c r="AE166" s="988">
        <f t="shared" si="269"/>
        <v>0.21065375302663436</v>
      </c>
      <c r="AF166" s="988">
        <f t="shared" si="269"/>
        <v>0.16440257956648963</v>
      </c>
      <c r="AG166" s="988">
        <f t="shared" si="269"/>
        <v>0.14858423181606284</v>
      </c>
      <c r="AH166" s="989">
        <f t="shared" si="269"/>
        <v>0.52950848296132458</v>
      </c>
      <c r="AI166" s="988">
        <f t="shared" si="269"/>
        <v>9.0909090909090828E-2</v>
      </c>
      <c r="AJ166" s="988">
        <f t="shared" si="269"/>
        <v>7.6909270393969331E-2</v>
      </c>
      <c r="AK166" s="988">
        <f t="shared" ref="AK166:BE167" si="270">AK75/AG75-1</f>
        <v>8.6643450027493296E-2</v>
      </c>
      <c r="AL166" s="989">
        <f t="shared" si="270"/>
        <v>-0.23894327273419136</v>
      </c>
      <c r="AM166" s="988">
        <f t="shared" si="270"/>
        <v>-0.85897435897435903</v>
      </c>
      <c r="AN166" s="988">
        <f t="shared" si="270"/>
        <v>-1.1904761904761862E-2</v>
      </c>
      <c r="AO166" s="988">
        <f t="shared" si="270"/>
        <v>-4.8192771084337394E-2</v>
      </c>
      <c r="AP166" s="988">
        <f t="shared" si="270"/>
        <v>2.4999999999999911E-2</v>
      </c>
      <c r="AQ166" s="988">
        <f t="shared" si="270"/>
        <v>8.9090909090909083</v>
      </c>
      <c r="AR166" s="988">
        <f t="shared" si="270"/>
        <v>8.43373493975903E-2</v>
      </c>
      <c r="AS166" s="988">
        <f t="shared" si="270"/>
        <v>7.5949367088607556E-2</v>
      </c>
      <c r="AT166" s="989">
        <f t="shared" si="270"/>
        <v>0.12195121951219523</v>
      </c>
      <c r="AU166" s="2829">
        <f t="shared" si="270"/>
        <v>-0.14678899082568808</v>
      </c>
      <c r="AV166" s="988">
        <f t="shared" si="270"/>
        <v>0.19999999999999996</v>
      </c>
      <c r="AW166" s="988">
        <f t="shared" si="270"/>
        <v>0.18823529411764706</v>
      </c>
      <c r="AX166" s="989">
        <f t="shared" si="270"/>
        <v>0.10869565217391308</v>
      </c>
      <c r="AY166" s="2829">
        <f t="shared" si="270"/>
        <v>0.21505376344086025</v>
      </c>
      <c r="AZ166" s="3124">
        <f t="shared" si="270"/>
        <v>0.18518518518518512</v>
      </c>
      <c r="BA166" s="3124">
        <f t="shared" si="270"/>
        <v>0.26732673267326734</v>
      </c>
      <c r="BB166" s="3275">
        <f t="shared" si="270"/>
        <v>0.57843137254901955</v>
      </c>
      <c r="BC166" s="3124">
        <f t="shared" si="270"/>
        <v>0.27433628318584069</v>
      </c>
      <c r="BD166" s="3124">
        <f t="shared" si="270"/>
        <v>9.375E-2</v>
      </c>
      <c r="BE166" s="3124">
        <f t="shared" si="270"/>
        <v>0.15625</v>
      </c>
      <c r="BF166" s="3275">
        <f t="shared" ref="BF166:BI167" si="271">BF75/BB75-1</f>
        <v>3.7267080745341685E-2</v>
      </c>
      <c r="BG166" s="3124">
        <f t="shared" si="271"/>
        <v>-1.388888888888884E-2</v>
      </c>
      <c r="BH166" s="3124">
        <f t="shared" si="271"/>
        <v>0.10000000000000009</v>
      </c>
      <c r="BI166" s="3124">
        <f t="shared" si="271"/>
        <v>1.3513513513513598E-2</v>
      </c>
      <c r="BJ166" s="3124">
        <f t="shared" ref="BJ166:BL167" si="272">BJ75/BF75-1</f>
        <v>0</v>
      </c>
      <c r="BK166" s="3124">
        <f t="shared" si="272"/>
        <v>-7.0422535211267512E-3</v>
      </c>
      <c r="BL166" s="3519">
        <f t="shared" si="272"/>
        <v>-9.0909090909090939E-2</v>
      </c>
      <c r="BM166" s="3124"/>
      <c r="BN166" s="1009">
        <f>BN75/V75-1</f>
        <v>9.4221791062873983E-3</v>
      </c>
      <c r="BO166" s="1009">
        <f t="shared" ref="BO166:BW167" si="273">BO75/BN75-1</f>
        <v>4.6242681979449474E-2</v>
      </c>
      <c r="BP166" s="1009">
        <f t="shared" si="273"/>
        <v>0.2668692636848673</v>
      </c>
      <c r="BQ166" s="2829">
        <f t="shared" si="273"/>
        <v>-1.8126888217522619E-2</v>
      </c>
      <c r="BR166" s="1009">
        <f t="shared" si="273"/>
        <v>-0.2153846153846154</v>
      </c>
      <c r="BS166" s="1009">
        <f t="shared" si="273"/>
        <v>0.47450980392156872</v>
      </c>
      <c r="BT166" s="1009">
        <f t="shared" si="273"/>
        <v>7.4468085106383031E-2</v>
      </c>
      <c r="BU166" s="1009">
        <f t="shared" si="273"/>
        <v>0.31188118811881194</v>
      </c>
      <c r="BV166" s="1009">
        <f t="shared" si="273"/>
        <v>0.1301886792452831</v>
      </c>
      <c r="BW166" s="1009">
        <f t="shared" si="273"/>
        <v>2.3372287145241977E-2</v>
      </c>
    </row>
    <row r="167" spans="1:75" s="988" customFormat="1" ht="12">
      <c r="A167" s="492" t="s">
        <v>2687</v>
      </c>
      <c r="B167" s="1479"/>
      <c r="C167" s="1474"/>
      <c r="D167" s="987"/>
      <c r="E167" s="987"/>
      <c r="F167" s="987"/>
      <c r="G167" s="987"/>
      <c r="H167" s="987"/>
      <c r="I167" s="987"/>
      <c r="J167" s="987"/>
      <c r="K167" s="987"/>
      <c r="L167" s="987" t="s">
        <v>140</v>
      </c>
      <c r="M167" s="987">
        <f>M76/L76-1</f>
        <v>0.42060289039001031</v>
      </c>
      <c r="N167" s="987">
        <f>N76/M76-1</f>
        <v>0.49794773359568145</v>
      </c>
      <c r="O167" s="987">
        <f>O76/N76-1</f>
        <v>0.34083540457286854</v>
      </c>
      <c r="P167" s="987">
        <f>P76/N76-1</f>
        <v>0.89698903839358257</v>
      </c>
      <c r="Q167" s="987">
        <f>Q76/P76-1</f>
        <v>0.41459989339426051</v>
      </c>
      <c r="R167" s="987"/>
      <c r="S167" s="987"/>
      <c r="T167" s="987"/>
      <c r="U167" s="987"/>
      <c r="V167" s="468">
        <f>V76/Q76-1</f>
        <v>0.14434233436152843</v>
      </c>
      <c r="W167" s="987">
        <f>W76/-1238.267-1</f>
        <v>0.18644201937062044</v>
      </c>
      <c r="X167" s="988">
        <f t="shared" si="268"/>
        <v>0.19994415283742462</v>
      </c>
      <c r="Y167" s="988">
        <f t="shared" si="268"/>
        <v>0.88940301321495241</v>
      </c>
      <c r="Z167" s="989">
        <f t="shared" si="268"/>
        <v>0.21655696368340061</v>
      </c>
      <c r="AA167" s="988">
        <f t="shared" si="269"/>
        <v>0.21008391349449873</v>
      </c>
      <c r="AB167" s="988">
        <f t="shared" si="269"/>
        <v>0.21276167056770534</v>
      </c>
      <c r="AC167" s="988">
        <f t="shared" si="269"/>
        <v>-0.17529490143825666</v>
      </c>
      <c r="AD167" s="989">
        <f t="shared" si="269"/>
        <v>0.20018371467025564</v>
      </c>
      <c r="AE167" s="988">
        <f t="shared" si="269"/>
        <v>0.23635919771534386</v>
      </c>
      <c r="AF167" s="988">
        <f t="shared" si="269"/>
        <v>0.1249828156158086</v>
      </c>
      <c r="AG167" s="988">
        <f t="shared" si="269"/>
        <v>0.14508798144276192</v>
      </c>
      <c r="AH167" s="989">
        <f t="shared" si="269"/>
        <v>0.16065676351702551</v>
      </c>
      <c r="AI167" s="988">
        <f t="shared" si="269"/>
        <v>3.7777654431415009E-2</v>
      </c>
      <c r="AJ167" s="988">
        <f t="shared" si="269"/>
        <v>0.1239986890280369</v>
      </c>
      <c r="AK167" s="988">
        <f t="shared" si="270"/>
        <v>2.5936205211832819E-2</v>
      </c>
      <c r="AL167" s="989">
        <f t="shared" si="270"/>
        <v>4.6859903381642587E-2</v>
      </c>
      <c r="AM167" s="988">
        <f t="shared" si="270"/>
        <v>0.13853572994300745</v>
      </c>
      <c r="AN167" s="988">
        <f t="shared" si="270"/>
        <v>-0.57203227045716476</v>
      </c>
      <c r="AO167" s="988">
        <f t="shared" si="270"/>
        <v>-0.1292134831460674</v>
      </c>
      <c r="AP167" s="988">
        <f t="shared" si="270"/>
        <v>-0.35809875403784031</v>
      </c>
      <c r="AQ167" s="988">
        <f t="shared" si="270"/>
        <v>-0.44089333846746248</v>
      </c>
      <c r="AR167" s="988">
        <f t="shared" si="270"/>
        <v>0.98922800718132864</v>
      </c>
      <c r="AS167" s="988">
        <f t="shared" si="270"/>
        <v>0.14451612903225808</v>
      </c>
      <c r="AT167" s="989">
        <f t="shared" si="270"/>
        <v>0.53342918763479519</v>
      </c>
      <c r="AU167" s="2829">
        <f t="shared" si="270"/>
        <v>0.73622589531680438</v>
      </c>
      <c r="AV167" s="988">
        <f t="shared" si="270"/>
        <v>0.48646209386281591</v>
      </c>
      <c r="AW167" s="988">
        <f t="shared" si="270"/>
        <v>0.30364524614806454</v>
      </c>
      <c r="AX167" s="989">
        <f t="shared" si="270"/>
        <v>0.26769807782466004</v>
      </c>
      <c r="AY167" s="2829">
        <f t="shared" si="270"/>
        <v>0.32050773502578345</v>
      </c>
      <c r="AZ167" s="3124">
        <f t="shared" si="270"/>
        <v>0.1502732240437159</v>
      </c>
      <c r="BA167" s="3124">
        <f t="shared" si="270"/>
        <v>0.22167771692130289</v>
      </c>
      <c r="BB167" s="3275">
        <f t="shared" si="270"/>
        <v>0.54400887573964507</v>
      </c>
      <c r="BC167" s="3124">
        <f t="shared" si="270"/>
        <v>8.8615199759687568E-2</v>
      </c>
      <c r="BD167" s="3124">
        <f t="shared" si="270"/>
        <v>5.6479282132488873E-2</v>
      </c>
      <c r="BE167" s="3124">
        <f t="shared" si="270"/>
        <v>0.13614912694667303</v>
      </c>
      <c r="BF167" s="3275">
        <f t="shared" si="271"/>
        <v>-0.10371257485029939</v>
      </c>
      <c r="BG167" s="3124">
        <f t="shared" si="271"/>
        <v>2.0971302428256067E-2</v>
      </c>
      <c r="BH167" s="3124">
        <f t="shared" si="271"/>
        <v>0.13614788908318753</v>
      </c>
      <c r="BI167" s="3124">
        <f t="shared" si="271"/>
        <v>0.1474558670820354</v>
      </c>
      <c r="BJ167" s="3124">
        <f t="shared" si="272"/>
        <v>0.15419561731694276</v>
      </c>
      <c r="BK167" s="3124">
        <f t="shared" si="272"/>
        <v>0.15162162162162152</v>
      </c>
      <c r="BL167" s="3519">
        <f t="shared" si="272"/>
        <v>6.684256816182943E-2</v>
      </c>
      <c r="BM167" s="3124"/>
      <c r="BN167" s="1009">
        <f>BN76/V76-1</f>
        <v>0.43519833705287936</v>
      </c>
      <c r="BO167" s="1009">
        <f t="shared" si="273"/>
        <v>6.5354917722217243E-2</v>
      </c>
      <c r="BP167" s="1009">
        <f t="shared" si="273"/>
        <v>0.16392072375060374</v>
      </c>
      <c r="BQ167" s="2829">
        <f t="shared" si="273"/>
        <v>5.8205550740417333E-2</v>
      </c>
      <c r="BR167" s="1009">
        <f t="shared" si="273"/>
        <v>-0.23598395226828517</v>
      </c>
      <c r="BS167" s="1009">
        <f t="shared" si="273"/>
        <v>0.13935640231587443</v>
      </c>
      <c r="BT167" s="1009">
        <f t="shared" si="273"/>
        <v>0.41668636256204206</v>
      </c>
      <c r="BU167" s="1009">
        <f t="shared" si="273"/>
        <v>0.29554554554554557</v>
      </c>
      <c r="BV167" s="1009">
        <f t="shared" si="273"/>
        <v>4.2044942373317795E-2</v>
      </c>
      <c r="BW167" s="1009">
        <f t="shared" si="273"/>
        <v>0.11789421651013354</v>
      </c>
    </row>
    <row r="168" spans="1:75" s="988" customFormat="1" ht="12">
      <c r="A168" s="476" t="s">
        <v>507</v>
      </c>
      <c r="B168" s="987" t="e">
        <f>B79/#REF!-1</f>
        <v>#REF!</v>
      </c>
      <c r="C168" s="987">
        <f t="shared" ref="C168:O168" si="274">C79/B79-1</f>
        <v>-0.6966004838967812</v>
      </c>
      <c r="D168" s="987">
        <f t="shared" si="274"/>
        <v>-0.95690933801671851</v>
      </c>
      <c r="E168" s="987">
        <f t="shared" si="274"/>
        <v>0.67955641967306946</v>
      </c>
      <c r="F168" s="987">
        <f t="shared" si="274"/>
        <v>-1.3437660778597127</v>
      </c>
      <c r="G168" s="987">
        <f t="shared" si="274"/>
        <v>2.7942130207034399</v>
      </c>
      <c r="H168" s="987">
        <f t="shared" si="274"/>
        <v>0.17954112155676794</v>
      </c>
      <c r="I168" s="987">
        <f t="shared" si="274"/>
        <v>0.72739939806042186</v>
      </c>
      <c r="J168" s="987">
        <f t="shared" si="274"/>
        <v>1.2252605427031891</v>
      </c>
      <c r="K168" s="987">
        <f t="shared" si="274"/>
        <v>1.0986261644977691</v>
      </c>
      <c r="L168" s="987">
        <f t="shared" si="274"/>
        <v>0.62651913470639808</v>
      </c>
      <c r="M168" s="987">
        <f t="shared" si="274"/>
        <v>0.67106735905359649</v>
      </c>
      <c r="N168" s="987">
        <f t="shared" si="274"/>
        <v>0.77799610318798873</v>
      </c>
      <c r="O168" s="987">
        <f t="shared" si="274"/>
        <v>0.30800216166448147</v>
      </c>
      <c r="P168" s="987">
        <f>P79/N79-1</f>
        <v>0.72448070728746861</v>
      </c>
      <c r="Q168" s="987">
        <f>Q79/P79-1</f>
        <v>0.27395712344564394</v>
      </c>
      <c r="R168" s="987"/>
      <c r="S168" s="987"/>
      <c r="T168" s="987"/>
      <c r="U168" s="987"/>
      <c r="V168" s="468">
        <f>V79/Q79-1</f>
        <v>6.0389247821243108E-2</v>
      </c>
      <c r="W168" s="987">
        <f>W79/433.969-1</f>
        <v>0.26810440377077627</v>
      </c>
      <c r="X168" s="988">
        <f>X79/S79-1</f>
        <v>7.9719193137274047E-2</v>
      </c>
      <c r="Y168" s="988">
        <f>Y79/T79-1</f>
        <v>-0.44030155027147677</v>
      </c>
      <c r="Z168" s="989">
        <f>Z79/U79-1</f>
        <v>0.20133363124959081</v>
      </c>
      <c r="AA168" s="988">
        <f t="shared" ref="AA168:AS168" si="275">AA79/W79-1</f>
        <v>1.1164454006592495E-2</v>
      </c>
      <c r="AB168" s="988">
        <f t="shared" si="275"/>
        <v>0.21962105769060147</v>
      </c>
      <c r="AC168" s="988">
        <f t="shared" si="275"/>
        <v>1.5224830688395827</v>
      </c>
      <c r="AD168" s="989">
        <f t="shared" si="275"/>
        <v>0.24812585641244955</v>
      </c>
      <c r="AE168" s="988">
        <f t="shared" si="275"/>
        <v>0.31228188088315045</v>
      </c>
      <c r="AF168" s="988">
        <f t="shared" si="275"/>
        <v>0.36719025501002456</v>
      </c>
      <c r="AG168" s="988">
        <f t="shared" si="275"/>
        <v>6.8844766940352242E-2</v>
      </c>
      <c r="AH168" s="989">
        <f t="shared" si="275"/>
        <v>0.1586768984358371</v>
      </c>
      <c r="AI168" s="988">
        <f t="shared" si="275"/>
        <v>-0.23860127219319771</v>
      </c>
      <c r="AJ168" s="988">
        <f t="shared" si="275"/>
        <v>2.1080773466638725E-2</v>
      </c>
      <c r="AK168" s="988">
        <f t="shared" si="275"/>
        <v>5.497487423764702E-2</v>
      </c>
      <c r="AL168" s="989">
        <f t="shared" si="275"/>
        <v>2.5371828521434825E-2</v>
      </c>
      <c r="AM168" s="988">
        <f t="shared" si="275"/>
        <v>-1.5557553956834531</v>
      </c>
      <c r="AN168" s="988">
        <f t="shared" si="275"/>
        <v>-1.38813151563753</v>
      </c>
      <c r="AO168" s="988">
        <f t="shared" si="275"/>
        <v>-0.86708860759493667</v>
      </c>
      <c r="AP168" s="988">
        <f t="shared" si="275"/>
        <v>-1.1305460750853242</v>
      </c>
      <c r="AQ168" s="988">
        <f t="shared" si="275"/>
        <v>6.4724919093850364E-3</v>
      </c>
      <c r="AR168" s="988">
        <f t="shared" si="275"/>
        <v>-0.88429752066115697</v>
      </c>
      <c r="AS168" s="988">
        <f t="shared" si="275"/>
        <v>5.3968253968253972</v>
      </c>
      <c r="AT168" s="989">
        <f t="shared" ref="AT168:BE168" si="276">AT79/AP79-1</f>
        <v>-6.5424836601307188</v>
      </c>
      <c r="AU168" s="2829">
        <f t="shared" si="276"/>
        <v>-1.5594855305466238</v>
      </c>
      <c r="AV168" s="988">
        <f t="shared" si="276"/>
        <v>-18.857142857142858</v>
      </c>
      <c r="AW168" s="988">
        <f t="shared" si="276"/>
        <v>0.28188585607940442</v>
      </c>
      <c r="AX168" s="989">
        <f t="shared" si="276"/>
        <v>0.58608490566037741</v>
      </c>
      <c r="AY168" s="2829">
        <f t="shared" si="276"/>
        <v>1.5804597701149423</v>
      </c>
      <c r="AZ168" s="3124">
        <f t="shared" si="276"/>
        <v>0.67300000000000004</v>
      </c>
      <c r="BA168" s="3124">
        <f t="shared" si="276"/>
        <v>0.20131629887727454</v>
      </c>
      <c r="BB168" s="3275">
        <f t="shared" si="276"/>
        <v>-0.54721189591078068</v>
      </c>
      <c r="BC168" s="3124">
        <f t="shared" si="276"/>
        <v>0.76169265033407574</v>
      </c>
      <c r="BD168" s="3124">
        <f t="shared" si="276"/>
        <v>0.10938433950986259</v>
      </c>
      <c r="BE168" s="3124">
        <f t="shared" si="276"/>
        <v>2.4492426683854429E-2</v>
      </c>
      <c r="BF168" s="3275">
        <f t="shared" ref="BF168:BK168" si="277">BF79/BB79-1</f>
        <v>1.8393162621985715</v>
      </c>
      <c r="BG168" s="3124">
        <f t="shared" si="277"/>
        <v>0.34260429835651074</v>
      </c>
      <c r="BH168" s="3124">
        <f t="shared" si="277"/>
        <v>0.21228448275862077</v>
      </c>
      <c r="BI168" s="3124">
        <f t="shared" si="277"/>
        <v>9.5627555835168243E-2</v>
      </c>
      <c r="BJ168" s="3124">
        <f t="shared" si="277"/>
        <v>0.17399156188124976</v>
      </c>
      <c r="BK168" s="3124">
        <f t="shared" si="277"/>
        <v>0.19679849340866284</v>
      </c>
      <c r="BL168" s="3519">
        <f>BL79/BH79-1</f>
        <v>0.11111111111111116</v>
      </c>
      <c r="BM168" s="3124"/>
      <c r="BN168" s="1009">
        <f>BN79/V79-1</f>
        <v>-0.10819394355223977</v>
      </c>
      <c r="BO168" s="1009">
        <f t="shared" ref="BO168:BW168" si="278">BO79/BN79-1</f>
        <v>0.56142576522212151</v>
      </c>
      <c r="BP168" s="1009">
        <f t="shared" si="278"/>
        <v>0.1769498491843966</v>
      </c>
      <c r="BQ168" s="2829">
        <f t="shared" si="278"/>
        <v>7.5098450867439048E-4</v>
      </c>
      <c r="BR168" s="1009">
        <f t="shared" si="278"/>
        <v>-1.1180542563143125</v>
      </c>
      <c r="BS168" s="1009">
        <f t="shared" si="278"/>
        <v>-4.9556259904912832</v>
      </c>
      <c r="BT168" s="1009">
        <f t="shared" si="278"/>
        <v>1.0440705128205128</v>
      </c>
      <c r="BU168" s="1009">
        <f t="shared" si="278"/>
        <v>0.14347314778518228</v>
      </c>
      <c r="BV168" s="1009">
        <f t="shared" si="278"/>
        <v>0.29499485773054501</v>
      </c>
      <c r="BW168" s="1009">
        <f t="shared" si="278"/>
        <v>0.16810059563203184</v>
      </c>
    </row>
    <row r="169" spans="1:75" s="988" customFormat="1" ht="12.75" customHeight="1">
      <c r="A169" s="476" t="s">
        <v>99</v>
      </c>
      <c r="B169" s="1479"/>
      <c r="C169" s="1474"/>
      <c r="D169" s="987"/>
      <c r="E169" s="987"/>
      <c r="F169" s="987"/>
      <c r="G169" s="987"/>
      <c r="H169" s="987"/>
      <c r="I169" s="987"/>
      <c r="J169" s="987"/>
      <c r="K169" s="987"/>
      <c r="L169" s="987" t="s">
        <v>140</v>
      </c>
      <c r="M169" s="987">
        <f>M104/L104-1</f>
        <v>7.9003497646443765E-2</v>
      </c>
      <c r="N169" s="987">
        <f>N104/M104-1</f>
        <v>0.99946226583002273</v>
      </c>
      <c r="O169" s="987">
        <f>O104/N104-1</f>
        <v>0.34428598484848494</v>
      </c>
      <c r="P169" s="987">
        <f>P104/N104-1</f>
        <v>0.79242234848484849</v>
      </c>
      <c r="Q169" s="987">
        <f>Q104/P104-1</f>
        <v>0.3479304183542038</v>
      </c>
      <c r="R169" s="987"/>
      <c r="S169" s="987"/>
      <c r="T169" s="987"/>
      <c r="U169" s="987"/>
      <c r="V169" s="468">
        <f>V104/Q104-1</f>
        <v>-5.0799181612943722E-2</v>
      </c>
      <c r="W169" s="987">
        <f>W104/333.327-1</f>
        <v>0.12329334257350877</v>
      </c>
      <c r="X169" s="988">
        <f>X104/S104-1</f>
        <v>0.12302139906234033</v>
      </c>
      <c r="Y169" s="988">
        <f>Y104/T104-1</f>
        <v>-0.57716765324232999</v>
      </c>
      <c r="Z169" s="989">
        <f>Z104/U104-1</f>
        <v>0.33640576755660168</v>
      </c>
      <c r="AA169" s="988">
        <f t="shared" ref="AA169:AG169" si="279">AA104/W104-1</f>
        <v>0.21686376941649055</v>
      </c>
      <c r="AB169" s="988">
        <f t="shared" si="279"/>
        <v>0.24037524240576724</v>
      </c>
      <c r="AC169" s="988">
        <f t="shared" si="279"/>
        <v>2.3998679886248881</v>
      </c>
      <c r="AD169" s="989">
        <f t="shared" si="279"/>
        <v>-1.8242341684621639</v>
      </c>
      <c r="AE169" s="988">
        <f t="shared" si="279"/>
        <v>0.33270269499125282</v>
      </c>
      <c r="AF169" s="988">
        <f t="shared" si="279"/>
        <v>0.35706718466445175</v>
      </c>
      <c r="AG169" s="988">
        <f t="shared" si="279"/>
        <v>2.737575353509758E-2</v>
      </c>
      <c r="AH169" s="1482">
        <f>1-AH104/AD104</f>
        <v>2.163004223541654</v>
      </c>
      <c r="AI169" s="1483">
        <f t="shared" ref="AI169:AW169" si="280">AI104/AE104-1</f>
        <v>0.2598606742313212</v>
      </c>
      <c r="AJ169" s="1483">
        <f t="shared" si="280"/>
        <v>1.6656912618735475E-3</v>
      </c>
      <c r="AK169" s="1483">
        <f t="shared" si="280"/>
        <v>0.10326067277401574</v>
      </c>
      <c r="AL169" s="1482">
        <f t="shared" si="280"/>
        <v>0.81269349845201244</v>
      </c>
      <c r="AM169" s="1483">
        <f t="shared" si="280"/>
        <v>-1.9137254901960783</v>
      </c>
      <c r="AN169" s="1483">
        <f t="shared" si="280"/>
        <v>-0.87538304392236976</v>
      </c>
      <c r="AO169" s="1483">
        <f t="shared" si="280"/>
        <v>-0.58923076923076922</v>
      </c>
      <c r="AP169" s="1483">
        <f t="shared" si="280"/>
        <v>-1.1409052092228864</v>
      </c>
      <c r="AQ169" s="1483">
        <f t="shared" si="280"/>
        <v>-0.92131616595135912</v>
      </c>
      <c r="AR169" s="1483">
        <f t="shared" si="280"/>
        <v>-2.3688524590163933</v>
      </c>
      <c r="AS169" s="1483">
        <f t="shared" si="280"/>
        <v>-3.9950062421972521E-2</v>
      </c>
      <c r="AT169" s="1482">
        <f t="shared" si="280"/>
        <v>-4.745454545454546</v>
      </c>
      <c r="AU169" s="2830">
        <f t="shared" si="280"/>
        <v>11.727272727272727</v>
      </c>
      <c r="AV169" s="1483">
        <f t="shared" si="280"/>
        <v>-6.1317365269461082</v>
      </c>
      <c r="AW169" s="1483">
        <f t="shared" si="280"/>
        <v>1.166449934980494</v>
      </c>
      <c r="AX169" s="1482">
        <f t="shared" ref="AX169:BD169" si="281">AX104/AT104-1</f>
        <v>0.9983818770226538</v>
      </c>
      <c r="AY169" s="2830">
        <f t="shared" si="281"/>
        <v>-1.38</v>
      </c>
      <c r="AZ169" s="3125">
        <f t="shared" si="281"/>
        <v>0.50525087514585754</v>
      </c>
      <c r="BA169" s="3125">
        <f t="shared" si="281"/>
        <v>0.50720288115246093</v>
      </c>
      <c r="BB169" s="3276">
        <f t="shared" si="281"/>
        <v>-0.8202429149797571</v>
      </c>
      <c r="BC169" s="3125">
        <f t="shared" si="281"/>
        <v>1.9172932330827068</v>
      </c>
      <c r="BD169" s="3125">
        <f t="shared" si="281"/>
        <v>0.17906976744186043</v>
      </c>
      <c r="BE169" s="3125">
        <f t="shared" ref="BE169:BI169" si="282">BE104/BA104-1</f>
        <v>2.389486260454099E-3</v>
      </c>
      <c r="BF169" s="3276">
        <f t="shared" si="282"/>
        <v>3.8108108108108105</v>
      </c>
      <c r="BG169" s="3125">
        <f t="shared" si="282"/>
        <v>-0.57087628865979378</v>
      </c>
      <c r="BH169" s="3125">
        <f t="shared" si="282"/>
        <v>-0.41157133464825768</v>
      </c>
      <c r="BI169" s="3125">
        <f t="shared" si="282"/>
        <v>9.1775923718712793E-2</v>
      </c>
      <c r="BJ169" s="3125">
        <f>BJ104/BF104-1</f>
        <v>0.33707865168539319</v>
      </c>
      <c r="BK169" s="3125">
        <f>BK104/BG104-1</f>
        <v>2.2522522522522523</v>
      </c>
      <c r="BL169" s="3125">
        <f>BL104/BH104-1</f>
        <v>1.1787709497206702</v>
      </c>
      <c r="BM169" s="3125"/>
      <c r="BN169" s="1009">
        <f>BN104/V104-1</f>
        <v>-0.11309039361156936</v>
      </c>
      <c r="BO169" s="1009">
        <f t="shared" ref="BO169:BW169" si="283">BO104/BN104-1</f>
        <v>8.2111350934597649E-2</v>
      </c>
      <c r="BP169" s="1009">
        <f t="shared" si="283"/>
        <v>0.72014132785713603</v>
      </c>
      <c r="BQ169" s="2829">
        <f t="shared" si="283"/>
        <v>0.21685142881869379</v>
      </c>
      <c r="BR169" s="1009">
        <f t="shared" si="283"/>
        <v>-0.98787255909558069</v>
      </c>
      <c r="BS169" s="1009">
        <f t="shared" si="283"/>
        <v>18.745762711864408</v>
      </c>
      <c r="BT169" s="1009">
        <f t="shared" si="283"/>
        <v>1.782832618025751</v>
      </c>
      <c r="BU169" s="1009">
        <f t="shared" si="283"/>
        <v>0.36613201727328804</v>
      </c>
      <c r="BV169" s="1009">
        <f t="shared" si="283"/>
        <v>0.32806502596522913</v>
      </c>
      <c r="BW169" s="1009">
        <f t="shared" si="283"/>
        <v>-8.1264875892553601E-2</v>
      </c>
    </row>
    <row r="170" spans="1:75" s="988" customFormat="1" ht="12.75" customHeight="1">
      <c r="A170" s="476"/>
      <c r="B170" s="1479"/>
      <c r="C170" s="1474"/>
      <c r="D170" s="987"/>
      <c r="E170" s="987"/>
      <c r="F170" s="987"/>
      <c r="G170" s="987"/>
      <c r="H170" s="987"/>
      <c r="I170" s="987"/>
      <c r="J170" s="987"/>
      <c r="K170" s="987"/>
      <c r="L170" s="987"/>
      <c r="M170" s="987"/>
      <c r="N170" s="987"/>
      <c r="O170" s="987"/>
      <c r="P170" s="987"/>
      <c r="Q170" s="987"/>
      <c r="R170" s="987"/>
      <c r="S170" s="987"/>
      <c r="T170" s="987"/>
      <c r="U170" s="987"/>
      <c r="V170" s="468"/>
      <c r="W170" s="987"/>
      <c r="Z170" s="989"/>
      <c r="AD170" s="989"/>
      <c r="AH170" s="1482"/>
      <c r="AI170" s="1483"/>
      <c r="AJ170" s="1483"/>
      <c r="AK170" s="1483"/>
      <c r="AL170" s="1482"/>
      <c r="AM170" s="1483"/>
      <c r="AN170" s="1483"/>
      <c r="AO170" s="1483"/>
      <c r="AP170" s="1483"/>
      <c r="AQ170" s="1483"/>
      <c r="AR170" s="1483"/>
      <c r="AS170" s="1483"/>
      <c r="AT170" s="1482"/>
      <c r="AU170" s="2830"/>
      <c r="AV170" s="1483"/>
      <c r="AW170" s="1483"/>
      <c r="AX170" s="1482"/>
      <c r="AY170" s="2830"/>
      <c r="AZ170" s="3125"/>
      <c r="BA170" s="3125"/>
      <c r="BB170" s="3276"/>
      <c r="BC170" s="3125"/>
      <c r="BD170" s="3125"/>
      <c r="BE170" s="3125"/>
      <c r="BF170" s="3276"/>
      <c r="BG170" s="3125"/>
      <c r="BH170" s="3125"/>
      <c r="BI170" s="3125"/>
      <c r="BJ170" s="3125"/>
      <c r="BK170" s="3125"/>
      <c r="BL170" s="3125"/>
      <c r="BM170" s="3125"/>
      <c r="BN170" s="989"/>
      <c r="BO170" s="1009"/>
      <c r="BP170" s="1009"/>
      <c r="BR170" s="1009"/>
      <c r="BS170" s="1009"/>
      <c r="BT170" s="1009"/>
    </row>
    <row r="171" spans="1:75" s="988" customFormat="1" ht="12.75" customHeight="1">
      <c r="A171" s="1756" t="s">
        <v>2830</v>
      </c>
      <c r="B171" s="1479"/>
      <c r="C171" s="1474"/>
      <c r="D171" s="987"/>
      <c r="E171" s="987"/>
      <c r="F171" s="987"/>
      <c r="G171" s="987"/>
      <c r="H171" s="987"/>
      <c r="I171" s="987"/>
      <c r="J171" s="987"/>
      <c r="K171" s="987"/>
      <c r="L171" s="987"/>
      <c r="M171" s="987"/>
      <c r="N171" s="987"/>
      <c r="O171" s="987"/>
      <c r="P171" s="987"/>
      <c r="Q171" s="987"/>
      <c r="R171" s="987"/>
      <c r="S171" s="987"/>
      <c r="T171" s="987"/>
      <c r="U171" s="987"/>
      <c r="V171" s="468"/>
      <c r="W171" s="987"/>
      <c r="Z171" s="989"/>
      <c r="AD171" s="989"/>
      <c r="AH171" s="1482"/>
      <c r="AI171" s="1483"/>
      <c r="AJ171" s="1483"/>
      <c r="AK171" s="1483"/>
      <c r="AL171" s="1482"/>
      <c r="AM171" s="1483"/>
      <c r="AN171" s="1483"/>
      <c r="AO171" s="1483"/>
      <c r="AP171" s="1483"/>
      <c r="AQ171" s="1483"/>
      <c r="AR171" s="1483"/>
      <c r="AS171" s="1483"/>
      <c r="AT171" s="1482"/>
      <c r="AU171" s="2830"/>
      <c r="AV171" s="1483"/>
      <c r="AW171" s="1483"/>
      <c r="AX171" s="1482"/>
      <c r="AY171" s="2830"/>
      <c r="AZ171" s="3125"/>
      <c r="BA171" s="3125"/>
      <c r="BB171" s="3276"/>
      <c r="BC171" s="3125"/>
      <c r="BD171" s="3125"/>
      <c r="BE171" s="3125"/>
      <c r="BF171" s="3276"/>
      <c r="BG171" s="3125"/>
      <c r="BH171" s="3125"/>
      <c r="BI171" s="3125"/>
      <c r="BJ171" s="3125"/>
      <c r="BK171" s="3125"/>
      <c r="BL171" s="3125"/>
      <c r="BM171" s="3125"/>
      <c r="BN171" s="989"/>
      <c r="BO171" s="1009"/>
      <c r="BP171" s="1009"/>
      <c r="BR171" s="1009"/>
      <c r="BS171" s="1009"/>
      <c r="BT171" s="1009"/>
    </row>
    <row r="172" spans="1:75" s="988" customFormat="1" ht="12.75" customHeight="1">
      <c r="A172" s="435" t="s">
        <v>2831</v>
      </c>
      <c r="B172" s="1479"/>
      <c r="C172" s="1474"/>
      <c r="D172" s="987"/>
      <c r="E172" s="987"/>
      <c r="F172" s="987"/>
      <c r="G172" s="987"/>
      <c r="H172" s="987"/>
      <c r="I172" s="987"/>
      <c r="J172" s="987"/>
      <c r="K172" s="987"/>
      <c r="L172" s="987"/>
      <c r="M172" s="987"/>
      <c r="N172" s="987"/>
      <c r="O172" s="987"/>
      <c r="P172" s="987"/>
      <c r="Q172" s="987"/>
      <c r="R172" s="987"/>
      <c r="S172" s="987"/>
      <c r="T172" s="987"/>
      <c r="U172" s="987"/>
      <c r="V172" s="468"/>
      <c r="W172" s="987"/>
      <c r="Z172" s="989"/>
      <c r="AD172" s="989"/>
      <c r="AH172" s="1482"/>
      <c r="AI172" s="1483"/>
      <c r="AJ172" s="1483"/>
      <c r="AK172" s="1483"/>
      <c r="AL172" s="1482"/>
      <c r="AM172" s="1483"/>
      <c r="AN172" s="1483"/>
      <c r="AO172" s="1483"/>
      <c r="AP172" s="1483"/>
      <c r="AQ172" s="1483"/>
      <c r="AR172" s="1483"/>
      <c r="AS172" s="1483"/>
      <c r="AT172" s="1482"/>
      <c r="AU172" s="2830"/>
      <c r="AV172" s="1483"/>
      <c r="AW172" s="1483"/>
      <c r="AX172" s="1482"/>
      <c r="AY172" s="2830"/>
      <c r="AZ172" s="3125"/>
      <c r="BA172" s="3125"/>
      <c r="BB172" s="3276"/>
      <c r="BC172" s="3125"/>
      <c r="BD172" s="3125"/>
      <c r="BE172" s="3125"/>
      <c r="BF172" s="3276"/>
      <c r="BG172" s="3125"/>
      <c r="BH172" s="3125"/>
      <c r="BI172" s="3125"/>
      <c r="BJ172" s="3125"/>
      <c r="BK172" s="3125"/>
      <c r="BL172" s="3125"/>
      <c r="BM172" s="3125"/>
      <c r="BN172" s="989"/>
      <c r="BO172" s="1009"/>
      <c r="BP172" s="1009"/>
      <c r="BR172" s="1009"/>
      <c r="BS172" s="1009"/>
      <c r="BT172" s="1009"/>
    </row>
    <row r="173" spans="1:75" s="988" customFormat="1" ht="12.75" customHeight="1">
      <c r="A173" s="1569" t="s">
        <v>1402</v>
      </c>
      <c r="B173" s="1479"/>
      <c r="C173" s="1474"/>
      <c r="D173" s="987"/>
      <c r="E173" s="987"/>
      <c r="F173" s="987"/>
      <c r="G173" s="987"/>
      <c r="H173" s="987"/>
      <c r="I173" s="987"/>
      <c r="J173" s="987"/>
      <c r="K173" s="987"/>
      <c r="L173" s="987"/>
      <c r="M173" s="987"/>
      <c r="N173" s="987"/>
      <c r="O173" s="987"/>
      <c r="P173" s="987"/>
      <c r="Q173" s="987"/>
      <c r="R173" s="987"/>
      <c r="S173" s="987"/>
      <c r="T173" s="987"/>
      <c r="U173" s="987"/>
      <c r="V173" s="468"/>
      <c r="W173" s="987"/>
      <c r="Z173" s="989"/>
      <c r="AD173" s="989"/>
      <c r="AH173" s="1482"/>
      <c r="AI173" s="1483"/>
      <c r="AJ173" s="1483"/>
      <c r="AK173" s="1483"/>
      <c r="AL173" s="1482"/>
      <c r="AM173" s="1483"/>
      <c r="AN173" s="1483"/>
      <c r="AO173" s="1483"/>
      <c r="AP173" s="1483"/>
      <c r="AQ173" s="1483"/>
      <c r="AR173" s="1483"/>
      <c r="AS173" s="1483"/>
      <c r="AT173" s="1482"/>
      <c r="AU173" s="2830"/>
      <c r="AV173" s="1483"/>
      <c r="AW173" s="1483"/>
      <c r="AX173" s="1482"/>
      <c r="AY173" s="2830"/>
      <c r="AZ173" s="3125"/>
      <c r="BA173" s="3125"/>
      <c r="BB173" s="3276"/>
      <c r="BC173" s="3125"/>
      <c r="BD173" s="3125"/>
      <c r="BE173" s="3125"/>
      <c r="BF173" s="3276"/>
      <c r="BG173" s="3125"/>
      <c r="BH173" s="3125"/>
      <c r="BI173" s="3125"/>
      <c r="BJ173" s="3124" t="e">
        <f t="shared" ref="BJ173:BK182" si="284">BJ58/BF58-1</f>
        <v>#DIV/0!</v>
      </c>
      <c r="BK173" s="3124" t="e">
        <f t="shared" si="284"/>
        <v>#DIV/0!</v>
      </c>
      <c r="BL173" s="3124"/>
      <c r="BM173" s="3125"/>
      <c r="BN173" s="989"/>
      <c r="BO173" s="1009"/>
      <c r="BP173" s="1009"/>
      <c r="BR173" s="1009"/>
      <c r="BS173" s="1009"/>
      <c r="BT173" s="1009"/>
    </row>
    <row r="174" spans="1:75" s="988" customFormat="1" ht="12.75" customHeight="1">
      <c r="A174" s="1569" t="s">
        <v>1403</v>
      </c>
      <c r="B174" s="1479"/>
      <c r="C174" s="1474"/>
      <c r="D174" s="987"/>
      <c r="E174" s="987"/>
      <c r="F174" s="987"/>
      <c r="G174" s="987"/>
      <c r="H174" s="987"/>
      <c r="I174" s="987"/>
      <c r="J174" s="987"/>
      <c r="K174" s="987"/>
      <c r="L174" s="987"/>
      <c r="M174" s="987"/>
      <c r="N174" s="987"/>
      <c r="O174" s="987"/>
      <c r="P174" s="987"/>
      <c r="Q174" s="987"/>
      <c r="R174" s="987"/>
      <c r="S174" s="987"/>
      <c r="T174" s="987"/>
      <c r="U174" s="987"/>
      <c r="V174" s="468"/>
      <c r="W174" s="987"/>
      <c r="Z174" s="989"/>
      <c r="AD174" s="989"/>
      <c r="AH174" s="1482"/>
      <c r="AI174" s="1483"/>
      <c r="AJ174" s="1483"/>
      <c r="AK174" s="1483"/>
      <c r="AL174" s="1482"/>
      <c r="AM174" s="1483"/>
      <c r="AN174" s="1483"/>
      <c r="AO174" s="1483"/>
      <c r="AP174" s="1483"/>
      <c r="AQ174" s="1483"/>
      <c r="AR174" s="1483"/>
      <c r="AS174" s="1483"/>
      <c r="AT174" s="1482"/>
      <c r="AU174" s="2830"/>
      <c r="AV174" s="1483"/>
      <c r="AW174" s="1483"/>
      <c r="AX174" s="1482"/>
      <c r="AY174" s="2830"/>
      <c r="AZ174" s="3125"/>
      <c r="BA174" s="3125"/>
      <c r="BB174" s="3276"/>
      <c r="BC174" s="3125"/>
      <c r="BD174" s="3125"/>
      <c r="BE174" s="3125"/>
      <c r="BF174" s="3276"/>
      <c r="BG174" s="3125"/>
      <c r="BH174" s="3125"/>
      <c r="BI174" s="3125"/>
      <c r="BJ174" s="3124" t="e">
        <f t="shared" si="284"/>
        <v>#DIV/0!</v>
      </c>
      <c r="BK174" s="3124" t="e">
        <f t="shared" si="284"/>
        <v>#DIV/0!</v>
      </c>
      <c r="BL174" s="3124"/>
      <c r="BM174" s="3125"/>
      <c r="BN174" s="989"/>
      <c r="BO174" s="1009"/>
      <c r="BP174" s="1009"/>
      <c r="BR174" s="1009"/>
      <c r="BS174" s="1009"/>
      <c r="BT174" s="1009"/>
    </row>
    <row r="175" spans="1:75" s="988" customFormat="1" ht="12.75" customHeight="1">
      <c r="A175" s="3235" t="s">
        <v>2084</v>
      </c>
      <c r="B175" s="1479"/>
      <c r="C175" s="1474"/>
      <c r="D175" s="987"/>
      <c r="E175" s="987"/>
      <c r="F175" s="987"/>
      <c r="G175" s="987"/>
      <c r="H175" s="987"/>
      <c r="I175" s="987"/>
      <c r="J175" s="987"/>
      <c r="K175" s="987"/>
      <c r="L175" s="987"/>
      <c r="M175" s="987"/>
      <c r="N175" s="987"/>
      <c r="O175" s="987"/>
      <c r="P175" s="987"/>
      <c r="Q175" s="987"/>
      <c r="R175" s="987"/>
      <c r="S175" s="987"/>
      <c r="T175" s="987"/>
      <c r="U175" s="987"/>
      <c r="V175" s="468"/>
      <c r="W175" s="987"/>
      <c r="Z175" s="989"/>
      <c r="AD175" s="989"/>
      <c r="AH175" s="1482"/>
      <c r="AI175" s="1483"/>
      <c r="AJ175" s="1483"/>
      <c r="AK175" s="1483"/>
      <c r="AL175" s="1482"/>
      <c r="AM175" s="1483"/>
      <c r="AN175" s="1483"/>
      <c r="AO175" s="1483"/>
      <c r="AP175" s="1483"/>
      <c r="AQ175" s="1483"/>
      <c r="AR175" s="1483"/>
      <c r="AS175" s="1483"/>
      <c r="AT175" s="1482"/>
      <c r="AU175" s="2830"/>
      <c r="AV175" s="1483"/>
      <c r="AW175" s="1483"/>
      <c r="AX175" s="1482"/>
      <c r="AY175" s="2830"/>
      <c r="AZ175" s="3125"/>
      <c r="BA175" s="3125"/>
      <c r="BB175" s="3276"/>
      <c r="BC175" s="3125"/>
      <c r="BD175" s="3125"/>
      <c r="BE175" s="3125"/>
      <c r="BF175" s="3276"/>
      <c r="BG175" s="3125"/>
      <c r="BH175" s="3125"/>
      <c r="BI175" s="3125"/>
      <c r="BJ175" s="3124">
        <f t="shared" si="284"/>
        <v>0.22306717363751583</v>
      </c>
      <c r="BK175" s="3124">
        <f t="shared" si="284"/>
        <v>0.16375914462577379</v>
      </c>
      <c r="BL175" s="3519">
        <f>BL60/BH60-1</f>
        <v>0.10846189808321638</v>
      </c>
      <c r="BM175" s="3125"/>
      <c r="BN175" s="989"/>
      <c r="BO175" s="1009"/>
      <c r="BP175" s="1009"/>
      <c r="BR175" s="1009"/>
      <c r="BS175" s="1009"/>
      <c r="BT175" s="1009"/>
    </row>
    <row r="176" spans="1:75" s="988" customFormat="1" ht="12.75" customHeight="1">
      <c r="A176" s="3235" t="s">
        <v>1422</v>
      </c>
      <c r="B176" s="1479"/>
      <c r="C176" s="1474"/>
      <c r="D176" s="987"/>
      <c r="E176" s="987"/>
      <c r="F176" s="987"/>
      <c r="G176" s="987"/>
      <c r="H176" s="987"/>
      <c r="I176" s="987"/>
      <c r="J176" s="987"/>
      <c r="K176" s="987"/>
      <c r="L176" s="987"/>
      <c r="M176" s="987"/>
      <c r="N176" s="987"/>
      <c r="O176" s="987"/>
      <c r="P176" s="987"/>
      <c r="Q176" s="987"/>
      <c r="R176" s="987"/>
      <c r="S176" s="987"/>
      <c r="T176" s="987"/>
      <c r="U176" s="987"/>
      <c r="V176" s="468"/>
      <c r="W176" s="987"/>
      <c r="Z176" s="989"/>
      <c r="AD176" s="989"/>
      <c r="AH176" s="1482"/>
      <c r="AI176" s="1483"/>
      <c r="AJ176" s="1483"/>
      <c r="AK176" s="1483"/>
      <c r="AL176" s="1482"/>
      <c r="AM176" s="1483"/>
      <c r="AN176" s="1483"/>
      <c r="AO176" s="1483"/>
      <c r="AP176" s="1483"/>
      <c r="AQ176" s="1483"/>
      <c r="AR176" s="1483"/>
      <c r="AS176" s="1483"/>
      <c r="AT176" s="1482"/>
      <c r="AU176" s="2830"/>
      <c r="AV176" s="1483"/>
      <c r="AW176" s="1483"/>
      <c r="AX176" s="1482"/>
      <c r="AY176" s="2830"/>
      <c r="AZ176" s="3125"/>
      <c r="BA176" s="3125"/>
      <c r="BB176" s="3276"/>
      <c r="BC176" s="3125"/>
      <c r="BD176" s="3125"/>
      <c r="BE176" s="3125"/>
      <c r="BF176" s="3276"/>
      <c r="BG176" s="3125"/>
      <c r="BH176" s="3125"/>
      <c r="BI176" s="3125"/>
      <c r="BJ176" s="3124">
        <f t="shared" si="284"/>
        <v>0.10666666666666669</v>
      </c>
      <c r="BK176" s="3124">
        <v>0.14599999999999999</v>
      </c>
      <c r="BL176" s="3519">
        <v>4.8000000000000001E-2</v>
      </c>
      <c r="BM176" s="3125"/>
      <c r="BN176" s="989"/>
      <c r="BO176" s="1009"/>
      <c r="BP176" s="1009"/>
      <c r="BR176" s="1009"/>
      <c r="BS176" s="1009"/>
      <c r="BT176" s="1009"/>
    </row>
    <row r="177" spans="1:75" s="988" customFormat="1" ht="12.75" customHeight="1">
      <c r="A177" s="3235" t="s">
        <v>1404</v>
      </c>
      <c r="B177" s="1479"/>
      <c r="C177" s="1474"/>
      <c r="D177" s="987"/>
      <c r="E177" s="987"/>
      <c r="F177" s="987"/>
      <c r="G177" s="987"/>
      <c r="H177" s="987"/>
      <c r="I177" s="987"/>
      <c r="J177" s="987"/>
      <c r="K177" s="987"/>
      <c r="L177" s="987"/>
      <c r="M177" s="987"/>
      <c r="N177" s="987"/>
      <c r="O177" s="987"/>
      <c r="P177" s="987"/>
      <c r="Q177" s="987"/>
      <c r="R177" s="987"/>
      <c r="S177" s="987"/>
      <c r="T177" s="987"/>
      <c r="U177" s="987"/>
      <c r="V177" s="468"/>
      <c r="W177" s="987"/>
      <c r="Z177" s="989"/>
      <c r="AD177" s="989"/>
      <c r="AH177" s="1482"/>
      <c r="AI177" s="1483"/>
      <c r="AJ177" s="1483"/>
      <c r="AK177" s="1483"/>
      <c r="AL177" s="1482"/>
      <c r="AM177" s="1483"/>
      <c r="AN177" s="1483"/>
      <c r="AO177" s="1483"/>
      <c r="AP177" s="1483"/>
      <c r="AQ177" s="1483"/>
      <c r="AR177" s="1483"/>
      <c r="AS177" s="1483"/>
      <c r="AT177" s="1482"/>
      <c r="AU177" s="2830"/>
      <c r="AV177" s="1483"/>
      <c r="AW177" s="1483"/>
      <c r="AX177" s="1482"/>
      <c r="AY177" s="2830"/>
      <c r="AZ177" s="3125"/>
      <c r="BA177" s="3125"/>
      <c r="BB177" s="3276"/>
      <c r="BC177" s="3125"/>
      <c r="BD177" s="3125"/>
      <c r="BE177" s="3125"/>
      <c r="BF177" s="3276"/>
      <c r="BG177" s="3125"/>
      <c r="BH177" s="3125"/>
      <c r="BI177" s="3125"/>
      <c r="BJ177" s="3124">
        <f t="shared" si="284"/>
        <v>1.8757327080890951E-2</v>
      </c>
      <c r="BK177" s="3124">
        <v>0.28799999999999998</v>
      </c>
      <c r="BL177" s="3519">
        <v>4.0000000000000001E-3</v>
      </c>
      <c r="BM177" s="3125"/>
      <c r="BN177" s="989"/>
      <c r="BO177" s="1009"/>
      <c r="BP177" s="1009"/>
      <c r="BR177" s="1009"/>
      <c r="BS177" s="1009"/>
      <c r="BT177" s="1009"/>
    </row>
    <row r="178" spans="1:75" s="988" customFormat="1" ht="12.75" customHeight="1">
      <c r="A178" s="3235" t="s">
        <v>96</v>
      </c>
      <c r="B178" s="1479"/>
      <c r="C178" s="1474"/>
      <c r="D178" s="987"/>
      <c r="E178" s="987"/>
      <c r="F178" s="987"/>
      <c r="G178" s="987"/>
      <c r="H178" s="987"/>
      <c r="I178" s="987"/>
      <c r="J178" s="987"/>
      <c r="K178" s="987"/>
      <c r="L178" s="987"/>
      <c r="M178" s="987"/>
      <c r="N178" s="987"/>
      <c r="O178" s="987"/>
      <c r="P178" s="987"/>
      <c r="Q178" s="987"/>
      <c r="R178" s="987"/>
      <c r="S178" s="987"/>
      <c r="T178" s="987"/>
      <c r="U178" s="987"/>
      <c r="V178" s="468"/>
      <c r="W178" s="987"/>
      <c r="Z178" s="989"/>
      <c r="AD178" s="989"/>
      <c r="AH178" s="1482"/>
      <c r="AI178" s="1483"/>
      <c r="AJ178" s="1483"/>
      <c r="AK178" s="1483"/>
      <c r="AL178" s="1482"/>
      <c r="AM178" s="1483"/>
      <c r="AN178" s="1483"/>
      <c r="AO178" s="1483"/>
      <c r="AP178" s="1483"/>
      <c r="AQ178" s="1483"/>
      <c r="AR178" s="1483"/>
      <c r="AS178" s="1483"/>
      <c r="AT178" s="1482"/>
      <c r="AU178" s="2830"/>
      <c r="AV178" s="1483"/>
      <c r="AW178" s="1483"/>
      <c r="AX178" s="1482"/>
      <c r="AY178" s="2830"/>
      <c r="AZ178" s="3125"/>
      <c r="BA178" s="3125"/>
      <c r="BB178" s="3276"/>
      <c r="BC178" s="3125"/>
      <c r="BD178" s="3125"/>
      <c r="BE178" s="3125"/>
      <c r="BF178" s="3276"/>
      <c r="BG178" s="3125"/>
      <c r="BH178" s="3125"/>
      <c r="BI178" s="3125"/>
      <c r="BJ178" s="3124">
        <f t="shared" si="284"/>
        <v>0.6073619631901841</v>
      </c>
      <c r="BK178" s="3124">
        <v>-0.29299999999999998</v>
      </c>
      <c r="BL178" s="3519">
        <v>0.09</v>
      </c>
      <c r="BM178" s="3125"/>
      <c r="BN178" s="989"/>
      <c r="BO178" s="1009"/>
      <c r="BP178" s="1009"/>
      <c r="BR178" s="1009"/>
      <c r="BS178" s="1009"/>
      <c r="BT178" s="1009"/>
    </row>
    <row r="179" spans="1:75" s="988" customFormat="1" ht="12.75" customHeight="1">
      <c r="A179" s="3235" t="s">
        <v>1406</v>
      </c>
      <c r="B179" s="1479"/>
      <c r="C179" s="1474"/>
      <c r="D179" s="987"/>
      <c r="E179" s="987"/>
      <c r="F179" s="987"/>
      <c r="G179" s="987"/>
      <c r="H179" s="987"/>
      <c r="I179" s="987"/>
      <c r="J179" s="987"/>
      <c r="K179" s="987"/>
      <c r="L179" s="987"/>
      <c r="M179" s="987"/>
      <c r="N179" s="987"/>
      <c r="O179" s="987"/>
      <c r="P179" s="987"/>
      <c r="Q179" s="987"/>
      <c r="R179" s="987"/>
      <c r="S179" s="987"/>
      <c r="T179" s="987"/>
      <c r="U179" s="987"/>
      <c r="V179" s="468"/>
      <c r="W179" s="987"/>
      <c r="Z179" s="989"/>
      <c r="AD179" s="989"/>
      <c r="AH179" s="1482"/>
      <c r="AI179" s="1483"/>
      <c r="AJ179" s="1483"/>
      <c r="AK179" s="1483"/>
      <c r="AL179" s="1482"/>
      <c r="AM179" s="1483"/>
      <c r="AN179" s="1483"/>
      <c r="AO179" s="1483"/>
      <c r="AP179" s="1483"/>
      <c r="AQ179" s="1483"/>
      <c r="AR179" s="1483"/>
      <c r="AS179" s="1483"/>
      <c r="AT179" s="1482"/>
      <c r="AU179" s="2830"/>
      <c r="AV179" s="1483"/>
      <c r="AW179" s="1483"/>
      <c r="AX179" s="1482"/>
      <c r="AY179" s="2830"/>
      <c r="AZ179" s="3125"/>
      <c r="BA179" s="3125"/>
      <c r="BB179" s="3276"/>
      <c r="BC179" s="3125"/>
      <c r="BD179" s="3125"/>
      <c r="BE179" s="3125"/>
      <c r="BF179" s="3276"/>
      <c r="BG179" s="3125"/>
      <c r="BH179" s="3125"/>
      <c r="BI179" s="3125"/>
      <c r="BJ179" s="3124">
        <f t="shared" si="284"/>
        <v>0.19323671497584538</v>
      </c>
      <c r="BK179" s="3124">
        <v>0.19700000000000001</v>
      </c>
      <c r="BL179" s="3519">
        <v>0.20100000000000001</v>
      </c>
      <c r="BM179" s="3125"/>
      <c r="BN179" s="989"/>
      <c r="BO179" s="1009"/>
      <c r="BP179" s="1009"/>
      <c r="BR179" s="1009"/>
      <c r="BS179" s="1009"/>
      <c r="BT179" s="1009"/>
    </row>
    <row r="180" spans="1:75" s="988" customFormat="1" ht="12.75" customHeight="1">
      <c r="A180" s="1569" t="s">
        <v>1407</v>
      </c>
      <c r="B180" s="1479"/>
      <c r="C180" s="1474"/>
      <c r="D180" s="987"/>
      <c r="E180" s="987"/>
      <c r="F180" s="987"/>
      <c r="G180" s="987"/>
      <c r="H180" s="987"/>
      <c r="I180" s="987"/>
      <c r="J180" s="987"/>
      <c r="K180" s="987"/>
      <c r="L180" s="987"/>
      <c r="M180" s="987"/>
      <c r="N180" s="987"/>
      <c r="O180" s="987"/>
      <c r="P180" s="987"/>
      <c r="Q180" s="987"/>
      <c r="R180" s="987"/>
      <c r="S180" s="987"/>
      <c r="T180" s="987"/>
      <c r="U180" s="987"/>
      <c r="V180" s="468"/>
      <c r="W180" s="987"/>
      <c r="Z180" s="989"/>
      <c r="AD180" s="989"/>
      <c r="AH180" s="1482"/>
      <c r="AI180" s="1483"/>
      <c r="AJ180" s="1483"/>
      <c r="AK180" s="1483"/>
      <c r="AL180" s="1482"/>
      <c r="AM180" s="1483"/>
      <c r="AN180" s="1483"/>
      <c r="AO180" s="1483"/>
      <c r="AP180" s="1483"/>
      <c r="AQ180" s="1483"/>
      <c r="AR180" s="1483"/>
      <c r="AS180" s="1483"/>
      <c r="AT180" s="1482"/>
      <c r="AU180" s="2830"/>
      <c r="AV180" s="1483"/>
      <c r="AW180" s="1483"/>
      <c r="AX180" s="1482"/>
      <c r="AY180" s="2830"/>
      <c r="AZ180" s="3125"/>
      <c r="BA180" s="3125"/>
      <c r="BB180" s="3276"/>
      <c r="BC180" s="3125"/>
      <c r="BD180" s="3125"/>
      <c r="BE180" s="3125"/>
      <c r="BF180" s="3276"/>
      <c r="BG180" s="3125"/>
      <c r="BH180" s="3125"/>
      <c r="BI180" s="3125"/>
      <c r="BJ180" s="3124">
        <f t="shared" si="284"/>
        <v>-3.8216560509554132E-2</v>
      </c>
      <c r="BK180" s="3124">
        <f t="shared" si="284"/>
        <v>-0.14935064935064934</v>
      </c>
      <c r="BL180" s="3519">
        <f>BL65/BH65-1</f>
        <v>-0.18354430379746833</v>
      </c>
      <c r="BM180" s="3125"/>
      <c r="BN180" s="989"/>
      <c r="BO180" s="1009"/>
      <c r="BP180" s="1009"/>
      <c r="BR180" s="1009"/>
      <c r="BS180" s="1009"/>
      <c r="BT180" s="1009"/>
    </row>
    <row r="181" spans="1:75" s="988" customFormat="1" ht="12.75" customHeight="1">
      <c r="A181" s="1569" t="s">
        <v>2853</v>
      </c>
      <c r="B181" s="1479"/>
      <c r="C181" s="1474"/>
      <c r="D181" s="987"/>
      <c r="E181" s="987"/>
      <c r="F181" s="987"/>
      <c r="G181" s="987"/>
      <c r="H181" s="987"/>
      <c r="I181" s="987"/>
      <c r="J181" s="987"/>
      <c r="K181" s="987"/>
      <c r="L181" s="987"/>
      <c r="M181" s="987"/>
      <c r="N181" s="987"/>
      <c r="O181" s="987"/>
      <c r="P181" s="987"/>
      <c r="Q181" s="987"/>
      <c r="R181" s="987"/>
      <c r="S181" s="987"/>
      <c r="T181" s="987"/>
      <c r="U181" s="987"/>
      <c r="V181" s="468"/>
      <c r="W181" s="987"/>
      <c r="Z181" s="989"/>
      <c r="AD181" s="989"/>
      <c r="AH181" s="1482"/>
      <c r="AI181" s="1483"/>
      <c r="AJ181" s="1483"/>
      <c r="AK181" s="1483"/>
      <c r="AL181" s="1482"/>
      <c r="AM181" s="1483"/>
      <c r="AN181" s="1483"/>
      <c r="AO181" s="1483"/>
      <c r="AP181" s="1483"/>
      <c r="AQ181" s="1483"/>
      <c r="AR181" s="1483"/>
      <c r="AS181" s="1483"/>
      <c r="AT181" s="1482"/>
      <c r="AU181" s="2830"/>
      <c r="AV181" s="1483"/>
      <c r="AW181" s="1483"/>
      <c r="AX181" s="1482"/>
      <c r="AY181" s="2830"/>
      <c r="AZ181" s="3125"/>
      <c r="BA181" s="3125"/>
      <c r="BB181" s="3276"/>
      <c r="BC181" s="3125"/>
      <c r="BD181" s="3125"/>
      <c r="BE181" s="3125"/>
      <c r="BF181" s="3276"/>
      <c r="BG181" s="3125"/>
      <c r="BH181" s="3125"/>
      <c r="BI181" s="3125"/>
      <c r="BJ181" s="3124" t="e">
        <f t="shared" si="284"/>
        <v>#DIV/0!</v>
      </c>
      <c r="BK181" s="3124" t="e">
        <f t="shared" si="284"/>
        <v>#DIV/0!</v>
      </c>
      <c r="BL181" s="3124"/>
      <c r="BM181" s="3125"/>
      <c r="BN181" s="989"/>
      <c r="BO181" s="1009"/>
      <c r="BP181" s="1009"/>
      <c r="BR181" s="1009"/>
      <c r="BS181" s="1009"/>
      <c r="BT181" s="1009"/>
    </row>
    <row r="182" spans="1:75" s="988" customFormat="1" ht="12.75" customHeight="1">
      <c r="A182" s="1569" t="s">
        <v>2826</v>
      </c>
      <c r="B182" s="1479"/>
      <c r="C182" s="1474"/>
      <c r="D182" s="987"/>
      <c r="E182" s="987"/>
      <c r="F182" s="987"/>
      <c r="G182" s="987"/>
      <c r="H182" s="987"/>
      <c r="I182" s="987"/>
      <c r="J182" s="987"/>
      <c r="K182" s="987"/>
      <c r="L182" s="987"/>
      <c r="M182" s="987"/>
      <c r="N182" s="987"/>
      <c r="O182" s="987"/>
      <c r="P182" s="987"/>
      <c r="Q182" s="987"/>
      <c r="R182" s="987"/>
      <c r="S182" s="987"/>
      <c r="T182" s="987"/>
      <c r="U182" s="987"/>
      <c r="V182" s="468"/>
      <c r="W182" s="987"/>
      <c r="Z182" s="989"/>
      <c r="AD182" s="989"/>
      <c r="AH182" s="1482"/>
      <c r="AI182" s="1483"/>
      <c r="AJ182" s="1483"/>
      <c r="AK182" s="1483"/>
      <c r="AL182" s="1482"/>
      <c r="AM182" s="1483"/>
      <c r="AN182" s="1483"/>
      <c r="AO182" s="1483"/>
      <c r="AP182" s="1483"/>
      <c r="AQ182" s="1483"/>
      <c r="AR182" s="1483"/>
      <c r="AS182" s="1483"/>
      <c r="AT182" s="1482"/>
      <c r="AU182" s="2830"/>
      <c r="AV182" s="1483"/>
      <c r="AW182" s="1483"/>
      <c r="AX182" s="1482"/>
      <c r="AY182" s="2830"/>
      <c r="AZ182" s="3125"/>
      <c r="BA182" s="3125"/>
      <c r="BB182" s="3276"/>
      <c r="BC182" s="3125"/>
      <c r="BD182" s="3125"/>
      <c r="BE182" s="3125"/>
      <c r="BF182" s="3276"/>
      <c r="BG182" s="3125"/>
      <c r="BH182" s="3125"/>
      <c r="BI182" s="3125"/>
      <c r="BJ182" s="3124" t="e">
        <f t="shared" si="284"/>
        <v>#DIV/0!</v>
      </c>
      <c r="BK182" s="3124">
        <f t="shared" si="284"/>
        <v>-0.21875</v>
      </c>
      <c r="BL182" s="3519">
        <f>BL67/BH67-1</f>
        <v>-0.21052631578947367</v>
      </c>
      <c r="BM182" s="3125"/>
      <c r="BN182" s="989"/>
      <c r="BO182" s="1009"/>
      <c r="BP182" s="1009"/>
      <c r="BR182" s="1009"/>
      <c r="BS182" s="1009"/>
      <c r="BT182" s="1009"/>
    </row>
    <row r="183" spans="1:75" s="168" customFormat="1" ht="12.75" customHeight="1">
      <c r="A183" s="1499"/>
      <c r="B183" s="170"/>
      <c r="C183" s="170"/>
      <c r="V183" s="169"/>
      <c r="W183" s="839"/>
      <c r="Z183" s="169"/>
      <c r="AD183" s="169"/>
      <c r="AH183" s="1444"/>
      <c r="AI183" s="1393"/>
      <c r="AJ183" s="1393"/>
      <c r="AL183" s="169"/>
      <c r="AT183" s="169"/>
      <c r="AU183" s="167"/>
      <c r="AV183" s="1393"/>
      <c r="AX183" s="169"/>
      <c r="AY183" s="167"/>
      <c r="AZ183" s="3126"/>
      <c r="BA183" s="3126"/>
      <c r="BB183" s="3277"/>
      <c r="BC183" s="3126"/>
      <c r="BD183" s="3126"/>
      <c r="BE183" s="3126"/>
      <c r="BF183" s="3277"/>
      <c r="BG183" s="3126"/>
      <c r="BH183" s="3126"/>
      <c r="BI183" s="3126"/>
      <c r="BJ183" s="3126"/>
      <c r="BK183" s="3126"/>
      <c r="BL183" s="3126"/>
      <c r="BM183" s="3126"/>
      <c r="BN183" s="169"/>
      <c r="BO183" s="166"/>
      <c r="BP183" s="166"/>
      <c r="BR183" s="166"/>
      <c r="BS183" s="166"/>
      <c r="BT183" s="166"/>
    </row>
    <row r="184" spans="1:75" s="168" customFormat="1" ht="15">
      <c r="A184" s="1499"/>
      <c r="B184" s="170"/>
      <c r="C184" s="170"/>
      <c r="V184" s="169"/>
      <c r="W184" s="839"/>
      <c r="Z184" s="169"/>
      <c r="AD184" s="169"/>
      <c r="AH184" s="1444"/>
      <c r="AI184" s="1393"/>
      <c r="AJ184" s="1393"/>
      <c r="AL184" s="169"/>
      <c r="AT184" s="169"/>
      <c r="AU184" s="167"/>
      <c r="AV184" s="1393"/>
      <c r="AX184" s="169"/>
      <c r="AY184" s="167"/>
      <c r="AZ184" s="3126"/>
      <c r="BA184" s="3126"/>
      <c r="BB184" s="3277"/>
      <c r="BC184" s="3126"/>
      <c r="BD184" s="3126"/>
      <c r="BE184" s="3126"/>
      <c r="BF184" s="3277"/>
      <c r="BG184" s="3126"/>
      <c r="BH184" s="3126"/>
      <c r="BI184" s="3126"/>
      <c r="BJ184" s="3126"/>
      <c r="BK184" s="3126"/>
      <c r="BL184" s="3126"/>
      <c r="BM184" s="3126"/>
      <c r="BN184" s="169"/>
      <c r="BO184" s="166"/>
      <c r="BP184" s="166"/>
      <c r="BR184" s="166"/>
      <c r="BS184" s="166"/>
      <c r="BT184" s="166"/>
    </row>
    <row r="185" spans="1:75" outlineLevel="1">
      <c r="A185" s="61" t="s">
        <v>100</v>
      </c>
      <c r="B185" s="80"/>
      <c r="C185" s="80"/>
      <c r="D185" s="5"/>
      <c r="E185" s="5"/>
      <c r="F185" s="5"/>
      <c r="G185" s="5"/>
      <c r="H185" s="5"/>
      <c r="I185" s="5"/>
      <c r="J185" s="5"/>
      <c r="K185" s="5"/>
      <c r="L185" s="5">
        <v>2009</v>
      </c>
      <c r="M185" s="5">
        <v>2010</v>
      </c>
      <c r="N185" s="5">
        <v>2011</v>
      </c>
      <c r="O185" s="5">
        <v>2012</v>
      </c>
      <c r="P185" s="5">
        <v>2013</v>
      </c>
      <c r="Q185" s="5">
        <v>2014</v>
      </c>
      <c r="R185" s="5"/>
      <c r="S185" s="5" t="s">
        <v>698</v>
      </c>
      <c r="T185" s="5" t="s">
        <v>699</v>
      </c>
      <c r="U185" s="5" t="s">
        <v>700</v>
      </c>
      <c r="V185" s="96">
        <v>2015</v>
      </c>
      <c r="W185" s="835" t="s">
        <v>695</v>
      </c>
      <c r="X185" s="835" t="s">
        <v>983</v>
      </c>
      <c r="Y185" s="835" t="s">
        <v>1039</v>
      </c>
      <c r="Z185" s="836" t="s">
        <v>747</v>
      </c>
      <c r="AA185" s="835" t="s">
        <v>984</v>
      </c>
      <c r="AB185" s="835" t="s">
        <v>772</v>
      </c>
      <c r="AC185" s="835" t="s">
        <v>773</v>
      </c>
      <c r="AD185" s="836" t="s">
        <v>774</v>
      </c>
      <c r="AE185" s="835" t="s">
        <v>1181</v>
      </c>
      <c r="AF185" s="835" t="s">
        <v>1177</v>
      </c>
      <c r="AG185" s="835" t="s">
        <v>1178</v>
      </c>
      <c r="AH185" s="836" t="s">
        <v>1414</v>
      </c>
      <c r="AI185" s="835" t="str">
        <f>AI4</f>
        <v>2019Q1</v>
      </c>
      <c r="AJ185" s="835" t="str">
        <f>AJ4</f>
        <v>2019Q2</v>
      </c>
      <c r="AK185" s="835" t="str">
        <f>AK4</f>
        <v>2019Q3</v>
      </c>
      <c r="AL185" s="836" t="str">
        <f>AL4</f>
        <v>2019Q4</v>
      </c>
      <c r="AM185" s="835" t="s">
        <v>2083</v>
      </c>
      <c r="AN185" s="835" t="s">
        <v>2602</v>
      </c>
      <c r="AO185" s="835" t="s">
        <v>2639</v>
      </c>
      <c r="AP185" s="835" t="s">
        <v>2681</v>
      </c>
      <c r="AQ185" s="835" t="s">
        <v>2700</v>
      </c>
      <c r="AR185" s="1442" t="s">
        <v>2703</v>
      </c>
      <c r="AS185" s="1442" t="s">
        <v>2706</v>
      </c>
      <c r="AT185" s="1443" t="s">
        <v>2708</v>
      </c>
      <c r="AU185" s="835" t="s">
        <v>2714</v>
      </c>
      <c r="AV185" s="1442" t="s">
        <v>2745</v>
      </c>
      <c r="AW185" s="1442" t="s">
        <v>2746</v>
      </c>
      <c r="AX185" s="1443"/>
      <c r="AY185" s="835"/>
      <c r="AZ185" s="1442"/>
      <c r="BA185" s="1442"/>
      <c r="BB185" s="1443"/>
      <c r="BC185" s="1445"/>
      <c r="BD185" s="1445"/>
      <c r="BE185" s="1445"/>
      <c r="BF185" s="1446"/>
      <c r="BG185" s="1445"/>
      <c r="BH185" s="1445"/>
      <c r="BI185" s="1445"/>
      <c r="BJ185" s="1445"/>
      <c r="BK185" s="1445"/>
      <c r="BL185" s="1445"/>
      <c r="BM185" s="1446"/>
      <c r="BN185" s="2877">
        <v>2016</v>
      </c>
      <c r="BO185" s="2877">
        <v>2017</v>
      </c>
      <c r="BP185" s="2877">
        <v>2018</v>
      </c>
      <c r="BQ185" s="2878">
        <v>2019</v>
      </c>
      <c r="BR185" s="2877">
        <v>2020</v>
      </c>
      <c r="BS185" s="2877">
        <v>2021</v>
      </c>
      <c r="BT185" s="2877">
        <v>2022</v>
      </c>
      <c r="BU185" s="2877">
        <v>2022</v>
      </c>
      <c r="BV185" s="2877"/>
      <c r="BW185" s="3490"/>
    </row>
    <row r="186" spans="1:75" outlineLevel="1">
      <c r="A186" s="71" t="s">
        <v>0</v>
      </c>
      <c r="B186" s="88"/>
      <c r="M186" s="32"/>
      <c r="N186" s="32"/>
      <c r="O186" s="32"/>
      <c r="P186" s="32"/>
      <c r="Q186" s="32"/>
      <c r="R186" s="32"/>
      <c r="S186" s="32"/>
      <c r="T186" s="32"/>
      <c r="U186" s="32"/>
      <c r="V186" s="79"/>
      <c r="AU186" s="133"/>
      <c r="AY186" s="133"/>
      <c r="AZ186" s="133"/>
      <c r="BA186" s="133"/>
      <c r="BB186" s="136"/>
      <c r="BU186" s="159"/>
      <c r="BV186" s="159"/>
    </row>
    <row r="187" spans="1:75" s="1464" customFormat="1" outlineLevel="1">
      <c r="A187" s="72" t="s">
        <v>1</v>
      </c>
      <c r="B187" s="1484"/>
      <c r="C187" s="1463"/>
      <c r="M187" s="1485"/>
      <c r="N187" s="1485"/>
      <c r="O187" s="1485"/>
      <c r="P187" s="1485"/>
      <c r="Q187" s="1485"/>
      <c r="R187" s="1485"/>
      <c r="S187" s="1485"/>
      <c r="T187" s="1485"/>
      <c r="U187" s="1485"/>
      <c r="V187" s="1486"/>
      <c r="W187" s="1466"/>
      <c r="Z187" s="1465"/>
      <c r="AD187" s="1465"/>
      <c r="AH187" s="1465"/>
      <c r="AL187" s="1465"/>
      <c r="AT187" s="1465"/>
      <c r="AX187" s="1465"/>
      <c r="BB187" s="1465"/>
      <c r="BC187" s="3218"/>
      <c r="BD187" s="3218"/>
      <c r="BE187" s="3218"/>
      <c r="BF187" s="3127"/>
      <c r="BG187" s="3218"/>
      <c r="BH187" s="3218"/>
      <c r="BI187" s="3218"/>
      <c r="BJ187" s="3218"/>
      <c r="BK187" s="3218"/>
      <c r="BL187" s="3218"/>
      <c r="BM187" s="3127"/>
      <c r="BN187" s="1467"/>
      <c r="BO187" s="1467"/>
      <c r="BP187" s="1467"/>
      <c r="BR187" s="1467"/>
      <c r="BS187" s="1467"/>
      <c r="BT187" s="1467"/>
      <c r="BU187" s="1467"/>
      <c r="BV187" s="1467"/>
    </row>
    <row r="188" spans="1:75" s="1773" customFormat="1" outlineLevel="1">
      <c r="A188" s="73" t="s">
        <v>2</v>
      </c>
      <c r="B188" s="1809"/>
      <c r="C188" s="1772">
        <v>77.024000000000001</v>
      </c>
      <c r="D188" s="1773">
        <v>99.942999999999998</v>
      </c>
      <c r="E188" s="1773">
        <v>67.182000000000002</v>
      </c>
      <c r="F188" s="1773">
        <v>93.731999999999999</v>
      </c>
      <c r="G188" s="1773">
        <v>101.27</v>
      </c>
      <c r="H188" s="1773">
        <v>80.340999999999994</v>
      </c>
      <c r="I188" s="1773">
        <v>423.577</v>
      </c>
      <c r="J188" s="1773">
        <v>385.35899999999998</v>
      </c>
      <c r="K188" s="1773">
        <v>364.55</v>
      </c>
      <c r="L188" s="1773">
        <v>202.14099999999999</v>
      </c>
      <c r="M188" s="1810">
        <v>358.96699999999998</v>
      </c>
      <c r="N188" s="1810">
        <v>632.83600000000001</v>
      </c>
      <c r="O188" s="1810">
        <v>1536.3489999999999</v>
      </c>
      <c r="P188" s="1810">
        <v>1289.9939999999999</v>
      </c>
      <c r="Q188" s="1810">
        <v>3148.6509999999998</v>
      </c>
      <c r="R188" s="1810"/>
      <c r="S188" s="1810">
        <v>1888.9490000000001</v>
      </c>
      <c r="T188" s="1810">
        <v>1841.6579999999999</v>
      </c>
      <c r="U188" s="1810">
        <v>1477.2650000000001</v>
      </c>
      <c r="V188" s="1811">
        <v>1477.2650000000001</v>
      </c>
      <c r="W188" s="1775">
        <v>1857.165</v>
      </c>
      <c r="X188" s="1773">
        <v>2693.7179999999998</v>
      </c>
      <c r="Y188" s="1773">
        <v>2422.2689999999998</v>
      </c>
      <c r="Z188" s="1774">
        <v>2081.0250000000001</v>
      </c>
      <c r="AA188" s="1773">
        <v>2434.02</v>
      </c>
      <c r="AB188" s="1773">
        <v>2634.2640000000001</v>
      </c>
      <c r="AC188" s="1773">
        <v>2846.3</v>
      </c>
      <c r="AD188" s="1774">
        <v>2541.6039999999998</v>
      </c>
      <c r="AE188" s="1773">
        <v>2622.0859999999998</v>
      </c>
      <c r="AF188" s="1773">
        <v>3186.665</v>
      </c>
      <c r="AG188" s="1773">
        <v>2973.096</v>
      </c>
      <c r="AH188" s="1774">
        <v>2624</v>
      </c>
      <c r="AI188" s="1773">
        <v>2334</v>
      </c>
      <c r="AJ188" s="1773">
        <v>5256</v>
      </c>
      <c r="AK188" s="1773">
        <v>6466</v>
      </c>
      <c r="AL188" s="1774">
        <v>6312</v>
      </c>
      <c r="AM188" s="1773">
        <v>6363</v>
      </c>
      <c r="AN188" s="1773">
        <v>10404</v>
      </c>
      <c r="AO188" s="1773">
        <v>11197</v>
      </c>
      <c r="AP188" s="1773">
        <v>10562</v>
      </c>
      <c r="AQ188" s="1773">
        <v>12151</v>
      </c>
      <c r="AR188" s="1773">
        <v>11231</v>
      </c>
      <c r="AS188" s="1773">
        <v>11643</v>
      </c>
      <c r="AT188" s="1774">
        <v>11127</v>
      </c>
      <c r="AU188" s="1773">
        <v>10549</v>
      </c>
      <c r="AX188" s="1774"/>
      <c r="BB188" s="1774"/>
      <c r="BC188" s="3103"/>
      <c r="BD188" s="3103"/>
      <c r="BE188" s="3103"/>
      <c r="BF188" s="3100"/>
      <c r="BG188" s="3103"/>
      <c r="BH188" s="3103"/>
      <c r="BI188" s="3103"/>
      <c r="BJ188" s="3103"/>
      <c r="BK188" s="3103"/>
      <c r="BL188" s="3103"/>
      <c r="BM188" s="3100"/>
      <c r="BN188" s="1776">
        <f t="shared" ref="BN188:BN193" si="285">Z188</f>
        <v>2081.0250000000001</v>
      </c>
      <c r="BO188" s="1776">
        <f t="shared" ref="BO188:BO193" si="286">AD188</f>
        <v>2541.6039999999998</v>
      </c>
      <c r="BP188" s="1776">
        <f t="shared" ref="BP188:BP193" si="287">AH188</f>
        <v>2624</v>
      </c>
      <c r="BQ188" s="1773">
        <f t="shared" ref="BQ188:BQ193" si="288">AL188</f>
        <v>6312</v>
      </c>
      <c r="BR188" s="1776">
        <f t="shared" ref="BR188:BR193" si="289">AP188</f>
        <v>10562</v>
      </c>
      <c r="BS188" s="1776">
        <f t="shared" ref="BS188:BU193" si="290">AT188</f>
        <v>11127</v>
      </c>
      <c r="BT188" s="1776">
        <f t="shared" si="290"/>
        <v>10549</v>
      </c>
      <c r="BU188" s="1776">
        <f t="shared" si="290"/>
        <v>0</v>
      </c>
      <c r="BV188" s="1776"/>
    </row>
    <row r="189" spans="1:75" s="1773" customFormat="1" outlineLevel="1">
      <c r="A189" s="73" t="s">
        <v>101</v>
      </c>
      <c r="B189" s="1809"/>
      <c r="C189" s="1772">
        <v>18.042000000000002</v>
      </c>
      <c r="D189" s="1773">
        <v>15.396000000000001</v>
      </c>
      <c r="E189" s="1773">
        <v>18.248000000000001</v>
      </c>
      <c r="F189" s="1773">
        <v>22.484999999999999</v>
      </c>
      <c r="G189" s="1773">
        <v>23.571999999999999</v>
      </c>
      <c r="H189" s="1773">
        <v>22.308</v>
      </c>
      <c r="I189" s="1773">
        <v>2.4590000000000001</v>
      </c>
      <c r="J189" s="1773">
        <v>1.35</v>
      </c>
      <c r="K189" s="1773">
        <v>2.528</v>
      </c>
      <c r="L189" s="1773">
        <v>1.319</v>
      </c>
      <c r="M189" s="1810">
        <v>1.05</v>
      </c>
      <c r="N189" s="1810">
        <v>3.7709999999999999</v>
      </c>
      <c r="O189" s="1810">
        <v>6.641</v>
      </c>
      <c r="P189" s="1810">
        <v>10.476000000000001</v>
      </c>
      <c r="Q189" s="1810">
        <v>0.84299999999999997</v>
      </c>
      <c r="R189" s="1810"/>
      <c r="S189" s="1810">
        <v>1.052</v>
      </c>
      <c r="T189" s="1810">
        <v>0.82699999999999996</v>
      </c>
      <c r="U189" s="1810">
        <v>0.80600000000000005</v>
      </c>
      <c r="V189" s="1811">
        <v>0.80600000000000005</v>
      </c>
      <c r="W189" s="1775">
        <v>0.83499999999999996</v>
      </c>
      <c r="X189" s="1773">
        <v>0.82299999999999995</v>
      </c>
      <c r="Y189" s="1773">
        <v>0.85699999999999998</v>
      </c>
      <c r="Z189" s="1774"/>
      <c r="AA189" s="1773">
        <v>0</v>
      </c>
      <c r="AB189" s="1773">
        <v>0</v>
      </c>
      <c r="AC189" s="1773">
        <v>0</v>
      </c>
      <c r="AD189" s="1774"/>
      <c r="AH189" s="1774"/>
      <c r="AL189" s="1774"/>
      <c r="AT189" s="1774"/>
      <c r="AX189" s="1774"/>
      <c r="BB189" s="1774"/>
      <c r="BC189" s="3103"/>
      <c r="BD189" s="3103"/>
      <c r="BE189" s="3103"/>
      <c r="BF189" s="3100"/>
      <c r="BG189" s="3103"/>
      <c r="BH189" s="3103"/>
      <c r="BI189" s="3103"/>
      <c r="BJ189" s="3103"/>
      <c r="BK189" s="3103"/>
      <c r="BL189" s="3103"/>
      <c r="BM189" s="3100"/>
      <c r="BN189" s="1776">
        <f t="shared" si="285"/>
        <v>0</v>
      </c>
      <c r="BO189" s="1776">
        <f t="shared" si="286"/>
        <v>0</v>
      </c>
      <c r="BP189" s="1776">
        <f t="shared" si="287"/>
        <v>0</v>
      </c>
      <c r="BQ189" s="1773">
        <f t="shared" si="288"/>
        <v>0</v>
      </c>
      <c r="BR189" s="1776">
        <f t="shared" si="289"/>
        <v>0</v>
      </c>
      <c r="BS189" s="1776">
        <f t="shared" si="290"/>
        <v>0</v>
      </c>
      <c r="BT189" s="1776">
        <f t="shared" si="290"/>
        <v>0</v>
      </c>
      <c r="BU189" s="1776">
        <f t="shared" si="290"/>
        <v>0</v>
      </c>
      <c r="BV189" s="1776"/>
    </row>
    <row r="190" spans="1:75" s="1773" customFormat="1" outlineLevel="1">
      <c r="A190" s="73" t="s">
        <v>511</v>
      </c>
      <c r="B190" s="1809"/>
      <c r="C190" s="1772">
        <v>10.952</v>
      </c>
      <c r="D190" s="1773">
        <v>49.268999999999998</v>
      </c>
      <c r="E190" s="1773">
        <v>64.153999999999996</v>
      </c>
      <c r="F190" s="1773">
        <v>151.73599999999999</v>
      </c>
      <c r="G190" s="1773">
        <v>122.812</v>
      </c>
      <c r="H190" s="1773">
        <v>72.745000000000005</v>
      </c>
      <c r="I190" s="1773">
        <v>7.9829999999999997</v>
      </c>
      <c r="J190" s="1773">
        <v>122.499</v>
      </c>
      <c r="K190" s="1773">
        <v>98.888000000000005</v>
      </c>
      <c r="L190" s="1773">
        <v>598.01400000000001</v>
      </c>
      <c r="M190" s="1773">
        <v>1303.251</v>
      </c>
      <c r="N190" s="1773">
        <v>2024.827</v>
      </c>
      <c r="O190" s="1773">
        <v>3646.8449999999998</v>
      </c>
      <c r="P190" s="1773">
        <v>5462.72</v>
      </c>
      <c r="Q190" s="1773">
        <v>1142.182</v>
      </c>
      <c r="S190" s="1773">
        <v>1299.127</v>
      </c>
      <c r="T190" s="1773">
        <v>1211.184</v>
      </c>
      <c r="U190" s="1773">
        <v>1171.2460000000001</v>
      </c>
      <c r="V190" s="1774">
        <v>1171.2460000000001</v>
      </c>
      <c r="W190" s="1775">
        <v>1525.6369999999999</v>
      </c>
      <c r="X190" s="1773">
        <v>1677.242</v>
      </c>
      <c r="Y190" s="1773">
        <v>1956.047</v>
      </c>
      <c r="Z190" s="1774">
        <v>2218.88</v>
      </c>
      <c r="AA190" s="1773">
        <v>2936.1579999999999</v>
      </c>
      <c r="AB190" s="1773">
        <v>3721.8249999999998</v>
      </c>
      <c r="AC190" s="1773">
        <v>4407.0280000000002</v>
      </c>
      <c r="AD190" s="1774">
        <v>4859.8729999999996</v>
      </c>
      <c r="AE190" s="1773">
        <v>4240.7039999999997</v>
      </c>
      <c r="AF190" s="1773">
        <v>4145.7529999999997</v>
      </c>
      <c r="AG190" s="1773">
        <v>4158.076</v>
      </c>
      <c r="AH190" s="1774">
        <v>3660</v>
      </c>
      <c r="AI190" s="1773">
        <v>1981</v>
      </c>
      <c r="AJ190" s="1773">
        <v>1553</v>
      </c>
      <c r="AK190" s="1773">
        <v>973</v>
      </c>
      <c r="AL190" s="1774">
        <v>998</v>
      </c>
      <c r="AM190" s="1773">
        <v>826</v>
      </c>
      <c r="AN190" s="1773">
        <v>0</v>
      </c>
      <c r="AO190" s="1773">
        <v>0</v>
      </c>
      <c r="AP190" s="1773">
        <v>501</v>
      </c>
      <c r="AQ190" s="1773">
        <v>500</v>
      </c>
      <c r="AR190" s="1773">
        <v>501</v>
      </c>
      <c r="AS190" s="1773">
        <v>522</v>
      </c>
      <c r="AT190" s="1774">
        <v>25</v>
      </c>
      <c r="AX190" s="1774"/>
      <c r="BB190" s="1774"/>
      <c r="BC190" s="3103"/>
      <c r="BD190" s="3103"/>
      <c r="BE190" s="3103"/>
      <c r="BF190" s="3100"/>
      <c r="BG190" s="3103"/>
      <c r="BH190" s="3103"/>
      <c r="BI190" s="3103"/>
      <c r="BJ190" s="3103"/>
      <c r="BK190" s="3103"/>
      <c r="BL190" s="3103"/>
      <c r="BM190" s="3100"/>
      <c r="BN190" s="1776">
        <f t="shared" si="285"/>
        <v>2218.88</v>
      </c>
      <c r="BO190" s="1776">
        <f t="shared" si="286"/>
        <v>4859.8729999999996</v>
      </c>
      <c r="BP190" s="1776">
        <f t="shared" si="287"/>
        <v>3660</v>
      </c>
      <c r="BQ190" s="1773">
        <f t="shared" si="288"/>
        <v>998</v>
      </c>
      <c r="BR190" s="1776">
        <f t="shared" si="289"/>
        <v>501</v>
      </c>
      <c r="BS190" s="1776">
        <f t="shared" si="290"/>
        <v>25</v>
      </c>
      <c r="BT190" s="1776">
        <f t="shared" si="290"/>
        <v>0</v>
      </c>
      <c r="BU190" s="1776">
        <f t="shared" si="290"/>
        <v>0</v>
      </c>
      <c r="BV190" s="1776"/>
    </row>
    <row r="191" spans="1:75" s="30" customFormat="1" outlineLevel="1">
      <c r="A191" s="126" t="s">
        <v>1041</v>
      </c>
      <c r="B191" s="42"/>
      <c r="C191" s="42">
        <f t="shared" ref="C191:N191" si="291">SUM(C188:C190)</f>
        <v>106.018</v>
      </c>
      <c r="D191" s="42">
        <f t="shared" si="291"/>
        <v>164.608</v>
      </c>
      <c r="E191" s="42">
        <f t="shared" si="291"/>
        <v>149.584</v>
      </c>
      <c r="F191" s="42">
        <f t="shared" si="291"/>
        <v>267.95299999999997</v>
      </c>
      <c r="G191" s="42">
        <f t="shared" si="291"/>
        <v>247.654</v>
      </c>
      <c r="H191" s="42">
        <f t="shared" si="291"/>
        <v>175.39400000000001</v>
      </c>
      <c r="I191" s="42">
        <f t="shared" si="291"/>
        <v>434.01900000000001</v>
      </c>
      <c r="J191" s="42">
        <f t="shared" si="291"/>
        <v>509.20799999999997</v>
      </c>
      <c r="K191" s="42">
        <f t="shared" si="291"/>
        <v>465.96600000000001</v>
      </c>
      <c r="L191" s="42">
        <f t="shared" si="291"/>
        <v>801.47399999999993</v>
      </c>
      <c r="M191" s="42">
        <f t="shared" si="291"/>
        <v>1663.268</v>
      </c>
      <c r="N191" s="42">
        <f t="shared" si="291"/>
        <v>2661.4340000000002</v>
      </c>
      <c r="O191" s="42">
        <f>SUM(O188:O190)</f>
        <v>5189.835</v>
      </c>
      <c r="P191" s="42">
        <f>SUM(P188:P190)</f>
        <v>6763.1900000000005</v>
      </c>
      <c r="Q191" s="42">
        <f>SUM(Q188:Q190)</f>
        <v>4291.6759999999995</v>
      </c>
      <c r="R191" s="42"/>
      <c r="S191" s="42">
        <f t="shared" ref="S191:AD191" si="292">SUM(S188:S190)</f>
        <v>3189.1279999999997</v>
      </c>
      <c r="T191" s="42">
        <f t="shared" si="292"/>
        <v>3053.6689999999999</v>
      </c>
      <c r="U191" s="42">
        <f t="shared" si="292"/>
        <v>2649.317</v>
      </c>
      <c r="V191" s="116">
        <f t="shared" si="292"/>
        <v>2649.317</v>
      </c>
      <c r="W191" s="820">
        <f t="shared" si="292"/>
        <v>3383.6369999999997</v>
      </c>
      <c r="X191" s="820">
        <f t="shared" si="292"/>
        <v>4371.7829999999994</v>
      </c>
      <c r="Y191" s="820">
        <f t="shared" si="292"/>
        <v>4379.1729999999998</v>
      </c>
      <c r="Z191" s="821">
        <f t="shared" si="292"/>
        <v>4299.9050000000007</v>
      </c>
      <c r="AA191" s="820">
        <f t="shared" si="292"/>
        <v>5370.1779999999999</v>
      </c>
      <c r="AB191" s="820">
        <f t="shared" si="292"/>
        <v>6356.0889999999999</v>
      </c>
      <c r="AC191" s="820">
        <f t="shared" si="292"/>
        <v>7253.3280000000004</v>
      </c>
      <c r="AD191" s="821">
        <f t="shared" si="292"/>
        <v>7401.476999999999</v>
      </c>
      <c r="AE191" s="820">
        <f t="shared" ref="AE191:AP191" si="293">SUM(AE188:AE190)</f>
        <v>6862.7899999999991</v>
      </c>
      <c r="AF191" s="820">
        <f t="shared" si="293"/>
        <v>7332.4179999999997</v>
      </c>
      <c r="AG191" s="820">
        <f t="shared" si="293"/>
        <v>7131.1720000000005</v>
      </c>
      <c r="AH191" s="821">
        <f t="shared" si="293"/>
        <v>6284</v>
      </c>
      <c r="AI191" s="820">
        <f t="shared" si="293"/>
        <v>4315</v>
      </c>
      <c r="AJ191" s="820">
        <f t="shared" si="293"/>
        <v>6809</v>
      </c>
      <c r="AK191" s="820">
        <f t="shared" si="293"/>
        <v>7439</v>
      </c>
      <c r="AL191" s="821">
        <f t="shared" si="293"/>
        <v>7310</v>
      </c>
      <c r="AM191" s="820">
        <f t="shared" si="293"/>
        <v>7189</v>
      </c>
      <c r="AN191" s="820">
        <f t="shared" si="293"/>
        <v>10404</v>
      </c>
      <c r="AO191" s="820">
        <f t="shared" si="293"/>
        <v>11197</v>
      </c>
      <c r="AP191" s="820">
        <f t="shared" si="293"/>
        <v>11063</v>
      </c>
      <c r="AQ191" s="820">
        <f>SUM(AQ188:AQ190)</f>
        <v>12651</v>
      </c>
      <c r="AR191" s="820">
        <f>SUM(AR188:AR190)</f>
        <v>11732</v>
      </c>
      <c r="AS191" s="820">
        <f>SUM(AS188:AS190)</f>
        <v>12165</v>
      </c>
      <c r="AT191" s="821">
        <f>SUM(AT188:AT190)</f>
        <v>11152</v>
      </c>
      <c r="AU191" s="820"/>
      <c r="AV191" s="820"/>
      <c r="AW191" s="820"/>
      <c r="AX191" s="821"/>
      <c r="AY191" s="820"/>
      <c r="AZ191" s="820"/>
      <c r="BA191" s="820"/>
      <c r="BB191" s="821"/>
      <c r="BC191" s="3219"/>
      <c r="BD191" s="3219"/>
      <c r="BE191" s="3219"/>
      <c r="BF191" s="3128"/>
      <c r="BG191" s="3219"/>
      <c r="BH191" s="3219"/>
      <c r="BI191" s="3219"/>
      <c r="BJ191" s="3219"/>
      <c r="BK191" s="3219"/>
      <c r="BL191" s="3219"/>
      <c r="BM191" s="3128"/>
      <c r="BN191" s="77">
        <f t="shared" si="285"/>
        <v>4299.9050000000007</v>
      </c>
      <c r="BO191" s="77">
        <f t="shared" si="286"/>
        <v>7401.476999999999</v>
      </c>
      <c r="BP191" s="77">
        <f t="shared" si="287"/>
        <v>6284</v>
      </c>
      <c r="BQ191" s="47">
        <f t="shared" si="288"/>
        <v>7310</v>
      </c>
      <c r="BR191" s="77">
        <f t="shared" si="289"/>
        <v>11063</v>
      </c>
      <c r="BS191" s="77">
        <f t="shared" si="290"/>
        <v>11152</v>
      </c>
      <c r="BT191" s="77">
        <f t="shared" si="290"/>
        <v>0</v>
      </c>
      <c r="BU191" s="77">
        <f t="shared" si="290"/>
        <v>0</v>
      </c>
      <c r="BV191" s="77"/>
    </row>
    <row r="192" spans="1:75" s="1773" customFormat="1" outlineLevel="1">
      <c r="A192" s="74" t="s">
        <v>512</v>
      </c>
      <c r="B192" s="1772"/>
      <c r="C192" s="1772"/>
      <c r="L192" s="1773">
        <v>36.828000000000003</v>
      </c>
      <c r="M192" s="1773">
        <v>61.210999999999999</v>
      </c>
      <c r="N192" s="1773">
        <v>104.202</v>
      </c>
      <c r="O192" s="1773">
        <v>84.29</v>
      </c>
      <c r="P192" s="1773">
        <v>107.102</v>
      </c>
      <c r="Q192" s="1773">
        <v>178.05</v>
      </c>
      <c r="S192" s="1773">
        <v>508.41</v>
      </c>
      <c r="T192" s="1773">
        <v>264.25599999999997</v>
      </c>
      <c r="U192" s="1773">
        <v>258.75099999999998</v>
      </c>
      <c r="V192" s="1774">
        <v>258.75099999999998</v>
      </c>
      <c r="W192" s="1775">
        <v>623.98599999999999</v>
      </c>
      <c r="X192" s="1773">
        <v>559.69100000000003</v>
      </c>
      <c r="Y192" s="1773">
        <v>349.32299999999998</v>
      </c>
      <c r="Z192" s="1774">
        <v>241.44900000000001</v>
      </c>
      <c r="AA192" s="1773">
        <v>683.45</v>
      </c>
      <c r="AB192" s="1773">
        <v>685.87900000000002</v>
      </c>
      <c r="AC192" s="1773">
        <v>433.505</v>
      </c>
      <c r="AD192" s="1774">
        <v>415.52699999999999</v>
      </c>
      <c r="AE192" s="1773">
        <v>1111.7529999999999</v>
      </c>
      <c r="AF192" s="1773">
        <v>985.90099999999995</v>
      </c>
      <c r="AG192" s="1773">
        <v>617.61599999999999</v>
      </c>
      <c r="AH192" s="1774">
        <v>600</v>
      </c>
      <c r="AI192" s="1773">
        <v>1271</v>
      </c>
      <c r="AJ192" s="1773">
        <v>1238</v>
      </c>
      <c r="AK192" s="1773">
        <v>829</v>
      </c>
      <c r="AL192" s="1774">
        <f>479+364</f>
        <v>843</v>
      </c>
      <c r="AM192" s="1773">
        <v>1404</v>
      </c>
      <c r="AN192" s="1773">
        <v>483</v>
      </c>
      <c r="AO192" s="1773">
        <v>527</v>
      </c>
      <c r="AP192" s="1773">
        <f>337+277</f>
        <v>614</v>
      </c>
      <c r="AQ192" s="1773">
        <f>286+585</f>
        <v>871</v>
      </c>
      <c r="AR192" s="1773">
        <f>332+435</f>
        <v>767</v>
      </c>
      <c r="AS192" s="1773">
        <f>394+238</f>
        <v>632</v>
      </c>
      <c r="AT192" s="1774">
        <f>404+231</f>
        <v>635</v>
      </c>
      <c r="AX192" s="1774"/>
      <c r="BB192" s="1774"/>
      <c r="BC192" s="3103"/>
      <c r="BD192" s="3103"/>
      <c r="BE192" s="3103"/>
      <c r="BF192" s="3100"/>
      <c r="BG192" s="3103"/>
      <c r="BH192" s="3103"/>
      <c r="BI192" s="3103"/>
      <c r="BJ192" s="3103"/>
      <c r="BK192" s="3103"/>
      <c r="BL192" s="3103"/>
      <c r="BM192" s="3100"/>
      <c r="BN192" s="1776">
        <f t="shared" si="285"/>
        <v>241.44900000000001</v>
      </c>
      <c r="BO192" s="1776">
        <f t="shared" si="286"/>
        <v>415.52699999999999</v>
      </c>
      <c r="BP192" s="1776">
        <f t="shared" si="287"/>
        <v>600</v>
      </c>
      <c r="BQ192" s="1773">
        <f t="shared" si="288"/>
        <v>843</v>
      </c>
      <c r="BR192" s="1776">
        <f t="shared" si="289"/>
        <v>614</v>
      </c>
      <c r="BS192" s="1776">
        <f t="shared" si="290"/>
        <v>635</v>
      </c>
      <c r="BT192" s="1776">
        <f t="shared" si="290"/>
        <v>0</v>
      </c>
      <c r="BU192" s="1776">
        <f t="shared" si="290"/>
        <v>0</v>
      </c>
      <c r="BV192" s="1776"/>
    </row>
    <row r="193" spans="1:75" s="1773" customFormat="1" outlineLevel="1">
      <c r="A193" s="127" t="s">
        <v>1043</v>
      </c>
      <c r="B193" s="1809"/>
      <c r="C193" s="1772"/>
      <c r="L193" s="1773">
        <v>1834.2239999999999</v>
      </c>
      <c r="M193" s="1773">
        <v>2905.953</v>
      </c>
      <c r="N193" s="1773">
        <v>3970.6709999999998</v>
      </c>
      <c r="O193" s="1773">
        <v>6569.7420000000002</v>
      </c>
      <c r="P193" s="1773">
        <v>10444.459999999999</v>
      </c>
      <c r="Q193" s="1773">
        <v>14770.977000000001</v>
      </c>
      <c r="S193" s="1773">
        <v>17027.346000000001</v>
      </c>
      <c r="T193" s="1773">
        <v>16614.77</v>
      </c>
      <c r="U193" s="1773">
        <v>17420.575000000001</v>
      </c>
      <c r="V193" s="1774">
        <v>17420.575000000001</v>
      </c>
      <c r="W193" s="1775">
        <v>18334.545999999998</v>
      </c>
      <c r="X193" s="1773">
        <v>19687.169999999998</v>
      </c>
      <c r="Y193" s="1773">
        <v>20033.784</v>
      </c>
      <c r="Z193" s="1774">
        <v>19838.973000000002</v>
      </c>
      <c r="AA193" s="1773">
        <v>21994.252</v>
      </c>
      <c r="AB193" s="1773">
        <v>23458.323</v>
      </c>
      <c r="AC193" s="1773">
        <v>25789.111000000001</v>
      </c>
      <c r="AD193" s="1774">
        <v>25451.262999999999</v>
      </c>
      <c r="AE193" s="1773">
        <v>25018.959999999999</v>
      </c>
      <c r="AF193" s="1773">
        <v>25296.253000000001</v>
      </c>
      <c r="AG193" s="1773">
        <v>24370.475999999999</v>
      </c>
      <c r="AH193" s="1774">
        <v>22687</v>
      </c>
      <c r="AI193" s="1773">
        <v>22366</v>
      </c>
      <c r="AJ193" s="1773">
        <v>21494</v>
      </c>
      <c r="AK193" s="1773">
        <v>21446</v>
      </c>
      <c r="AL193" s="1774">
        <v>21402</v>
      </c>
      <c r="AM193" s="1773">
        <v>17862</v>
      </c>
      <c r="AN193" s="1773">
        <v>20912</v>
      </c>
      <c r="AO193" s="1773">
        <v>22145</v>
      </c>
      <c r="AP193" s="1773">
        <v>21874</v>
      </c>
      <c r="AQ193" s="30">
        <v>23655</v>
      </c>
      <c r="AR193" s="30">
        <v>23881</v>
      </c>
      <c r="AS193" s="30">
        <v>23341</v>
      </c>
      <c r="AT193" s="105">
        <v>23641</v>
      </c>
      <c r="AU193" s="30">
        <v>22384</v>
      </c>
      <c r="AV193" s="30"/>
      <c r="AW193" s="30"/>
      <c r="AX193" s="105"/>
      <c r="AY193" s="30"/>
      <c r="AZ193" s="30"/>
      <c r="BA193" s="30"/>
      <c r="BB193" s="105"/>
      <c r="BC193" s="3103"/>
      <c r="BD193" s="3103"/>
      <c r="BE193" s="3103"/>
      <c r="BF193" s="3100"/>
      <c r="BG193" s="3103"/>
      <c r="BH193" s="3103"/>
      <c r="BI193" s="3103"/>
      <c r="BJ193" s="3103"/>
      <c r="BK193" s="3103"/>
      <c r="BL193" s="3103"/>
      <c r="BM193" s="3100"/>
      <c r="BN193" s="1776">
        <f t="shared" si="285"/>
        <v>19838.973000000002</v>
      </c>
      <c r="BO193" s="1776">
        <f t="shared" si="286"/>
        <v>25451.262999999999</v>
      </c>
      <c r="BP193" s="1776">
        <f t="shared" si="287"/>
        <v>22687</v>
      </c>
      <c r="BQ193" s="1773">
        <f t="shared" si="288"/>
        <v>21402</v>
      </c>
      <c r="BR193" s="1776">
        <f t="shared" si="289"/>
        <v>21874</v>
      </c>
      <c r="BS193" s="1776">
        <f t="shared" si="290"/>
        <v>23641</v>
      </c>
      <c r="BT193" s="1776">
        <f t="shared" si="290"/>
        <v>22384</v>
      </c>
      <c r="BU193" s="1776">
        <f t="shared" si="290"/>
        <v>0</v>
      </c>
      <c r="BV193" s="1776"/>
    </row>
    <row r="194" spans="1:75" s="30" customFormat="1" outlineLevel="1">
      <c r="A194" s="72" t="s">
        <v>5</v>
      </c>
      <c r="B194" s="90"/>
      <c r="C194" s="42"/>
      <c r="V194" s="105"/>
      <c r="W194" s="376"/>
      <c r="Z194" s="105"/>
      <c r="AD194" s="105"/>
      <c r="AH194" s="105"/>
      <c r="AL194" s="105"/>
      <c r="AT194" s="105"/>
      <c r="AX194" s="105"/>
      <c r="BB194" s="105"/>
      <c r="BC194" s="3220"/>
      <c r="BD194" s="3220"/>
      <c r="BE194" s="3220"/>
      <c r="BF194" s="3129"/>
      <c r="BG194" s="3220"/>
      <c r="BH194" s="3220"/>
      <c r="BI194" s="3220"/>
      <c r="BJ194" s="3220"/>
      <c r="BK194" s="3220"/>
      <c r="BL194" s="3220"/>
      <c r="BM194" s="3129"/>
      <c r="BN194" s="77"/>
      <c r="BO194" s="77"/>
      <c r="BP194" s="77"/>
      <c r="BR194" s="77"/>
      <c r="BS194" s="77"/>
      <c r="BT194" s="77"/>
      <c r="BU194" s="77"/>
      <c r="BV194" s="77"/>
    </row>
    <row r="195" spans="1:75" s="1464" customFormat="1" outlineLevel="1">
      <c r="A195" s="73" t="s">
        <v>103</v>
      </c>
      <c r="B195" s="1463"/>
      <c r="C195" s="1463"/>
      <c r="D195" s="1489"/>
      <c r="E195" s="1489"/>
      <c r="F195" s="1489"/>
      <c r="G195" s="1489"/>
      <c r="H195" s="1489"/>
      <c r="I195" s="1489"/>
      <c r="J195" s="1489"/>
      <c r="L195" s="1464" t="s">
        <v>140</v>
      </c>
      <c r="M195" s="1489" t="s">
        <v>140</v>
      </c>
      <c r="N195" s="1489" t="s">
        <v>140</v>
      </c>
      <c r="O195" s="1489" t="s">
        <v>140</v>
      </c>
      <c r="P195" s="1489" t="s">
        <v>140</v>
      </c>
      <c r="Q195" s="1489" t="s">
        <v>140</v>
      </c>
      <c r="R195" s="1489"/>
      <c r="S195" s="1489"/>
      <c r="T195" s="1489"/>
      <c r="U195" s="1489"/>
      <c r="V195" s="1490" t="s">
        <v>140</v>
      </c>
      <c r="W195" s="1466"/>
      <c r="Z195" s="1465"/>
      <c r="AD195" s="1465"/>
      <c r="AH195" s="1465"/>
      <c r="AL195" s="1465"/>
      <c r="AT195" s="1465"/>
      <c r="AX195" s="1465"/>
      <c r="BB195" s="1465"/>
      <c r="BC195" s="3218"/>
      <c r="BD195" s="3218"/>
      <c r="BE195" s="3218"/>
      <c r="BF195" s="3127"/>
      <c r="BG195" s="3218"/>
      <c r="BH195" s="3218"/>
      <c r="BI195" s="3218"/>
      <c r="BJ195" s="3218"/>
      <c r="BK195" s="3218"/>
      <c r="BL195" s="3218"/>
      <c r="BM195" s="3127"/>
      <c r="BN195" s="1467"/>
      <c r="BO195" s="1467"/>
      <c r="BP195" s="1467"/>
      <c r="BR195" s="1467"/>
      <c r="BS195" s="1467"/>
      <c r="BT195" s="1467"/>
      <c r="BU195" s="1467"/>
      <c r="BV195" s="1467"/>
    </row>
    <row r="196" spans="1:75" s="1773" customFormat="1" ht="12.75" customHeight="1" outlineLevel="1">
      <c r="A196" s="73" t="s">
        <v>104</v>
      </c>
      <c r="B196" s="1772" t="s">
        <v>140</v>
      </c>
      <c r="C196" s="1772" t="s">
        <v>140</v>
      </c>
      <c r="D196" s="1812" t="s">
        <v>140</v>
      </c>
      <c r="E196" s="1812" t="s">
        <v>140</v>
      </c>
      <c r="F196" s="1812" t="s">
        <v>140</v>
      </c>
      <c r="G196" s="1812" t="s">
        <v>140</v>
      </c>
      <c r="H196" s="1812" t="s">
        <v>140</v>
      </c>
      <c r="I196" s="1812" t="s">
        <v>140</v>
      </c>
      <c r="J196" s="1773" t="s">
        <v>140</v>
      </c>
      <c r="K196" s="1773" t="s">
        <v>140</v>
      </c>
      <c r="L196" s="1773" t="s">
        <v>140</v>
      </c>
      <c r="M196" s="1773">
        <v>0.17499999999999999</v>
      </c>
      <c r="N196" s="1773">
        <v>497.64</v>
      </c>
      <c r="O196" s="1773">
        <v>520.34400000000005</v>
      </c>
      <c r="P196" s="1773">
        <v>151.93100000000001</v>
      </c>
      <c r="Q196" s="1773">
        <v>37.15</v>
      </c>
      <c r="S196" s="1773">
        <v>0</v>
      </c>
      <c r="V196" s="1774">
        <v>0</v>
      </c>
      <c r="W196" s="1775"/>
      <c r="Y196" s="1773">
        <v>960.98400000000004</v>
      </c>
      <c r="Z196" s="1774">
        <v>967.73400000000004</v>
      </c>
      <c r="AA196" s="1773">
        <v>974.53800000000001</v>
      </c>
      <c r="AB196" s="1773">
        <v>899.49400000000003</v>
      </c>
      <c r="AC196" s="1773">
        <v>899.80200000000002</v>
      </c>
      <c r="AD196" s="1774">
        <v>710.91</v>
      </c>
      <c r="AE196" s="1773">
        <v>941.65700000000004</v>
      </c>
      <c r="AF196" s="1773">
        <v>948.19</v>
      </c>
      <c r="AG196" s="1773">
        <v>0</v>
      </c>
      <c r="AH196" s="1774">
        <v>0</v>
      </c>
      <c r="AI196" s="1773">
        <v>968</v>
      </c>
      <c r="AJ196" s="1773">
        <v>975</v>
      </c>
      <c r="AK196" s="1773">
        <v>982</v>
      </c>
      <c r="AL196" s="1774">
        <v>988</v>
      </c>
      <c r="AM196" s="1773">
        <v>995</v>
      </c>
      <c r="AN196" s="1773">
        <v>973</v>
      </c>
      <c r="AO196" s="1773">
        <v>979</v>
      </c>
      <c r="AP196" s="1773">
        <v>985</v>
      </c>
      <c r="AQ196" s="1773">
        <v>3905</v>
      </c>
      <c r="AR196" s="1773">
        <v>2180</v>
      </c>
      <c r="AS196" s="1773">
        <v>1158</v>
      </c>
      <c r="AT196" s="1774">
        <v>1989</v>
      </c>
      <c r="AU196" s="1773">
        <v>1333</v>
      </c>
      <c r="AX196" s="1774"/>
      <c r="BB196" s="1774"/>
      <c r="BC196" s="3103"/>
      <c r="BD196" s="3103"/>
      <c r="BE196" s="3103"/>
      <c r="BF196" s="3100"/>
      <c r="BG196" s="3103"/>
      <c r="BH196" s="3103"/>
      <c r="BI196" s="3103"/>
      <c r="BJ196" s="3103"/>
      <c r="BK196" s="3103"/>
      <c r="BL196" s="3103"/>
      <c r="BM196" s="3100"/>
      <c r="BN196" s="1776">
        <f>Z196</f>
        <v>967.73400000000004</v>
      </c>
      <c r="BO196" s="1776">
        <f>AD196</f>
        <v>710.91</v>
      </c>
      <c r="BP196" s="1776">
        <f>AH196</f>
        <v>0</v>
      </c>
      <c r="BQ196" s="1773">
        <f>AL196</f>
        <v>988</v>
      </c>
      <c r="BR196" s="1776">
        <f t="shared" ref="BR196:BR202" si="294">AP196</f>
        <v>985</v>
      </c>
      <c r="BS196" s="1776">
        <f t="shared" ref="BS196:BU202" si="295">AT196</f>
        <v>1989</v>
      </c>
      <c r="BT196" s="1776">
        <f t="shared" si="295"/>
        <v>1333</v>
      </c>
      <c r="BU196" s="1776">
        <f t="shared" si="295"/>
        <v>0</v>
      </c>
      <c r="BV196" s="1776"/>
    </row>
    <row r="197" spans="1:75" s="1773" customFormat="1" outlineLevel="1">
      <c r="A197" s="73" t="s">
        <v>515</v>
      </c>
      <c r="B197" s="1772"/>
      <c r="C197" s="1772"/>
      <c r="F197" s="1773">
        <v>124.524</v>
      </c>
      <c r="G197" s="1773">
        <v>224.41800000000001</v>
      </c>
      <c r="H197" s="1773">
        <v>223.54900000000001</v>
      </c>
      <c r="I197" s="1773">
        <v>568.86500000000001</v>
      </c>
      <c r="J197" s="1773">
        <v>569.79600000000005</v>
      </c>
      <c r="K197" s="1773">
        <v>392.98500000000001</v>
      </c>
      <c r="L197" s="1773" t="s">
        <v>140</v>
      </c>
      <c r="M197" s="1773">
        <v>476.23</v>
      </c>
      <c r="N197" s="1773" t="s">
        <v>140</v>
      </c>
      <c r="O197" s="1773">
        <v>881.99599999999998</v>
      </c>
      <c r="P197" s="1773">
        <v>1742.047</v>
      </c>
      <c r="Q197" s="1773">
        <v>3823.87</v>
      </c>
      <c r="S197" s="1773">
        <v>5399.9660000000003</v>
      </c>
      <c r="T197" s="1773">
        <v>5421.3280000000004</v>
      </c>
      <c r="U197" s="1773">
        <v>6158.4430000000002</v>
      </c>
      <c r="V197" s="1774">
        <v>6158.4430000000002</v>
      </c>
      <c r="W197" s="1775">
        <v>6321.2020000000002</v>
      </c>
      <c r="X197" s="1773">
        <v>7255.2049999999999</v>
      </c>
      <c r="Y197" s="1775">
        <f>6347.205+34.504</f>
        <v>6381.7089999999998</v>
      </c>
      <c r="Z197" s="1774">
        <f>6170.522+28.538</f>
        <v>6199.0599999999995</v>
      </c>
      <c r="AA197" s="1773">
        <f>7286.102+22.521</f>
        <v>7308.6229999999996</v>
      </c>
      <c r="AB197" s="1773">
        <f>7564.636+15.077</f>
        <v>7579.7130000000006</v>
      </c>
      <c r="AC197" s="1773">
        <f>8726.679+9.401</f>
        <v>8736.08</v>
      </c>
      <c r="AD197" s="1774">
        <f>8809.788+2.963</f>
        <v>8812.7510000000002</v>
      </c>
      <c r="AE197" s="1773">
        <f>7990.418+51.398</f>
        <v>8041.8159999999998</v>
      </c>
      <c r="AF197" s="1773">
        <f>7764.58+45.643</f>
        <v>7810.223</v>
      </c>
      <c r="AG197" s="1773">
        <v>8703.9009999999998</v>
      </c>
      <c r="AH197" s="1774">
        <v>8649</v>
      </c>
      <c r="AI197" s="1773">
        <v>7619</v>
      </c>
      <c r="AJ197" s="1773">
        <v>7686</v>
      </c>
      <c r="AK197" s="1773">
        <v>7512</v>
      </c>
      <c r="AL197" s="1774">
        <v>7640</v>
      </c>
      <c r="AM197" s="1773">
        <v>7553</v>
      </c>
      <c r="AN197" s="1773">
        <v>10633</v>
      </c>
      <c r="AO197" s="1773">
        <v>10829</v>
      </c>
      <c r="AP197" s="1773">
        <v>11029</v>
      </c>
      <c r="AQ197" s="1773">
        <v>9930</v>
      </c>
      <c r="AR197" s="1773">
        <v>9986</v>
      </c>
      <c r="AS197" s="1773">
        <v>9876</v>
      </c>
      <c r="AT197" s="1774">
        <v>8937</v>
      </c>
      <c r="AU197" s="1773">
        <v>8435</v>
      </c>
      <c r="AX197" s="1774"/>
      <c r="BB197" s="1774"/>
      <c r="BC197" s="3103"/>
      <c r="BD197" s="3103"/>
      <c r="BE197" s="3103"/>
      <c r="BF197" s="3100"/>
      <c r="BG197" s="3103"/>
      <c r="BH197" s="3103"/>
      <c r="BI197" s="3103"/>
      <c r="BJ197" s="3103"/>
      <c r="BK197" s="3103"/>
      <c r="BL197" s="3103"/>
      <c r="BM197" s="3100"/>
      <c r="BN197" s="1776">
        <f>Z197</f>
        <v>6199.0599999999995</v>
      </c>
      <c r="BO197" s="1776">
        <f>AD197</f>
        <v>8812.7510000000002</v>
      </c>
      <c r="BP197" s="1776">
        <f>AH197</f>
        <v>8649</v>
      </c>
      <c r="BQ197" s="1773">
        <f>AL197</f>
        <v>7640</v>
      </c>
      <c r="BR197" s="1776">
        <f t="shared" si="294"/>
        <v>11029</v>
      </c>
      <c r="BS197" s="1776">
        <f t="shared" si="295"/>
        <v>8937</v>
      </c>
      <c r="BT197" s="1776">
        <f t="shared" si="295"/>
        <v>8435</v>
      </c>
      <c r="BU197" s="1776">
        <f t="shared" si="295"/>
        <v>0</v>
      </c>
      <c r="BV197" s="1776"/>
    </row>
    <row r="198" spans="1:75" s="30" customFormat="1" outlineLevel="1">
      <c r="A198" s="127" t="s">
        <v>105</v>
      </c>
      <c r="B198" s="42"/>
      <c r="C198" s="42"/>
      <c r="F198" s="30">
        <f>SUM(F196:F197)</f>
        <v>124.524</v>
      </c>
      <c r="G198" s="30">
        <f>SUM(G196:G197)</f>
        <v>224.41800000000001</v>
      </c>
      <c r="H198" s="30">
        <f>SUM(H196:H197)</f>
        <v>223.54900000000001</v>
      </c>
      <c r="J198" s="30">
        <f t="shared" ref="J198:Q198" si="296">SUM(J196:J197)</f>
        <v>569.79600000000005</v>
      </c>
      <c r="K198" s="30">
        <f t="shared" si="296"/>
        <v>392.98500000000001</v>
      </c>
      <c r="L198" s="30">
        <f t="shared" si="296"/>
        <v>0</v>
      </c>
      <c r="M198" s="30">
        <f t="shared" si="296"/>
        <v>476.40500000000003</v>
      </c>
      <c r="N198" s="30">
        <f t="shared" si="296"/>
        <v>497.64</v>
      </c>
      <c r="O198" s="30">
        <f t="shared" si="296"/>
        <v>1402.3400000000001</v>
      </c>
      <c r="P198" s="30">
        <f t="shared" si="296"/>
        <v>1893.9780000000001</v>
      </c>
      <c r="Q198" s="30">
        <f t="shared" si="296"/>
        <v>3861.02</v>
      </c>
      <c r="S198" s="30">
        <f t="shared" ref="S198:AD198" si="297">SUM(S196:S197)</f>
        <v>5399.9660000000003</v>
      </c>
      <c r="T198" s="30">
        <f t="shared" si="297"/>
        <v>5421.3280000000004</v>
      </c>
      <c r="U198" s="30">
        <f t="shared" si="297"/>
        <v>6158.4430000000002</v>
      </c>
      <c r="V198" s="105">
        <f t="shared" si="297"/>
        <v>6158.4430000000002</v>
      </c>
      <c r="W198" s="376">
        <f t="shared" si="297"/>
        <v>6321.2020000000002</v>
      </c>
      <c r="X198" s="376">
        <f t="shared" si="297"/>
        <v>7255.2049999999999</v>
      </c>
      <c r="Y198" s="376">
        <f t="shared" si="297"/>
        <v>7342.6930000000002</v>
      </c>
      <c r="Z198" s="829">
        <f t="shared" si="297"/>
        <v>7166.7939999999999</v>
      </c>
      <c r="AA198" s="376">
        <f t="shared" si="297"/>
        <v>8283.1610000000001</v>
      </c>
      <c r="AB198" s="376">
        <f t="shared" si="297"/>
        <v>8479.2070000000003</v>
      </c>
      <c r="AC198" s="376">
        <f t="shared" si="297"/>
        <v>9635.8819999999996</v>
      </c>
      <c r="AD198" s="829">
        <f t="shared" si="297"/>
        <v>9523.6610000000001</v>
      </c>
      <c r="AE198" s="376">
        <f t="shared" ref="AE198:AT198" si="298">SUM(AE196:AE197)</f>
        <v>8983.473</v>
      </c>
      <c r="AF198" s="376">
        <f t="shared" si="298"/>
        <v>8758.4130000000005</v>
      </c>
      <c r="AG198" s="376">
        <f t="shared" si="298"/>
        <v>8703.9009999999998</v>
      </c>
      <c r="AH198" s="829">
        <f t="shared" si="298"/>
        <v>8649</v>
      </c>
      <c r="AI198" s="376">
        <f t="shared" si="298"/>
        <v>8587</v>
      </c>
      <c r="AJ198" s="376">
        <f t="shared" si="298"/>
        <v>8661</v>
      </c>
      <c r="AK198" s="376">
        <f t="shared" si="298"/>
        <v>8494</v>
      </c>
      <c r="AL198" s="829">
        <f t="shared" si="298"/>
        <v>8628</v>
      </c>
      <c r="AM198" s="376">
        <f t="shared" si="298"/>
        <v>8548</v>
      </c>
      <c r="AN198" s="376">
        <f t="shared" si="298"/>
        <v>11606</v>
      </c>
      <c r="AO198" s="376">
        <f t="shared" si="298"/>
        <v>11808</v>
      </c>
      <c r="AP198" s="376">
        <f t="shared" si="298"/>
        <v>12014</v>
      </c>
      <c r="AQ198" s="376">
        <f t="shared" si="298"/>
        <v>13835</v>
      </c>
      <c r="AR198" s="376">
        <f t="shared" si="298"/>
        <v>12166</v>
      </c>
      <c r="AS198" s="376">
        <f t="shared" si="298"/>
        <v>11034</v>
      </c>
      <c r="AT198" s="829">
        <f t="shared" si="298"/>
        <v>10926</v>
      </c>
      <c r="AU198" s="376">
        <f>SUM(AU196:AU197)</f>
        <v>9768</v>
      </c>
      <c r="AV198" s="376"/>
      <c r="AW198" s="376"/>
      <c r="AX198" s="829"/>
      <c r="AY198" s="376"/>
      <c r="AZ198" s="376"/>
      <c r="BA198" s="376"/>
      <c r="BB198" s="829"/>
      <c r="BC198" s="3135"/>
      <c r="BD198" s="3135"/>
      <c r="BE198" s="3135"/>
      <c r="BF198" s="3130"/>
      <c r="BG198" s="3135"/>
      <c r="BH198" s="3135"/>
      <c r="BI198" s="3135"/>
      <c r="BJ198" s="3135"/>
      <c r="BK198" s="3135"/>
      <c r="BL198" s="3135"/>
      <c r="BM198" s="3130"/>
      <c r="BN198" s="77">
        <f>Z198</f>
        <v>7166.7939999999999</v>
      </c>
      <c r="BO198" s="77">
        <f>AD198</f>
        <v>9523.6610000000001</v>
      </c>
      <c r="BP198" s="77">
        <f>AH198</f>
        <v>8649</v>
      </c>
      <c r="BQ198" s="47">
        <f>AL198</f>
        <v>8628</v>
      </c>
      <c r="BR198" s="77">
        <f t="shared" si="294"/>
        <v>12014</v>
      </c>
      <c r="BS198" s="77">
        <f t="shared" si="295"/>
        <v>10926</v>
      </c>
      <c r="BT198" s="77">
        <f t="shared" si="295"/>
        <v>9768</v>
      </c>
      <c r="BU198" s="77">
        <f t="shared" si="295"/>
        <v>0</v>
      </c>
      <c r="BV198" s="77"/>
    </row>
    <row r="199" spans="1:75" s="1773" customFormat="1" outlineLevel="1">
      <c r="A199" s="72" t="s">
        <v>517</v>
      </c>
      <c r="B199" s="1809"/>
      <c r="C199" s="1772"/>
      <c r="L199" s="1773">
        <f>476.61+35.985</f>
        <v>512.59500000000003</v>
      </c>
      <c r="M199" s="1773">
        <f>1046.828+45.751+0.038</f>
        <v>1092.617</v>
      </c>
      <c r="N199" s="1773">
        <f>1191.971+127.045+77.36</f>
        <v>1396.376</v>
      </c>
      <c r="O199" s="1773">
        <f>2457.825+160.287+54.655</f>
        <v>2672.7669999999998</v>
      </c>
      <c r="P199" s="1773">
        <f>3526.198+8.533</f>
        <v>3534.7309999999998</v>
      </c>
      <c r="Q199" s="1773">
        <v>6203.9539999999997</v>
      </c>
      <c r="S199" s="1773">
        <v>8469.3809999999994</v>
      </c>
      <c r="T199" s="1773">
        <v>8087.9970000000003</v>
      </c>
      <c r="U199" s="1773">
        <v>8625.1059999999998</v>
      </c>
      <c r="V199" s="1774">
        <v>8625.1059999999998</v>
      </c>
      <c r="W199" s="1775">
        <v>9282.1790000000001</v>
      </c>
      <c r="X199" s="1773">
        <v>10412.465</v>
      </c>
      <c r="Y199" s="1773">
        <f>10196.71+34.504</f>
        <v>10231.214</v>
      </c>
      <c r="Z199" s="1774">
        <f>9990.293+28.538</f>
        <v>10018.831</v>
      </c>
      <c r="AA199" s="1773">
        <f>11160.712+22.521</f>
        <v>11183.233</v>
      </c>
      <c r="AB199" s="1773">
        <v>11853.576999999999</v>
      </c>
      <c r="AC199" s="1773">
        <f>12902.716+9.401</f>
        <v>12912.117</v>
      </c>
      <c r="AD199" s="1774">
        <f>14187.702+2.963</f>
        <v>14190.664999999999</v>
      </c>
      <c r="AE199" s="1773">
        <f>14331.219+51.398</f>
        <v>14382.616999999998</v>
      </c>
      <c r="AF199" s="1773">
        <f>14777.978+45.643</f>
        <v>14823.620999999999</v>
      </c>
      <c r="AG199" s="1773">
        <v>14418.665999999999</v>
      </c>
      <c r="AH199" s="1774">
        <v>13902</v>
      </c>
      <c r="AI199" s="1773">
        <v>15451</v>
      </c>
      <c r="AJ199" s="1773">
        <v>16187</v>
      </c>
      <c r="AK199" s="1773">
        <v>15495</v>
      </c>
      <c r="AL199" s="1774">
        <v>15469</v>
      </c>
      <c r="AM199" s="1773">
        <v>14027</v>
      </c>
      <c r="AN199" s="1773">
        <v>16913</v>
      </c>
      <c r="AO199" s="1773">
        <v>17232</v>
      </c>
      <c r="AP199" s="1773">
        <v>16981</v>
      </c>
      <c r="AQ199" s="1773">
        <v>18891</v>
      </c>
      <c r="AR199" s="1773">
        <v>19077</v>
      </c>
      <c r="AS199" s="1773">
        <v>17796</v>
      </c>
      <c r="AT199" s="1774">
        <v>17463</v>
      </c>
      <c r="AU199" s="1773">
        <v>18011</v>
      </c>
      <c r="AX199" s="1774"/>
      <c r="BB199" s="1774"/>
      <c r="BC199" s="3103"/>
      <c r="BD199" s="3103"/>
      <c r="BE199" s="3103"/>
      <c r="BF199" s="3100"/>
      <c r="BG199" s="3103"/>
      <c r="BH199" s="3103"/>
      <c r="BI199" s="3103"/>
      <c r="BJ199" s="3103"/>
      <c r="BK199" s="3103"/>
      <c r="BL199" s="3103"/>
      <c r="BM199" s="3100"/>
      <c r="BN199" s="1776">
        <f>Z199</f>
        <v>10018.831</v>
      </c>
      <c r="BO199" s="1776">
        <f>AD199</f>
        <v>14190.664999999999</v>
      </c>
      <c r="BP199" s="1776">
        <f>AH199</f>
        <v>13902</v>
      </c>
      <c r="BQ199" s="1773">
        <f>AL199</f>
        <v>15469</v>
      </c>
      <c r="BR199" s="1776">
        <f t="shared" si="294"/>
        <v>16981</v>
      </c>
      <c r="BS199" s="1776">
        <f t="shared" si="295"/>
        <v>17463</v>
      </c>
      <c r="BT199" s="1776">
        <f t="shared" si="295"/>
        <v>18011</v>
      </c>
      <c r="BU199" s="1776">
        <f t="shared" si="295"/>
        <v>0</v>
      </c>
      <c r="BV199" s="1776"/>
    </row>
    <row r="200" spans="1:75" s="1773" customFormat="1" outlineLevel="1">
      <c r="A200" s="72" t="s">
        <v>2086</v>
      </c>
      <c r="B200" s="1809"/>
      <c r="C200" s="1772"/>
      <c r="V200" s="1774"/>
      <c r="W200" s="1775"/>
      <c r="Z200" s="1774"/>
      <c r="AD200" s="1774"/>
      <c r="AH200" s="1774"/>
      <c r="AL200" s="1774"/>
      <c r="AM200" s="1773">
        <v>4</v>
      </c>
      <c r="AR200" s="1773">
        <v>5</v>
      </c>
      <c r="AT200" s="1774"/>
      <c r="AX200" s="1774"/>
      <c r="BB200" s="1774"/>
      <c r="BC200" s="3103"/>
      <c r="BD200" s="3103"/>
      <c r="BE200" s="3103"/>
      <c r="BF200" s="3100"/>
      <c r="BG200" s="3103"/>
      <c r="BH200" s="3103"/>
      <c r="BI200" s="3103"/>
      <c r="BJ200" s="3103"/>
      <c r="BK200" s="3103"/>
      <c r="BL200" s="3103"/>
      <c r="BM200" s="3100"/>
      <c r="BN200" s="1776"/>
      <c r="BO200" s="1776"/>
      <c r="BP200" s="1776"/>
      <c r="BR200" s="1776">
        <f t="shared" si="294"/>
        <v>0</v>
      </c>
      <c r="BS200" s="1776">
        <f t="shared" si="295"/>
        <v>0</v>
      </c>
      <c r="BT200" s="1776">
        <f t="shared" si="295"/>
        <v>0</v>
      </c>
      <c r="BU200" s="1776">
        <f t="shared" si="295"/>
        <v>0</v>
      </c>
      <c r="BV200" s="1776"/>
    </row>
    <row r="201" spans="1:75" s="30" customFormat="1" outlineLevel="1">
      <c r="A201" s="72" t="s">
        <v>106</v>
      </c>
      <c r="B201" s="54"/>
      <c r="C201" s="42"/>
      <c r="L201" s="30">
        <v>1321.6289999999999</v>
      </c>
      <c r="M201" s="30">
        <v>1813.336</v>
      </c>
      <c r="N201" s="30">
        <v>2574.2950000000001</v>
      </c>
      <c r="O201" s="30">
        <v>3896.9749999999999</v>
      </c>
      <c r="P201" s="30">
        <v>6909.7290000000003</v>
      </c>
      <c r="Q201" s="30">
        <v>8566.6939999999995</v>
      </c>
      <c r="S201" s="30">
        <v>8557.9650000000001</v>
      </c>
      <c r="T201" s="30">
        <v>8526.7729999999992</v>
      </c>
      <c r="U201" s="30">
        <v>8795.4689999999991</v>
      </c>
      <c r="V201" s="105">
        <v>8795.4689999999991</v>
      </c>
      <c r="W201" s="376">
        <f t="shared" ref="W201:AK201" si="299">W193-W199</f>
        <v>9052.3669999999984</v>
      </c>
      <c r="X201" s="376">
        <f t="shared" si="299"/>
        <v>9274.7049999999981</v>
      </c>
      <c r="Y201" s="376">
        <f t="shared" si="299"/>
        <v>9802.57</v>
      </c>
      <c r="Z201" s="829">
        <f t="shared" si="299"/>
        <v>9820.1420000000016</v>
      </c>
      <c r="AA201" s="376">
        <f t="shared" si="299"/>
        <v>10811.019</v>
      </c>
      <c r="AB201" s="376">
        <f t="shared" si="299"/>
        <v>11604.746000000001</v>
      </c>
      <c r="AC201" s="376">
        <f t="shared" si="299"/>
        <v>12876.994000000001</v>
      </c>
      <c r="AD201" s="829">
        <f t="shared" si="299"/>
        <v>11260.598</v>
      </c>
      <c r="AE201" s="376">
        <f t="shared" si="299"/>
        <v>10636.343000000001</v>
      </c>
      <c r="AF201" s="376">
        <f t="shared" si="299"/>
        <v>10472.632000000001</v>
      </c>
      <c r="AG201" s="376">
        <f t="shared" si="299"/>
        <v>9951.81</v>
      </c>
      <c r="AH201" s="829">
        <f t="shared" si="299"/>
        <v>8785</v>
      </c>
      <c r="AI201" s="376">
        <f t="shared" si="299"/>
        <v>6915</v>
      </c>
      <c r="AJ201" s="376">
        <f t="shared" si="299"/>
        <v>5307</v>
      </c>
      <c r="AK201" s="376">
        <f t="shared" si="299"/>
        <v>5951</v>
      </c>
      <c r="AL201" s="829">
        <f>AL193-AL199-AL200</f>
        <v>5933</v>
      </c>
      <c r="AM201" s="376">
        <f>AM193-AM199-AM200</f>
        <v>3831</v>
      </c>
      <c r="AN201" s="376">
        <f>AN193-AN199-AN200</f>
        <v>3999</v>
      </c>
      <c r="AO201" s="376">
        <f>AO193-AO199-AO200</f>
        <v>4913</v>
      </c>
      <c r="AP201" s="376">
        <v>4893</v>
      </c>
      <c r="AQ201" s="376">
        <v>4764</v>
      </c>
      <c r="AR201" s="376">
        <v>4799</v>
      </c>
      <c r="AS201" s="376">
        <v>5545</v>
      </c>
      <c r="AT201" s="829">
        <v>6178</v>
      </c>
      <c r="AU201" s="376">
        <v>4373</v>
      </c>
      <c r="AV201" s="376"/>
      <c r="AW201" s="376"/>
      <c r="AX201" s="829"/>
      <c r="AY201" s="376"/>
      <c r="AZ201" s="376"/>
      <c r="BA201" s="376"/>
      <c r="BB201" s="829"/>
      <c r="BC201" s="3135"/>
      <c r="BD201" s="3135"/>
      <c r="BE201" s="3135"/>
      <c r="BF201" s="3130"/>
      <c r="BG201" s="3135"/>
      <c r="BH201" s="3135"/>
      <c r="BI201" s="3135"/>
      <c r="BJ201" s="3135"/>
      <c r="BK201" s="3135"/>
      <c r="BL201" s="3135"/>
      <c r="BM201" s="3130"/>
      <c r="BN201" s="77">
        <f>Z201</f>
        <v>9820.1420000000016</v>
      </c>
      <c r="BO201" s="77">
        <f>AD201</f>
        <v>11260.598</v>
      </c>
      <c r="BP201" s="77">
        <f>AH201</f>
        <v>8785</v>
      </c>
      <c r="BQ201" s="47">
        <f>AL201</f>
        <v>5933</v>
      </c>
      <c r="BR201" s="77">
        <f t="shared" si="294"/>
        <v>4893</v>
      </c>
      <c r="BS201" s="77">
        <f t="shared" si="295"/>
        <v>6178</v>
      </c>
      <c r="BT201" s="77">
        <f t="shared" si="295"/>
        <v>4373</v>
      </c>
      <c r="BU201" s="77">
        <f t="shared" si="295"/>
        <v>0</v>
      </c>
      <c r="BV201" s="77"/>
    </row>
    <row r="202" spans="1:75" s="30" customFormat="1" outlineLevel="1">
      <c r="A202" s="72" t="s">
        <v>6</v>
      </c>
      <c r="B202" s="54"/>
      <c r="C202" s="42"/>
      <c r="L202" s="30">
        <f>SUM(L199:L201)</f>
        <v>1834.2239999999999</v>
      </c>
      <c r="M202" s="34">
        <f>SUM(M199:M201)</f>
        <v>2905.953</v>
      </c>
      <c r="N202" s="34">
        <f>SUM(N199:N201)</f>
        <v>3970.6710000000003</v>
      </c>
      <c r="O202" s="34">
        <f>O201+O199</f>
        <v>6569.7420000000002</v>
      </c>
      <c r="P202" s="34">
        <f>P201+P199</f>
        <v>10444.459999999999</v>
      </c>
      <c r="Q202" s="34">
        <f>Q201+Q199</f>
        <v>14770.647999999999</v>
      </c>
      <c r="R202" s="34"/>
      <c r="S202" s="34">
        <f t="shared" ref="S202:AK202" si="300">S201+S199</f>
        <v>17027.345999999998</v>
      </c>
      <c r="T202" s="34">
        <f t="shared" si="300"/>
        <v>16614.77</v>
      </c>
      <c r="U202" s="34">
        <f t="shared" si="300"/>
        <v>17420.574999999997</v>
      </c>
      <c r="V202" s="106">
        <f t="shared" si="300"/>
        <v>17420.574999999997</v>
      </c>
      <c r="W202" s="840">
        <f t="shared" si="300"/>
        <v>18334.545999999998</v>
      </c>
      <c r="X202" s="840">
        <f t="shared" si="300"/>
        <v>19687.169999999998</v>
      </c>
      <c r="Y202" s="840">
        <f t="shared" si="300"/>
        <v>20033.784</v>
      </c>
      <c r="Z202" s="1021">
        <f t="shared" si="300"/>
        <v>19838.973000000002</v>
      </c>
      <c r="AA202" s="840">
        <f t="shared" si="300"/>
        <v>21994.252</v>
      </c>
      <c r="AB202" s="840">
        <f t="shared" si="300"/>
        <v>23458.323</v>
      </c>
      <c r="AC202" s="840">
        <f t="shared" si="300"/>
        <v>25789.111000000001</v>
      </c>
      <c r="AD202" s="1021">
        <f t="shared" si="300"/>
        <v>25451.262999999999</v>
      </c>
      <c r="AE202" s="840">
        <f t="shared" si="300"/>
        <v>25018.959999999999</v>
      </c>
      <c r="AF202" s="840">
        <f t="shared" si="300"/>
        <v>25296.253000000001</v>
      </c>
      <c r="AG202" s="840">
        <f t="shared" si="300"/>
        <v>24370.475999999999</v>
      </c>
      <c r="AH202" s="1021">
        <f t="shared" si="300"/>
        <v>22687</v>
      </c>
      <c r="AI202" s="840">
        <f t="shared" si="300"/>
        <v>22366</v>
      </c>
      <c r="AJ202" s="840">
        <f t="shared" si="300"/>
        <v>21494</v>
      </c>
      <c r="AK202" s="840">
        <f t="shared" si="300"/>
        <v>21446</v>
      </c>
      <c r="AL202" s="1021">
        <f>SUM(AL199:AL201)</f>
        <v>21402</v>
      </c>
      <c r="AM202" s="840">
        <f>SUM(AM199:AM201)</f>
        <v>17862</v>
      </c>
      <c r="AN202" s="840">
        <f>SUM(AN199:AN201)</f>
        <v>20912</v>
      </c>
      <c r="AO202" s="840">
        <f>SUM(AO199:AO201)</f>
        <v>22145</v>
      </c>
      <c r="AP202" s="840">
        <v>21874</v>
      </c>
      <c r="AQ202" s="840">
        <v>23655</v>
      </c>
      <c r="AR202" s="840">
        <v>23881</v>
      </c>
      <c r="AS202" s="840">
        <v>23341</v>
      </c>
      <c r="AT202" s="1021">
        <v>23641</v>
      </c>
      <c r="AU202" s="840">
        <v>22384</v>
      </c>
      <c r="AV202" s="840"/>
      <c r="AW202" s="840"/>
      <c r="AX202" s="1021"/>
      <c r="AY202" s="840"/>
      <c r="AZ202" s="840"/>
      <c r="BA202" s="840"/>
      <c r="BB202" s="1021"/>
      <c r="BC202" s="3221"/>
      <c r="BD202" s="3221"/>
      <c r="BE202" s="3221"/>
      <c r="BF202" s="3131"/>
      <c r="BG202" s="3221"/>
      <c r="BH202" s="3221"/>
      <c r="BI202" s="3221"/>
      <c r="BJ202" s="3221"/>
      <c r="BK202" s="3221"/>
      <c r="BL202" s="3221"/>
      <c r="BM202" s="3131"/>
      <c r="BN202" s="77">
        <f>Z202</f>
        <v>19838.973000000002</v>
      </c>
      <c r="BO202" s="77">
        <f>AD202</f>
        <v>25451.262999999999</v>
      </c>
      <c r="BP202" s="77">
        <f>AH202</f>
        <v>22687</v>
      </c>
      <c r="BQ202" s="47">
        <f>AL202</f>
        <v>21402</v>
      </c>
      <c r="BR202" s="77">
        <f t="shared" si="294"/>
        <v>21874</v>
      </c>
      <c r="BS202" s="77">
        <f t="shared" si="295"/>
        <v>23641</v>
      </c>
      <c r="BT202" s="77">
        <f t="shared" si="295"/>
        <v>22384</v>
      </c>
      <c r="BU202" s="77">
        <f t="shared" si="295"/>
        <v>0</v>
      </c>
      <c r="BV202" s="77"/>
    </row>
    <row r="203" spans="1:75" outlineLevel="1">
      <c r="A203" s="71"/>
      <c r="B203" s="92"/>
      <c r="AU203" s="133"/>
      <c r="AY203" s="133"/>
      <c r="AZ203" s="133"/>
      <c r="BA203" s="133"/>
      <c r="BB203" s="136"/>
      <c r="BU203" s="159"/>
      <c r="BV203" s="159"/>
    </row>
    <row r="204" spans="1:75" s="473" customFormat="1" outlineLevel="1">
      <c r="A204" s="495" t="s">
        <v>107</v>
      </c>
      <c r="B204" s="501"/>
      <c r="C204" s="501"/>
      <c r="D204" s="498"/>
      <c r="E204" s="498"/>
      <c r="F204" s="498"/>
      <c r="G204" s="498"/>
      <c r="H204" s="498"/>
      <c r="I204" s="498"/>
      <c r="J204" s="498"/>
      <c r="K204" s="498"/>
      <c r="L204" s="498">
        <f t="shared" ref="L204:Q204" si="301">L198/L193</f>
        <v>0</v>
      </c>
      <c r="M204" s="498">
        <f t="shared" si="301"/>
        <v>0.1639410547933845</v>
      </c>
      <c r="N204" s="498">
        <f t="shared" si="301"/>
        <v>0.12532894314336293</v>
      </c>
      <c r="O204" s="498">
        <f t="shared" si="301"/>
        <v>0.21345434874002664</v>
      </c>
      <c r="P204" s="498">
        <f t="shared" si="301"/>
        <v>0.18133804907099077</v>
      </c>
      <c r="Q204" s="498">
        <f t="shared" si="301"/>
        <v>0.261392323608655</v>
      </c>
      <c r="R204" s="498"/>
      <c r="S204" s="498">
        <f t="shared" ref="S204:X204" si="302">S198/S193</f>
        <v>0.31713491932330501</v>
      </c>
      <c r="T204" s="498">
        <f t="shared" si="302"/>
        <v>0.32629569954925647</v>
      </c>
      <c r="U204" s="498">
        <f t="shared" si="302"/>
        <v>0.35351548384596948</v>
      </c>
      <c r="V204" s="500">
        <f t="shared" si="302"/>
        <v>0.35351548384596948</v>
      </c>
      <c r="W204" s="498">
        <f t="shared" si="302"/>
        <v>0.34477003139319623</v>
      </c>
      <c r="X204" s="498">
        <f t="shared" si="302"/>
        <v>0.36852452637936284</v>
      </c>
      <c r="Y204" s="498">
        <f>Y197/Y193</f>
        <v>0.31854735979982612</v>
      </c>
      <c r="Z204" s="500">
        <f t="shared" ref="Z204:BO204" si="303">Z198/Z193</f>
        <v>0.36124823598479616</v>
      </c>
      <c r="AA204" s="473">
        <f t="shared" si="303"/>
        <v>0.37660571498407858</v>
      </c>
      <c r="AB204" s="473">
        <f t="shared" si="303"/>
        <v>0.36145836170812384</v>
      </c>
      <c r="AC204" s="473">
        <f t="shared" si="303"/>
        <v>0.37364149543580621</v>
      </c>
      <c r="AD204" s="486">
        <f t="shared" si="303"/>
        <v>0.37419207840491059</v>
      </c>
      <c r="AE204" s="473">
        <f t="shared" si="303"/>
        <v>0.35906660388761164</v>
      </c>
      <c r="AF204" s="473">
        <f t="shared" si="303"/>
        <v>0.34623361017143528</v>
      </c>
      <c r="AG204" s="473">
        <f t="shared" si="303"/>
        <v>0.35714940487826335</v>
      </c>
      <c r="AH204" s="486">
        <f t="shared" si="303"/>
        <v>0.38123154229294309</v>
      </c>
      <c r="AI204" s="473">
        <f t="shared" si="303"/>
        <v>0.38393096664580167</v>
      </c>
      <c r="AJ204" s="473">
        <f t="shared" si="303"/>
        <v>0.40294966037033592</v>
      </c>
      <c r="AK204" s="473">
        <f t="shared" si="303"/>
        <v>0.39606453417886783</v>
      </c>
      <c r="AL204" s="486">
        <f t="shared" si="303"/>
        <v>0.40313989346790019</v>
      </c>
      <c r="AM204" s="473">
        <f t="shared" si="303"/>
        <v>0.47855783226962267</v>
      </c>
      <c r="AN204" s="473">
        <f t="shared" si="303"/>
        <v>0.55499234889058913</v>
      </c>
      <c r="AO204" s="473">
        <f t="shared" si="303"/>
        <v>0.53321291487920519</v>
      </c>
      <c r="AP204" s="473">
        <f t="shared" si="303"/>
        <v>0.54923653652738413</v>
      </c>
      <c r="AQ204" s="473">
        <f t="shared" si="303"/>
        <v>0.58486577890509406</v>
      </c>
      <c r="AR204" s="473">
        <f t="shared" si="303"/>
        <v>0.50944265315522796</v>
      </c>
      <c r="AS204" s="473">
        <f t="shared" si="303"/>
        <v>0.47273038858660726</v>
      </c>
      <c r="AT204" s="486">
        <f t="shared" si="303"/>
        <v>0.46216319106636777</v>
      </c>
      <c r="AU204" s="473">
        <f t="shared" si="303"/>
        <v>0.43638313080771979</v>
      </c>
      <c r="AX204" s="486"/>
      <c r="BB204" s="486"/>
      <c r="BC204" s="3101"/>
      <c r="BD204" s="3101"/>
      <c r="BE204" s="3101"/>
      <c r="BF204" s="3102"/>
      <c r="BG204" s="3101"/>
      <c r="BH204" s="3101"/>
      <c r="BI204" s="3101"/>
      <c r="BJ204" s="3101"/>
      <c r="BK204" s="3101"/>
      <c r="BL204" s="3101"/>
      <c r="BM204" s="3102"/>
      <c r="BN204" s="496">
        <f t="shared" si="303"/>
        <v>0.36124823598479616</v>
      </c>
      <c r="BO204" s="496">
        <f t="shared" si="303"/>
        <v>0.37419207840491059</v>
      </c>
      <c r="BP204" s="496">
        <f>AH204</f>
        <v>0.38123154229294309</v>
      </c>
      <c r="BQ204" s="502">
        <f>AL204</f>
        <v>0.40313989346790019</v>
      </c>
      <c r="BR204" s="496">
        <f>AP204</f>
        <v>0.54923653652738413</v>
      </c>
      <c r="BS204" s="496">
        <f>AT204</f>
        <v>0.46216319106636777</v>
      </c>
      <c r="BT204" s="496">
        <f>AU204</f>
        <v>0.43638313080771979</v>
      </c>
      <c r="BU204" s="496">
        <f>AV204</f>
        <v>0</v>
      </c>
      <c r="BV204" s="496"/>
      <c r="BW204" s="498"/>
    </row>
    <row r="205" spans="1:75" outlineLevel="1">
      <c r="A205" s="76"/>
      <c r="B205" s="88"/>
      <c r="AU205" s="133"/>
      <c r="AY205" s="133"/>
      <c r="AZ205" s="133"/>
      <c r="BA205" s="133"/>
      <c r="BB205" s="136"/>
      <c r="BU205" s="159"/>
      <c r="BV205" s="159"/>
    </row>
    <row r="206" spans="1:75" outlineLevel="1">
      <c r="A206" s="76"/>
      <c r="B206" s="88"/>
      <c r="AU206" s="133"/>
      <c r="AY206" s="133"/>
      <c r="AZ206" s="133"/>
      <c r="BA206" s="133"/>
      <c r="BB206" s="136"/>
      <c r="BU206" s="159"/>
      <c r="BV206" s="159"/>
    </row>
    <row r="207" spans="1:75" outlineLevel="1">
      <c r="A207" s="95" t="s">
        <v>108</v>
      </c>
      <c r="B207" s="80"/>
      <c r="C207" s="80"/>
      <c r="D207" s="5"/>
      <c r="E207" s="5"/>
      <c r="F207" s="5"/>
      <c r="G207" s="5"/>
      <c r="H207" s="5"/>
      <c r="I207" s="5"/>
      <c r="J207" s="5"/>
      <c r="K207" s="5"/>
      <c r="L207" s="5" t="s">
        <v>979</v>
      </c>
      <c r="M207" s="5" t="s">
        <v>979</v>
      </c>
      <c r="N207" s="5" t="s">
        <v>979</v>
      </c>
      <c r="O207" s="5" t="s">
        <v>979</v>
      </c>
      <c r="P207" s="5" t="s">
        <v>979</v>
      </c>
      <c r="Q207" s="5" t="s">
        <v>979</v>
      </c>
      <c r="R207" s="5"/>
      <c r="S207" s="5" t="s">
        <v>697</v>
      </c>
      <c r="T207" s="5" t="s">
        <v>697</v>
      </c>
      <c r="U207" s="5" t="s">
        <v>697</v>
      </c>
      <c r="V207" s="96" t="s">
        <v>979</v>
      </c>
      <c r="W207" s="835" t="s">
        <v>979</v>
      </c>
      <c r="X207" s="835" t="s">
        <v>979</v>
      </c>
      <c r="Y207" s="835" t="s">
        <v>979</v>
      </c>
      <c r="Z207" s="836" t="s">
        <v>979</v>
      </c>
      <c r="AA207" s="835" t="s">
        <v>979</v>
      </c>
      <c r="AB207" s="835" t="s">
        <v>979</v>
      </c>
      <c r="AC207" s="835" t="s">
        <v>979</v>
      </c>
      <c r="AD207" s="836" t="s">
        <v>979</v>
      </c>
      <c r="AE207" s="835" t="s">
        <v>979</v>
      </c>
      <c r="AF207" s="835" t="s">
        <v>979</v>
      </c>
      <c r="AG207" s="835" t="s">
        <v>399</v>
      </c>
      <c r="AH207" s="836" t="s">
        <v>399</v>
      </c>
      <c r="AI207" s="835" t="s">
        <v>399</v>
      </c>
      <c r="AJ207" s="835" t="s">
        <v>399</v>
      </c>
      <c r="AK207" s="835" t="s">
        <v>399</v>
      </c>
      <c r="AL207" s="836" t="s">
        <v>399</v>
      </c>
      <c r="AM207" s="835" t="s">
        <v>399</v>
      </c>
      <c r="AN207" s="835" t="s">
        <v>399</v>
      </c>
      <c r="AO207" s="835" t="s">
        <v>399</v>
      </c>
      <c r="AP207" s="835" t="s">
        <v>399</v>
      </c>
      <c r="AQ207" s="835" t="s">
        <v>399</v>
      </c>
      <c r="AR207" s="1442" t="s">
        <v>697</v>
      </c>
      <c r="AS207" s="1442" t="s">
        <v>697</v>
      </c>
      <c r="AT207" s="1443" t="s">
        <v>697</v>
      </c>
      <c r="AU207" s="835" t="s">
        <v>399</v>
      </c>
      <c r="AV207" s="1442" t="s">
        <v>697</v>
      </c>
      <c r="AW207" s="1442" t="s">
        <v>399</v>
      </c>
      <c r="AX207" s="1443"/>
      <c r="AY207" s="835"/>
      <c r="AZ207" s="1442"/>
      <c r="BA207" s="1442"/>
      <c r="BB207" s="1443"/>
      <c r="BC207" s="1445"/>
      <c r="BD207" s="1445"/>
      <c r="BE207" s="1445"/>
      <c r="BF207" s="1446"/>
      <c r="BG207" s="1445"/>
      <c r="BH207" s="1445"/>
      <c r="BI207" s="1445"/>
      <c r="BJ207" s="1445"/>
      <c r="BK207" s="1445"/>
      <c r="BL207" s="1445"/>
      <c r="BM207" s="1446"/>
      <c r="BN207" s="2875" t="s">
        <v>399</v>
      </c>
      <c r="BO207" s="2875" t="s">
        <v>399</v>
      </c>
      <c r="BP207" s="2875" t="s">
        <v>1421</v>
      </c>
      <c r="BQ207" s="2876" t="s">
        <v>1421</v>
      </c>
      <c r="BR207" s="2875" t="s">
        <v>1421</v>
      </c>
      <c r="BS207" s="2875" t="s">
        <v>1421</v>
      </c>
      <c r="BT207" s="2875" t="s">
        <v>1421</v>
      </c>
      <c r="BU207" s="2875" t="s">
        <v>1421</v>
      </c>
      <c r="BV207" s="2875"/>
      <c r="BW207" s="3489"/>
    </row>
    <row r="208" spans="1:75" outlineLevel="1">
      <c r="A208" s="61" t="s">
        <v>1044</v>
      </c>
      <c r="B208" s="80"/>
      <c r="C208" s="80"/>
      <c r="D208" s="5"/>
      <c r="E208" s="5"/>
      <c r="F208" s="5"/>
      <c r="G208" s="5"/>
      <c r="H208" s="5"/>
      <c r="I208" s="5"/>
      <c r="J208" s="5"/>
      <c r="K208" s="5"/>
      <c r="L208" s="5">
        <v>2009</v>
      </c>
      <c r="M208" s="5">
        <v>2010</v>
      </c>
      <c r="N208" s="5">
        <v>2011</v>
      </c>
      <c r="O208" s="5">
        <v>2012</v>
      </c>
      <c r="P208" s="5">
        <v>2013</v>
      </c>
      <c r="Q208" s="5">
        <v>2014</v>
      </c>
      <c r="R208" s="5"/>
      <c r="S208" s="5" t="s">
        <v>698</v>
      </c>
      <c r="T208" s="5" t="s">
        <v>699</v>
      </c>
      <c r="U208" s="5" t="s">
        <v>700</v>
      </c>
      <c r="V208" s="96">
        <v>2015</v>
      </c>
      <c r="W208" s="835" t="s">
        <v>695</v>
      </c>
      <c r="X208" s="835" t="s">
        <v>983</v>
      </c>
      <c r="Y208" s="835" t="s">
        <v>1039</v>
      </c>
      <c r="Z208" s="836" t="s">
        <v>747</v>
      </c>
      <c r="AA208" s="835" t="s">
        <v>984</v>
      </c>
      <c r="AB208" s="835" t="s">
        <v>772</v>
      </c>
      <c r="AC208" s="835" t="s">
        <v>1048</v>
      </c>
      <c r="AD208" s="836" t="s">
        <v>774</v>
      </c>
      <c r="AE208" s="835" t="s">
        <v>1181</v>
      </c>
      <c r="AF208" s="835" t="s">
        <v>1177</v>
      </c>
      <c r="AG208" s="835" t="s">
        <v>1178</v>
      </c>
      <c r="AH208" s="836" t="s">
        <v>1179</v>
      </c>
      <c r="AI208" s="835" t="str">
        <f>AI4</f>
        <v>2019Q1</v>
      </c>
      <c r="AJ208" s="835" t="str">
        <f>AJ4</f>
        <v>2019Q2</v>
      </c>
      <c r="AK208" s="835" t="str">
        <f>AK4</f>
        <v>2019Q3</v>
      </c>
      <c r="AL208" s="836" t="str">
        <f>AL4</f>
        <v>2019Q4</v>
      </c>
      <c r="AM208" s="835" t="s">
        <v>2083</v>
      </c>
      <c r="AN208" s="835" t="s">
        <v>2602</v>
      </c>
      <c r="AO208" s="835" t="s">
        <v>2639</v>
      </c>
      <c r="AP208" s="835" t="s">
        <v>2681</v>
      </c>
      <c r="AQ208" s="835" t="s">
        <v>2700</v>
      </c>
      <c r="AR208" s="1442" t="s">
        <v>2703</v>
      </c>
      <c r="AS208" s="1442" t="s">
        <v>2706</v>
      </c>
      <c r="AT208" s="1443" t="s">
        <v>2708</v>
      </c>
      <c r="AU208" s="835" t="s">
        <v>2714</v>
      </c>
      <c r="AV208" s="1442" t="s">
        <v>2745</v>
      </c>
      <c r="AW208" s="1442" t="s">
        <v>2746</v>
      </c>
      <c r="AX208" s="1443"/>
      <c r="AY208" s="835"/>
      <c r="AZ208" s="1442"/>
      <c r="BA208" s="1442"/>
      <c r="BB208" s="1443"/>
      <c r="BC208" s="1445"/>
      <c r="BD208" s="1445"/>
      <c r="BE208" s="1445"/>
      <c r="BF208" s="1446"/>
      <c r="BG208" s="1445"/>
      <c r="BH208" s="1445"/>
      <c r="BI208" s="1445"/>
      <c r="BJ208" s="1445"/>
      <c r="BK208" s="1445"/>
      <c r="BL208" s="1445"/>
      <c r="BM208" s="1446"/>
      <c r="BN208" s="2877">
        <v>2016</v>
      </c>
      <c r="BO208" s="2877">
        <v>2017</v>
      </c>
      <c r="BP208" s="2877">
        <v>2018</v>
      </c>
      <c r="BQ208" s="2878">
        <v>2019</v>
      </c>
      <c r="BR208" s="2877">
        <v>2020</v>
      </c>
      <c r="BS208" s="2877">
        <v>2021</v>
      </c>
      <c r="BT208" s="2877">
        <v>2022</v>
      </c>
      <c r="BU208" s="2877">
        <v>2022</v>
      </c>
      <c r="BV208" s="2877"/>
      <c r="BW208" s="3490"/>
    </row>
    <row r="209" spans="1:75" s="1764" customFormat="1" outlineLevel="1">
      <c r="A209" s="1567" t="s">
        <v>523</v>
      </c>
      <c r="B209" s="1763"/>
      <c r="C209" s="1763"/>
      <c r="L209" s="1764">
        <v>509.66500000000002</v>
      </c>
      <c r="M209" s="1764">
        <v>777.29700000000003</v>
      </c>
      <c r="N209" s="1764">
        <v>1341.8119999999999</v>
      </c>
      <c r="O209" s="1764">
        <v>1785.75</v>
      </c>
      <c r="P209" s="1764">
        <v>2301.4360000000001</v>
      </c>
      <c r="Q209" s="1764">
        <v>2914.3969999999999</v>
      </c>
      <c r="S209" s="1764">
        <v>911.35900000000004</v>
      </c>
      <c r="T209" s="1764">
        <v>2221.1590000000001</v>
      </c>
      <c r="U209" s="1764">
        <v>3102.2310000000002</v>
      </c>
      <c r="V209" s="1768">
        <v>3102.2310000000002</v>
      </c>
      <c r="W209" s="1767">
        <v>344.327</v>
      </c>
      <c r="X209" s="1764">
        <v>1310.3340000000001</v>
      </c>
      <c r="Y209" s="1764">
        <v>2818.1880000000001</v>
      </c>
      <c r="Z209" s="1768">
        <v>3924.6970000000001</v>
      </c>
      <c r="AA209" s="1764">
        <v>380.61799999999999</v>
      </c>
      <c r="AB209" s="1764">
        <v>1601.8340000000001</v>
      </c>
      <c r="AC209" s="1764">
        <v>3488.4250000000002</v>
      </c>
      <c r="AD209" s="1768">
        <v>4662.0360000000001</v>
      </c>
      <c r="AE209" s="1764">
        <v>640.375</v>
      </c>
      <c r="AF209" s="1764">
        <f>2290.219</f>
        <v>2290.2190000000001</v>
      </c>
      <c r="AG209" s="1764">
        <f>4254.188-AE209-AF209</f>
        <v>1323.5940000000001</v>
      </c>
      <c r="AH209" s="1768">
        <v>5338</v>
      </c>
      <c r="AI209" s="1764">
        <v>150</v>
      </c>
      <c r="AJ209" s="1764">
        <f>1937-AI209</f>
        <v>1787</v>
      </c>
      <c r="AK209" s="1764">
        <f>3788-AI209-AJ209</f>
        <v>1851</v>
      </c>
      <c r="AL209" s="1768">
        <v>4865</v>
      </c>
      <c r="AM209" s="1764">
        <v>-380</v>
      </c>
      <c r="AN209" s="1764">
        <f>-258-AM209</f>
        <v>122</v>
      </c>
      <c r="AO209" s="1764">
        <v>662</v>
      </c>
      <c r="AP209" s="1764">
        <v>85</v>
      </c>
      <c r="AQ209" s="1764">
        <v>-207</v>
      </c>
      <c r="AR209" s="1764">
        <v>945</v>
      </c>
      <c r="AS209" s="1764">
        <v>2541</v>
      </c>
      <c r="AT209" s="1768">
        <v>2820</v>
      </c>
      <c r="AU209" s="1764">
        <v>1695</v>
      </c>
      <c r="AX209" s="1768"/>
      <c r="BB209" s="1768"/>
      <c r="BC209" s="3076"/>
      <c r="BD209" s="3076"/>
      <c r="BE209" s="3076"/>
      <c r="BF209" s="3117"/>
      <c r="BG209" s="3076"/>
      <c r="BH209" s="3076"/>
      <c r="BI209" s="3076"/>
      <c r="BJ209" s="3076"/>
      <c r="BK209" s="3076"/>
      <c r="BL209" s="3076"/>
      <c r="BM209" s="3117"/>
      <c r="BN209" s="1769">
        <f>Z209</f>
        <v>3924.6970000000001</v>
      </c>
      <c r="BO209" s="1769">
        <f>AD209</f>
        <v>4662.0360000000001</v>
      </c>
      <c r="BP209" s="1769">
        <f>AH209</f>
        <v>5338</v>
      </c>
      <c r="BQ209" s="1764">
        <f>AL209</f>
        <v>4865</v>
      </c>
      <c r="BR209" s="1769">
        <f>AP209</f>
        <v>85</v>
      </c>
      <c r="BS209" s="1769">
        <f t="shared" ref="BS209:BU213" si="304">AT209</f>
        <v>2820</v>
      </c>
      <c r="BT209" s="1769">
        <f t="shared" si="304"/>
        <v>1695</v>
      </c>
      <c r="BU209" s="1769">
        <f t="shared" si="304"/>
        <v>0</v>
      </c>
      <c r="BV209" s="1769"/>
    </row>
    <row r="210" spans="1:75" s="1764" customFormat="1" outlineLevel="1">
      <c r="A210" s="1567" t="s">
        <v>524</v>
      </c>
      <c r="B210" s="1763"/>
      <c r="C210" s="1763"/>
      <c r="L210" s="1764">
        <v>-501.46</v>
      </c>
      <c r="M210" s="1764">
        <v>-841.09799999999996</v>
      </c>
      <c r="N210" s="1764">
        <v>-904.76800000000003</v>
      </c>
      <c r="O210" s="1764">
        <v>-1562.713</v>
      </c>
      <c r="P210" s="1764">
        <v>-2162.2669999999998</v>
      </c>
      <c r="Q210" s="1764">
        <v>-2348.5439999999999</v>
      </c>
      <c r="S210" s="1764">
        <v>-2579.9160000000002</v>
      </c>
      <c r="T210" s="1764">
        <v>-2674.0390000000002</v>
      </c>
      <c r="U210" s="1764">
        <v>-3894.518</v>
      </c>
      <c r="V210" s="1768">
        <v>-3894.518</v>
      </c>
      <c r="W210" s="1767">
        <v>147.274</v>
      </c>
      <c r="X210" s="1764">
        <v>-639.29399999999998</v>
      </c>
      <c r="Y210" s="1764">
        <v>-2202.576</v>
      </c>
      <c r="Z210" s="1768">
        <v>-3333.2950000000001</v>
      </c>
      <c r="AA210" s="1764">
        <v>-890.81399999999996</v>
      </c>
      <c r="AB210" s="1764">
        <v>-1537.4259999999999</v>
      </c>
      <c r="AC210" s="1764">
        <v>-3643.058</v>
      </c>
      <c r="AD210" s="1768">
        <v>-4202.0349999999999</v>
      </c>
      <c r="AE210" s="1764">
        <v>1635.5160000000001</v>
      </c>
      <c r="AF210" s="1764">
        <f>1763.153-AE210</f>
        <v>127.63699999999994</v>
      </c>
      <c r="AG210" s="1764">
        <f>1805.801-AE210-AF210</f>
        <v>42.647999999999911</v>
      </c>
      <c r="AH210" s="1768">
        <v>2215</v>
      </c>
      <c r="AI210" s="1764">
        <v>2109</v>
      </c>
      <c r="AJ210" s="1764">
        <f>6189-AI210</f>
        <v>4080</v>
      </c>
      <c r="AK210" s="1764">
        <f>6954-AI210-AJ210</f>
        <v>765</v>
      </c>
      <c r="AL210" s="1768">
        <v>7050</v>
      </c>
      <c r="AM210" s="1764">
        <v>1733</v>
      </c>
      <c r="AN210" s="1764">
        <f>2775-AM210</f>
        <v>1042</v>
      </c>
      <c r="AO210" s="1764">
        <v>2703</v>
      </c>
      <c r="AP210" s="1764">
        <v>2637</v>
      </c>
      <c r="AQ210" s="1764">
        <v>-65</v>
      </c>
      <c r="AR210" s="1764">
        <v>-136</v>
      </c>
      <c r="AS210" s="1764">
        <v>-215</v>
      </c>
      <c r="AT210" s="1768">
        <v>-998</v>
      </c>
      <c r="AU210" s="1764">
        <v>-121</v>
      </c>
      <c r="AX210" s="1768"/>
      <c r="BB210" s="1768"/>
      <c r="BC210" s="3076"/>
      <c r="BD210" s="3076"/>
      <c r="BE210" s="3076"/>
      <c r="BF210" s="3117"/>
      <c r="BG210" s="3076"/>
      <c r="BH210" s="3076"/>
      <c r="BI210" s="3076"/>
      <c r="BJ210" s="3076"/>
      <c r="BK210" s="3076"/>
      <c r="BL210" s="3076"/>
      <c r="BM210" s="3117"/>
      <c r="BN210" s="1769">
        <f>Z210</f>
        <v>-3333.2950000000001</v>
      </c>
      <c r="BO210" s="1769">
        <f>AD210</f>
        <v>-4202.0349999999999</v>
      </c>
      <c r="BP210" s="1769">
        <f>AH210</f>
        <v>2215</v>
      </c>
      <c r="BQ210" s="1764">
        <f>AL210</f>
        <v>7050</v>
      </c>
      <c r="BR210" s="1769">
        <f>AP210</f>
        <v>2637</v>
      </c>
      <c r="BS210" s="1769">
        <f t="shared" si="304"/>
        <v>-998</v>
      </c>
      <c r="BT210" s="1769">
        <f t="shared" si="304"/>
        <v>-121</v>
      </c>
      <c r="BU210" s="1769">
        <f t="shared" si="304"/>
        <v>0</v>
      </c>
      <c r="BV210" s="1769"/>
    </row>
    <row r="211" spans="1:75" s="1764" customFormat="1" outlineLevel="1">
      <c r="A211" s="1567" t="s">
        <v>1126</v>
      </c>
      <c r="B211" s="1763"/>
      <c r="C211" s="1763"/>
      <c r="L211" s="1764">
        <v>-168.96</v>
      </c>
      <c r="M211" s="1764">
        <v>212.95699999999999</v>
      </c>
      <c r="N211" s="1764">
        <v>-151.02699999999999</v>
      </c>
      <c r="O211" s="1764">
        <v>668.85500000000002</v>
      </c>
      <c r="P211" s="1764">
        <v>-403.51100000000002</v>
      </c>
      <c r="Q211" s="1764">
        <v>1428.9939999999999</v>
      </c>
      <c r="S211" s="1764">
        <v>553.53499999999997</v>
      </c>
      <c r="T211" s="1764">
        <v>-709.19500000000005</v>
      </c>
      <c r="U211" s="1764">
        <v>-729.99599999999998</v>
      </c>
      <c r="V211" s="1768">
        <v>-729.99599999999998</v>
      </c>
      <c r="W211" s="1767">
        <v>-133.97300000000001</v>
      </c>
      <c r="X211" s="1764">
        <v>540.79700000000003</v>
      </c>
      <c r="Y211" s="1764">
        <v>322.60599999999999</v>
      </c>
      <c r="Z211" s="1768">
        <v>57.737000000000002</v>
      </c>
      <c r="AA211" s="1764">
        <v>843.4</v>
      </c>
      <c r="AB211" s="1764">
        <v>420.38799999999998</v>
      </c>
      <c r="AC211" s="1764">
        <v>821.46</v>
      </c>
      <c r="AD211" s="1768">
        <v>-78.662999999999997</v>
      </c>
      <c r="AE211" s="1764">
        <v>-2205.2370000000001</v>
      </c>
      <c r="AF211" s="1764">
        <f>-3388.375-AE211</f>
        <v>-1183.1379999999999</v>
      </c>
      <c r="AG211" s="1764">
        <f>-5592.298-AE211-AF211</f>
        <v>-2203.9229999999998</v>
      </c>
      <c r="AH211" s="1768">
        <v>-7431</v>
      </c>
      <c r="AI211" s="1764">
        <v>-2548</v>
      </c>
      <c r="AJ211" s="1764">
        <f>-5487-AI211</f>
        <v>-2939</v>
      </c>
      <c r="AK211" s="1764">
        <f>-6876-AI211-AJ211</f>
        <v>-1389</v>
      </c>
      <c r="AL211" s="1768">
        <v>-8220</v>
      </c>
      <c r="AM211" s="1764">
        <v>-1281</v>
      </c>
      <c r="AN211" s="1764">
        <f>1593-AM211</f>
        <v>2874</v>
      </c>
      <c r="AO211" s="1764">
        <v>1532</v>
      </c>
      <c r="AP211" s="1764">
        <v>1528</v>
      </c>
      <c r="AQ211" s="1764">
        <v>1869</v>
      </c>
      <c r="AR211" s="1764">
        <v>-138</v>
      </c>
      <c r="AS211" s="1764">
        <v>-1234</v>
      </c>
      <c r="AT211" s="1768">
        <v>-1239</v>
      </c>
      <c r="AU211" s="1764">
        <v>-2139</v>
      </c>
      <c r="AX211" s="1768"/>
      <c r="BB211" s="1768"/>
      <c r="BC211" s="3076"/>
      <c r="BD211" s="3076"/>
      <c r="BE211" s="3076"/>
      <c r="BF211" s="3117"/>
      <c r="BG211" s="3076"/>
      <c r="BH211" s="3076"/>
      <c r="BI211" s="3076"/>
      <c r="BJ211" s="3076"/>
      <c r="BK211" s="3076"/>
      <c r="BL211" s="3076"/>
      <c r="BM211" s="3117"/>
      <c r="BN211" s="1769">
        <f>Z211</f>
        <v>57.737000000000002</v>
      </c>
      <c r="BO211" s="1769">
        <f>AD211</f>
        <v>-78.662999999999997</v>
      </c>
      <c r="BP211" s="1769">
        <f>AH211</f>
        <v>-7431</v>
      </c>
      <c r="BQ211" s="1764">
        <f>AL211</f>
        <v>-8220</v>
      </c>
      <c r="BR211" s="1769">
        <f>AP211</f>
        <v>1528</v>
      </c>
      <c r="BS211" s="1769">
        <f t="shared" si="304"/>
        <v>-1239</v>
      </c>
      <c r="BT211" s="1769">
        <f t="shared" si="304"/>
        <v>-2139</v>
      </c>
      <c r="BU211" s="1769">
        <f t="shared" si="304"/>
        <v>0</v>
      </c>
      <c r="BV211" s="1769"/>
    </row>
    <row r="212" spans="1:75" s="1764" customFormat="1" outlineLevel="1">
      <c r="A212" s="1580" t="s">
        <v>1046</v>
      </c>
      <c r="B212" s="1763"/>
      <c r="C212" s="1763"/>
      <c r="L212" s="1764">
        <v>-15.106</v>
      </c>
      <c r="M212" s="1764">
        <v>-22.593</v>
      </c>
      <c r="N212" s="1764">
        <v>-46.832999999999998</v>
      </c>
      <c r="O212" s="1764">
        <v>-55.158000000000001</v>
      </c>
      <c r="P212" s="1764">
        <v>-84.444999999999993</v>
      </c>
      <c r="Q212" s="1764">
        <v>-131.50399999999999</v>
      </c>
      <c r="S212" s="1764">
        <v>-84.350999999999999</v>
      </c>
      <c r="T212" s="1764">
        <v>-126.637</v>
      </c>
      <c r="U212" s="1764">
        <v>-173.91499999999999</v>
      </c>
      <c r="V212" s="1768">
        <v>-173.91499999999999</v>
      </c>
      <c r="W212" s="1767">
        <v>-53.256</v>
      </c>
      <c r="X212" s="1764">
        <v>-113.699</v>
      </c>
      <c r="Y212" s="1764">
        <v>-168.07599999999999</v>
      </c>
      <c r="Z212" s="1768">
        <v>-219.88900000000001</v>
      </c>
      <c r="AA212" s="1764">
        <v>-70.558999999999997</v>
      </c>
      <c r="AB212" s="1764">
        <v>-147.26900000000001</v>
      </c>
      <c r="AC212" s="1764">
        <v>-223.69200000000001</v>
      </c>
      <c r="AD212" s="1768">
        <v>-287.80500000000001</v>
      </c>
      <c r="AE212" s="1764">
        <v>-131.98699999999999</v>
      </c>
      <c r="AF212" s="1764">
        <v>-235.035</v>
      </c>
      <c r="AG212" s="1764">
        <v>-356.01100000000002</v>
      </c>
      <c r="AH212" s="1768">
        <v>-442</v>
      </c>
      <c r="AI212" s="1764">
        <v>-111</v>
      </c>
      <c r="AJ212" s="1764">
        <v>-199</v>
      </c>
      <c r="AK212" s="1764">
        <v>-281</v>
      </c>
      <c r="AL212" s="1768">
        <v>-368</v>
      </c>
      <c r="AM212" s="1764">
        <v>-80</v>
      </c>
      <c r="AN212" s="1764">
        <f>-150-AM212</f>
        <v>-70</v>
      </c>
      <c r="AP212" s="1764">
        <v>-286</v>
      </c>
      <c r="AQ212" s="1764">
        <v>-65</v>
      </c>
      <c r="AR212" s="1764">
        <v>-124</v>
      </c>
      <c r="AS212" s="1764">
        <v>-203</v>
      </c>
      <c r="AT212" s="1768">
        <v>-304</v>
      </c>
      <c r="AU212" s="1764">
        <v>-109</v>
      </c>
      <c r="AX212" s="1768"/>
      <c r="BB212" s="1768"/>
      <c r="BC212" s="3076"/>
      <c r="BD212" s="3076"/>
      <c r="BE212" s="3076"/>
      <c r="BF212" s="3117"/>
      <c r="BG212" s="3076"/>
      <c r="BH212" s="3076"/>
      <c r="BI212" s="3076"/>
      <c r="BJ212" s="3076"/>
      <c r="BK212" s="3076"/>
      <c r="BL212" s="3076"/>
      <c r="BM212" s="3117"/>
      <c r="BN212" s="1769">
        <f>Z212</f>
        <v>-219.88900000000001</v>
      </c>
      <c r="BO212" s="1769">
        <f>AD212</f>
        <v>-287.80500000000001</v>
      </c>
      <c r="BP212" s="1769">
        <f>AH212</f>
        <v>-442</v>
      </c>
      <c r="BQ212" s="1764">
        <f>AL212</f>
        <v>-368</v>
      </c>
      <c r="BR212" s="1769">
        <f>AP212</f>
        <v>-286</v>
      </c>
      <c r="BS212" s="1769">
        <f t="shared" si="304"/>
        <v>-304</v>
      </c>
      <c r="BT212" s="1769">
        <f t="shared" si="304"/>
        <v>-109</v>
      </c>
      <c r="BU212" s="1769">
        <f t="shared" si="304"/>
        <v>0</v>
      </c>
      <c r="BV212" s="1769"/>
    </row>
    <row r="213" spans="1:75" s="1764" customFormat="1" outlineLevel="1">
      <c r="A213" s="1577" t="s">
        <v>527</v>
      </c>
      <c r="B213" s="1763"/>
      <c r="C213" s="1763"/>
      <c r="D213" s="1765"/>
      <c r="E213" s="1765"/>
      <c r="F213" s="1765"/>
      <c r="G213" s="1765"/>
      <c r="H213" s="1765"/>
      <c r="I213" s="1765"/>
      <c r="J213" s="1765"/>
      <c r="K213" s="1765"/>
      <c r="L213" s="1765" t="s">
        <v>140</v>
      </c>
      <c r="M213" s="1765" t="s">
        <v>140</v>
      </c>
      <c r="N213" s="1765" t="s">
        <v>140</v>
      </c>
      <c r="O213" s="1765"/>
      <c r="P213" s="1765"/>
      <c r="Q213" s="1765"/>
      <c r="R213" s="1765"/>
      <c r="S213" s="1765"/>
      <c r="T213" s="1765"/>
      <c r="U213" s="1765"/>
      <c r="V213" s="1766"/>
      <c r="W213" s="1767"/>
      <c r="Y213" s="1764">
        <v>-48.494</v>
      </c>
      <c r="Z213" s="1768">
        <v>-48.494</v>
      </c>
      <c r="AA213" s="1764">
        <v>0</v>
      </c>
      <c r="AB213" s="1764">
        <v>0</v>
      </c>
      <c r="AC213" s="1764">
        <v>0</v>
      </c>
      <c r="AD213" s="1768">
        <v>0</v>
      </c>
      <c r="AE213" s="1764">
        <v>0</v>
      </c>
      <c r="AF213" s="1764">
        <v>0</v>
      </c>
      <c r="AG213" s="1764">
        <v>0</v>
      </c>
      <c r="AH213" s="1768">
        <v>0</v>
      </c>
      <c r="AI213" s="1764">
        <v>0</v>
      </c>
      <c r="AJ213" s="1764">
        <v>0</v>
      </c>
      <c r="AK213" s="1764">
        <v>0</v>
      </c>
      <c r="AL213" s="1768">
        <v>0</v>
      </c>
      <c r="AM213" s="1764">
        <v>0</v>
      </c>
      <c r="AN213" s="1764">
        <v>0</v>
      </c>
      <c r="AP213" s="1764">
        <v>0</v>
      </c>
      <c r="AQ213" s="1764">
        <v>0</v>
      </c>
      <c r="AR213" s="1764">
        <v>0</v>
      </c>
      <c r="AS213" s="1764">
        <v>0</v>
      </c>
      <c r="AT213" s="1768">
        <v>0</v>
      </c>
      <c r="AU213" s="1764">
        <v>0</v>
      </c>
      <c r="AX213" s="1768"/>
      <c r="BB213" s="1768"/>
      <c r="BC213" s="3076"/>
      <c r="BD213" s="3076"/>
      <c r="BE213" s="3076"/>
      <c r="BF213" s="3117"/>
      <c r="BG213" s="3076"/>
      <c r="BH213" s="3076"/>
      <c r="BI213" s="3076"/>
      <c r="BJ213" s="3076"/>
      <c r="BK213" s="3076"/>
      <c r="BL213" s="3076"/>
      <c r="BM213" s="3117"/>
      <c r="BN213" s="1769">
        <f>Z213</f>
        <v>-48.494</v>
      </c>
      <c r="BO213" s="1769">
        <f>AD213</f>
        <v>0</v>
      </c>
      <c r="BP213" s="1769">
        <f>AH213</f>
        <v>0</v>
      </c>
      <c r="BQ213" s="1764">
        <f>AL213</f>
        <v>0</v>
      </c>
      <c r="BR213" s="1769">
        <f>AP213</f>
        <v>0</v>
      </c>
      <c r="BS213" s="1769">
        <f t="shared" si="304"/>
        <v>0</v>
      </c>
      <c r="BT213" s="1769">
        <f t="shared" si="304"/>
        <v>0</v>
      </c>
      <c r="BU213" s="1769">
        <f t="shared" si="304"/>
        <v>0</v>
      </c>
      <c r="BV213" s="1769"/>
    </row>
    <row r="214" spans="1:75" outlineLevel="1">
      <c r="AU214" s="133"/>
      <c r="AY214" s="133"/>
      <c r="AZ214" s="133"/>
      <c r="BA214" s="133"/>
      <c r="BB214" s="136"/>
      <c r="BU214" s="159"/>
      <c r="BV214" s="159"/>
    </row>
    <row r="215" spans="1:75">
      <c r="A215" s="95" t="s">
        <v>1047</v>
      </c>
      <c r="B215" s="80"/>
      <c r="C215" s="80"/>
      <c r="D215" s="5"/>
      <c r="E215" s="5"/>
      <c r="F215" s="5"/>
      <c r="G215" s="5"/>
      <c r="H215" s="5"/>
      <c r="I215" s="5"/>
      <c r="J215" s="5"/>
      <c r="K215" s="5"/>
      <c r="L215" s="5" t="s">
        <v>979</v>
      </c>
      <c r="M215" s="5" t="s">
        <v>979</v>
      </c>
      <c r="N215" s="5" t="s">
        <v>979</v>
      </c>
      <c r="O215" s="5" t="s">
        <v>979</v>
      </c>
      <c r="P215" s="5" t="s">
        <v>979</v>
      </c>
      <c r="Q215" s="5" t="s">
        <v>979</v>
      </c>
      <c r="R215" s="5" t="s">
        <v>697</v>
      </c>
      <c r="S215" s="5" t="s">
        <v>697</v>
      </c>
      <c r="T215" s="5" t="s">
        <v>697</v>
      </c>
      <c r="U215" s="5" t="s">
        <v>697</v>
      </c>
      <c r="V215" s="96" t="s">
        <v>979</v>
      </c>
      <c r="W215" s="835" t="s">
        <v>979</v>
      </c>
      <c r="X215" s="835" t="s">
        <v>979</v>
      </c>
      <c r="Y215" s="835" t="s">
        <v>979</v>
      </c>
      <c r="Z215" s="836" t="s">
        <v>979</v>
      </c>
      <c r="AA215" s="835" t="s">
        <v>979</v>
      </c>
      <c r="AB215" s="835" t="s">
        <v>979</v>
      </c>
      <c r="AC215" s="835" t="s">
        <v>979</v>
      </c>
      <c r="AD215" s="836" t="s">
        <v>979</v>
      </c>
      <c r="AE215" s="835" t="s">
        <v>979</v>
      </c>
      <c r="AF215" s="835" t="s">
        <v>979</v>
      </c>
      <c r="AG215" s="835" t="s">
        <v>399</v>
      </c>
      <c r="AH215" s="836" t="s">
        <v>399</v>
      </c>
      <c r="AI215" s="835" t="s">
        <v>399</v>
      </c>
      <c r="AJ215" s="835" t="s">
        <v>399</v>
      </c>
      <c r="AK215" s="835" t="s">
        <v>399</v>
      </c>
      <c r="AL215" s="836" t="s">
        <v>399</v>
      </c>
      <c r="AM215" s="835" t="s">
        <v>399</v>
      </c>
      <c r="AN215" s="835" t="s">
        <v>399</v>
      </c>
      <c r="AO215" s="835" t="s">
        <v>399</v>
      </c>
      <c r="AP215" s="835" t="s">
        <v>399</v>
      </c>
      <c r="AQ215" s="835" t="s">
        <v>399</v>
      </c>
      <c r="AR215" s="1442" t="s">
        <v>697</v>
      </c>
      <c r="AS215" s="1442" t="s">
        <v>697</v>
      </c>
      <c r="AT215" s="1443" t="s">
        <v>697</v>
      </c>
      <c r="AU215" s="835" t="s">
        <v>399</v>
      </c>
      <c r="AV215" s="1442" t="s">
        <v>697</v>
      </c>
      <c r="AW215" s="1442" t="s">
        <v>399</v>
      </c>
      <c r="AX215" s="1443" t="s">
        <v>697</v>
      </c>
      <c r="AY215" s="835" t="s">
        <v>399</v>
      </c>
      <c r="AZ215" s="1442" t="s">
        <v>399</v>
      </c>
      <c r="BA215" s="1442" t="s">
        <v>399</v>
      </c>
      <c r="BB215" s="1443" t="s">
        <v>399</v>
      </c>
      <c r="BC215" s="1442" t="s">
        <v>697</v>
      </c>
      <c r="BD215" s="1442" t="s">
        <v>697</v>
      </c>
      <c r="BE215" s="1442" t="s">
        <v>697</v>
      </c>
      <c r="BF215" s="1443" t="s">
        <v>697</v>
      </c>
      <c r="BG215" s="2945" t="s">
        <v>697</v>
      </c>
      <c r="BH215" s="2945" t="s">
        <v>697</v>
      </c>
      <c r="BI215" s="2945" t="s">
        <v>697</v>
      </c>
      <c r="BJ215" s="2945" t="s">
        <v>697</v>
      </c>
      <c r="BK215" s="2945" t="s">
        <v>697</v>
      </c>
      <c r="BL215" s="3495" t="s">
        <v>399</v>
      </c>
      <c r="BM215" s="1445"/>
      <c r="BN215" s="2875" t="s">
        <v>399</v>
      </c>
      <c r="BO215" s="2875" t="s">
        <v>399</v>
      </c>
      <c r="BP215" s="2875" t="s">
        <v>1421</v>
      </c>
      <c r="BQ215" s="2876" t="s">
        <v>1421</v>
      </c>
      <c r="BR215" s="2875" t="s">
        <v>1421</v>
      </c>
      <c r="BS215" s="2875" t="s">
        <v>1421</v>
      </c>
      <c r="BT215" s="2875" t="s">
        <v>1421</v>
      </c>
      <c r="BU215" s="2875" t="s">
        <v>1421</v>
      </c>
      <c r="BV215" s="2875" t="s">
        <v>1421</v>
      </c>
      <c r="BW215" s="2875" t="s">
        <v>1421</v>
      </c>
    </row>
    <row r="216" spans="1:75">
      <c r="A216" s="174" t="s">
        <v>528</v>
      </c>
      <c r="B216" s="80"/>
      <c r="C216" s="80"/>
      <c r="D216" s="5"/>
      <c r="E216" s="5"/>
      <c r="F216" s="5"/>
      <c r="G216" s="5"/>
      <c r="H216" s="5"/>
      <c r="I216" s="5"/>
      <c r="J216" s="5"/>
      <c r="K216" s="5"/>
      <c r="L216" s="5">
        <v>2009</v>
      </c>
      <c r="M216" s="5">
        <v>2010</v>
      </c>
      <c r="N216" s="5">
        <v>2011</v>
      </c>
      <c r="O216" s="5">
        <v>2012</v>
      </c>
      <c r="P216" s="5">
        <v>2013</v>
      </c>
      <c r="Q216" s="5">
        <v>2014</v>
      </c>
      <c r="R216" s="5" t="s">
        <v>749</v>
      </c>
      <c r="S216" s="5" t="s">
        <v>698</v>
      </c>
      <c r="T216" s="5" t="s">
        <v>699</v>
      </c>
      <c r="U216" s="5" t="s">
        <v>700</v>
      </c>
      <c r="V216" s="96">
        <v>2015</v>
      </c>
      <c r="W216" s="835" t="s">
        <v>695</v>
      </c>
      <c r="X216" s="835" t="s">
        <v>983</v>
      </c>
      <c r="Y216" s="835" t="s">
        <v>1039</v>
      </c>
      <c r="Z216" s="836" t="s">
        <v>747</v>
      </c>
      <c r="AA216" s="835" t="s">
        <v>984</v>
      </c>
      <c r="AB216" s="835" t="s">
        <v>772</v>
      </c>
      <c r="AC216" s="835" t="s">
        <v>1048</v>
      </c>
      <c r="AD216" s="836" t="s">
        <v>774</v>
      </c>
      <c r="AE216" s="835" t="s">
        <v>1181</v>
      </c>
      <c r="AF216" s="835" t="s">
        <v>1177</v>
      </c>
      <c r="AG216" s="835" t="s">
        <v>1986</v>
      </c>
      <c r="AH216" s="836" t="s">
        <v>1414</v>
      </c>
      <c r="AI216" s="835" t="str">
        <f>AI4</f>
        <v>2019Q1</v>
      </c>
      <c r="AJ216" s="835" t="str">
        <f>AJ4</f>
        <v>2019Q2</v>
      </c>
      <c r="AK216" s="835" t="str">
        <f>AK4</f>
        <v>2019Q3</v>
      </c>
      <c r="AL216" s="836" t="str">
        <f>AL4</f>
        <v>2019Q4</v>
      </c>
      <c r="AM216" s="835" t="s">
        <v>2083</v>
      </c>
      <c r="AN216" s="835" t="s">
        <v>2602</v>
      </c>
      <c r="AO216" s="835" t="s">
        <v>2639</v>
      </c>
      <c r="AP216" s="835" t="s">
        <v>2681</v>
      </c>
      <c r="AQ216" s="835" t="s">
        <v>2700</v>
      </c>
      <c r="AR216" s="1442" t="s">
        <v>2703</v>
      </c>
      <c r="AS216" s="1442" t="s">
        <v>2706</v>
      </c>
      <c r="AT216" s="1443" t="s">
        <v>2708</v>
      </c>
      <c r="AU216" s="835" t="s">
        <v>2714</v>
      </c>
      <c r="AV216" s="1442" t="s">
        <v>2745</v>
      </c>
      <c r="AW216" s="1442" t="s">
        <v>2746</v>
      </c>
      <c r="AX216" s="1443" t="s">
        <v>2775</v>
      </c>
      <c r="AY216" s="835" t="s">
        <v>2752</v>
      </c>
      <c r="AZ216" s="1442" t="s">
        <v>2759</v>
      </c>
      <c r="BA216" s="1442" t="s">
        <v>2774</v>
      </c>
      <c r="BB216" s="1443" t="s">
        <v>2784</v>
      </c>
      <c r="BC216" s="1442" t="s">
        <v>2785</v>
      </c>
      <c r="BD216" s="1442" t="s">
        <v>2794</v>
      </c>
      <c r="BE216" s="1442" t="s">
        <v>2814</v>
      </c>
      <c r="BF216" s="1443" t="s">
        <v>2823</v>
      </c>
      <c r="BG216" s="2945" t="s">
        <v>2824</v>
      </c>
      <c r="BH216" s="2945" t="s">
        <v>2828</v>
      </c>
      <c r="BI216" s="2945" t="s">
        <v>2852</v>
      </c>
      <c r="BJ216" s="2945" t="s">
        <v>2879</v>
      </c>
      <c r="BK216" s="2945" t="s">
        <v>2881</v>
      </c>
      <c r="BL216" s="3495" t="s">
        <v>2883</v>
      </c>
      <c r="BM216" s="1445"/>
      <c r="BN216" s="2877">
        <v>2016</v>
      </c>
      <c r="BO216" s="2877">
        <v>2017</v>
      </c>
      <c r="BP216" s="2877">
        <v>2018</v>
      </c>
      <c r="BQ216" s="2878">
        <v>2019</v>
      </c>
      <c r="BR216" s="2877">
        <v>2020</v>
      </c>
      <c r="BS216" s="2877">
        <v>2021</v>
      </c>
      <c r="BT216" s="2877">
        <v>2022</v>
      </c>
      <c r="BU216" s="2877">
        <v>2023</v>
      </c>
      <c r="BV216" s="2877">
        <v>2024</v>
      </c>
      <c r="BW216" s="2877">
        <v>2025</v>
      </c>
    </row>
    <row r="217" spans="1:75" hidden="1">
      <c r="A217" s="159" t="s">
        <v>172</v>
      </c>
      <c r="B217" s="42"/>
      <c r="C217" s="12"/>
      <c r="D217" s="14"/>
      <c r="E217" s="14"/>
      <c r="F217" s="14"/>
      <c r="G217" s="14"/>
      <c r="H217" s="14"/>
      <c r="I217" s="14"/>
      <c r="J217" s="14"/>
      <c r="K217" s="14"/>
      <c r="L217" s="14" t="s">
        <v>140</v>
      </c>
      <c r="M217" s="89" t="s">
        <v>140</v>
      </c>
      <c r="N217" s="89" t="s">
        <v>140</v>
      </c>
      <c r="O217" s="89" t="s">
        <v>140</v>
      </c>
      <c r="P217" s="89" t="s">
        <v>140</v>
      </c>
      <c r="Q217" s="89"/>
      <c r="R217" s="89"/>
      <c r="S217" s="89"/>
      <c r="T217" s="89"/>
      <c r="U217" s="89"/>
      <c r="V217" s="110"/>
    </row>
    <row r="218" spans="1:75" hidden="1">
      <c r="A218" s="159" t="s">
        <v>171</v>
      </c>
      <c r="B218" s="42"/>
      <c r="C218" s="42"/>
      <c r="D218" s="89"/>
      <c r="E218" s="89"/>
      <c r="F218" s="89"/>
      <c r="G218" s="89"/>
      <c r="H218" s="89"/>
      <c r="I218" s="89"/>
      <c r="J218" s="89"/>
      <c r="K218" s="89"/>
      <c r="L218" s="89" t="s">
        <v>140</v>
      </c>
      <c r="M218" s="89" t="s">
        <v>140</v>
      </c>
      <c r="N218" s="89" t="s">
        <v>140</v>
      </c>
      <c r="O218" s="89" t="s">
        <v>140</v>
      </c>
      <c r="P218" s="89" t="s">
        <v>140</v>
      </c>
      <c r="Q218" s="89"/>
      <c r="R218" s="89"/>
      <c r="S218" s="89"/>
      <c r="T218" s="89"/>
      <c r="U218" s="89"/>
      <c r="V218" s="110"/>
    </row>
    <row r="219" spans="1:75" hidden="1">
      <c r="A219" s="159" t="s">
        <v>170</v>
      </c>
      <c r="C219" s="42"/>
      <c r="D219" s="30"/>
      <c r="E219" s="30"/>
      <c r="F219" s="30"/>
      <c r="G219" s="30"/>
      <c r="H219" s="30"/>
      <c r="I219" s="30"/>
      <c r="J219" s="30"/>
      <c r="K219" s="30"/>
      <c r="L219" s="30"/>
      <c r="M219" s="30"/>
      <c r="N219" s="30"/>
      <c r="O219" s="30" t="s">
        <v>140</v>
      </c>
      <c r="P219" s="30" t="s">
        <v>140</v>
      </c>
      <c r="Q219" s="30"/>
      <c r="R219" s="30"/>
      <c r="S219" s="30"/>
      <c r="T219" s="30"/>
      <c r="U219" s="30"/>
      <c r="V219" s="105"/>
    </row>
    <row r="220" spans="1:75" s="1775" customFormat="1" ht="12">
      <c r="A220" s="160" t="s">
        <v>1426</v>
      </c>
      <c r="B220" s="1813"/>
      <c r="C220" s="1813"/>
      <c r="L220" s="1775">
        <v>150000</v>
      </c>
      <c r="M220" s="1775">
        <v>120000</v>
      </c>
      <c r="N220" s="1775">
        <v>185000</v>
      </c>
      <c r="O220" s="1775">
        <v>275000</v>
      </c>
      <c r="P220" s="1775">
        <v>425000</v>
      </c>
      <c r="Q220" s="1775">
        <v>600000</v>
      </c>
      <c r="R220" s="1775">
        <v>637000</v>
      </c>
      <c r="S220" s="1775">
        <v>742000</v>
      </c>
      <c r="T220" s="1775">
        <v>750000</v>
      </c>
      <c r="U220" s="1775">
        <v>852000</v>
      </c>
      <c r="V220" s="1794">
        <f>U220</f>
        <v>852000</v>
      </c>
      <c r="W220" s="1775">
        <v>879500</v>
      </c>
      <c r="X220" s="1775">
        <v>965000</v>
      </c>
      <c r="Y220" s="1775">
        <v>1065000</v>
      </c>
      <c r="Z220" s="1794">
        <v>1115000</v>
      </c>
      <c r="AA220" s="1775">
        <v>1191000</v>
      </c>
      <c r="AB220" s="1775">
        <v>1340000</v>
      </c>
      <c r="AC220" s="1775">
        <v>1473000</v>
      </c>
      <c r="AD220" s="1794">
        <v>1586000</v>
      </c>
      <c r="AE220" s="1775">
        <v>1740000</v>
      </c>
      <c r="AF220" s="1775">
        <v>1925000</v>
      </c>
      <c r="AG220" s="1775">
        <v>2065000</v>
      </c>
      <c r="AH220" s="1794">
        <v>2180000</v>
      </c>
      <c r="AI220" s="1775">
        <v>2290000</v>
      </c>
      <c r="AJ220" s="1775">
        <v>2376000</v>
      </c>
      <c r="AK220" s="1775">
        <v>2520000</v>
      </c>
      <c r="AL220" s="1794">
        <v>2580000</v>
      </c>
      <c r="AM220" s="1775">
        <v>2607000</v>
      </c>
      <c r="AN220" s="1775">
        <v>2574000</v>
      </c>
      <c r="AO220" s="1775">
        <v>2483000</v>
      </c>
      <c r="AP220" s="1775">
        <v>2373000</v>
      </c>
      <c r="AQ220" s="1775">
        <v>2333000</v>
      </c>
      <c r="AR220" s="1775">
        <v>2385000</v>
      </c>
      <c r="AS220" s="1775">
        <v>2392000</v>
      </c>
      <c r="AT220" s="3282">
        <v>2400000</v>
      </c>
      <c r="AU220" s="3283">
        <v>2400000</v>
      </c>
      <c r="AV220" s="3284">
        <v>2500000</v>
      </c>
      <c r="AW220" s="3284">
        <v>2600000</v>
      </c>
      <c r="AX220" s="3285">
        <v>2700000</v>
      </c>
      <c r="AY220" s="3286">
        <v>2800000</v>
      </c>
      <c r="AZ220" s="3284">
        <v>3100000</v>
      </c>
      <c r="BA220" s="3284">
        <v>3300000</v>
      </c>
      <c r="BB220" s="3285">
        <v>3400000</v>
      </c>
      <c r="BC220" s="3399">
        <v>3500000</v>
      </c>
      <c r="BD220" s="3399">
        <v>3800000</v>
      </c>
      <c r="BE220" s="3399">
        <v>3900000</v>
      </c>
      <c r="BF220" s="3400">
        <v>4000000</v>
      </c>
      <c r="BG220" s="3399">
        <v>4100000</v>
      </c>
      <c r="BH220" s="3399">
        <v>4300000</v>
      </c>
      <c r="BI220" s="3399">
        <v>4400000</v>
      </c>
      <c r="BJ220" s="3399">
        <v>4400000</v>
      </c>
      <c r="BK220" s="3399">
        <v>4500000</v>
      </c>
      <c r="BL220" s="3399"/>
      <c r="BM220" s="3168"/>
      <c r="BN220" s="1814">
        <f>Z220</f>
        <v>1115000</v>
      </c>
      <c r="BO220" s="1814">
        <f>AD220</f>
        <v>1586000</v>
      </c>
      <c r="BP220" s="1814">
        <f>AH220</f>
        <v>2180000</v>
      </c>
      <c r="BQ220" s="2824">
        <f>AL220</f>
        <v>2580000</v>
      </c>
      <c r="BR220" s="1814">
        <f>AP220</f>
        <v>2373000</v>
      </c>
      <c r="BS220" s="1769">
        <f>AT220</f>
        <v>2400000</v>
      </c>
      <c r="BT220" s="1769">
        <f>AX220</f>
        <v>2700000</v>
      </c>
      <c r="BU220" s="1775">
        <f>BB220</f>
        <v>3400000</v>
      </c>
      <c r="BV220" s="1775">
        <f t="shared" ref="BV220:BV225" si="305">BF220</f>
        <v>4000000</v>
      </c>
      <c r="BW220" s="1775">
        <f t="shared" ref="BW220:BW225" si="306">BJ220</f>
        <v>4400000</v>
      </c>
    </row>
    <row r="221" spans="1:75" s="1020" customFormat="1" ht="12">
      <c r="A221" s="1411" t="s">
        <v>1427</v>
      </c>
      <c r="B221" s="1019"/>
      <c r="C221" s="1019"/>
      <c r="V221" s="223"/>
      <c r="W221" s="987">
        <f>W220/R220-1</f>
        <v>0.38069073783359508</v>
      </c>
      <c r="X221" s="987">
        <f>X220/S220-1</f>
        <v>0.30053908355795156</v>
      </c>
      <c r="Y221" s="987">
        <f>Y220/T220-1</f>
        <v>0.41999999999999993</v>
      </c>
      <c r="Z221" s="468">
        <f>Z220/U220-1</f>
        <v>0.30868544600938974</v>
      </c>
      <c r="AA221" s="987">
        <f t="shared" ref="AA221:AU221" si="307">AA220/W220-1</f>
        <v>0.3541785105173394</v>
      </c>
      <c r="AB221" s="987">
        <f t="shared" si="307"/>
        <v>0.3886010362694301</v>
      </c>
      <c r="AC221" s="987">
        <f t="shared" si="307"/>
        <v>0.38309859154929571</v>
      </c>
      <c r="AD221" s="468">
        <f t="shared" si="307"/>
        <v>0.42242152466367711</v>
      </c>
      <c r="AE221" s="987">
        <f t="shared" si="307"/>
        <v>0.46095717884130982</v>
      </c>
      <c r="AF221" s="987">
        <f t="shared" si="307"/>
        <v>0.43656716417910446</v>
      </c>
      <c r="AG221" s="987">
        <f t="shared" si="307"/>
        <v>0.4019008825526138</v>
      </c>
      <c r="AH221" s="468">
        <f t="shared" si="307"/>
        <v>0.37452711223203017</v>
      </c>
      <c r="AI221" s="987">
        <f t="shared" si="307"/>
        <v>0.31609195402298851</v>
      </c>
      <c r="AJ221" s="987">
        <f t="shared" si="307"/>
        <v>0.23428571428571421</v>
      </c>
      <c r="AK221" s="987">
        <f t="shared" si="307"/>
        <v>0.22033898305084754</v>
      </c>
      <c r="AL221" s="468">
        <f t="shared" si="307"/>
        <v>0.1834862385321101</v>
      </c>
      <c r="AM221" s="987">
        <f t="shared" si="307"/>
        <v>0.13842794759825328</v>
      </c>
      <c r="AN221" s="987">
        <f t="shared" si="307"/>
        <v>8.3333333333333259E-2</v>
      </c>
      <c r="AO221" s="987">
        <f t="shared" si="307"/>
        <v>-1.468253968253963E-2</v>
      </c>
      <c r="AP221" s="987">
        <f t="shared" si="307"/>
        <v>-8.0232558139534893E-2</v>
      </c>
      <c r="AQ221" s="987">
        <f t="shared" si="307"/>
        <v>-0.10510164940544686</v>
      </c>
      <c r="AR221" s="987">
        <f t="shared" si="307"/>
        <v>-7.3426573426573438E-2</v>
      </c>
      <c r="AS221" s="987">
        <f t="shared" si="307"/>
        <v>-3.6649214659685847E-2</v>
      </c>
      <c r="AT221" s="3287">
        <f t="shared" si="307"/>
        <v>1.1378002528444897E-2</v>
      </c>
      <c r="AU221" s="3288">
        <f t="shared" si="307"/>
        <v>2.871838834119167E-2</v>
      </c>
      <c r="AV221" s="3289">
        <f t="shared" ref="AV221:BE221" si="308">AV220/AR220-1</f>
        <v>4.8218029350104885E-2</v>
      </c>
      <c r="AW221" s="3289">
        <f t="shared" si="308"/>
        <v>8.6956521739130377E-2</v>
      </c>
      <c r="AX221" s="3287">
        <f t="shared" si="308"/>
        <v>0.125</v>
      </c>
      <c r="AY221" s="3288">
        <f t="shared" si="308"/>
        <v>0.16666666666666674</v>
      </c>
      <c r="AZ221" s="3289">
        <f t="shared" si="308"/>
        <v>0.24</v>
      </c>
      <c r="BA221" s="3289">
        <f t="shared" si="308"/>
        <v>0.26923076923076916</v>
      </c>
      <c r="BB221" s="3287">
        <f t="shared" si="308"/>
        <v>0.2592592592592593</v>
      </c>
      <c r="BC221" s="3289">
        <f t="shared" si="308"/>
        <v>0.25</v>
      </c>
      <c r="BD221" s="3289">
        <f t="shared" si="308"/>
        <v>0.22580645161290325</v>
      </c>
      <c r="BE221" s="3289">
        <f t="shared" si="308"/>
        <v>0.18181818181818188</v>
      </c>
      <c r="BF221" s="3287">
        <f t="shared" ref="BF221:BK221" si="309">BF220/BB220-1</f>
        <v>0.17647058823529416</v>
      </c>
      <c r="BG221" s="3289">
        <f t="shared" si="309"/>
        <v>0.17142857142857149</v>
      </c>
      <c r="BH221" s="3289">
        <f t="shared" si="309"/>
        <v>0.13157894736842102</v>
      </c>
      <c r="BI221" s="3289">
        <f t="shared" si="309"/>
        <v>0.12820512820512819</v>
      </c>
      <c r="BJ221" s="3289">
        <f t="shared" si="309"/>
        <v>0.10000000000000009</v>
      </c>
      <c r="BK221" s="3289">
        <f t="shared" si="309"/>
        <v>9.7560975609756184E-2</v>
      </c>
      <c r="BL221" s="3289"/>
      <c r="BM221" s="1511"/>
      <c r="BN221" s="1014">
        <f>BN220/V220-1</f>
        <v>0.30868544600938974</v>
      </c>
      <c r="BO221" s="1014">
        <f t="shared" ref="BO221:BU221" si="310">BO220/BN220-1</f>
        <v>0.42242152466367711</v>
      </c>
      <c r="BP221" s="1014">
        <f t="shared" si="310"/>
        <v>0.37452711223203017</v>
      </c>
      <c r="BQ221" s="1014">
        <f t="shared" si="310"/>
        <v>0.1834862385321101</v>
      </c>
      <c r="BR221" s="1014">
        <f t="shared" si="310"/>
        <v>-8.0232558139534893E-2</v>
      </c>
      <c r="BS221" s="1014">
        <f t="shared" si="310"/>
        <v>1.1378002528444897E-2</v>
      </c>
      <c r="BT221" s="1014">
        <f t="shared" si="310"/>
        <v>0.125</v>
      </c>
      <c r="BU221" s="1014">
        <f t="shared" si="310"/>
        <v>0.2592592592592593</v>
      </c>
      <c r="BV221" s="1014">
        <f t="shared" si="305"/>
        <v>0.17647058823529416</v>
      </c>
      <c r="BW221" s="1014">
        <f t="shared" si="306"/>
        <v>0.10000000000000009</v>
      </c>
    </row>
    <row r="222" spans="1:75" s="1775" customFormat="1" ht="12">
      <c r="A222" s="1506" t="s">
        <v>1428</v>
      </c>
      <c r="B222" s="1813"/>
      <c r="C222" s="1813"/>
      <c r="R222" s="1775">
        <v>362000</v>
      </c>
      <c r="S222" s="1775">
        <v>405000</v>
      </c>
      <c r="T222" s="1775">
        <v>400000</v>
      </c>
      <c r="U222" s="1775">
        <v>462000</v>
      </c>
      <c r="V222" s="1794">
        <f>U222</f>
        <v>462000</v>
      </c>
      <c r="W222" s="1775">
        <v>482000</v>
      </c>
      <c r="X222" s="1775">
        <v>498000</v>
      </c>
      <c r="Y222" s="1775">
        <v>536000</v>
      </c>
      <c r="Z222" s="1794">
        <v>547000</v>
      </c>
      <c r="AA222" s="1775">
        <v>578000</v>
      </c>
      <c r="AB222" s="1775">
        <v>619000</v>
      </c>
      <c r="AC222" s="1775">
        <f>AC220-AC224</f>
        <v>657000</v>
      </c>
      <c r="AD222" s="1794">
        <v>396000</v>
      </c>
      <c r="AE222" s="1775">
        <v>415000</v>
      </c>
      <c r="AF222" s="1775">
        <v>425000</v>
      </c>
      <c r="AG222" s="1775">
        <v>430000</v>
      </c>
      <c r="AH222" s="1794">
        <v>436000</v>
      </c>
      <c r="AI222" s="1775">
        <v>438000</v>
      </c>
      <c r="AJ222" s="1775">
        <v>438000</v>
      </c>
      <c r="AK222" s="1775">
        <v>455000</v>
      </c>
      <c r="AL222" s="1794">
        <v>460000</v>
      </c>
      <c r="AM222" s="1775">
        <v>472000</v>
      </c>
      <c r="AN222" s="1775">
        <v>469000</v>
      </c>
      <c r="AO222" s="1775">
        <v>450000</v>
      </c>
      <c r="AP222" s="1775">
        <v>434000</v>
      </c>
      <c r="AQ222" s="1775">
        <v>430000</v>
      </c>
      <c r="AR222" s="1775">
        <v>432000</v>
      </c>
      <c r="AS222" s="1775">
        <v>432000</v>
      </c>
      <c r="AT222" s="3282">
        <v>400000</v>
      </c>
      <c r="AU222" s="3283">
        <v>400000</v>
      </c>
      <c r="AV222" s="3284">
        <v>400000</v>
      </c>
      <c r="AW222" s="3284">
        <v>400000</v>
      </c>
      <c r="AX222" s="3285">
        <v>400000</v>
      </c>
      <c r="AY222" s="3286">
        <v>450000</v>
      </c>
      <c r="AZ222" s="3284">
        <v>450000</v>
      </c>
      <c r="BA222" s="3284">
        <v>450000</v>
      </c>
      <c r="BB222" s="3285">
        <v>475000</v>
      </c>
      <c r="BC222" s="3397">
        <v>450000</v>
      </c>
      <c r="BD222" s="3397">
        <v>475000</v>
      </c>
      <c r="BE222" s="3397">
        <v>475000</v>
      </c>
      <c r="BF222" s="3398">
        <v>500000</v>
      </c>
      <c r="BG222" s="3397">
        <v>500000</v>
      </c>
      <c r="BH222" s="3397">
        <v>500000</v>
      </c>
      <c r="BI222" s="3397">
        <v>500000</v>
      </c>
      <c r="BJ222" s="3397">
        <v>500000</v>
      </c>
      <c r="BK222" s="3397">
        <v>500000</v>
      </c>
      <c r="BL222" s="3397"/>
      <c r="BM222" s="3168"/>
      <c r="BN222" s="1814">
        <f>Z222</f>
        <v>547000</v>
      </c>
      <c r="BO222" s="1814">
        <f>AD222</f>
        <v>396000</v>
      </c>
      <c r="BP222" s="1814">
        <f>AH222</f>
        <v>436000</v>
      </c>
      <c r="BQ222" s="2824">
        <f>AL222</f>
        <v>460000</v>
      </c>
      <c r="BR222" s="1814">
        <f>AP222</f>
        <v>434000</v>
      </c>
      <c r="BS222" s="1769">
        <f>AT222</f>
        <v>400000</v>
      </c>
      <c r="BT222" s="1769">
        <f>AX222</f>
        <v>400000</v>
      </c>
      <c r="BU222" s="1775">
        <f>BB222</f>
        <v>475000</v>
      </c>
      <c r="BV222" s="1775">
        <f t="shared" si="305"/>
        <v>500000</v>
      </c>
      <c r="BW222" s="1775">
        <f t="shared" si="306"/>
        <v>500000</v>
      </c>
    </row>
    <row r="223" spans="1:75" s="1020" customFormat="1" ht="12">
      <c r="A223" s="1762" t="s">
        <v>1424</v>
      </c>
      <c r="B223" s="1019"/>
      <c r="C223" s="1019"/>
      <c r="V223" s="223"/>
      <c r="W223" s="987">
        <f>W222/R222-1</f>
        <v>0.33149171270718236</v>
      </c>
      <c r="X223" s="987">
        <f>X222/S222-1</f>
        <v>0.22962962962962963</v>
      </c>
      <c r="Y223" s="987">
        <f>Y222/T222-1</f>
        <v>0.34000000000000008</v>
      </c>
      <c r="Z223" s="468">
        <f>Z222/U222-1</f>
        <v>0.18398268398268391</v>
      </c>
      <c r="AA223" s="987">
        <f t="shared" ref="AA223:AU223" si="311">AA222/W222-1</f>
        <v>0.19917012448132776</v>
      </c>
      <c r="AB223" s="987">
        <f t="shared" si="311"/>
        <v>0.24297188755020072</v>
      </c>
      <c r="AC223" s="987">
        <f t="shared" si="311"/>
        <v>0.22574626865671643</v>
      </c>
      <c r="AD223" s="468">
        <f t="shared" si="311"/>
        <v>-0.27605118829981723</v>
      </c>
      <c r="AE223" s="987">
        <f t="shared" si="311"/>
        <v>-0.2820069204152249</v>
      </c>
      <c r="AF223" s="987">
        <f t="shared" si="311"/>
        <v>-0.31340872374798057</v>
      </c>
      <c r="AG223" s="987">
        <f t="shared" si="311"/>
        <v>-0.34550989345509897</v>
      </c>
      <c r="AH223" s="468">
        <f t="shared" si="311"/>
        <v>0.10101010101010099</v>
      </c>
      <c r="AI223" s="987">
        <f t="shared" si="311"/>
        <v>5.5421686746987886E-2</v>
      </c>
      <c r="AJ223" s="987">
        <f t="shared" si="311"/>
        <v>3.0588235294117583E-2</v>
      </c>
      <c r="AK223" s="987">
        <f t="shared" si="311"/>
        <v>5.8139534883721034E-2</v>
      </c>
      <c r="AL223" s="468">
        <f t="shared" si="311"/>
        <v>5.504587155963292E-2</v>
      </c>
      <c r="AM223" s="987">
        <f t="shared" si="311"/>
        <v>7.7625570776255648E-2</v>
      </c>
      <c r="AN223" s="987">
        <f t="shared" si="311"/>
        <v>7.077625570776247E-2</v>
      </c>
      <c r="AO223" s="987">
        <f t="shared" si="311"/>
        <v>-1.098901098901095E-2</v>
      </c>
      <c r="AP223" s="987">
        <f t="shared" si="311"/>
        <v>-5.6521739130434789E-2</v>
      </c>
      <c r="AQ223" s="987">
        <f t="shared" si="311"/>
        <v>-8.8983050847457612E-2</v>
      </c>
      <c r="AR223" s="987">
        <f t="shared" si="311"/>
        <v>-7.8891257995735597E-2</v>
      </c>
      <c r="AS223" s="987">
        <f t="shared" si="311"/>
        <v>-4.0000000000000036E-2</v>
      </c>
      <c r="AT223" s="3287">
        <f t="shared" si="311"/>
        <v>-7.8341013824884786E-2</v>
      </c>
      <c r="AU223" s="3288">
        <f t="shared" si="311"/>
        <v>-6.9767441860465129E-2</v>
      </c>
      <c r="AV223" s="3289">
        <f t="shared" ref="AV223:BD223" si="312">AV222/AR222-1</f>
        <v>-7.407407407407407E-2</v>
      </c>
      <c r="AW223" s="3289">
        <f t="shared" si="312"/>
        <v>-7.407407407407407E-2</v>
      </c>
      <c r="AX223" s="3287">
        <f t="shared" si="312"/>
        <v>0</v>
      </c>
      <c r="AY223" s="3288">
        <f t="shared" si="312"/>
        <v>0.125</v>
      </c>
      <c r="AZ223" s="3289">
        <f t="shared" si="312"/>
        <v>0.125</v>
      </c>
      <c r="BA223" s="3289">
        <f t="shared" si="312"/>
        <v>0.125</v>
      </c>
      <c r="BB223" s="3287">
        <f t="shared" si="312"/>
        <v>0.1875</v>
      </c>
      <c r="BC223" s="3289">
        <f t="shared" si="312"/>
        <v>0</v>
      </c>
      <c r="BD223" s="3289">
        <f t="shared" si="312"/>
        <v>5.555555555555558E-2</v>
      </c>
      <c r="BE223" s="3289">
        <f t="shared" ref="BE223:BI223" si="313">BE222/BA222-1</f>
        <v>5.555555555555558E-2</v>
      </c>
      <c r="BF223" s="3287">
        <f t="shared" si="313"/>
        <v>5.2631578947368363E-2</v>
      </c>
      <c r="BG223" s="3289">
        <f t="shared" si="313"/>
        <v>0.11111111111111116</v>
      </c>
      <c r="BH223" s="3289">
        <f t="shared" si="313"/>
        <v>5.2631578947368363E-2</v>
      </c>
      <c r="BI223" s="3289">
        <f t="shared" si="313"/>
        <v>5.2631578947368363E-2</v>
      </c>
      <c r="BJ223" s="3289">
        <f>BJ222/BF222-1</f>
        <v>0</v>
      </c>
      <c r="BK223" s="3289">
        <f>BK222/BG222-1</f>
        <v>0</v>
      </c>
      <c r="BL223" s="3289"/>
      <c r="BM223" s="1511"/>
      <c r="BN223" s="1014">
        <f>BN222/V222-1</f>
        <v>0.18398268398268391</v>
      </c>
      <c r="BO223" s="1014">
        <f t="shared" ref="BO223:BU223" si="314">BO222/BN222-1</f>
        <v>-0.27605118829981723</v>
      </c>
      <c r="BP223" s="1014">
        <f t="shared" si="314"/>
        <v>0.10101010101010099</v>
      </c>
      <c r="BQ223" s="1014">
        <f t="shared" si="314"/>
        <v>5.504587155963292E-2</v>
      </c>
      <c r="BR223" s="1014">
        <f t="shared" si="314"/>
        <v>-5.6521739130434789E-2</v>
      </c>
      <c r="BS223" s="1014">
        <f t="shared" si="314"/>
        <v>-7.8341013824884786E-2</v>
      </c>
      <c r="BT223" s="1014">
        <f t="shared" si="314"/>
        <v>0</v>
      </c>
      <c r="BU223" s="1014">
        <f t="shared" si="314"/>
        <v>0.1875</v>
      </c>
      <c r="BV223" s="1014">
        <f t="shared" si="305"/>
        <v>5.2631578947368363E-2</v>
      </c>
      <c r="BW223" s="987">
        <f t="shared" si="306"/>
        <v>0</v>
      </c>
    </row>
    <row r="224" spans="1:75" s="1775" customFormat="1" ht="12">
      <c r="A224" s="1506" t="s">
        <v>2833</v>
      </c>
      <c r="B224" s="1813"/>
      <c r="C224" s="1813"/>
      <c r="R224" s="1775">
        <v>275000</v>
      </c>
      <c r="S224" s="1775">
        <v>337000</v>
      </c>
      <c r="T224" s="1775">
        <v>350000</v>
      </c>
      <c r="U224" s="1775">
        <v>390000</v>
      </c>
      <c r="V224" s="1794">
        <f>U224</f>
        <v>390000</v>
      </c>
      <c r="W224" s="1775">
        <v>397500</v>
      </c>
      <c r="X224" s="1775">
        <v>467000</v>
      </c>
      <c r="Y224" s="1775">
        <v>529000</v>
      </c>
      <c r="Z224" s="1794">
        <v>568000</v>
      </c>
      <c r="AA224" s="1775">
        <v>613000</v>
      </c>
      <c r="AB224" s="1775">
        <v>721000</v>
      </c>
      <c r="AC224" s="1775">
        <v>816000</v>
      </c>
      <c r="AD224" s="1794">
        <v>1190000</v>
      </c>
      <c r="AE224" s="1775">
        <v>1325000</v>
      </c>
      <c r="AF224" s="1775">
        <v>1500000</v>
      </c>
      <c r="AG224" s="1775">
        <v>1635000</v>
      </c>
      <c r="AH224" s="1794">
        <v>1744000</v>
      </c>
      <c r="AI224" s="1775">
        <f>AI220-AI222</f>
        <v>1852000</v>
      </c>
      <c r="AJ224" s="1775">
        <v>1938000</v>
      </c>
      <c r="AK224" s="1775">
        <v>2065000</v>
      </c>
      <c r="AL224" s="1794">
        <v>2120000</v>
      </c>
      <c r="AM224" s="1775">
        <v>2135000</v>
      </c>
      <c r="AN224" s="1775">
        <v>2105000</v>
      </c>
      <c r="AO224" s="1775">
        <v>2033000</v>
      </c>
      <c r="AP224" s="1775">
        <v>1939000</v>
      </c>
      <c r="AQ224" s="1775">
        <v>1903000</v>
      </c>
      <c r="AR224" s="1775">
        <v>1953000</v>
      </c>
      <c r="AS224" s="1775">
        <v>1960000</v>
      </c>
      <c r="AT224" s="3282">
        <v>1900000</v>
      </c>
      <c r="AU224" s="3283">
        <v>2000000</v>
      </c>
      <c r="AV224" s="3284">
        <v>2100000</v>
      </c>
      <c r="AW224" s="3284">
        <v>2200000</v>
      </c>
      <c r="AX224" s="3285">
        <v>2300000</v>
      </c>
      <c r="AY224" s="3286">
        <v>2400000</v>
      </c>
      <c r="AZ224" s="3284">
        <v>2600000</v>
      </c>
      <c r="BA224" s="3284">
        <v>2800000</v>
      </c>
      <c r="BB224" s="3285">
        <v>2900000</v>
      </c>
      <c r="BC224" s="3397">
        <v>3000000</v>
      </c>
      <c r="BD224" s="3397">
        <v>3300000</v>
      </c>
      <c r="BE224" s="3397">
        <v>3400000</v>
      </c>
      <c r="BF224" s="3398">
        <v>3500000</v>
      </c>
      <c r="BG224" s="3397">
        <v>3600000</v>
      </c>
      <c r="BH224" s="3397">
        <v>3800000</v>
      </c>
      <c r="BI224" s="3397">
        <v>3900000</v>
      </c>
      <c r="BJ224" s="3397">
        <v>3900000</v>
      </c>
      <c r="BK224" s="3397">
        <v>4000000</v>
      </c>
      <c r="BL224" s="3397"/>
      <c r="BM224" s="3168"/>
      <c r="BN224" s="1814">
        <f>Z224</f>
        <v>568000</v>
      </c>
      <c r="BO224" s="1814">
        <f>AD224</f>
        <v>1190000</v>
      </c>
      <c r="BP224" s="1814">
        <f>AH224</f>
        <v>1744000</v>
      </c>
      <c r="BQ224" s="2824">
        <f>AL224</f>
        <v>2120000</v>
      </c>
      <c r="BR224" s="1814">
        <f>AP224</f>
        <v>1939000</v>
      </c>
      <c r="BS224" s="1769">
        <f>AT224</f>
        <v>1900000</v>
      </c>
      <c r="BT224" s="1776">
        <f>AX224</f>
        <v>2300000</v>
      </c>
      <c r="BU224" s="1775">
        <f>BB224</f>
        <v>2900000</v>
      </c>
      <c r="BV224" s="1775">
        <f t="shared" si="305"/>
        <v>3500000</v>
      </c>
      <c r="BW224" s="1775">
        <f t="shared" si="306"/>
        <v>3900000</v>
      </c>
    </row>
    <row r="225" spans="1:75" s="1020" customFormat="1" ht="12">
      <c r="A225" s="3290" t="s">
        <v>1429</v>
      </c>
      <c r="B225" s="3291"/>
      <c r="C225" s="3291"/>
      <c r="D225" s="3292"/>
      <c r="E225" s="3292"/>
      <c r="F225" s="3292"/>
      <c r="G225" s="3292"/>
      <c r="H225" s="3292"/>
      <c r="I225" s="3292"/>
      <c r="J225" s="3292"/>
      <c r="K225" s="3292"/>
      <c r="L225" s="3292"/>
      <c r="M225" s="3292"/>
      <c r="N225" s="3292"/>
      <c r="O225" s="3292"/>
      <c r="P225" s="3292"/>
      <c r="Q225" s="3292"/>
      <c r="R225" s="3292"/>
      <c r="S225" s="3292"/>
      <c r="T225" s="3292"/>
      <c r="U225" s="3292"/>
      <c r="V225" s="3293"/>
      <c r="W225" s="3294">
        <f>W224/R224-1</f>
        <v>0.44545454545454555</v>
      </c>
      <c r="X225" s="3292">
        <f>X224/S224-1</f>
        <v>0.3857566765578635</v>
      </c>
      <c r="Y225" s="3292">
        <f>Y224/T224-1</f>
        <v>0.51142857142857134</v>
      </c>
      <c r="Z225" s="3293">
        <f>Z224/U224-1</f>
        <v>0.45641025641025634</v>
      </c>
      <c r="AA225" s="3292">
        <f t="shared" ref="AA225:AT225" si="315">AA224/W224-1</f>
        <v>0.54213836477987432</v>
      </c>
      <c r="AB225" s="3292">
        <f t="shared" si="315"/>
        <v>0.54389721627409005</v>
      </c>
      <c r="AC225" s="3292">
        <f t="shared" si="315"/>
        <v>0.54253308128544431</v>
      </c>
      <c r="AD225" s="3293">
        <f t="shared" si="315"/>
        <v>1.0950704225352115</v>
      </c>
      <c r="AE225" s="3292">
        <f t="shared" si="315"/>
        <v>1.161500815660685</v>
      </c>
      <c r="AF225" s="3292">
        <f t="shared" si="315"/>
        <v>1.0804438280166435</v>
      </c>
      <c r="AG225" s="3292">
        <f t="shared" si="315"/>
        <v>1.0036764705882355</v>
      </c>
      <c r="AH225" s="3293">
        <f t="shared" si="315"/>
        <v>0.46554621848739486</v>
      </c>
      <c r="AI225" s="3292">
        <f t="shared" si="315"/>
        <v>0.39773584905660386</v>
      </c>
      <c r="AJ225" s="3292">
        <f t="shared" si="315"/>
        <v>0.29200000000000004</v>
      </c>
      <c r="AK225" s="3292">
        <f t="shared" si="315"/>
        <v>0.26299694189602452</v>
      </c>
      <c r="AL225" s="3293">
        <f t="shared" si="315"/>
        <v>0.21559633027522929</v>
      </c>
      <c r="AM225" s="3292">
        <f t="shared" si="315"/>
        <v>0.15280777537796975</v>
      </c>
      <c r="AN225" s="3292">
        <f t="shared" si="315"/>
        <v>8.6171310629514997E-2</v>
      </c>
      <c r="AO225" s="3292">
        <f t="shared" si="315"/>
        <v>-1.5496368038740882E-2</v>
      </c>
      <c r="AP225" s="3292">
        <f t="shared" si="315"/>
        <v>-8.5377358490566047E-2</v>
      </c>
      <c r="AQ225" s="3292">
        <f t="shared" si="315"/>
        <v>-0.10866510538641683</v>
      </c>
      <c r="AR225" s="3294">
        <f t="shared" si="315"/>
        <v>-7.2209026128266074E-2</v>
      </c>
      <c r="AS225" s="3294">
        <f t="shared" si="315"/>
        <v>-3.5907525823905551E-2</v>
      </c>
      <c r="AT225" s="3295">
        <f t="shared" si="315"/>
        <v>-2.0113460546673512E-2</v>
      </c>
      <c r="AU225" s="3296">
        <f t="shared" ref="AU225:BD225" si="316">AU224/AQ224-1</f>
        <v>5.0972149238045272E-2</v>
      </c>
      <c r="AV225" s="3297">
        <f t="shared" si="316"/>
        <v>7.5268817204301008E-2</v>
      </c>
      <c r="AW225" s="3297">
        <f t="shared" si="316"/>
        <v>0.12244897959183665</v>
      </c>
      <c r="AX225" s="3295">
        <f t="shared" si="316"/>
        <v>0.21052631578947367</v>
      </c>
      <c r="AY225" s="3296">
        <f t="shared" si="316"/>
        <v>0.19999999999999996</v>
      </c>
      <c r="AZ225" s="3297">
        <f t="shared" si="316"/>
        <v>0.23809523809523814</v>
      </c>
      <c r="BA225" s="3297">
        <f t="shared" si="316"/>
        <v>0.27272727272727271</v>
      </c>
      <c r="BB225" s="3295">
        <f t="shared" si="316"/>
        <v>0.26086956521739135</v>
      </c>
      <c r="BC225" s="3297">
        <f t="shared" si="316"/>
        <v>0.25</v>
      </c>
      <c r="BD225" s="3297">
        <f t="shared" si="316"/>
        <v>0.26923076923076916</v>
      </c>
      <c r="BE225" s="3297">
        <f t="shared" ref="BE225:BI225" si="317">BE224/BA224-1</f>
        <v>0.21428571428571419</v>
      </c>
      <c r="BF225" s="3295">
        <f t="shared" si="317"/>
        <v>0.2068965517241379</v>
      </c>
      <c r="BG225" s="3297">
        <f t="shared" si="317"/>
        <v>0.19999999999999996</v>
      </c>
      <c r="BH225" s="3297">
        <f t="shared" si="317"/>
        <v>0.1515151515151516</v>
      </c>
      <c r="BI225" s="3297">
        <f t="shared" si="317"/>
        <v>0.14705882352941169</v>
      </c>
      <c r="BJ225" s="3297">
        <f>BJ224/BF224-1</f>
        <v>0.11428571428571432</v>
      </c>
      <c r="BK225" s="3297">
        <f>BK224/BG224-1</f>
        <v>0.11111111111111116</v>
      </c>
      <c r="BL225" s="3297"/>
      <c r="BM225" s="3298"/>
      <c r="BN225" s="3299">
        <f>BN224/V224-1</f>
        <v>0.45641025641025634</v>
      </c>
      <c r="BO225" s="3299">
        <f t="shared" ref="BO225:BU225" si="318">BO224/BN224-1</f>
        <v>1.0950704225352115</v>
      </c>
      <c r="BP225" s="3299">
        <f t="shared" si="318"/>
        <v>0.46554621848739486</v>
      </c>
      <c r="BQ225" s="3299">
        <f t="shared" si="318"/>
        <v>0.21559633027522929</v>
      </c>
      <c r="BR225" s="3299">
        <f t="shared" si="318"/>
        <v>-8.5377358490566047E-2</v>
      </c>
      <c r="BS225" s="3299">
        <f t="shared" si="318"/>
        <v>-2.0113460546673512E-2</v>
      </c>
      <c r="BT225" s="3299">
        <f t="shared" si="318"/>
        <v>0.21052631578947367</v>
      </c>
      <c r="BU225" s="3299">
        <f t="shared" si="318"/>
        <v>0.26086956521739135</v>
      </c>
      <c r="BV225" s="3299">
        <f t="shared" si="305"/>
        <v>0.2068965517241379</v>
      </c>
      <c r="BW225" s="1020">
        <f t="shared" si="306"/>
        <v>0.11428571428571432</v>
      </c>
    </row>
    <row r="226" spans="1:75" s="27" customFormat="1">
      <c r="A226" s="1462"/>
      <c r="B226" s="59"/>
      <c r="C226" s="59"/>
      <c r="V226" s="97"/>
      <c r="W226" s="211"/>
      <c r="Z226" s="97"/>
      <c r="AD226" s="97"/>
      <c r="AH226" s="97"/>
      <c r="AL226" s="97"/>
      <c r="AP226" s="2082"/>
      <c r="AQ226" s="2082"/>
      <c r="AR226" s="2082"/>
      <c r="AS226" s="2082"/>
      <c r="AT226" s="2081"/>
      <c r="AU226" s="2910"/>
      <c r="AV226" s="2082"/>
      <c r="AW226" s="2082"/>
      <c r="AX226" s="2081"/>
      <c r="AY226" s="2910"/>
      <c r="AZ226" s="3222"/>
      <c r="BA226" s="3222"/>
      <c r="BB226" s="3132"/>
      <c r="BC226" s="3222"/>
      <c r="BD226" s="3222"/>
      <c r="BE226" s="3222"/>
      <c r="BF226" s="3132"/>
      <c r="BG226" s="3222"/>
      <c r="BH226" s="3222"/>
      <c r="BI226" s="3222"/>
      <c r="BJ226" s="3222"/>
      <c r="BK226" s="3222"/>
      <c r="BL226" s="3498"/>
      <c r="BM226" s="3132"/>
      <c r="BN226" s="452"/>
      <c r="BO226" s="452"/>
      <c r="BP226" s="452"/>
      <c r="BR226" s="452"/>
      <c r="BS226" s="452"/>
      <c r="BT226" s="452"/>
    </row>
    <row r="227" spans="1:75" s="1494" customFormat="1" hidden="1">
      <c r="A227" s="1507" t="s">
        <v>1418</v>
      </c>
      <c r="B227" s="1493"/>
      <c r="C227" s="1493"/>
      <c r="V227" s="1495"/>
      <c r="Z227" s="1495"/>
      <c r="AD227" s="1495"/>
      <c r="AE227" s="1494">
        <v>28.2</v>
      </c>
      <c r="AF227" s="1494">
        <v>28.8</v>
      </c>
      <c r="AG227" s="1494">
        <v>29</v>
      </c>
      <c r="AH227" s="1495"/>
      <c r="AL227" s="1495"/>
      <c r="AR227" s="2948">
        <v>28</v>
      </c>
      <c r="AS227" s="2948">
        <v>28</v>
      </c>
      <c r="AT227" s="2995">
        <v>28</v>
      </c>
      <c r="AU227" s="3264"/>
      <c r="AV227" s="2948"/>
      <c r="AX227" s="1495"/>
      <c r="AY227" s="2832"/>
      <c r="AZ227" s="3223"/>
      <c r="BA227" s="3223"/>
      <c r="BB227" s="3133"/>
      <c r="BC227" s="3223"/>
      <c r="BD227" s="3223"/>
      <c r="BE227" s="3223"/>
      <c r="BF227" s="3133"/>
      <c r="BG227" s="3223"/>
      <c r="BH227" s="3223"/>
      <c r="BI227" s="3223"/>
      <c r="BJ227" s="3223"/>
      <c r="BK227" s="3223"/>
      <c r="BL227" s="3223"/>
      <c r="BM227" s="3133"/>
      <c r="BN227" s="1496"/>
      <c r="BO227" s="1496"/>
      <c r="BP227" s="1496"/>
      <c r="BR227" s="1496"/>
      <c r="BS227" s="1496"/>
      <c r="BT227" s="1496"/>
    </row>
    <row r="228" spans="1:75" s="1020" customFormat="1" ht="12" hidden="1">
      <c r="A228" s="452" t="s">
        <v>1050</v>
      </c>
      <c r="B228" s="1019"/>
      <c r="C228" s="1019"/>
      <c r="V228" s="223"/>
      <c r="W228" s="987"/>
      <c r="Z228" s="223"/>
      <c r="AD228" s="223"/>
      <c r="AH228" s="223"/>
      <c r="AL228" s="223"/>
      <c r="AT228" s="223"/>
      <c r="AU228" s="1543"/>
      <c r="AX228" s="223"/>
      <c r="AY228" s="1543"/>
      <c r="AZ228" s="3224"/>
      <c r="BA228" s="3224"/>
      <c r="BB228" s="3134"/>
      <c r="BC228" s="3224"/>
      <c r="BD228" s="3224"/>
      <c r="BE228" s="3224"/>
      <c r="BF228" s="3134"/>
      <c r="BG228" s="3224"/>
      <c r="BH228" s="3224"/>
      <c r="BI228" s="3224"/>
      <c r="BJ228" s="3224"/>
      <c r="BK228" s="3224"/>
      <c r="BL228" s="3224"/>
      <c r="BM228" s="3134"/>
      <c r="BN228" s="1411"/>
      <c r="BO228" s="1411"/>
      <c r="BP228" s="1411"/>
      <c r="BR228" s="1411"/>
      <c r="BS228" s="1411"/>
      <c r="BT228" s="1411"/>
    </row>
    <row r="229" spans="1:75" s="1494" customFormat="1" hidden="1">
      <c r="A229" s="1461" t="s">
        <v>1423</v>
      </c>
      <c r="B229" s="1493"/>
      <c r="C229" s="1493"/>
      <c r="V229" s="1495"/>
      <c r="Z229" s="1495"/>
      <c r="AD229" s="1495"/>
      <c r="AE229" s="1494">
        <v>23</v>
      </c>
      <c r="AF229" s="1494">
        <v>23.3</v>
      </c>
      <c r="AG229" s="1494">
        <f>AG227-AG231</f>
        <v>23.3</v>
      </c>
      <c r="AH229" s="1495"/>
      <c r="AL229" s="1495"/>
      <c r="AT229" s="1495"/>
      <c r="AU229" s="2832"/>
      <c r="AX229" s="1495"/>
      <c r="AY229" s="2832"/>
      <c r="AZ229" s="3223"/>
      <c r="BA229" s="3223"/>
      <c r="BB229" s="3133"/>
      <c r="BC229" s="3223"/>
      <c r="BD229" s="3223"/>
      <c r="BE229" s="3223"/>
      <c r="BF229" s="3133"/>
      <c r="BG229" s="3223"/>
      <c r="BH229" s="3223"/>
      <c r="BI229" s="3223"/>
      <c r="BJ229" s="3223"/>
      <c r="BK229" s="3223"/>
      <c r="BL229" s="3223"/>
      <c r="BM229" s="3133"/>
      <c r="BN229" s="1496"/>
      <c r="BO229" s="1496"/>
      <c r="BP229" s="1496"/>
      <c r="BR229" s="1496"/>
      <c r="BS229" s="1496"/>
      <c r="BT229" s="1496"/>
    </row>
    <row r="230" spans="1:75" s="1020" customFormat="1" ht="12" hidden="1">
      <c r="A230" s="1762" t="s">
        <v>1050</v>
      </c>
      <c r="B230" s="1019"/>
      <c r="C230" s="1019"/>
      <c r="V230" s="223"/>
      <c r="W230" s="987"/>
      <c r="Z230" s="223"/>
      <c r="AD230" s="223"/>
      <c r="AH230" s="223"/>
      <c r="AL230" s="223"/>
      <c r="AT230" s="223"/>
      <c r="AU230" s="1543"/>
      <c r="AX230" s="223"/>
      <c r="AY230" s="1543"/>
      <c r="AZ230" s="3224"/>
      <c r="BA230" s="3224"/>
      <c r="BB230" s="3134"/>
      <c r="BC230" s="3224"/>
      <c r="BD230" s="3224"/>
      <c r="BE230" s="3224"/>
      <c r="BF230" s="3134"/>
      <c r="BG230" s="3224"/>
      <c r="BH230" s="3224"/>
      <c r="BI230" s="3224"/>
      <c r="BJ230" s="3224"/>
      <c r="BK230" s="3224"/>
      <c r="BL230" s="3224"/>
      <c r="BM230" s="3134"/>
      <c r="BN230" s="1411"/>
      <c r="BO230" s="1411"/>
      <c r="BP230" s="1411"/>
      <c r="BR230" s="1411"/>
      <c r="BS230" s="1411"/>
      <c r="BT230" s="1411"/>
    </row>
    <row r="231" spans="1:75" s="1494" customFormat="1" hidden="1">
      <c r="A231" s="1461" t="s">
        <v>1419</v>
      </c>
      <c r="B231" s="1493"/>
      <c r="C231" s="1493"/>
      <c r="V231" s="1495"/>
      <c r="Z231" s="1495"/>
      <c r="AA231" s="1494">
        <f>AE231/(1+AE232)</f>
        <v>4.0625</v>
      </c>
      <c r="AB231" s="1494">
        <f>AF231/(1+AF232)</f>
        <v>4.4715447154471546</v>
      </c>
      <c r="AC231" s="1494">
        <f>AG231/(1+AG232)</f>
        <v>4.7107438016528924</v>
      </c>
      <c r="AD231" s="1495"/>
      <c r="AE231" s="1494">
        <v>5.2</v>
      </c>
      <c r="AF231" s="1494">
        <v>5.5</v>
      </c>
      <c r="AG231" s="1494">
        <v>5.7</v>
      </c>
      <c r="AH231" s="1495">
        <v>5.7</v>
      </c>
      <c r="AI231" s="1494">
        <v>6</v>
      </c>
      <c r="AJ231" s="1494">
        <v>6</v>
      </c>
      <c r="AK231" s="1494">
        <v>6</v>
      </c>
      <c r="AL231" s="1495"/>
      <c r="AR231" s="1494">
        <v>6.6</v>
      </c>
      <c r="AT231" s="1495"/>
      <c r="AU231" s="2832"/>
      <c r="AV231" s="1494">
        <v>6.6</v>
      </c>
      <c r="AX231" s="1495"/>
      <c r="AY231" s="2832"/>
      <c r="AZ231" s="3223"/>
      <c r="BA231" s="3223"/>
      <c r="BB231" s="3133"/>
      <c r="BC231" s="3223"/>
      <c r="BD231" s="3223"/>
      <c r="BE231" s="3223"/>
      <c r="BF231" s="3133"/>
      <c r="BG231" s="3223"/>
      <c r="BH231" s="3223"/>
      <c r="BI231" s="3223"/>
      <c r="BJ231" s="3223"/>
      <c r="BK231" s="3223"/>
      <c r="BL231" s="3223"/>
      <c r="BM231" s="3133"/>
      <c r="BN231" s="1496"/>
      <c r="BO231" s="1496"/>
      <c r="BP231" s="1496"/>
      <c r="BR231" s="1496"/>
      <c r="BS231" s="1496"/>
      <c r="BT231" s="1496"/>
    </row>
    <row r="232" spans="1:75" s="1020" customFormat="1" ht="12" hidden="1">
      <c r="A232" s="1762" t="s">
        <v>1050</v>
      </c>
      <c r="B232" s="1019"/>
      <c r="C232" s="1019"/>
      <c r="V232" s="223"/>
      <c r="W232" s="987"/>
      <c r="Z232" s="223"/>
      <c r="AD232" s="223"/>
      <c r="AE232" s="1020">
        <v>0.28000000000000003</v>
      </c>
      <c r="AF232" s="1020">
        <v>0.23</v>
      </c>
      <c r="AG232" s="1020">
        <v>0.21</v>
      </c>
      <c r="AH232" s="223"/>
      <c r="AI232" s="1020">
        <f>AI231/AE231-1</f>
        <v>0.15384615384615374</v>
      </c>
      <c r="AJ232" s="1020">
        <f>AJ231/AF231-1</f>
        <v>9.0909090909090828E-2</v>
      </c>
      <c r="AK232" s="1020">
        <f>AK231/AG231-1</f>
        <v>5.2631578947368363E-2</v>
      </c>
      <c r="AL232" s="223"/>
      <c r="AT232" s="223"/>
      <c r="AU232" s="1543"/>
      <c r="AX232" s="223"/>
      <c r="AY232" s="1543"/>
      <c r="AZ232" s="3224"/>
      <c r="BA232" s="3224"/>
      <c r="BB232" s="3134"/>
      <c r="BC232" s="3224"/>
      <c r="BD232" s="3224"/>
      <c r="BE232" s="3224"/>
      <c r="BF232" s="3134"/>
      <c r="BG232" s="3224"/>
      <c r="BH232" s="3224"/>
      <c r="BI232" s="3224"/>
      <c r="BJ232" s="3224"/>
      <c r="BK232" s="3224"/>
      <c r="BL232" s="3224"/>
      <c r="BM232" s="3134"/>
      <c r="BN232" s="1411"/>
      <c r="BO232" s="1411"/>
      <c r="BP232" s="1411"/>
      <c r="BR232" s="1411"/>
      <c r="BS232" s="1411"/>
      <c r="BT232" s="1411"/>
    </row>
    <row r="233" spans="1:75" s="27" customFormat="1">
      <c r="A233" s="159"/>
      <c r="B233" s="59"/>
      <c r="C233" s="59"/>
      <c r="V233" s="97"/>
      <c r="W233" s="211"/>
      <c r="Z233" s="97"/>
      <c r="AD233" s="97"/>
      <c r="AH233" s="97"/>
      <c r="AL233" s="97"/>
      <c r="AT233" s="97"/>
      <c r="AU233" s="98"/>
      <c r="AX233" s="97"/>
      <c r="AY233" s="98"/>
      <c r="AZ233" s="82">
        <f>284/268-1</f>
        <v>5.9701492537313383E-2</v>
      </c>
      <c r="BA233" s="570"/>
      <c r="BB233" s="3105"/>
      <c r="BC233" s="570"/>
      <c r="BD233" s="570"/>
      <c r="BE233" s="570"/>
      <c r="BF233" s="3105"/>
      <c r="BG233" s="570"/>
      <c r="BH233" s="570"/>
      <c r="BI233" s="570"/>
      <c r="BJ233" s="570"/>
      <c r="BK233" s="570"/>
      <c r="BL233" s="570"/>
      <c r="BM233" s="3105"/>
      <c r="BN233" s="452"/>
      <c r="BO233" s="452"/>
      <c r="BP233" s="452"/>
      <c r="BR233" s="452"/>
      <c r="BS233" s="452"/>
      <c r="BT233" s="452"/>
    </row>
    <row r="234" spans="1:75">
      <c r="A234" s="159" t="s">
        <v>168</v>
      </c>
      <c r="B234" s="42"/>
      <c r="C234" s="42"/>
      <c r="D234" s="30"/>
      <c r="E234" s="30"/>
      <c r="F234" s="30"/>
      <c r="G234" s="30"/>
      <c r="H234" s="30"/>
      <c r="I234" s="30"/>
      <c r="J234" s="30"/>
      <c r="K234" s="30"/>
      <c r="L234" s="30">
        <v>60900000</v>
      </c>
      <c r="M234" s="30">
        <v>92800000</v>
      </c>
      <c r="N234" s="30">
        <v>141600000</v>
      </c>
      <c r="O234" s="30">
        <v>197500000</v>
      </c>
      <c r="P234" s="30">
        <v>270500000</v>
      </c>
      <c r="Q234" s="30">
        <f>(83.4+89.6+94.8+78.2)*1000000</f>
        <v>346000000</v>
      </c>
      <c r="R234" s="30">
        <v>104600000</v>
      </c>
      <c r="S234" s="30">
        <v>113100000</v>
      </c>
      <c r="T234" s="30">
        <v>115600000</v>
      </c>
      <c r="U234" s="30">
        <v>99100000</v>
      </c>
      <c r="V234" s="105">
        <f>(104.6+113.1+115.6+99.1)*1000000</f>
        <v>432400000</v>
      </c>
      <c r="W234" s="376">
        <v>136500000</v>
      </c>
      <c r="X234" s="376">
        <v>140700000</v>
      </c>
      <c r="Y234" s="376">
        <v>149600000</v>
      </c>
      <c r="Z234" s="829">
        <v>129700000</v>
      </c>
      <c r="AA234" s="376">
        <v>173900000</v>
      </c>
      <c r="AB234" s="376">
        <v>170200000</v>
      </c>
      <c r="AC234" s="376">
        <v>177500000</v>
      </c>
      <c r="AD234" s="829">
        <v>151500000</v>
      </c>
      <c r="AE234" s="376">
        <v>196800000</v>
      </c>
      <c r="AF234" s="376">
        <v>190500000</v>
      </c>
      <c r="AG234" s="376">
        <v>201300000</v>
      </c>
      <c r="AH234" s="829">
        <f t="shared" ref="AH234:AP234" si="319">AH235*1000000</f>
        <v>171000000</v>
      </c>
      <c r="AI234" s="376">
        <f t="shared" si="319"/>
        <v>217000000</v>
      </c>
      <c r="AJ234" s="376">
        <f t="shared" si="319"/>
        <v>213000000</v>
      </c>
      <c r="AK234" s="376">
        <f t="shared" si="319"/>
        <v>223000000</v>
      </c>
      <c r="AL234" s="829">
        <f t="shared" si="319"/>
        <v>191000000</v>
      </c>
      <c r="AM234" s="376">
        <f t="shared" si="319"/>
        <v>124000000</v>
      </c>
      <c r="AN234" s="376">
        <f t="shared" si="319"/>
        <v>28000000</v>
      </c>
      <c r="AO234" s="376">
        <f t="shared" si="319"/>
        <v>127000000</v>
      </c>
      <c r="AP234" s="376">
        <f t="shared" si="319"/>
        <v>76000000</v>
      </c>
      <c r="AQ234" s="376">
        <v>99000000</v>
      </c>
      <c r="AR234" s="376">
        <v>157000000</v>
      </c>
      <c r="AS234" s="376">
        <v>183000000</v>
      </c>
      <c r="AT234" s="829">
        <f t="shared" ref="AT234:BB234" si="320">AT235*1000000</f>
        <v>151000000</v>
      </c>
      <c r="AU234" s="2831">
        <f t="shared" si="320"/>
        <v>198000000</v>
      </c>
      <c r="AV234" s="376">
        <f t="shared" si="320"/>
        <v>246000000</v>
      </c>
      <c r="AW234" s="376">
        <f t="shared" si="320"/>
        <v>240000000</v>
      </c>
      <c r="AX234" s="829">
        <f t="shared" si="320"/>
        <v>211000000</v>
      </c>
      <c r="AY234" s="2831">
        <f t="shared" si="320"/>
        <v>274000000</v>
      </c>
      <c r="AZ234" s="3135">
        <f t="shared" si="320"/>
        <v>268000000</v>
      </c>
      <c r="BA234" s="3135">
        <f t="shared" si="320"/>
        <v>276000000</v>
      </c>
      <c r="BB234" s="3130">
        <f t="shared" si="320"/>
        <v>231000000</v>
      </c>
      <c r="BC234" s="3135">
        <v>297000000</v>
      </c>
      <c r="BD234" s="3135"/>
      <c r="BE234" s="3135"/>
      <c r="BF234" s="3130"/>
      <c r="BG234" s="3135"/>
      <c r="BH234" s="3135"/>
      <c r="BI234" s="3135"/>
      <c r="BJ234" s="3135"/>
      <c r="BK234" s="3135"/>
      <c r="BL234" s="3135"/>
      <c r="BM234" s="3135"/>
      <c r="BN234" s="832">
        <f>SUM(W234:Z234)</f>
        <v>556500000</v>
      </c>
      <c r="BO234" s="832">
        <f>SUM(AA234:AD234)</f>
        <v>673100000</v>
      </c>
      <c r="BP234" s="832">
        <f>SUM(AE234:AH234)</f>
        <v>759600000</v>
      </c>
      <c r="BQ234" s="2831">
        <f>SUM(AI234:AL234)</f>
        <v>844000000</v>
      </c>
      <c r="BR234" s="832">
        <f>SUM(AM234:AP234)</f>
        <v>355000000</v>
      </c>
      <c r="BS234" s="832">
        <v>591000000</v>
      </c>
      <c r="BT234" s="832">
        <f>SUM(AU234:AX234)</f>
        <v>895000000</v>
      </c>
      <c r="BU234" s="832">
        <f>SUM(AY234:BB234)</f>
        <v>1049000000</v>
      </c>
      <c r="BV234" s="832"/>
      <c r="BW234" s="376"/>
    </row>
    <row r="235" spans="1:75" s="1800" customFormat="1">
      <c r="A235" s="159" t="s">
        <v>2860</v>
      </c>
      <c r="B235" s="1772"/>
      <c r="C235" s="1772"/>
      <c r="D235" s="1773"/>
      <c r="E235" s="1773"/>
      <c r="F235" s="1773"/>
      <c r="G235" s="1773"/>
      <c r="H235" s="1773"/>
      <c r="I235" s="1773"/>
      <c r="J235" s="1773"/>
      <c r="K235" s="1773"/>
      <c r="L235" s="1773"/>
      <c r="M235" s="1773"/>
      <c r="N235" s="1773"/>
      <c r="O235" s="1773"/>
      <c r="P235" s="1773"/>
      <c r="Q235" s="1773">
        <f>Q234/1000000</f>
        <v>346</v>
      </c>
      <c r="R235" s="1773">
        <f t="shared" ref="R235:Z235" si="321">R234/1000000</f>
        <v>104.6</v>
      </c>
      <c r="S235" s="1773">
        <f t="shared" si="321"/>
        <v>113.1</v>
      </c>
      <c r="T235" s="1773">
        <f t="shared" si="321"/>
        <v>115.6</v>
      </c>
      <c r="U235" s="1773">
        <f t="shared" si="321"/>
        <v>99.1</v>
      </c>
      <c r="V235" s="1774">
        <f t="shared" si="321"/>
        <v>432.4</v>
      </c>
      <c r="W235" s="1775">
        <f t="shared" si="321"/>
        <v>136.5</v>
      </c>
      <c r="X235" s="1775">
        <f t="shared" si="321"/>
        <v>140.69999999999999</v>
      </c>
      <c r="Y235" s="1775">
        <f t="shared" si="321"/>
        <v>149.6</v>
      </c>
      <c r="Z235" s="1801">
        <f t="shared" si="321"/>
        <v>129.69999999999999</v>
      </c>
      <c r="AA235" s="1775">
        <f>AA234/1000000</f>
        <v>173.9</v>
      </c>
      <c r="AB235" s="1775">
        <v>170.2</v>
      </c>
      <c r="AC235" s="1775">
        <v>177.5</v>
      </c>
      <c r="AD235" s="1801">
        <v>151.5</v>
      </c>
      <c r="AE235" s="1775">
        <f>AE234/1000000</f>
        <v>196.8</v>
      </c>
      <c r="AF235" s="1775">
        <f>AF234/1000000</f>
        <v>190.5</v>
      </c>
      <c r="AG235" s="1775">
        <f>AG234/1000000</f>
        <v>201.3</v>
      </c>
      <c r="AH235" s="2071">
        <v>171</v>
      </c>
      <c r="AI235" s="2070">
        <v>217</v>
      </c>
      <c r="AJ235" s="2070">
        <v>213</v>
      </c>
      <c r="AK235" s="2070">
        <v>223</v>
      </c>
      <c r="AL235" s="2071">
        <v>191</v>
      </c>
      <c r="AM235" s="2070">
        <v>124</v>
      </c>
      <c r="AN235" s="2070">
        <v>28</v>
      </c>
      <c r="AO235" s="2070">
        <v>127</v>
      </c>
      <c r="AP235" s="2070">
        <v>76</v>
      </c>
      <c r="AQ235" s="2070">
        <v>99</v>
      </c>
      <c r="AR235" s="2070">
        <v>157</v>
      </c>
      <c r="AS235" s="2070">
        <v>183</v>
      </c>
      <c r="AT235" s="2071">
        <v>151</v>
      </c>
      <c r="AU235" s="2833">
        <v>198</v>
      </c>
      <c r="AV235" s="2070">
        <v>246</v>
      </c>
      <c r="AW235" s="2070">
        <v>240</v>
      </c>
      <c r="AX235" s="2071">
        <v>211</v>
      </c>
      <c r="AY235" s="2833">
        <v>274</v>
      </c>
      <c r="AZ235" s="3225">
        <v>268</v>
      </c>
      <c r="BA235" s="3225">
        <v>276</v>
      </c>
      <c r="BB235" s="3136">
        <v>231</v>
      </c>
      <c r="BC235" s="3225">
        <v>297</v>
      </c>
      <c r="BD235" s="3225">
        <v>287</v>
      </c>
      <c r="BE235" s="3225">
        <v>299</v>
      </c>
      <c r="BF235" s="3136">
        <v>261</v>
      </c>
      <c r="BG235" s="3225">
        <v>319</v>
      </c>
      <c r="BH235" s="3225">
        <v>309</v>
      </c>
      <c r="BI235" s="3225">
        <v>323</v>
      </c>
      <c r="BJ235" s="3225">
        <v>285</v>
      </c>
      <c r="BK235" s="3225">
        <v>338</v>
      </c>
      <c r="BL235" s="3225">
        <v>325</v>
      </c>
      <c r="BM235" s="3136"/>
      <c r="BN235" s="1815">
        <f>SUM(W235:Z235)</f>
        <v>556.5</v>
      </c>
      <c r="BO235" s="1814">
        <f>SUM(AA235:AD235)</f>
        <v>673.1</v>
      </c>
      <c r="BP235" s="1814">
        <f>SUM(AE235:AH235)</f>
        <v>759.6</v>
      </c>
      <c r="BQ235" s="2824">
        <f>SUM(AI235:AL235)</f>
        <v>844</v>
      </c>
      <c r="BR235" s="1814">
        <f>SUM(AM235:AP235)</f>
        <v>355</v>
      </c>
      <c r="BS235" s="1814">
        <v>591</v>
      </c>
      <c r="BT235" s="1814">
        <v>896</v>
      </c>
      <c r="BU235" s="1814">
        <f>SUM(AY235:BB235)</f>
        <v>1049</v>
      </c>
      <c r="BV235" s="1814">
        <v>1144</v>
      </c>
      <c r="BW235" s="1775">
        <v>1235</v>
      </c>
    </row>
    <row r="236" spans="1:75" s="1780" customFormat="1" ht="12">
      <c r="A236" s="1014" t="s">
        <v>1050</v>
      </c>
      <c r="B236" s="1785"/>
      <c r="C236" s="1785"/>
      <c r="O236" s="1780">
        <f>O234/N234-1</f>
        <v>0.39477401129943512</v>
      </c>
      <c r="Q236" s="1780">
        <v>0.28000000000000003</v>
      </c>
      <c r="R236" s="1780">
        <v>0.254</v>
      </c>
      <c r="S236" s="1780">
        <v>0.26200000000000001</v>
      </c>
      <c r="T236" s="1780">
        <v>0.22</v>
      </c>
      <c r="U236" s="1780">
        <v>0.26600000000000001</v>
      </c>
      <c r="V236" s="1781">
        <f>V234/Q234-1</f>
        <v>0.24971098265895963</v>
      </c>
      <c r="W236" s="1780">
        <v>0.30499999999999999</v>
      </c>
      <c r="X236" s="1780">
        <v>0.24</v>
      </c>
      <c r="Y236" s="1780">
        <v>0.29399999999999998</v>
      </c>
      <c r="Z236" s="1781">
        <v>0.31</v>
      </c>
      <c r="AA236" s="1780">
        <v>0.27400000000000002</v>
      </c>
      <c r="AB236" s="1780">
        <v>0.21</v>
      </c>
      <c r="AC236" s="1780">
        <v>0.186</v>
      </c>
      <c r="AD236" s="1781">
        <v>0.16800000000000001</v>
      </c>
      <c r="AE236" s="1780">
        <v>0.13200000000000001</v>
      </c>
      <c r="AF236" s="1780">
        <v>0.12</v>
      </c>
      <c r="AG236" s="1780">
        <v>0.13400000000000001</v>
      </c>
      <c r="AH236" s="1781">
        <v>0.13</v>
      </c>
      <c r="AI236" s="1780">
        <v>0.10299999999999999</v>
      </c>
      <c r="AJ236" s="1780">
        <v>0.11799999999999999</v>
      </c>
      <c r="AK236" s="1780">
        <v>0.11</v>
      </c>
      <c r="AL236" s="1781">
        <v>0.11799999999999999</v>
      </c>
      <c r="AM236" s="1780">
        <v>-0.42799999999999999</v>
      </c>
      <c r="AN236" s="1780">
        <v>-0.86699999999999999</v>
      </c>
      <c r="AO236" s="1780">
        <v>-0.43099999999999999</v>
      </c>
      <c r="AP236" s="1780">
        <v>-0.60399999999999998</v>
      </c>
      <c r="AQ236" s="1780">
        <v>-0.20100000000000001</v>
      </c>
      <c r="AR236" s="1780">
        <v>4.5750000000000002</v>
      </c>
      <c r="AS236" s="1780">
        <v>0.439</v>
      </c>
      <c r="AT236" s="1781">
        <v>0.999</v>
      </c>
      <c r="AU236" s="2818">
        <v>0.997</v>
      </c>
      <c r="AV236" s="1780">
        <v>0.56299999999999994</v>
      </c>
      <c r="AW236" s="1780">
        <v>0.315</v>
      </c>
      <c r="AX236" s="1781">
        <v>0.39500000000000002</v>
      </c>
      <c r="AY236" s="2818">
        <v>0.38300000000000001</v>
      </c>
      <c r="AZ236" s="3165">
        <v>8.7999999999999995E-2</v>
      </c>
      <c r="BA236" s="3165">
        <v>0.14899999999999999</v>
      </c>
      <c r="BB236" s="1856">
        <v>9.1999999999999998E-2</v>
      </c>
      <c r="BC236" s="3165">
        <v>8.5000000000000006E-2</v>
      </c>
      <c r="BD236" s="3165">
        <v>7.0999999999999994E-2</v>
      </c>
      <c r="BE236" s="3165">
        <v>8.1000000000000003E-2</v>
      </c>
      <c r="BF236" s="1856">
        <v>0.13200000000000001</v>
      </c>
      <c r="BG236" s="3165">
        <v>7.1999999999999995E-2</v>
      </c>
      <c r="BH236" s="3165">
        <v>7.6999999999999999E-2</v>
      </c>
      <c r="BI236" s="3165">
        <v>8.2000000000000003E-2</v>
      </c>
      <c r="BJ236" s="3165">
        <v>0.09</v>
      </c>
      <c r="BK236" s="3165">
        <v>5.8999999999999997E-2</v>
      </c>
      <c r="BL236" s="3165">
        <v>5.2999999999999999E-2</v>
      </c>
      <c r="BM236" s="1856"/>
      <c r="BN236" s="1784">
        <f>BN235/V235-1</f>
        <v>0.28700277520814077</v>
      </c>
      <c r="BO236" s="1784">
        <f>BO234/BN234-1</f>
        <v>0.20952380952380945</v>
      </c>
      <c r="BP236" s="1784">
        <f>BP234/BO234-1</f>
        <v>0.1285098796612687</v>
      </c>
      <c r="BQ236" s="2818">
        <f>BQ234/BP234-1</f>
        <v>0.11111111111111116</v>
      </c>
      <c r="BR236" s="1784">
        <f>BR235/BQ235-1</f>
        <v>-0.57938388625592419</v>
      </c>
      <c r="BS236" s="1784">
        <f>BS235/BR235-1</f>
        <v>0.6647887323943662</v>
      </c>
      <c r="BT236" s="1784">
        <f>BT235/BS235-1</f>
        <v>0.5160744500846024</v>
      </c>
      <c r="BU236" s="1784">
        <f>BU235/BT235-1</f>
        <v>0.1707589285714286</v>
      </c>
      <c r="BV236" s="1784">
        <v>9.0999999999999998E-2</v>
      </c>
      <c r="BW236" s="1780">
        <v>0.08</v>
      </c>
    </row>
    <row r="237" spans="1:75" s="1780" customFormat="1" ht="12">
      <c r="A237" s="2954" t="s">
        <v>2715</v>
      </c>
      <c r="B237" s="1785"/>
      <c r="C237" s="1785"/>
      <c r="V237" s="1781"/>
      <c r="Z237" s="1781"/>
      <c r="AD237" s="1781"/>
      <c r="AH237" s="1781"/>
      <c r="AL237" s="1781"/>
      <c r="AQ237" s="3018">
        <f>AQ235/AI235-1</f>
        <v>-0.54377880184331795</v>
      </c>
      <c r="AR237" s="3018">
        <f>AR235/AJ235-1</f>
        <v>-0.26291079812206575</v>
      </c>
      <c r="AS237" s="3018">
        <f>AS235/AK235-1</f>
        <v>-0.179372197309417</v>
      </c>
      <c r="AT237" s="3019">
        <f>AT235/AL235-1</f>
        <v>-0.20942408376963351</v>
      </c>
      <c r="AU237" s="3052">
        <f>AU235/AI235-1</f>
        <v>-8.7557603686635899E-2</v>
      </c>
      <c r="AV237" s="3018">
        <f>AV235/AJ235-1</f>
        <v>0.15492957746478875</v>
      </c>
      <c r="AW237" s="3018">
        <f>AW235/AK235-1</f>
        <v>7.623318385650224E-2</v>
      </c>
      <c r="AX237" s="3019">
        <f>AX235/AL235-1</f>
        <v>0.10471204188481686</v>
      </c>
      <c r="AY237" s="3052">
        <f>AY235/AI235-1</f>
        <v>0.26267281105990792</v>
      </c>
      <c r="AZ237" s="3137">
        <f>AZ235/AJ235-1</f>
        <v>0.25821596244131451</v>
      </c>
      <c r="BA237" s="3137">
        <f>BA235/AK235-1</f>
        <v>0.2376681614349776</v>
      </c>
      <c r="BB237" s="3278">
        <f>BB235/AL235-1</f>
        <v>0.20942408376963351</v>
      </c>
      <c r="BC237" s="3052"/>
      <c r="BD237" s="3052"/>
      <c r="BE237" s="3052"/>
      <c r="BF237" s="3019"/>
      <c r="BG237" s="3018"/>
      <c r="BH237" s="3018"/>
      <c r="BI237" s="3018"/>
      <c r="BJ237" s="3018"/>
      <c r="BK237" s="3018"/>
      <c r="BL237" s="3018"/>
      <c r="BM237" s="1511"/>
      <c r="BN237" s="1784"/>
      <c r="BO237" s="1784"/>
      <c r="BP237" s="1784"/>
      <c r="BQ237" s="2818"/>
      <c r="BR237" s="1784"/>
      <c r="BS237" s="1784"/>
      <c r="BT237" s="1784"/>
      <c r="BU237" s="1814"/>
      <c r="BV237" s="1814"/>
      <c r="BW237" s="1775"/>
    </row>
    <row r="238" spans="1:75" s="1800" customFormat="1">
      <c r="A238" s="159" t="s">
        <v>1413</v>
      </c>
      <c r="B238" s="1772"/>
      <c r="C238" s="1772"/>
      <c r="D238" s="1812"/>
      <c r="E238" s="1812"/>
      <c r="F238" s="1812"/>
      <c r="G238" s="1812"/>
      <c r="H238" s="1812"/>
      <c r="I238" s="1812"/>
      <c r="J238" s="1812"/>
      <c r="K238" s="1812"/>
      <c r="L238" s="1812">
        <v>5900000</v>
      </c>
      <c r="M238" s="1773">
        <v>5900000</v>
      </c>
      <c r="N238" s="1773">
        <v>6200000</v>
      </c>
      <c r="O238" s="1773">
        <v>6400000</v>
      </c>
      <c r="P238" s="1773">
        <v>7000000</v>
      </c>
      <c r="Q238" s="1773">
        <f>(2+2.1+2+1.7)*1000000</f>
        <v>7800000</v>
      </c>
      <c r="R238" s="1816">
        <v>2</v>
      </c>
      <c r="S238" s="1816">
        <v>2.1</v>
      </c>
      <c r="T238" s="1816">
        <v>2</v>
      </c>
      <c r="U238" s="1816">
        <v>1.7</v>
      </c>
      <c r="V238" s="1817">
        <v>7.8</v>
      </c>
      <c r="W238" s="1818">
        <v>1.8</v>
      </c>
      <c r="X238" s="1818">
        <v>2</v>
      </c>
      <c r="Y238" s="1818">
        <v>1.9</v>
      </c>
      <c r="Z238" s="1819">
        <v>1.6</v>
      </c>
      <c r="AA238" s="1818">
        <v>1.8</v>
      </c>
      <c r="AB238" s="1820">
        <v>1.8</v>
      </c>
      <c r="AC238" s="1820">
        <v>1.7</v>
      </c>
      <c r="AD238" s="1819">
        <v>1.6</v>
      </c>
      <c r="AE238" s="1818">
        <v>1.8</v>
      </c>
      <c r="AF238" s="1818">
        <v>1.9</v>
      </c>
      <c r="AG238" s="1818">
        <v>1.8</v>
      </c>
      <c r="AH238" s="1821">
        <f>AG238*(1+AH239)</f>
        <v>1.7766</v>
      </c>
      <c r="AI238" s="1822">
        <f>AE238*(1+AI239)</f>
        <v>1.8792000000000002</v>
      </c>
      <c r="AJ238" s="1822">
        <f>AF238*(1+AJ239)</f>
        <v>1.9456</v>
      </c>
      <c r="AK238" s="1822">
        <f>AG238*(1+AK239)</f>
        <v>1.7549999999999999</v>
      </c>
      <c r="AL238" s="1821">
        <f>AH238*(1+AL239)</f>
        <v>1.9773558</v>
      </c>
      <c r="AM238" s="1822">
        <v>2</v>
      </c>
      <c r="AN238" s="1822">
        <v>1</v>
      </c>
      <c r="AO238" s="1822">
        <v>2</v>
      </c>
      <c r="AP238" s="2964">
        <v>2</v>
      </c>
      <c r="AQ238" s="2964">
        <v>3</v>
      </c>
      <c r="AR238" s="2964">
        <v>4</v>
      </c>
      <c r="AS238" s="2964">
        <v>4</v>
      </c>
      <c r="AT238" s="2963">
        <v>4</v>
      </c>
      <c r="AU238" s="3265">
        <v>5</v>
      </c>
      <c r="AV238" s="2964">
        <v>6</v>
      </c>
      <c r="AW238" s="2964">
        <v>6</v>
      </c>
      <c r="AX238" s="2963">
        <v>6</v>
      </c>
      <c r="AY238" s="3265">
        <v>8</v>
      </c>
      <c r="AZ238" s="3138">
        <v>9</v>
      </c>
      <c r="BA238" s="3138">
        <v>9</v>
      </c>
      <c r="BB238" s="3279">
        <v>9</v>
      </c>
      <c r="BC238" s="3138">
        <v>11</v>
      </c>
      <c r="BD238" s="3138">
        <v>11</v>
      </c>
      <c r="BE238" s="3138">
        <v>13</v>
      </c>
      <c r="BF238" s="3279">
        <v>14</v>
      </c>
      <c r="BG238" s="3138">
        <v>16</v>
      </c>
      <c r="BH238" s="3138">
        <v>16</v>
      </c>
      <c r="BI238" s="3138">
        <v>17</v>
      </c>
      <c r="BJ238" s="3138">
        <v>18</v>
      </c>
      <c r="BK238" s="3138">
        <v>21</v>
      </c>
      <c r="BL238" s="3138">
        <v>17</v>
      </c>
      <c r="BM238" s="3138"/>
      <c r="BN238" s="2879">
        <v>7.2999999999999989</v>
      </c>
      <c r="BO238" s="2879">
        <v>6.9</v>
      </c>
      <c r="BP238" s="1814">
        <f>SUM(AE238:AH238)</f>
        <v>7.2766000000000002</v>
      </c>
      <c r="BQ238" s="2824">
        <v>7</v>
      </c>
      <c r="BR238" s="1814">
        <v>6</v>
      </c>
      <c r="BS238" s="1814">
        <v>15</v>
      </c>
      <c r="BT238" s="1814">
        <f>SUM(AU238:AX238)</f>
        <v>23</v>
      </c>
      <c r="BU238" s="1814">
        <v>36</v>
      </c>
      <c r="BV238" s="1814">
        <v>49</v>
      </c>
      <c r="BW238" s="1775">
        <v>68</v>
      </c>
    </row>
    <row r="239" spans="1:75" s="1827" customFormat="1" ht="12">
      <c r="A239" s="1014" t="s">
        <v>1050</v>
      </c>
      <c r="B239" s="1823"/>
      <c r="C239" s="1823"/>
      <c r="D239" s="1824"/>
      <c r="E239" s="1824"/>
      <c r="F239" s="1824"/>
      <c r="G239" s="1824"/>
      <c r="H239" s="1824"/>
      <c r="I239" s="1824"/>
      <c r="J239" s="1824"/>
      <c r="K239" s="1824"/>
      <c r="L239" s="1824"/>
      <c r="M239" s="1825"/>
      <c r="N239" s="1825"/>
      <c r="O239" s="1825"/>
      <c r="P239" s="1825"/>
      <c r="Q239" s="1825"/>
      <c r="R239" s="1825"/>
      <c r="S239" s="1825"/>
      <c r="T239" s="1825"/>
      <c r="U239" s="1825"/>
      <c r="V239" s="1826"/>
      <c r="W239" s="1780">
        <v>-7.1999999999999995E-2</v>
      </c>
      <c r="X239" s="1780">
        <v>-6.6000000000000003E-2</v>
      </c>
      <c r="Y239" s="1780">
        <v>-2.5000000000000001E-2</v>
      </c>
      <c r="Z239" s="1781">
        <v>-4.2999999999999997E-2</v>
      </c>
      <c r="AA239" s="1780">
        <v>-2.1000000000000001E-2</v>
      </c>
      <c r="AB239" s="1780">
        <v>-8.6999999999999994E-2</v>
      </c>
      <c r="AC239" s="1780">
        <v>-0.11799999999999999</v>
      </c>
      <c r="AD239" s="1781">
        <v>3.1E-2</v>
      </c>
      <c r="AE239" s="1780">
        <v>1.9E-2</v>
      </c>
      <c r="AF239" s="1780">
        <v>5.2999999999999999E-2</v>
      </c>
      <c r="AG239" s="1780">
        <v>9.1999999999999998E-2</v>
      </c>
      <c r="AH239" s="1781">
        <v>-1.2999999999999999E-2</v>
      </c>
      <c r="AI239" s="1780">
        <v>4.3999999999999997E-2</v>
      </c>
      <c r="AJ239" s="1780">
        <v>2.4E-2</v>
      </c>
      <c r="AK239" s="1780">
        <v>-2.5000000000000001E-2</v>
      </c>
      <c r="AL239" s="1781">
        <v>0.113</v>
      </c>
      <c r="AM239" s="1780">
        <v>-0.08</v>
      </c>
      <c r="AN239" s="1780">
        <v>-0.69699999999999995</v>
      </c>
      <c r="AO239" s="1780">
        <v>-9.2999999999999999E-2</v>
      </c>
      <c r="AP239" s="1780">
        <v>0.04</v>
      </c>
      <c r="AQ239" s="1780">
        <v>0.621</v>
      </c>
      <c r="AR239" s="1780">
        <v>6.2670000000000003</v>
      </c>
      <c r="AS239" s="1780">
        <v>1.548</v>
      </c>
      <c r="AT239" s="1781">
        <v>1.08</v>
      </c>
      <c r="AU239" s="2818">
        <v>0.69099999999999995</v>
      </c>
      <c r="AV239" s="1780">
        <v>0.314</v>
      </c>
      <c r="AW239" s="1780">
        <v>0.45100000000000001</v>
      </c>
      <c r="AX239" s="1781">
        <v>0.61499999999999999</v>
      </c>
      <c r="AY239" s="2818">
        <v>0.73299999999999998</v>
      </c>
      <c r="AZ239" s="3165">
        <v>0.58299999999999996</v>
      </c>
      <c r="BA239" s="3165">
        <v>0.56599999999999995</v>
      </c>
      <c r="BB239" s="1856">
        <v>0.45800000000000002</v>
      </c>
      <c r="BC239" s="3165">
        <v>0.33100000000000002</v>
      </c>
      <c r="BD239" s="3165">
        <v>0.27700000000000002</v>
      </c>
      <c r="BE239" s="3165">
        <v>0.38700000000000001</v>
      </c>
      <c r="BF239" s="1856">
        <v>0.52300000000000002</v>
      </c>
      <c r="BG239" s="3165">
        <v>0.44800000000000001</v>
      </c>
      <c r="BH239" s="3165">
        <v>0.442</v>
      </c>
      <c r="BI239" s="3165">
        <v>0.32300000000000001</v>
      </c>
      <c r="BJ239" s="3165">
        <v>0.27700000000000002</v>
      </c>
      <c r="BK239" s="3165">
        <v>0.28499999999999998</v>
      </c>
      <c r="BL239" s="3165">
        <v>3.6999999999999998E-2</v>
      </c>
      <c r="BM239" s="1856"/>
      <c r="BN239" s="1784">
        <f>BN238/V238-1</f>
        <v>-6.4102564102564208E-2</v>
      </c>
      <c r="BO239" s="1784">
        <f>BO238/BN238-1</f>
        <v>-5.479452054794498E-2</v>
      </c>
      <c r="BP239" s="1784">
        <v>3.7999999999999999E-2</v>
      </c>
      <c r="BQ239" s="1784">
        <v>3.6999999999999998E-2</v>
      </c>
      <c r="BR239" s="1784">
        <v>-0.216</v>
      </c>
      <c r="BS239" s="1784">
        <v>1.5960000000000001</v>
      </c>
      <c r="BT239" s="1784">
        <v>0.499</v>
      </c>
      <c r="BU239" s="1784">
        <v>0.57599999999999996</v>
      </c>
      <c r="BV239" s="1784">
        <v>0.38100000000000001</v>
      </c>
      <c r="BW239" s="1780">
        <v>0.36599999999999999</v>
      </c>
    </row>
    <row r="240" spans="1:75" s="1827" customFormat="1" ht="12">
      <c r="A240" s="2954" t="s">
        <v>2715</v>
      </c>
      <c r="B240" s="1823"/>
      <c r="C240" s="1823"/>
      <c r="D240" s="1824"/>
      <c r="E240" s="1824"/>
      <c r="F240" s="1824"/>
      <c r="G240" s="1824"/>
      <c r="H240" s="1824"/>
      <c r="I240" s="1824"/>
      <c r="J240" s="1824"/>
      <c r="K240" s="1824"/>
      <c r="L240" s="1824"/>
      <c r="M240" s="1825"/>
      <c r="N240" s="1825"/>
      <c r="O240" s="1825"/>
      <c r="P240" s="1825"/>
      <c r="Q240" s="1825"/>
      <c r="R240" s="1825"/>
      <c r="S240" s="1825"/>
      <c r="T240" s="1825"/>
      <c r="U240" s="1825"/>
      <c r="V240" s="1826"/>
      <c r="W240" s="1780"/>
      <c r="X240" s="1780"/>
      <c r="Y240" s="1780"/>
      <c r="Z240" s="1781"/>
      <c r="AA240" s="1780"/>
      <c r="AB240" s="1780"/>
      <c r="AC240" s="1780"/>
      <c r="AD240" s="1781"/>
      <c r="AE240" s="1780"/>
      <c r="AF240" s="1780"/>
      <c r="AG240" s="1780"/>
      <c r="AH240" s="1781"/>
      <c r="AI240" s="1780"/>
      <c r="AJ240" s="1780"/>
      <c r="AK240" s="1780"/>
      <c r="AL240" s="1781"/>
      <c r="AM240" s="1780"/>
      <c r="AN240" s="1780"/>
      <c r="AO240" s="1780"/>
      <c r="AP240" s="1780"/>
      <c r="AQ240" s="3018">
        <f>AQ238/AI238-1</f>
        <v>0.59642401021711344</v>
      </c>
      <c r="AR240" s="3018">
        <f>AR238/AJ238-1</f>
        <v>1.0559210526315788</v>
      </c>
      <c r="AS240" s="3020">
        <f>AS238/AK238-1</f>
        <v>1.2792022792022792</v>
      </c>
      <c r="AT240" s="3019">
        <f>AT238/AL238-1</f>
        <v>1.0229035158973412</v>
      </c>
      <c r="AU240" s="3052">
        <f>AU238/AI238-1</f>
        <v>1.6607066836951891</v>
      </c>
      <c r="AV240" s="3018">
        <f>AV238/AJ238-1</f>
        <v>2.0838815789473686</v>
      </c>
      <c r="AW240" s="3018">
        <f>AW238/AK238-1</f>
        <v>2.4188034188034191</v>
      </c>
      <c r="AX240" s="3019">
        <f>AX238/AL238-1</f>
        <v>2.0343552738460118</v>
      </c>
      <c r="AY240" s="3052">
        <f>AY238/AI238-1</f>
        <v>3.2571306939123028</v>
      </c>
      <c r="AZ240" s="3137">
        <f>AZ238/AJ238-1</f>
        <v>3.6258223684210522</v>
      </c>
      <c r="BA240" s="3137">
        <f>BA238/AK238-1</f>
        <v>4.1282051282051286</v>
      </c>
      <c r="BB240" s="3278">
        <f>BB238/AL238-1</f>
        <v>3.5515329107690183</v>
      </c>
      <c r="BC240" s="3137"/>
      <c r="BD240" s="3137"/>
      <c r="BE240" s="3137"/>
      <c r="BF240" s="3278"/>
      <c r="BG240" s="3137"/>
      <c r="BH240" s="3137"/>
      <c r="BI240" s="3137"/>
      <c r="BJ240" s="3137"/>
      <c r="BK240" s="3137"/>
      <c r="BL240" s="3137"/>
      <c r="BM240" s="1511"/>
      <c r="BN240" s="1784"/>
      <c r="BO240" s="1784"/>
      <c r="BP240" s="1784"/>
      <c r="BQ240" s="2818"/>
      <c r="BR240" s="1784"/>
      <c r="BS240" s="1784"/>
      <c r="BT240" s="1913"/>
      <c r="BU240" s="1814"/>
      <c r="BV240" s="1814"/>
      <c r="BW240" s="1775"/>
    </row>
    <row r="241" spans="1:75" s="1800" customFormat="1">
      <c r="A241" s="159" t="s">
        <v>1417</v>
      </c>
      <c r="B241" s="1772"/>
      <c r="C241" s="1772"/>
      <c r="D241" s="1812"/>
      <c r="E241" s="1812"/>
      <c r="F241" s="1812"/>
      <c r="G241" s="1812"/>
      <c r="H241" s="1812"/>
      <c r="I241" s="1812"/>
      <c r="J241" s="1812"/>
      <c r="K241" s="1812"/>
      <c r="L241" s="1812"/>
      <c r="M241" s="1773"/>
      <c r="N241" s="1773"/>
      <c r="O241" s="1773"/>
      <c r="P241" s="1773"/>
      <c r="Q241" s="1773"/>
      <c r="R241" s="1773">
        <v>14.6</v>
      </c>
      <c r="S241" s="1773">
        <v>17.2</v>
      </c>
      <c r="T241" s="1773">
        <v>16</v>
      </c>
      <c r="U241" s="1773">
        <v>12.2</v>
      </c>
      <c r="V241" s="1774">
        <v>60</v>
      </c>
      <c r="W241" s="1775">
        <v>16.2</v>
      </c>
      <c r="X241" s="1775">
        <v>18.5</v>
      </c>
      <c r="Y241" s="1775">
        <v>18</v>
      </c>
      <c r="Z241" s="1794">
        <v>14</v>
      </c>
      <c r="AA241" s="1775">
        <v>18.600000000000001</v>
      </c>
      <c r="AB241" s="1828">
        <v>20.7</v>
      </c>
      <c r="AC241" s="1828">
        <v>19</v>
      </c>
      <c r="AD241" s="1794">
        <v>14.7</v>
      </c>
      <c r="AE241" s="1775">
        <v>18.7</v>
      </c>
      <c r="AF241" s="1775">
        <v>20.9</v>
      </c>
      <c r="AG241" s="1775">
        <v>19</v>
      </c>
      <c r="AH241" s="2071">
        <v>15</v>
      </c>
      <c r="AI241" s="2070">
        <v>18</v>
      </c>
      <c r="AJ241" s="2070">
        <v>21</v>
      </c>
      <c r="AK241" s="2070">
        <v>21</v>
      </c>
      <c r="AL241" s="2071">
        <v>16</v>
      </c>
      <c r="AM241" s="2070">
        <v>12</v>
      </c>
      <c r="AN241" s="2070">
        <v>2</v>
      </c>
      <c r="AO241" s="2070">
        <v>9</v>
      </c>
      <c r="AP241" s="2070">
        <v>8</v>
      </c>
      <c r="AQ241" s="2070">
        <v>10</v>
      </c>
      <c r="AR241" s="2070">
        <v>13</v>
      </c>
      <c r="AS241" s="2070">
        <v>13</v>
      </c>
      <c r="AT241" s="2071">
        <v>11</v>
      </c>
      <c r="AU241" s="2833">
        <v>15</v>
      </c>
      <c r="AV241" s="2070">
        <v>16</v>
      </c>
      <c r="AW241" s="2070">
        <v>16</v>
      </c>
      <c r="AX241" s="3025">
        <v>14</v>
      </c>
      <c r="AY241" s="3280">
        <v>19</v>
      </c>
      <c r="AZ241" s="3226">
        <v>20</v>
      </c>
      <c r="BA241" s="3226">
        <v>20</v>
      </c>
      <c r="BB241" s="3139">
        <v>15</v>
      </c>
      <c r="BC241" s="3226">
        <v>21</v>
      </c>
      <c r="BD241" s="3226">
        <v>22</v>
      </c>
      <c r="BE241" s="3226">
        <v>23</v>
      </c>
      <c r="BF241" s="3139">
        <v>17</v>
      </c>
      <c r="BG241" s="3226">
        <v>22</v>
      </c>
      <c r="BH241" s="3226">
        <v>24</v>
      </c>
      <c r="BI241" s="3226">
        <v>23</v>
      </c>
      <c r="BJ241" s="3226">
        <v>18</v>
      </c>
      <c r="BK241" s="3226">
        <v>21</v>
      </c>
      <c r="BL241" s="3226">
        <v>23</v>
      </c>
      <c r="BM241" s="3139"/>
      <c r="BN241" s="1814">
        <v>66.7</v>
      </c>
      <c r="BO241" s="1814">
        <v>73</v>
      </c>
      <c r="BP241" s="1814">
        <v>73</v>
      </c>
      <c r="BQ241" s="2824">
        <v>77</v>
      </c>
      <c r="BR241" s="1814">
        <f>SUM(AM241:AP241)</f>
        <v>31</v>
      </c>
      <c r="BS241" s="1814">
        <v>47</v>
      </c>
      <c r="BT241" s="1814">
        <v>62</v>
      </c>
      <c r="BU241" s="1814">
        <v>74</v>
      </c>
      <c r="BV241" s="1814">
        <v>83</v>
      </c>
      <c r="BW241" s="1775">
        <v>88</v>
      </c>
    </row>
    <row r="242" spans="1:75" s="1831" customFormat="1" ht="12">
      <c r="A242" s="1014" t="s">
        <v>1050</v>
      </c>
      <c r="B242" s="1778"/>
      <c r="C242" s="1778"/>
      <c r="D242" s="1829"/>
      <c r="E242" s="1829"/>
      <c r="F242" s="1829"/>
      <c r="G242" s="1829"/>
      <c r="H242" s="1829"/>
      <c r="I242" s="1829"/>
      <c r="J242" s="1829"/>
      <c r="K242" s="1829"/>
      <c r="L242" s="1829"/>
      <c r="M242" s="1779"/>
      <c r="N242" s="1779"/>
      <c r="O242" s="1779"/>
      <c r="P242" s="1779"/>
      <c r="Q242" s="1779"/>
      <c r="R242" s="1779"/>
      <c r="S242" s="1779"/>
      <c r="T242" s="1779"/>
      <c r="U242" s="1779"/>
      <c r="V242" s="1830"/>
      <c r="W242" s="1780">
        <v>0.109</v>
      </c>
      <c r="X242" s="1780">
        <v>7.9000000000000001E-2</v>
      </c>
      <c r="Y242" s="1780">
        <v>0.125</v>
      </c>
      <c r="Z242" s="1781">
        <v>0.14399999999999999</v>
      </c>
      <c r="AA242" s="1780">
        <v>0.154</v>
      </c>
      <c r="AB242" s="1780">
        <v>0.11700000000000001</v>
      </c>
      <c r="AC242" s="1780">
        <v>5.5E-2</v>
      </c>
      <c r="AD242" s="1781">
        <v>5.3999999999999999E-2</v>
      </c>
      <c r="AE242" s="1780">
        <v>6.0000000000000001E-3</v>
      </c>
      <c r="AF242" s="1780">
        <v>0.01</v>
      </c>
      <c r="AG242" s="1780">
        <v>-1E-3</v>
      </c>
      <c r="AH242" s="1781">
        <v>-6.0000000000000001E-3</v>
      </c>
      <c r="AI242" s="1780">
        <v>-1.2999999999999999E-2</v>
      </c>
      <c r="AJ242" s="1780">
        <v>1.2E-2</v>
      </c>
      <c r="AK242" s="1780">
        <v>8.5000000000000006E-2</v>
      </c>
      <c r="AL242" s="1781">
        <v>0.11899999999999999</v>
      </c>
      <c r="AM242" s="1780">
        <v>-0.36399999999999999</v>
      </c>
      <c r="AN242" s="1780">
        <v>-0.90400000000000003</v>
      </c>
      <c r="AO242" s="1780">
        <v>-0.55600000000000005</v>
      </c>
      <c r="AP242" s="1780">
        <v>-0.52200000000000002</v>
      </c>
      <c r="AQ242" s="1780">
        <v>-0.151</v>
      </c>
      <c r="AR242" s="1780">
        <v>5.5880000000000001</v>
      </c>
      <c r="AS242" s="1780">
        <v>0.44</v>
      </c>
      <c r="AT242" s="1781">
        <v>0.35799999999999998</v>
      </c>
      <c r="AU242" s="2818">
        <v>0.53</v>
      </c>
      <c r="AV242" s="1780">
        <v>0.224</v>
      </c>
      <c r="AW242" s="1780">
        <v>0.249</v>
      </c>
      <c r="AX242" s="1781">
        <v>0.27600000000000002</v>
      </c>
      <c r="AY242" s="2818">
        <v>0.22700000000000001</v>
      </c>
      <c r="AZ242" s="3165">
        <v>0.24</v>
      </c>
      <c r="BA242" s="3165">
        <v>0.2</v>
      </c>
      <c r="BB242" s="1856">
        <v>0.107</v>
      </c>
      <c r="BC242" s="3165">
        <v>0.107</v>
      </c>
      <c r="BD242" s="3165">
        <v>0.1</v>
      </c>
      <c r="BE242" s="3165">
        <v>0.16200000000000001</v>
      </c>
      <c r="BF242" s="1856">
        <v>0.121</v>
      </c>
      <c r="BG242" s="3165">
        <v>7.6999999999999999E-2</v>
      </c>
      <c r="BH242" s="3165">
        <v>0.09</v>
      </c>
      <c r="BI242" s="3165">
        <v>2.1000000000000001E-2</v>
      </c>
      <c r="BJ242" s="3165">
        <v>4.2000000000000003E-2</v>
      </c>
      <c r="BK242" s="3165">
        <v>-4.9000000000000002E-2</v>
      </c>
      <c r="BL242" s="3165">
        <v>-6.5000000000000002E-2</v>
      </c>
      <c r="BM242" s="1856"/>
      <c r="BN242" s="1784">
        <f>BN241/V241-1</f>
        <v>0.1116666666666668</v>
      </c>
      <c r="BO242" s="1784">
        <f>BO241/BN241-1</f>
        <v>9.4452773613193264E-2</v>
      </c>
      <c r="BP242" s="1784">
        <v>3.0000000000000001E-3</v>
      </c>
      <c r="BQ242" s="2818">
        <v>4.5999999999999999E-2</v>
      </c>
      <c r="BR242" s="1784">
        <v>-0.59799999999999998</v>
      </c>
      <c r="BS242" s="1784">
        <v>0.53500000000000003</v>
      </c>
      <c r="BT242" s="1784">
        <v>0.307</v>
      </c>
      <c r="BU242" s="1784">
        <v>0.19700000000000001</v>
      </c>
      <c r="BV242" s="1784">
        <v>0.123</v>
      </c>
      <c r="BW242" s="1780">
        <v>5.8000000000000003E-2</v>
      </c>
    </row>
    <row r="243" spans="1:75" s="1831" customFormat="1" ht="12" outlineLevel="1">
      <c r="A243" s="1014"/>
      <c r="B243" s="1778"/>
      <c r="C243" s="1778"/>
      <c r="D243" s="1829"/>
      <c r="E243" s="1829"/>
      <c r="F243" s="1829"/>
      <c r="G243" s="1829"/>
      <c r="H243" s="1829"/>
      <c r="I243" s="1829"/>
      <c r="J243" s="1829"/>
      <c r="K243" s="1829"/>
      <c r="L243" s="1829"/>
      <c r="M243" s="1779"/>
      <c r="N243" s="1779"/>
      <c r="O243" s="1779"/>
      <c r="P243" s="1779"/>
      <c r="Q243" s="1779"/>
      <c r="R243" s="1779"/>
      <c r="S243" s="1779"/>
      <c r="T243" s="1779"/>
      <c r="U243" s="1779"/>
      <c r="V243" s="1830"/>
      <c r="W243" s="1780"/>
      <c r="X243" s="1780"/>
      <c r="Y243" s="1780"/>
      <c r="Z243" s="1781"/>
      <c r="AA243" s="1780"/>
      <c r="AB243" s="1780"/>
      <c r="AC243" s="1780"/>
      <c r="AD243" s="1781"/>
      <c r="AE243" s="1780"/>
      <c r="AF243" s="1780"/>
      <c r="AG243" s="1780"/>
      <c r="AH243" s="1781"/>
      <c r="AI243" s="1780"/>
      <c r="AJ243" s="1780"/>
      <c r="AK243" s="1780"/>
      <c r="AL243" s="1781"/>
      <c r="AM243" s="1780"/>
      <c r="AN243" s="1780"/>
      <c r="AO243" s="1780"/>
      <c r="AP243" s="1780"/>
      <c r="AQ243" s="1780"/>
      <c r="AR243" s="1780"/>
      <c r="AS243" s="1780"/>
      <c r="AT243" s="1781"/>
      <c r="AU243" s="2818">
        <f>AU241/AI241-1</f>
        <v>-0.16666666666666663</v>
      </c>
      <c r="AV243" s="1780"/>
      <c r="AW243" s="1780"/>
      <c r="AX243" s="1781"/>
      <c r="AY243" s="2818"/>
      <c r="AZ243" s="3165"/>
      <c r="BA243" s="3165"/>
      <c r="BB243" s="1856"/>
      <c r="BC243" s="3165"/>
      <c r="BD243" s="3165"/>
      <c r="BE243" s="3165"/>
      <c r="BF243" s="1856"/>
      <c r="BG243" s="3165"/>
      <c r="BH243" s="3165"/>
      <c r="BI243" s="3165"/>
      <c r="BJ243" s="3165"/>
      <c r="BK243" s="3165"/>
      <c r="BL243" s="3165"/>
      <c r="BM243" s="1856"/>
      <c r="BN243" s="1784"/>
      <c r="BO243" s="1784"/>
      <c r="BP243" s="1784"/>
      <c r="BR243" s="2870"/>
      <c r="BS243" s="2870"/>
      <c r="BT243" s="2870"/>
    </row>
    <row r="244" spans="1:75" outlineLevel="1">
      <c r="A244" s="159" t="s">
        <v>119</v>
      </c>
      <c r="D244" s="150"/>
      <c r="E244" s="150"/>
      <c r="F244" s="150"/>
      <c r="G244" s="150"/>
      <c r="H244" s="150"/>
      <c r="I244" s="150"/>
      <c r="J244" s="150"/>
      <c r="K244" s="150"/>
      <c r="L244" s="150" t="s">
        <v>140</v>
      </c>
      <c r="M244" s="150" t="s">
        <v>140</v>
      </c>
      <c r="N244" s="150" t="s">
        <v>140</v>
      </c>
      <c r="O244" s="150" t="s">
        <v>140</v>
      </c>
      <c r="P244" s="150" t="s">
        <v>140</v>
      </c>
      <c r="Q244" s="150"/>
      <c r="R244" s="150"/>
      <c r="S244" s="150"/>
      <c r="T244" s="150"/>
      <c r="U244" s="150"/>
      <c r="V244" s="153"/>
      <c r="BN244" s="452">
        <f>BN238/V238-1</f>
        <v>-6.4102564102564208E-2</v>
      </c>
      <c r="BO244" s="452">
        <f>BO238/BN238-1</f>
        <v>-5.479452054794498E-2</v>
      </c>
      <c r="BP244" s="452"/>
    </row>
    <row r="245" spans="1:75" outlineLevel="1">
      <c r="A245" s="159" t="s">
        <v>165</v>
      </c>
      <c r="B245" s="135" t="e">
        <f t="shared" ref="B245:Q245" si="322">B25/B234*1000000</f>
        <v>#DIV/0!</v>
      </c>
      <c r="C245" s="178" t="e">
        <f t="shared" si="322"/>
        <v>#DIV/0!</v>
      </c>
      <c r="D245" s="178" t="e">
        <f t="shared" si="322"/>
        <v>#DIV/0!</v>
      </c>
      <c r="E245" s="178" t="e">
        <f t="shared" si="322"/>
        <v>#DIV/0!</v>
      </c>
      <c r="F245" s="178" t="e">
        <f t="shared" si="322"/>
        <v>#DIV/0!</v>
      </c>
      <c r="G245" s="178" t="e">
        <f t="shared" si="322"/>
        <v>#DIV/0!</v>
      </c>
      <c r="H245" s="178" t="e">
        <f t="shared" si="322"/>
        <v>#DIV/0!</v>
      </c>
      <c r="I245" s="178" t="e">
        <f t="shared" si="322"/>
        <v>#DIV/0!</v>
      </c>
      <c r="J245" s="178" t="e">
        <f t="shared" si="322"/>
        <v>#DIV/0!</v>
      </c>
      <c r="K245" s="178" t="e">
        <f t="shared" si="322"/>
        <v>#DIV/0!</v>
      </c>
      <c r="L245" s="178" t="e">
        <f t="shared" si="322"/>
        <v>#VALUE!</v>
      </c>
      <c r="M245" s="150" t="e">
        <f t="shared" si="322"/>
        <v>#VALUE!</v>
      </c>
      <c r="N245" s="30">
        <f t="shared" si="322"/>
        <v>22.147169491525421</v>
      </c>
      <c r="O245" s="30">
        <f t="shared" si="322"/>
        <v>19.711936405063295</v>
      </c>
      <c r="P245" s="30" t="e">
        <f t="shared" si="322"/>
        <v>#VALUE!</v>
      </c>
      <c r="Q245" s="30" t="e">
        <f t="shared" si="322"/>
        <v>#VALUE!</v>
      </c>
      <c r="R245" s="30"/>
      <c r="S245" s="150">
        <f t="shared" ref="S245:Z245" si="323">S25/S234*1000000</f>
        <v>0</v>
      </c>
      <c r="T245" s="150">
        <f t="shared" si="323"/>
        <v>0</v>
      </c>
      <c r="U245" s="150">
        <f t="shared" si="323"/>
        <v>0</v>
      </c>
      <c r="V245" s="153" t="e">
        <f t="shared" si="323"/>
        <v>#VALUE!</v>
      </c>
      <c r="W245" s="376">
        <f t="shared" si="323"/>
        <v>0</v>
      </c>
      <c r="X245" s="376">
        <f t="shared" si="323"/>
        <v>0</v>
      </c>
      <c r="Y245" s="376">
        <f t="shared" si="323"/>
        <v>0</v>
      </c>
      <c r="Z245" s="829">
        <f t="shared" si="323"/>
        <v>0</v>
      </c>
      <c r="BN245" s="832"/>
      <c r="BO245" s="832"/>
      <c r="BP245" s="832"/>
    </row>
    <row r="246" spans="1:75" outlineLevel="1">
      <c r="A246" s="159" t="s">
        <v>1051</v>
      </c>
      <c r="C246" s="178"/>
      <c r="D246" s="178"/>
      <c r="E246" s="178"/>
      <c r="F246" s="178"/>
      <c r="G246" s="178"/>
      <c r="H246" s="178"/>
      <c r="I246" s="178"/>
      <c r="J246" s="178"/>
      <c r="K246" s="178"/>
      <c r="L246" s="178"/>
      <c r="M246" s="150"/>
      <c r="N246" s="150"/>
      <c r="O246" s="150"/>
      <c r="P246" s="150"/>
      <c r="Q246" s="150"/>
      <c r="R246" s="150"/>
      <c r="S246" s="150"/>
      <c r="T246" s="150"/>
      <c r="U246" s="150"/>
      <c r="V246" s="105">
        <v>77000000</v>
      </c>
    </row>
    <row r="247" spans="1:75" outlineLevel="1">
      <c r="A247" s="159" t="s">
        <v>164</v>
      </c>
      <c r="D247" s="150"/>
      <c r="E247" s="150"/>
      <c r="F247" s="150"/>
      <c r="G247" s="150"/>
      <c r="H247" s="150"/>
      <c r="I247" s="150"/>
      <c r="J247" s="150"/>
      <c r="K247" s="150"/>
      <c r="L247" s="150" t="s">
        <v>140</v>
      </c>
      <c r="M247" s="150" t="s">
        <v>140</v>
      </c>
      <c r="N247" s="150" t="s">
        <v>140</v>
      </c>
      <c r="O247" s="150" t="s">
        <v>140</v>
      </c>
      <c r="P247" s="150" t="s">
        <v>140</v>
      </c>
      <c r="Q247" s="150" t="s">
        <v>140</v>
      </c>
      <c r="R247" s="150"/>
      <c r="S247" s="150"/>
      <c r="T247" s="150"/>
      <c r="U247" s="150"/>
      <c r="V247" s="153" t="s">
        <v>140</v>
      </c>
    </row>
    <row r="248" spans="1:75" outlineLevel="1">
      <c r="A248" s="159" t="s">
        <v>163</v>
      </c>
      <c r="D248" s="150"/>
      <c r="E248" s="150"/>
      <c r="F248" s="150"/>
      <c r="G248" s="150"/>
      <c r="H248" s="150"/>
      <c r="I248" s="150"/>
      <c r="J248" s="150"/>
      <c r="K248" s="150"/>
      <c r="L248" s="150" t="s">
        <v>140</v>
      </c>
      <c r="M248" s="150" t="s">
        <v>140</v>
      </c>
      <c r="N248" s="150" t="s">
        <v>140</v>
      </c>
      <c r="O248" s="150" t="s">
        <v>140</v>
      </c>
      <c r="P248" s="150" t="s">
        <v>140</v>
      </c>
      <c r="Q248" s="150" t="s">
        <v>140</v>
      </c>
      <c r="R248" s="150"/>
      <c r="S248" s="150"/>
      <c r="T248" s="150"/>
      <c r="U248" s="150"/>
      <c r="V248" s="153" t="s">
        <v>140</v>
      </c>
    </row>
    <row r="249" spans="1:75" s="30" customFormat="1" outlineLevel="1">
      <c r="A249" s="77" t="s">
        <v>120</v>
      </c>
      <c r="B249" s="42"/>
      <c r="C249" s="42"/>
      <c r="L249" s="30">
        <v>1780</v>
      </c>
      <c r="M249" s="30">
        <v>3400</v>
      </c>
      <c r="N249" s="30">
        <v>5000</v>
      </c>
      <c r="O249" s="30">
        <v>7000</v>
      </c>
      <c r="P249" s="30">
        <v>9500</v>
      </c>
      <c r="Q249" s="30">
        <v>12700</v>
      </c>
      <c r="V249" s="105">
        <v>15500</v>
      </c>
      <c r="W249" s="376"/>
      <c r="Z249" s="105"/>
      <c r="AD249" s="105"/>
      <c r="AH249" s="105"/>
      <c r="AL249" s="105"/>
      <c r="AT249" s="105"/>
      <c r="AU249" s="47"/>
      <c r="AX249" s="105"/>
      <c r="AY249" s="47"/>
      <c r="AZ249" s="3220"/>
      <c r="BA249" s="3220"/>
      <c r="BB249" s="3129"/>
      <c r="BC249" s="3220"/>
      <c r="BD249" s="3220"/>
      <c r="BE249" s="3220"/>
      <c r="BF249" s="3129"/>
      <c r="BG249" s="3220"/>
      <c r="BH249" s="3220"/>
      <c r="BI249" s="3220"/>
      <c r="BJ249" s="3220"/>
      <c r="BK249" s="3220"/>
      <c r="BL249" s="3220"/>
      <c r="BM249" s="3129"/>
      <c r="BN249" s="77"/>
      <c r="BO249" s="77"/>
      <c r="BP249" s="77"/>
      <c r="BR249" s="77"/>
      <c r="BS249" s="77"/>
      <c r="BT249" s="77"/>
    </row>
    <row r="250" spans="1:75" s="30" customFormat="1" outlineLevel="1">
      <c r="A250" s="74" t="s">
        <v>121</v>
      </c>
      <c r="B250" s="135"/>
      <c r="C250" s="135"/>
      <c r="D250" s="150"/>
      <c r="E250" s="150"/>
      <c r="F250" s="150"/>
      <c r="G250" s="150"/>
      <c r="H250" s="150"/>
      <c r="I250" s="150"/>
      <c r="J250" s="150"/>
      <c r="K250" s="150"/>
      <c r="L250" s="150" t="s">
        <v>1127</v>
      </c>
      <c r="M250" s="150" t="s">
        <v>1127</v>
      </c>
      <c r="N250" s="150" t="s">
        <v>1127</v>
      </c>
      <c r="O250" s="150"/>
      <c r="P250" s="150"/>
      <c r="Q250" s="150"/>
      <c r="R250" s="150"/>
      <c r="S250" s="150"/>
      <c r="T250" s="150"/>
      <c r="U250" s="150"/>
      <c r="V250" s="153"/>
      <c r="W250" s="376"/>
      <c r="Z250" s="105"/>
      <c r="AD250" s="105"/>
      <c r="AH250" s="105"/>
      <c r="AL250" s="105"/>
      <c r="AT250" s="105"/>
      <c r="AU250" s="47"/>
      <c r="AX250" s="105"/>
      <c r="AY250" s="47"/>
      <c r="AZ250" s="3220"/>
      <c r="BA250" s="3220"/>
      <c r="BB250" s="3129"/>
      <c r="BC250" s="3220"/>
      <c r="BD250" s="3220"/>
      <c r="BE250" s="3220"/>
      <c r="BF250" s="3129"/>
      <c r="BG250" s="3220"/>
      <c r="BH250" s="3220"/>
      <c r="BI250" s="3220"/>
      <c r="BJ250" s="3220"/>
      <c r="BK250" s="3220"/>
      <c r="BL250" s="3220"/>
      <c r="BM250" s="3129"/>
      <c r="BN250" s="77"/>
      <c r="BO250" s="77"/>
      <c r="BP250" s="77"/>
      <c r="BR250" s="77"/>
      <c r="BS250" s="77"/>
      <c r="BT250" s="77"/>
    </row>
    <row r="251" spans="1:75" s="30" customFormat="1" outlineLevel="1">
      <c r="A251" s="74" t="s">
        <v>1128</v>
      </c>
      <c r="B251" s="135"/>
      <c r="C251" s="135"/>
      <c r="D251" s="150"/>
      <c r="E251" s="150"/>
      <c r="F251" s="150"/>
      <c r="G251" s="150"/>
      <c r="H251" s="150"/>
      <c r="I251" s="150"/>
      <c r="J251" s="150"/>
      <c r="K251" s="150"/>
      <c r="L251" s="150" t="s">
        <v>1127</v>
      </c>
      <c r="M251" s="150" t="s">
        <v>1127</v>
      </c>
      <c r="N251" s="150" t="s">
        <v>1127</v>
      </c>
      <c r="O251" s="150"/>
      <c r="P251" s="150"/>
      <c r="Q251" s="150"/>
      <c r="R251" s="150"/>
      <c r="S251" s="150"/>
      <c r="T251" s="150"/>
      <c r="U251" s="150"/>
      <c r="V251" s="153"/>
      <c r="W251" s="376"/>
      <c r="Z251" s="105"/>
      <c r="AD251" s="105"/>
      <c r="AH251" s="105"/>
      <c r="AL251" s="105"/>
      <c r="AT251" s="105"/>
      <c r="AU251" s="47"/>
      <c r="AX251" s="105"/>
      <c r="AY251" s="47"/>
      <c r="AZ251" s="3220"/>
      <c r="BA251" s="3220"/>
      <c r="BB251" s="3129"/>
      <c r="BC251" s="3220"/>
      <c r="BD251" s="3220"/>
      <c r="BE251" s="3220"/>
      <c r="BF251" s="3129"/>
      <c r="BG251" s="3220"/>
      <c r="BH251" s="3220"/>
      <c r="BI251" s="3220"/>
      <c r="BJ251" s="3220"/>
      <c r="BK251" s="3220"/>
      <c r="BL251" s="3220"/>
      <c r="BM251" s="3129"/>
      <c r="BN251" s="77"/>
      <c r="BO251" s="77"/>
      <c r="BP251" s="77"/>
      <c r="BR251" s="77"/>
      <c r="BS251" s="77"/>
      <c r="BT251" s="77"/>
    </row>
    <row r="252" spans="1:75" s="30" customFormat="1" outlineLevel="1">
      <c r="A252" s="74" t="s">
        <v>1129</v>
      </c>
      <c r="B252" s="135"/>
      <c r="C252" s="135"/>
      <c r="D252" s="150"/>
      <c r="E252" s="150"/>
      <c r="F252" s="150"/>
      <c r="G252" s="150"/>
      <c r="H252" s="150"/>
      <c r="I252" s="150"/>
      <c r="J252" s="150"/>
      <c r="K252" s="150"/>
      <c r="L252" s="150" t="s">
        <v>1130</v>
      </c>
      <c r="M252" s="150" t="s">
        <v>1130</v>
      </c>
      <c r="N252" s="150" t="s">
        <v>1130</v>
      </c>
      <c r="O252" s="150"/>
      <c r="P252" s="150"/>
      <c r="Q252" s="150"/>
      <c r="R252" s="150"/>
      <c r="S252" s="150"/>
      <c r="T252" s="150"/>
      <c r="U252" s="150"/>
      <c r="V252" s="153"/>
      <c r="W252" s="376"/>
      <c r="Z252" s="105"/>
      <c r="AD252" s="105"/>
      <c r="AH252" s="105"/>
      <c r="AL252" s="105"/>
      <c r="AT252" s="105"/>
      <c r="AU252" s="47"/>
      <c r="AX252" s="105"/>
      <c r="AY252" s="47"/>
      <c r="AZ252" s="3220"/>
      <c r="BA252" s="3220"/>
      <c r="BB252" s="3129"/>
      <c r="BC252" s="3220"/>
      <c r="BD252" s="3220"/>
      <c r="BE252" s="3220"/>
      <c r="BF252" s="3129"/>
      <c r="BG252" s="3220"/>
      <c r="BH252" s="3220"/>
      <c r="BI252" s="3220"/>
      <c r="BJ252" s="3220"/>
      <c r="BK252" s="3220"/>
      <c r="BL252" s="3220"/>
      <c r="BM252" s="3129"/>
      <c r="BN252" s="77"/>
      <c r="BO252" s="77"/>
      <c r="BP252" s="77"/>
      <c r="BR252" s="77"/>
      <c r="BS252" s="77"/>
      <c r="BT252" s="77"/>
    </row>
    <row r="253" spans="1:75" s="30" customFormat="1" outlineLevel="1">
      <c r="A253" s="74" t="s">
        <v>1131</v>
      </c>
      <c r="B253" s="135"/>
      <c r="C253" s="135"/>
      <c r="D253" s="150"/>
      <c r="E253" s="150"/>
      <c r="F253" s="150"/>
      <c r="G253" s="150"/>
      <c r="H253" s="150"/>
      <c r="I253" s="150"/>
      <c r="J253" s="150"/>
      <c r="K253" s="150"/>
      <c r="L253" s="150" t="s">
        <v>1130</v>
      </c>
      <c r="M253" s="150" t="s">
        <v>1130</v>
      </c>
      <c r="N253" s="150" t="s">
        <v>1130</v>
      </c>
      <c r="O253" s="150"/>
      <c r="P253" s="150"/>
      <c r="Q253" s="150"/>
      <c r="R253" s="150"/>
      <c r="S253" s="150"/>
      <c r="T253" s="150"/>
      <c r="U253" s="150"/>
      <c r="V253" s="153"/>
      <c r="W253" s="376"/>
      <c r="Z253" s="105"/>
      <c r="AD253" s="105"/>
      <c r="AH253" s="105"/>
      <c r="AL253" s="105"/>
      <c r="AT253" s="105"/>
      <c r="AU253" s="47"/>
      <c r="AX253" s="105"/>
      <c r="AY253" s="47"/>
      <c r="AZ253" s="3220"/>
      <c r="BA253" s="3220"/>
      <c r="BB253" s="3129"/>
      <c r="BC253" s="3220"/>
      <c r="BD253" s="3220"/>
      <c r="BE253" s="3220"/>
      <c r="BF253" s="3129"/>
      <c r="BG253" s="3220"/>
      <c r="BH253" s="3220"/>
      <c r="BI253" s="3220"/>
      <c r="BJ253" s="3220"/>
      <c r="BK253" s="3220"/>
      <c r="BL253" s="3220"/>
      <c r="BM253" s="3129"/>
      <c r="BN253" s="77"/>
      <c r="BO253" s="77"/>
      <c r="BP253" s="77"/>
      <c r="BR253" s="77"/>
      <c r="BS253" s="77"/>
      <c r="BT253" s="77"/>
    </row>
    <row r="254" spans="1:75" s="473" customFormat="1" outlineLevel="1">
      <c r="A254" s="489" t="s">
        <v>1132</v>
      </c>
      <c r="B254" s="488"/>
      <c r="C254" s="488"/>
      <c r="D254" s="466"/>
      <c r="E254" s="466"/>
      <c r="F254" s="466"/>
      <c r="G254" s="466"/>
      <c r="H254" s="466"/>
      <c r="I254" s="466"/>
      <c r="J254" s="466"/>
      <c r="K254" s="466"/>
      <c r="L254" s="466" t="s">
        <v>1130</v>
      </c>
      <c r="M254" s="2">
        <f>M249/L249-1</f>
        <v>0.9101123595505618</v>
      </c>
      <c r="N254" s="2">
        <f>N249/M249-1</f>
        <v>0.47058823529411775</v>
      </c>
      <c r="O254" s="2">
        <f>O249/N249-1</f>
        <v>0.39999999999999991</v>
      </c>
      <c r="P254" s="2">
        <f>P249/O249-1</f>
        <v>0.35714285714285721</v>
      </c>
      <c r="Q254" s="2">
        <f>Q249/P249-1</f>
        <v>0.33684210526315783</v>
      </c>
      <c r="R254" s="2"/>
      <c r="S254" s="2"/>
      <c r="T254" s="2"/>
      <c r="U254" s="2"/>
      <c r="V254" s="480">
        <f>V249/Q249-1</f>
        <v>0.22047244094488194</v>
      </c>
      <c r="W254" s="837"/>
      <c r="Z254" s="486"/>
      <c r="AD254" s="486"/>
      <c r="AH254" s="486"/>
      <c r="AL254" s="486"/>
      <c r="AT254" s="486"/>
      <c r="AU254" s="2819"/>
      <c r="AX254" s="486"/>
      <c r="AY254" s="2819"/>
      <c r="AZ254" s="3101"/>
      <c r="BA254" s="3101"/>
      <c r="BB254" s="3102"/>
      <c r="BC254" s="3101"/>
      <c r="BD254" s="3101"/>
      <c r="BE254" s="3101"/>
      <c r="BF254" s="3102"/>
      <c r="BG254" s="3101"/>
      <c r="BH254" s="3101"/>
      <c r="BI254" s="3101"/>
      <c r="BJ254" s="3101"/>
      <c r="BK254" s="3101"/>
      <c r="BL254" s="3101"/>
      <c r="BM254" s="3102"/>
      <c r="BN254" s="489"/>
      <c r="BO254" s="489"/>
      <c r="BP254" s="489"/>
      <c r="BR254" s="489"/>
      <c r="BS254" s="489"/>
      <c r="BT254" s="489"/>
    </row>
    <row r="255" spans="1:75" outlineLevel="1">
      <c r="A255" s="179" t="s">
        <v>1133</v>
      </c>
      <c r="D255" s="150"/>
      <c r="E255" s="150"/>
      <c r="F255" s="150"/>
      <c r="G255" s="150"/>
      <c r="H255" s="150"/>
      <c r="I255" s="150"/>
      <c r="J255" s="150"/>
      <c r="K255" s="150"/>
      <c r="L255" s="150" t="s">
        <v>1130</v>
      </c>
      <c r="M255" s="150" t="s">
        <v>1130</v>
      </c>
      <c r="N255" s="150" t="s">
        <v>1130</v>
      </c>
      <c r="O255" s="150"/>
      <c r="P255" s="150"/>
      <c r="Q255" s="150"/>
      <c r="R255" s="150"/>
      <c r="S255" s="150"/>
      <c r="T255" s="150"/>
      <c r="U255" s="150"/>
      <c r="V255" s="153"/>
    </row>
    <row r="256" spans="1:75" outlineLevel="1">
      <c r="A256" s="179" t="s">
        <v>1134</v>
      </c>
      <c r="D256" s="150"/>
      <c r="E256" s="150"/>
      <c r="F256" s="150"/>
      <c r="G256" s="150"/>
      <c r="H256" s="150"/>
      <c r="I256" s="150"/>
      <c r="J256" s="150"/>
      <c r="K256" s="150"/>
      <c r="L256" s="150" t="s">
        <v>1130</v>
      </c>
      <c r="M256" s="150" t="s">
        <v>1130</v>
      </c>
      <c r="N256" s="150" t="s">
        <v>1130</v>
      </c>
      <c r="O256" s="150"/>
      <c r="P256" s="150"/>
      <c r="Q256" s="150"/>
      <c r="R256" s="150"/>
      <c r="S256" s="150"/>
      <c r="T256" s="150"/>
      <c r="U256" s="150"/>
      <c r="V256" s="153"/>
    </row>
    <row r="257" spans="1:71" outlineLevel="1">
      <c r="A257" s="179" t="s">
        <v>1135</v>
      </c>
      <c r="D257" s="150"/>
      <c r="E257" s="150"/>
      <c r="F257" s="150"/>
      <c r="G257" s="150"/>
      <c r="H257" s="150"/>
      <c r="I257" s="150"/>
      <c r="J257" s="150"/>
      <c r="K257" s="150"/>
      <c r="L257" s="150" t="s">
        <v>1130</v>
      </c>
      <c r="M257" s="150" t="s">
        <v>1130</v>
      </c>
      <c r="N257" s="150" t="s">
        <v>1130</v>
      </c>
      <c r="O257" s="150"/>
      <c r="P257" s="150"/>
      <c r="Q257" s="150"/>
      <c r="R257" s="150"/>
      <c r="S257" s="150"/>
      <c r="T257" s="150"/>
      <c r="U257" s="150"/>
      <c r="V257" s="153"/>
    </row>
    <row r="258" spans="1:71" outlineLevel="1">
      <c r="A258" s="179" t="s">
        <v>1131</v>
      </c>
      <c r="D258" s="150"/>
      <c r="E258" s="150"/>
      <c r="F258" s="150"/>
      <c r="G258" s="150"/>
      <c r="H258" s="150"/>
      <c r="I258" s="150"/>
      <c r="J258" s="150"/>
      <c r="K258" s="150"/>
      <c r="L258" s="150" t="s">
        <v>1130</v>
      </c>
      <c r="M258" s="150" t="s">
        <v>1130</v>
      </c>
      <c r="N258" s="150" t="s">
        <v>1130</v>
      </c>
      <c r="O258" s="150"/>
      <c r="P258" s="150"/>
      <c r="Q258" s="150"/>
      <c r="R258" s="150"/>
      <c r="S258" s="150"/>
      <c r="T258" s="150"/>
      <c r="U258" s="150"/>
      <c r="V258" s="153"/>
    </row>
    <row r="259" spans="1:71" outlineLevel="1">
      <c r="A259" s="159" t="s">
        <v>1136</v>
      </c>
      <c r="B259" s="172"/>
      <c r="L259" s="133">
        <f>365/(L6*1000/((118659+92328)/2))</f>
        <v>4.1358890977443608</v>
      </c>
      <c r="M259" s="143">
        <f>365/(M6*1000/((162426+118659)/2))</f>
        <v>3.7591977502564853</v>
      </c>
      <c r="N259" s="143">
        <f>365/(N6*1000/((264453+162426)/2))</f>
        <v>3.597239576118576</v>
      </c>
      <c r="O259" s="143">
        <f>365/(O6*1000/((264453+367512)/2))</f>
        <v>4.046793421052632</v>
      </c>
      <c r="P259" s="143">
        <f>365/(P6*1000/((367512+535962)/2))</f>
        <v>4.209016311839485</v>
      </c>
      <c r="Q259" s="143">
        <f>365/(Q6*1000/((643894+535962)/2))</f>
        <v>4.280789662027833</v>
      </c>
      <c r="R259" s="143"/>
      <c r="S259" s="143">
        <f>365/4/(S6*1000/((706776+889868)/2))</f>
        <v>4.8694440173796796</v>
      </c>
      <c r="T259" s="143">
        <f>365/4/(S6*1000/((889868+890532)/2))</f>
        <v>5.4298629679144383</v>
      </c>
      <c r="U259" s="143">
        <f>365/4/(T6*1000/((889868+645169)/2))</f>
        <v>4.7392112007714173</v>
      </c>
      <c r="V259" s="151">
        <f>365/(V6*1000/((645169+643894)/2))</f>
        <v>4.2366733449791099</v>
      </c>
      <c r="W259" s="143">
        <f>365/4/(W6*1000/((645169+857140)/2))</f>
        <v>4.1159459631898159</v>
      </c>
      <c r="X259" s="143">
        <f>365/4/(X6*1000/((857140+982993)/2))</f>
        <v>4.7002613439144554</v>
      </c>
      <c r="Y259" s="143">
        <f>365/4/(Y6*1000/((982993+1105086)/2))</f>
        <v>5.1608128047128927</v>
      </c>
      <c r="Z259" s="151">
        <f>365/4/(Z6/((1105.086+860.115)/2))</f>
        <v>5.9331852584039169</v>
      </c>
      <c r="AA259" s="143">
        <f>365/4/(Z6/((860.115+934.254)/2))</f>
        <v>5.4174222885786136</v>
      </c>
      <c r="AB259" s="143"/>
      <c r="AC259" s="143"/>
      <c r="AD259" s="151"/>
      <c r="AE259" s="143"/>
      <c r="AF259" s="143"/>
      <c r="BN259" s="460">
        <f>365/(BN6*1000/((645169+860115)/2))</f>
        <v>4.0347545052653224</v>
      </c>
      <c r="BO259" s="460"/>
      <c r="BP259" s="460"/>
    </row>
    <row r="260" spans="1:71" outlineLevel="1">
      <c r="B260" s="172"/>
      <c r="C260" s="172"/>
      <c r="D260" s="143"/>
      <c r="E260" s="143"/>
      <c r="F260" s="143"/>
      <c r="G260" s="143"/>
      <c r="H260" s="143"/>
      <c r="I260" s="143"/>
      <c r="J260" s="143"/>
      <c r="K260" s="143"/>
      <c r="L260" s="143">
        <f>365/(L30*1000/((118659+92328)/2))</f>
        <v>16.467765754345628</v>
      </c>
      <c r="M260" s="143">
        <f>365/(M30*1000/((162426+118659)/2))</f>
        <v>16.628717091774302</v>
      </c>
      <c r="N260" s="143">
        <f>365/(N30*1000/((264453+162426)/2))</f>
        <v>17.886224317604192</v>
      </c>
      <c r="O260" s="143">
        <f>365/(O30*1000/((264453+367512)/2))</f>
        <v>21.922557896321504</v>
      </c>
      <c r="P260" s="143">
        <f>365/(P30*1000/((367512+535962)/2))</f>
        <v>24.271540984610439</v>
      </c>
      <c r="Q260" s="143">
        <f>365/(Q30*1000/((643894+535962)/2))</f>
        <v>25.506332585127335</v>
      </c>
      <c r="R260" s="143"/>
      <c r="S260" s="143"/>
      <c r="T260" s="143"/>
      <c r="U260" s="143"/>
      <c r="V260" s="151">
        <f>365/(V30*1000/((645169+643894)/2))</f>
        <v>25.504589013406022</v>
      </c>
    </row>
    <row r="261" spans="1:71" outlineLevel="1"/>
    <row r="262" spans="1:71" outlineLevel="1">
      <c r="A262" s="176"/>
      <c r="B262" s="80"/>
      <c r="C262" s="80"/>
      <c r="D262" s="5"/>
      <c r="E262" s="5"/>
      <c r="F262" s="5"/>
      <c r="G262" s="5"/>
      <c r="H262" s="5"/>
      <c r="I262" s="5"/>
      <c r="J262" s="5"/>
      <c r="K262" s="5"/>
      <c r="L262" s="5" t="s">
        <v>1137</v>
      </c>
      <c r="M262" s="5" t="s">
        <v>1137</v>
      </c>
      <c r="N262" s="5" t="s">
        <v>1137</v>
      </c>
      <c r="O262" s="5" t="s">
        <v>1137</v>
      </c>
      <c r="P262" s="5" t="s">
        <v>1137</v>
      </c>
      <c r="Q262" s="5"/>
      <c r="R262" s="5"/>
      <c r="S262" s="5"/>
      <c r="T262" s="5"/>
      <c r="U262" s="5"/>
      <c r="V262" s="96"/>
      <c r="W262" s="571"/>
      <c r="X262" s="138"/>
      <c r="Y262" s="138"/>
      <c r="Z262" s="655"/>
      <c r="AA262" s="138"/>
      <c r="AB262" s="138"/>
      <c r="AC262" s="138"/>
      <c r="AD262" s="655"/>
      <c r="AE262" s="138"/>
      <c r="AF262" s="138"/>
      <c r="AG262" s="138"/>
      <c r="AH262" s="655"/>
      <c r="AI262" s="138"/>
      <c r="AJ262" s="138"/>
      <c r="AK262" s="138"/>
      <c r="AL262" s="655"/>
      <c r="AM262" s="138"/>
      <c r="AN262" s="138"/>
      <c r="AO262" s="138"/>
      <c r="AP262" s="138"/>
      <c r="AQ262" s="138"/>
      <c r="AR262" s="138"/>
      <c r="AS262" s="138"/>
      <c r="AT262" s="655"/>
      <c r="AU262" s="214"/>
      <c r="BN262" s="2875"/>
      <c r="BO262" s="2875"/>
      <c r="BP262" s="2875"/>
      <c r="BQ262" s="2876"/>
      <c r="BR262" s="2875"/>
      <c r="BS262" s="2875"/>
    </row>
    <row r="263" spans="1:71" outlineLevel="1">
      <c r="A263" s="61" t="s">
        <v>1138</v>
      </c>
      <c r="B263" s="80"/>
      <c r="C263" s="80"/>
      <c r="D263" s="5"/>
      <c r="E263" s="5"/>
      <c r="F263" s="5"/>
      <c r="G263" s="5"/>
      <c r="H263" s="5"/>
      <c r="I263" s="5"/>
      <c r="J263" s="5"/>
      <c r="K263" s="5"/>
      <c r="L263" s="5">
        <v>2009</v>
      </c>
      <c r="M263" s="5">
        <v>2010</v>
      </c>
      <c r="N263" s="5">
        <v>2011</v>
      </c>
      <c r="O263" s="5">
        <v>2012</v>
      </c>
      <c r="P263" s="5">
        <v>2013</v>
      </c>
      <c r="Q263" s="5"/>
      <c r="R263" s="5"/>
      <c r="S263" s="5"/>
      <c r="T263" s="5"/>
      <c r="U263" s="5"/>
      <c r="V263" s="96"/>
      <c r="W263" s="571"/>
      <c r="X263" s="138"/>
      <c r="Y263" s="138"/>
      <c r="Z263" s="655"/>
      <c r="AA263" s="138"/>
      <c r="AB263" s="138"/>
      <c r="AC263" s="138"/>
      <c r="AD263" s="655"/>
      <c r="AE263" s="138"/>
      <c r="AF263" s="138"/>
      <c r="AG263" s="138"/>
      <c r="AH263" s="655"/>
      <c r="AI263" s="138"/>
      <c r="AJ263" s="138"/>
      <c r="AK263" s="138"/>
      <c r="AL263" s="655"/>
      <c r="AM263" s="138"/>
      <c r="AN263" s="138"/>
      <c r="AO263" s="138"/>
      <c r="AP263" s="138"/>
      <c r="AQ263" s="138"/>
      <c r="AR263" s="138"/>
      <c r="AS263" s="138"/>
      <c r="AT263" s="655"/>
      <c r="AU263" s="214"/>
      <c r="BN263" s="2877"/>
      <c r="BO263" s="2877"/>
      <c r="BP263" s="2877"/>
      <c r="BQ263" s="2878"/>
      <c r="BR263" s="2877"/>
      <c r="BS263" s="2877"/>
    </row>
    <row r="264" spans="1:71" outlineLevel="1">
      <c r="A264" s="159" t="s">
        <v>1139</v>
      </c>
      <c r="B264" s="172"/>
      <c r="C264" s="172"/>
      <c r="D264" s="143"/>
      <c r="E264" s="143"/>
      <c r="F264" s="143"/>
      <c r="G264" s="143"/>
      <c r="H264" s="143"/>
      <c r="I264" s="143"/>
      <c r="J264" s="143"/>
      <c r="K264" s="143"/>
      <c r="L264" s="143">
        <v>49.521999999999998</v>
      </c>
      <c r="M264" s="143">
        <v>50.988</v>
      </c>
      <c r="N264" s="143">
        <v>51.210999999999999</v>
      </c>
      <c r="O264" s="143">
        <v>51.326000000000001</v>
      </c>
      <c r="P264" s="143">
        <v>52.412999999999997</v>
      </c>
      <c r="Q264" s="143">
        <v>53.023000000000003</v>
      </c>
      <c r="R264" s="143"/>
      <c r="S264" s="143">
        <v>52.037999999999997</v>
      </c>
      <c r="T264" s="143">
        <v>51.13</v>
      </c>
      <c r="U264" s="143">
        <v>50.402999999999999</v>
      </c>
      <c r="V264" s="151">
        <v>51.593000000000004</v>
      </c>
      <c r="W264" s="376">
        <v>50.128999999999998</v>
      </c>
      <c r="X264" s="133">
        <v>49.603999999999999</v>
      </c>
      <c r="Y264" s="133">
        <v>49.975000000000001</v>
      </c>
      <c r="Z264" s="136">
        <v>50.02</v>
      </c>
      <c r="AA264" s="133">
        <v>50.024999999999999</v>
      </c>
      <c r="AB264" s="133">
        <v>50.055999999999997</v>
      </c>
      <c r="AC264" s="133">
        <v>49.972000000000001</v>
      </c>
      <c r="AD264" s="136">
        <v>49.569000000000003</v>
      </c>
      <c r="AE264" s="133">
        <v>49.204999999999998</v>
      </c>
      <c r="AF264" s="133">
        <v>48.055</v>
      </c>
      <c r="AG264" s="133">
        <v>47.268000000000001</v>
      </c>
      <c r="BN264" s="159">
        <v>50.063000000000002</v>
      </c>
      <c r="BO264" s="159">
        <v>49.569000000000003</v>
      </c>
    </row>
    <row r="265" spans="1:71" outlineLevel="1">
      <c r="A265" s="159" t="s">
        <v>1140</v>
      </c>
      <c r="B265" s="42">
        <f t="shared" ref="B265:Q265" si="324">B273/B120</f>
        <v>0</v>
      </c>
      <c r="C265" s="172">
        <f t="shared" si="324"/>
        <v>0</v>
      </c>
      <c r="D265" s="143">
        <f t="shared" si="324"/>
        <v>0</v>
      </c>
      <c r="E265" s="143">
        <f t="shared" si="324"/>
        <v>0</v>
      </c>
      <c r="F265" s="143">
        <f t="shared" si="324"/>
        <v>0</v>
      </c>
      <c r="G265" s="143">
        <f t="shared" si="324"/>
        <v>0</v>
      </c>
      <c r="H265" s="143">
        <f t="shared" si="324"/>
        <v>0</v>
      </c>
      <c r="I265" s="143">
        <f t="shared" si="324"/>
        <v>0</v>
      </c>
      <c r="J265" s="143">
        <f t="shared" si="324"/>
        <v>0</v>
      </c>
      <c r="K265" s="143">
        <f t="shared" si="324"/>
        <v>0</v>
      </c>
      <c r="L265" s="143">
        <f t="shared" si="324"/>
        <v>0</v>
      </c>
      <c r="M265" s="89">
        <f t="shared" si="324"/>
        <v>38.60386473429952</v>
      </c>
      <c r="N265" s="89">
        <f t="shared" si="324"/>
        <v>22.671352399418321</v>
      </c>
      <c r="O265" s="89">
        <f t="shared" si="324"/>
        <v>22.429139551699205</v>
      </c>
      <c r="P265" s="89">
        <f t="shared" si="324"/>
        <v>32.190528939351985</v>
      </c>
      <c r="Q265" s="89">
        <f t="shared" si="324"/>
        <v>24.966279833588789</v>
      </c>
      <c r="R265" s="89"/>
      <c r="S265" s="89"/>
      <c r="T265" s="89"/>
      <c r="U265" s="89"/>
      <c r="V265" s="110">
        <f>V273/V120</f>
        <v>25.782608695652172</v>
      </c>
      <c r="W265" s="841">
        <f>W273/SUM(S120:U120,W120)</f>
        <v>627.18909878000795</v>
      </c>
      <c r="X265" s="841">
        <f>X273/SUM(T120:U120,W120:X120)</f>
        <v>594.70750762195132</v>
      </c>
      <c r="Y265" s="841">
        <f>Y273/SUM(U120, W120:Y120)</f>
        <v>938.45025510204084</v>
      </c>
      <c r="Z265" s="842">
        <f>Z273/SUM(W120:Z120)</f>
        <v>858.95242559175063</v>
      </c>
      <c r="AA265" s="841">
        <f>AA273/SUM(X120:Z120,AA120)</f>
        <v>1004.2710449108554</v>
      </c>
      <c r="AB265" s="841">
        <f>AB273/SUM(Y120:BN120,AB120)</f>
        <v>22.900139076609666</v>
      </c>
      <c r="AC265" s="841">
        <f>AC273/SUM(Z120, AA120:AC120)</f>
        <v>667.1112082786766</v>
      </c>
      <c r="AD265" s="842">
        <f>AD273/SUM(AA120:AD120)</f>
        <v>993.44843356963179</v>
      </c>
      <c r="AE265" s="841">
        <f>AE273/SUM(AB120:AD120,AE120)</f>
        <v>1107.5330068143101</v>
      </c>
      <c r="AF265" s="841">
        <f>AF273/SUM(AC120:BO120,AF120)</f>
        <v>0</v>
      </c>
      <c r="AG265" s="841">
        <f>AG273/SUM(AD120:AE120,AG120)</f>
        <v>1234.9077733860343</v>
      </c>
      <c r="BN265" s="1024">
        <f>BN273/BN120</f>
        <v>34.374208675263773</v>
      </c>
      <c r="BO265" s="1024">
        <f>BO273/SUM(AA120:AC120,BO120)</f>
        <v>35.416666666666671</v>
      </c>
      <c r="BP265" s="1024"/>
    </row>
    <row r="266" spans="1:71" outlineLevel="1">
      <c r="A266" s="159" t="s">
        <v>1141</v>
      </c>
      <c r="B266" s="42"/>
      <c r="C266" s="157"/>
      <c r="D266" s="156"/>
      <c r="E266" s="156"/>
      <c r="F266" s="156"/>
      <c r="G266" s="156"/>
      <c r="H266" s="156"/>
      <c r="I266" s="156"/>
      <c r="J266" s="156"/>
      <c r="K266" s="156"/>
      <c r="L266" s="156"/>
      <c r="M266" s="89">
        <f>M265/M121</f>
        <v>811.50251824442626</v>
      </c>
      <c r="N266" s="89">
        <f>N265/N121</f>
        <v>22.825729312643933</v>
      </c>
      <c r="O266" s="89">
        <f>O265/O121</f>
        <v>65.819793591970765</v>
      </c>
      <c r="P266" s="89">
        <f>P265/P121</f>
        <v>42.899910337133811</v>
      </c>
      <c r="Q266" s="89">
        <f>Q265/Q121</f>
        <v>94.302548618294011</v>
      </c>
      <c r="R266" s="89"/>
      <c r="S266" s="572"/>
      <c r="T266" s="89"/>
      <c r="U266" s="89"/>
      <c r="V266" s="110">
        <f>V265/V121</f>
        <v>311.50575109270744</v>
      </c>
      <c r="W266" s="841"/>
      <c r="X266" s="841"/>
      <c r="AA266" s="841"/>
      <c r="AB266" s="841"/>
      <c r="AE266" s="841"/>
      <c r="AF266" s="841"/>
    </row>
    <row r="267" spans="1:71" outlineLevel="1">
      <c r="A267" s="159" t="s">
        <v>1142</v>
      </c>
      <c r="B267" s="42">
        <f t="shared" ref="B267:Q267" si="325">B273/B119</f>
        <v>0</v>
      </c>
      <c r="C267" s="42">
        <f t="shared" si="325"/>
        <v>0</v>
      </c>
      <c r="D267" s="89">
        <f t="shared" si="325"/>
        <v>0</v>
      </c>
      <c r="E267" s="89">
        <f t="shared" si="325"/>
        <v>0</v>
      </c>
      <c r="F267" s="89">
        <f t="shared" si="325"/>
        <v>0</v>
      </c>
      <c r="G267" s="89">
        <f t="shared" si="325"/>
        <v>0</v>
      </c>
      <c r="H267" s="89">
        <f t="shared" si="325"/>
        <v>0</v>
      </c>
      <c r="I267" s="89">
        <f t="shared" si="325"/>
        <v>0</v>
      </c>
      <c r="J267" s="89">
        <f t="shared" si="325"/>
        <v>0</v>
      </c>
      <c r="K267" s="89">
        <f t="shared" si="325"/>
        <v>0</v>
      </c>
      <c r="L267" s="89">
        <f t="shared" si="325"/>
        <v>0</v>
      </c>
      <c r="M267" s="89">
        <f t="shared" si="325"/>
        <v>36.322727272727271</v>
      </c>
      <c r="N267" s="89">
        <f t="shared" si="325"/>
        <v>21.989186647860837</v>
      </c>
      <c r="O267" s="89">
        <f t="shared" si="325"/>
        <v>21.783356741573034</v>
      </c>
      <c r="P267" s="89">
        <f t="shared" si="325"/>
        <v>31.272531611514662</v>
      </c>
      <c r="Q267" s="89">
        <f t="shared" si="325"/>
        <v>24.626565874730023</v>
      </c>
      <c r="R267" s="89"/>
      <c r="S267" s="89"/>
      <c r="T267" s="89"/>
      <c r="U267" s="89"/>
      <c r="V267" s="110">
        <f>V273/V119</f>
        <v>25.453184268317028</v>
      </c>
      <c r="W267" s="841">
        <f>W273/SUM(S119:U119,W119)</f>
        <v>620.47401206930112</v>
      </c>
      <c r="X267" s="841">
        <f>X273/SUM(T119:U119,W119:X119)</f>
        <v>588.20674707877879</v>
      </c>
      <c r="Y267" s="841">
        <f>Y273/SUM(U119,W119:Y119)</f>
        <v>928.26772646984602</v>
      </c>
      <c r="Z267" s="842">
        <f>Z273/SUM(W119:Z119)</f>
        <v>849.39745075318649</v>
      </c>
      <c r="AA267" s="841">
        <f>AA273/SUM(X119:Z119,AA119)</f>
        <v>991.73724091820804</v>
      </c>
      <c r="AB267" s="841">
        <f>AB273/SUM(Y119:BN119,AB119)</f>
        <v>22.596825243422167</v>
      </c>
      <c r="AC267" s="841">
        <f>AC273/SUM(Z119,AA119:AC119)</f>
        <v>629.58046767537826</v>
      </c>
      <c r="AD267" s="842">
        <f>AD273/SUM(AA119:AD119)</f>
        <v>912.10371614528651</v>
      </c>
      <c r="AE267" s="841">
        <f>AE273/SUM(AB119:AD119,AE119)</f>
        <v>1021.200667582957</v>
      </c>
      <c r="AF267" s="841">
        <f>AF273/SUM(AC119:BO119,AF119)</f>
        <v>0</v>
      </c>
      <c r="AG267" s="841">
        <f>AG273/SUM(AD119:AE119,AG119)</f>
        <v>1216.0028541774777</v>
      </c>
      <c r="BN267" s="1024">
        <f>BN273/BN119</f>
        <v>33.983773759851644</v>
      </c>
      <c r="BO267" s="1024">
        <f>BO273/SUM(AA119:AC119,BO119)</f>
        <v>34.656652360515018</v>
      </c>
      <c r="BP267" s="1024"/>
    </row>
    <row r="268" spans="1:71" outlineLevel="1">
      <c r="A268" s="159" t="s">
        <v>1143</v>
      </c>
      <c r="B268" s="42" t="e">
        <f t="shared" ref="B268:Q268" si="326">B267/B121</f>
        <v>#DIV/0!</v>
      </c>
      <c r="C268" s="42" t="e">
        <f t="shared" si="326"/>
        <v>#DIV/0!</v>
      </c>
      <c r="D268" s="89" t="e">
        <f t="shared" si="326"/>
        <v>#DIV/0!</v>
      </c>
      <c r="E268" s="89" t="e">
        <f t="shared" si="326"/>
        <v>#DIV/0!</v>
      </c>
      <c r="F268" s="89" t="e">
        <f t="shared" si="326"/>
        <v>#DIV/0!</v>
      </c>
      <c r="G268" s="89" t="e">
        <f t="shared" si="326"/>
        <v>#DIV/0!</v>
      </c>
      <c r="H268" s="89" t="e">
        <f t="shared" si="326"/>
        <v>#DIV/0!</v>
      </c>
      <c r="I268" s="89" t="e">
        <f t="shared" si="326"/>
        <v>#DIV/0!</v>
      </c>
      <c r="J268" s="89" t="e">
        <f t="shared" si="326"/>
        <v>#DIV/0!</v>
      </c>
      <c r="K268" s="89" t="e">
        <f t="shared" si="326"/>
        <v>#DIV/0!</v>
      </c>
      <c r="L268" s="89" t="e">
        <f t="shared" si="326"/>
        <v>#DIV/0!</v>
      </c>
      <c r="M268" s="89">
        <f t="shared" si="326"/>
        <v>763.55009671180096</v>
      </c>
      <c r="N268" s="89">
        <f t="shared" si="326"/>
        <v>22.138918463556386</v>
      </c>
      <c r="O268" s="89">
        <f t="shared" si="326"/>
        <v>63.924701220291837</v>
      </c>
      <c r="P268" s="89">
        <f t="shared" si="326"/>
        <v>41.676506921546988</v>
      </c>
      <c r="Q268" s="89">
        <f t="shared" si="326"/>
        <v>93.019382190010532</v>
      </c>
      <c r="R268" s="89"/>
      <c r="S268" s="89"/>
      <c r="T268" s="89"/>
      <c r="U268" s="89"/>
      <c r="V268" s="110">
        <f>V267/V121</f>
        <v>307.52564167567147</v>
      </c>
      <c r="W268" s="841"/>
      <c r="X268" s="841"/>
    </row>
    <row r="269" spans="1:71" outlineLevel="1">
      <c r="B269" s="83"/>
      <c r="C269" s="83"/>
      <c r="D269" s="6"/>
      <c r="E269" s="6"/>
      <c r="F269" s="6"/>
      <c r="G269" s="6"/>
      <c r="H269" s="6"/>
      <c r="I269" s="6"/>
      <c r="J269" s="6"/>
      <c r="K269" s="6"/>
      <c r="L269" s="6"/>
      <c r="M269" s="6"/>
      <c r="N269" s="6"/>
      <c r="O269" s="6"/>
      <c r="P269" s="6"/>
      <c r="Q269" s="6"/>
      <c r="R269" s="6"/>
      <c r="S269" s="6"/>
      <c r="T269" s="6"/>
      <c r="U269" s="6"/>
      <c r="V269" s="111"/>
    </row>
    <row r="270" spans="1:71" outlineLevel="1">
      <c r="A270" s="159" t="s">
        <v>1144</v>
      </c>
      <c r="B270" s="83"/>
      <c r="C270" s="83"/>
      <c r="D270" s="6"/>
      <c r="E270" s="6"/>
      <c r="F270" s="6"/>
      <c r="G270" s="6"/>
      <c r="H270" s="6"/>
      <c r="I270" s="6"/>
      <c r="J270" s="6"/>
      <c r="K270" s="6"/>
      <c r="L270" s="6"/>
      <c r="M270" s="6"/>
      <c r="N270" s="6"/>
      <c r="O270" s="6"/>
      <c r="P270" s="6"/>
      <c r="Q270" s="6"/>
      <c r="R270" s="6"/>
      <c r="S270" s="6"/>
      <c r="T270" s="6"/>
      <c r="U270" s="6"/>
      <c r="V270" s="111"/>
    </row>
    <row r="271" spans="1:71" outlineLevel="1">
      <c r="B271" s="83"/>
      <c r="C271" s="94"/>
      <c r="D271" s="93"/>
      <c r="E271" s="93"/>
      <c r="F271" s="93"/>
      <c r="G271" s="93"/>
      <c r="H271" s="93"/>
      <c r="I271" s="93"/>
      <c r="J271" s="93"/>
      <c r="K271" s="93"/>
      <c r="L271" s="93"/>
      <c r="M271" s="6"/>
      <c r="N271" s="6"/>
      <c r="O271" s="6"/>
      <c r="P271" s="6"/>
      <c r="Q271" s="6"/>
      <c r="R271" s="6"/>
      <c r="S271" s="6"/>
      <c r="T271" s="6"/>
      <c r="U271" s="6"/>
      <c r="V271" s="111"/>
    </row>
    <row r="272" spans="1:71" outlineLevel="1">
      <c r="A272" s="159" t="s">
        <v>1145</v>
      </c>
      <c r="B272" s="42"/>
      <c r="C272" s="42"/>
      <c r="D272" s="30"/>
      <c r="E272" s="30"/>
      <c r="F272" s="30"/>
      <c r="G272" s="30"/>
      <c r="H272" s="30"/>
      <c r="I272" s="30"/>
      <c r="J272" s="30"/>
      <c r="K272" s="30"/>
      <c r="L272" s="30"/>
      <c r="M272" s="89">
        <f t="shared" ref="M272:AD272" si="327">M273*M264</f>
        <v>20372.255400000002</v>
      </c>
      <c r="N272" s="89">
        <f t="shared" si="327"/>
        <v>23951.896809999998</v>
      </c>
      <c r="O272" s="89">
        <f t="shared" si="327"/>
        <v>31842.137139999999</v>
      </c>
      <c r="P272" s="89">
        <f t="shared" si="327"/>
        <v>60924.871200000001</v>
      </c>
      <c r="Q272" s="89">
        <f t="shared" si="327"/>
        <v>60457.354830000004</v>
      </c>
      <c r="R272" s="89"/>
      <c r="S272" s="89">
        <f t="shared" si="327"/>
        <v>59914.99205999999</v>
      </c>
      <c r="T272" s="89">
        <f t="shared" si="327"/>
        <v>63240.6518</v>
      </c>
      <c r="U272" s="89">
        <f t="shared" si="327"/>
        <v>64261.30485</v>
      </c>
      <c r="V272" s="110">
        <f t="shared" si="327"/>
        <v>65778.495350000012</v>
      </c>
      <c r="W272" s="841">
        <f t="shared" si="327"/>
        <v>63911.968549999998</v>
      </c>
      <c r="X272" s="841">
        <f t="shared" si="327"/>
        <v>61926.129640000006</v>
      </c>
      <c r="Y272" s="841">
        <f t="shared" si="327"/>
        <v>73537.712750000006</v>
      </c>
      <c r="Z272" s="842">
        <f t="shared" si="327"/>
        <v>73332.321200000006</v>
      </c>
      <c r="AA272" s="841">
        <f t="shared" si="327"/>
        <v>89042.999249999993</v>
      </c>
      <c r="AB272" s="841">
        <f t="shared" si="327"/>
        <v>93630.749119999993</v>
      </c>
      <c r="AC272" s="841">
        <f t="shared" si="327"/>
        <v>91489.737039999993</v>
      </c>
      <c r="AD272" s="842">
        <f t="shared" si="327"/>
        <v>86138.034060000005</v>
      </c>
      <c r="AE272" s="841">
        <f>AE273*AE264</f>
        <v>102365.58994999999</v>
      </c>
      <c r="AF272" s="841">
        <f>AF273*AF264</f>
        <v>0</v>
      </c>
      <c r="AG272" s="841">
        <f>AG273*AG264</f>
        <v>88608.120119999992</v>
      </c>
      <c r="BN272" s="1024">
        <f>BN273*BN264</f>
        <v>73395.361780000007</v>
      </c>
      <c r="BO272" s="1024">
        <f>BO273*BO264</f>
        <v>86138.034060000005</v>
      </c>
      <c r="BP272" s="1024"/>
    </row>
    <row r="273" spans="1:72" outlineLevel="1">
      <c r="A273" s="159" t="s">
        <v>1146</v>
      </c>
      <c r="B273" s="42"/>
      <c r="C273" s="42"/>
      <c r="D273" s="30"/>
      <c r="E273" s="30"/>
      <c r="F273" s="30"/>
      <c r="G273" s="30"/>
      <c r="H273" s="30"/>
      <c r="I273" s="30"/>
      <c r="J273" s="30"/>
      <c r="K273" s="30"/>
      <c r="L273" s="30"/>
      <c r="M273" s="183">
        <v>399.55</v>
      </c>
      <c r="N273" s="183">
        <v>467.71</v>
      </c>
      <c r="O273" s="183">
        <v>620.39</v>
      </c>
      <c r="P273" s="183">
        <v>1162.4000000000001</v>
      </c>
      <c r="Q273" s="183">
        <v>1140.21</v>
      </c>
      <c r="R273" s="183"/>
      <c r="S273" s="183">
        <v>1151.3699999999999</v>
      </c>
      <c r="T273" s="183">
        <v>1236.8599999999999</v>
      </c>
      <c r="U273" s="183">
        <v>1274.95</v>
      </c>
      <c r="V273" s="407">
        <v>1274.95</v>
      </c>
      <c r="W273" s="376">
        <v>1274.95</v>
      </c>
      <c r="X273" s="133">
        <v>1248.4100000000001</v>
      </c>
      <c r="Y273" s="133">
        <v>1471.49</v>
      </c>
      <c r="Z273" s="136">
        <v>1466.06</v>
      </c>
      <c r="AA273" s="376">
        <v>1779.97</v>
      </c>
      <c r="AB273" s="374">
        <v>1870.52</v>
      </c>
      <c r="AC273" s="374">
        <v>1830.82</v>
      </c>
      <c r="AD273" s="552">
        <v>1737.74</v>
      </c>
      <c r="AE273" s="838">
        <v>2080.39</v>
      </c>
      <c r="AF273" s="838"/>
      <c r="AG273" s="133">
        <v>1874.59</v>
      </c>
      <c r="BN273" s="159">
        <f>Z273</f>
        <v>1466.06</v>
      </c>
      <c r="BO273" s="159">
        <f>AD273</f>
        <v>1737.74</v>
      </c>
    </row>
    <row r="274" spans="1:72" outlineLevel="1">
      <c r="B274" s="42"/>
      <c r="C274" s="42"/>
      <c r="D274" s="30"/>
      <c r="E274" s="30"/>
      <c r="F274" s="30"/>
      <c r="G274" s="30"/>
      <c r="H274" s="30"/>
      <c r="I274" s="30"/>
      <c r="J274" s="30"/>
      <c r="K274" s="30"/>
      <c r="L274" s="30"/>
      <c r="M274" s="89"/>
      <c r="N274" s="89"/>
      <c r="O274" s="89"/>
      <c r="P274" s="89"/>
      <c r="Q274" s="89"/>
      <c r="R274" s="89"/>
      <c r="S274" s="89"/>
      <c r="T274" s="89"/>
      <c r="U274" s="89"/>
      <c r="V274" s="110"/>
      <c r="AA274" s="376"/>
      <c r="AE274" s="376"/>
      <c r="AF274" s="376"/>
    </row>
    <row r="275" spans="1:72" outlineLevel="1">
      <c r="A275" s="159" t="s">
        <v>1147</v>
      </c>
      <c r="B275" s="42">
        <f t="shared" ref="B275:Q275" si="328">B272+B198-B191</f>
        <v>0</v>
      </c>
      <c r="C275" s="42">
        <f t="shared" si="328"/>
        <v>-106.018</v>
      </c>
      <c r="D275" s="30">
        <f t="shared" si="328"/>
        <v>-164.608</v>
      </c>
      <c r="E275" s="30">
        <f t="shared" si="328"/>
        <v>-149.584</v>
      </c>
      <c r="F275" s="30">
        <f t="shared" si="328"/>
        <v>-143.42899999999997</v>
      </c>
      <c r="G275" s="30">
        <f t="shared" si="328"/>
        <v>-23.23599999999999</v>
      </c>
      <c r="H275" s="30">
        <f t="shared" si="328"/>
        <v>48.155000000000001</v>
      </c>
      <c r="I275" s="30">
        <f t="shared" si="328"/>
        <v>-434.01900000000001</v>
      </c>
      <c r="J275" s="30">
        <f t="shared" si="328"/>
        <v>60.588000000000079</v>
      </c>
      <c r="K275" s="30">
        <f t="shared" si="328"/>
        <v>-72.980999999999995</v>
      </c>
      <c r="L275" s="30">
        <f t="shared" si="328"/>
        <v>-801.47399999999993</v>
      </c>
      <c r="M275" s="89">
        <f t="shared" si="328"/>
        <v>19185.392400000001</v>
      </c>
      <c r="N275" s="89">
        <f t="shared" si="328"/>
        <v>21788.102809999997</v>
      </c>
      <c r="O275" s="89">
        <f t="shared" si="328"/>
        <v>28054.642140000004</v>
      </c>
      <c r="P275" s="89">
        <f t="shared" si="328"/>
        <v>56055.659200000002</v>
      </c>
      <c r="Q275" s="89">
        <f t="shared" si="328"/>
        <v>60026.698830000001</v>
      </c>
      <c r="R275" s="89"/>
      <c r="S275" s="89">
        <f t="shared" ref="S275:X275" si="329">S272+S198-S191</f>
        <v>62125.830059999993</v>
      </c>
      <c r="T275" s="89">
        <f t="shared" si="329"/>
        <v>65608.310800000007</v>
      </c>
      <c r="U275" s="89">
        <f t="shared" si="329"/>
        <v>67770.430850000004</v>
      </c>
      <c r="V275" s="110">
        <f t="shared" si="329"/>
        <v>69287.621350000016</v>
      </c>
      <c r="W275" s="841">
        <f t="shared" si="329"/>
        <v>66849.533549999993</v>
      </c>
      <c r="X275" s="841">
        <f t="shared" si="329"/>
        <v>64809.551640000005</v>
      </c>
      <c r="Y275" s="841">
        <f>Y272+Y197-Y191</f>
        <v>75540.248750000013</v>
      </c>
      <c r="Z275" s="842">
        <f>Z272+Z197-Z191</f>
        <v>75231.476200000005</v>
      </c>
      <c r="AA275" s="841">
        <f>AA272+AA198-AA191</f>
        <v>91955.982249999986</v>
      </c>
      <c r="AB275" s="841">
        <f>AB272+AB198-AB191</f>
        <v>95753.867119999981</v>
      </c>
      <c r="AC275" s="841">
        <f>AC272+AC197-AC191</f>
        <v>92972.48904</v>
      </c>
      <c r="AD275" s="842">
        <f>AD272+AD197-AD191</f>
        <v>87549.30806000001</v>
      </c>
      <c r="AE275" s="841">
        <f>AE272+AE198-AE191</f>
        <v>104486.27295</v>
      </c>
      <c r="AF275" s="841">
        <f>AF272+AF198-AF191</f>
        <v>1425.9950000000008</v>
      </c>
      <c r="AG275" s="841">
        <f>AG272+AG198-AG191</f>
        <v>90180.849119999984</v>
      </c>
      <c r="BN275" s="1024">
        <f>BN272+BN197-BN191</f>
        <v>75294.516780000005</v>
      </c>
      <c r="BO275" s="1024">
        <f>BO272+BO197-BO191</f>
        <v>87549.30806000001</v>
      </c>
      <c r="BP275" s="1024"/>
    </row>
    <row r="276" spans="1:72" outlineLevel="1">
      <c r="A276" s="159" t="s">
        <v>1148</v>
      </c>
      <c r="B276" s="42"/>
      <c r="C276" s="42"/>
      <c r="D276" s="30"/>
      <c r="E276" s="30"/>
      <c r="F276" s="30"/>
      <c r="G276" s="30"/>
      <c r="H276" s="30"/>
      <c r="I276" s="30"/>
      <c r="J276" s="30"/>
      <c r="K276" s="30"/>
      <c r="L276" s="30"/>
      <c r="M276" s="89">
        <f>M275/M30</f>
        <v>6.2191193569980276</v>
      </c>
      <c r="N276" s="89">
        <f>N275/N30</f>
        <v>5.0023080142620664</v>
      </c>
      <c r="O276" s="89">
        <f>O275/O30</f>
        <v>5.332612958557343</v>
      </c>
      <c r="P276" s="89">
        <f>P275/P30</f>
        <v>8.2516022684684014</v>
      </c>
      <c r="Q276" s="89">
        <f>Q275/Q30</f>
        <v>7.110507585254676</v>
      </c>
      <c r="R276" s="89"/>
      <c r="S276" s="89"/>
      <c r="T276" s="89"/>
      <c r="U276" s="89"/>
      <c r="V276" s="110">
        <f>V275/V30</f>
        <v>7.511678122486515</v>
      </c>
      <c r="W276" s="841">
        <f>W275/SUM(S30:U30,W30)</f>
        <v>7.0136023445424449</v>
      </c>
      <c r="X276" s="841">
        <f>X275/SUM(T33:U33,W33:X33)</f>
        <v>6.6085551289972182</v>
      </c>
      <c r="Y276" s="841">
        <f>Y275/SUM(U33,W33,X33,Y33)</f>
        <v>7.2672812136108034</v>
      </c>
      <c r="Z276" s="842">
        <f>Z275/SUM(W33,X33,Y33,Z33)</f>
        <v>7.0028329314904969</v>
      </c>
      <c r="AA276" s="841">
        <f>AA275/SUM(X30:Z30,AA30)</f>
        <v>8.3487881562235824</v>
      </c>
      <c r="AB276" s="841">
        <f>AB275/SUM(Y33:Z33,AA33:AB33)</f>
        <v>8.3387900159758637</v>
      </c>
      <c r="AC276" s="841">
        <f>AC275/SUM(Z33,AA33,AB33,AC33)</f>
        <v>7.6042270616865668</v>
      </c>
      <c r="AD276" s="842">
        <f>AD275/SUM(AA33,AB33,AC33,AD33)</f>
        <v>6.9039304422130536</v>
      </c>
      <c r="AE276" s="841">
        <f>AE275/SUM(AB30:AD30,AE30)</f>
        <v>7.921700642591186</v>
      </c>
      <c r="AF276" s="841">
        <f>AF275/SUM(AC30:BO30,AF30)</f>
        <v>7.7693709608085164E-3</v>
      </c>
      <c r="AG276" s="841">
        <f>AG275/SUM(AD30:AE30,AG30)</f>
        <v>8.5234728940424507</v>
      </c>
      <c r="BN276" s="1024">
        <f>BN275/BN33</f>
        <v>7.0087009892761856</v>
      </c>
      <c r="BO276" s="1024">
        <f>BO275/BO33</f>
        <v>6.9039304422130536</v>
      </c>
      <c r="BP276" s="1024"/>
    </row>
    <row r="277" spans="1:72" outlineLevel="1">
      <c r="A277" s="159" t="s">
        <v>1149</v>
      </c>
      <c r="B277" s="42"/>
      <c r="C277" s="42"/>
      <c r="D277" s="30"/>
      <c r="E277" s="30"/>
      <c r="F277" s="30"/>
      <c r="G277" s="30"/>
      <c r="H277" s="30"/>
      <c r="I277" s="30"/>
      <c r="J277" s="30"/>
      <c r="K277" s="30"/>
      <c r="L277" s="30"/>
      <c r="M277" s="89">
        <f>M275/M79</f>
        <v>24.384170758149814</v>
      </c>
      <c r="N277" s="89">
        <f>N275/N79</f>
        <v>15.574923269488933</v>
      </c>
      <c r="O277" s="89">
        <f>O275/O79</f>
        <v>15.332139832210531</v>
      </c>
      <c r="P277" s="89">
        <f>P275/P79</f>
        <v>23.236334725300051</v>
      </c>
      <c r="Q277" s="89">
        <f>Q275/Q79</f>
        <v>19.531599404811487</v>
      </c>
      <c r="R277" s="89"/>
      <c r="S277" s="89"/>
      <c r="T277" s="89"/>
      <c r="U277" s="89"/>
      <c r="V277" s="110">
        <f>V275/V79</f>
        <v>21.260999884317048</v>
      </c>
      <c r="W277" s="841">
        <f>W275/SUM(S79:U79,W79)</f>
        <v>19.805749292128393</v>
      </c>
      <c r="X277" s="841">
        <f>X275/SUM(T79:U79,W79:X79)</f>
        <v>18.898577024408517</v>
      </c>
      <c r="Y277" s="841">
        <f>Y275/SUM(U79,W79,X79,Y79)</f>
        <v>27.232947919051277</v>
      </c>
      <c r="Z277" s="842">
        <f>Z275/SUM(W79,X79,Y79,Z79)</f>
        <v>25.885538205967485</v>
      </c>
      <c r="AA277" s="841">
        <f>AA275/SUM(X79:Z79,AA79)</f>
        <v>31.573335589160617</v>
      </c>
      <c r="AB277" s="841">
        <f>AB275/SUM(Y79:Z79,AA79:AB79)</f>
        <v>31.156602580475944</v>
      </c>
      <c r="AC277" s="841">
        <f>AC275/SUM(Z79,AA79,AB79,AC79)</f>
        <v>21.412942043809096</v>
      </c>
      <c r="AD277" s="842">
        <f>AD275/SUM(AA79,AB79,AC79,AD79)</f>
        <v>19.292521463237481</v>
      </c>
      <c r="AE277" s="841">
        <f>AE275/SUM(AB79:AD79,AE79)</f>
        <v>22.175612100773272</v>
      </c>
      <c r="AF277" s="841">
        <f>AF275/SUM(AC79:BO79,AF79)</f>
        <v>2.5743716366561368E-2</v>
      </c>
      <c r="AG277" s="841">
        <f>AG275/SUM(AD79:AE79,AG79)</f>
        <v>22.754531212624933</v>
      </c>
      <c r="BN277" s="1024">
        <f>BN275/BN79</f>
        <v>25.907229118130076</v>
      </c>
      <c r="BO277" s="1024">
        <f>BO275/BO79</f>
        <v>19.292521463237481</v>
      </c>
      <c r="BP277" s="1024"/>
    </row>
    <row r="278" spans="1:72" outlineLevel="1">
      <c r="A278" s="159" t="s">
        <v>1150</v>
      </c>
      <c r="B278" s="42"/>
      <c r="C278" s="42"/>
      <c r="D278" s="30"/>
      <c r="E278" s="30"/>
      <c r="F278" s="30"/>
      <c r="G278" s="30"/>
      <c r="H278" s="30"/>
      <c r="I278" s="30"/>
      <c r="J278" s="30"/>
      <c r="K278" s="30"/>
      <c r="L278" s="30"/>
      <c r="M278" s="89">
        <f>M272/M30</f>
        <v>6.6038517879805054</v>
      </c>
      <c r="N278" s="89">
        <f>N272/N30</f>
        <v>5.4990912432472143</v>
      </c>
      <c r="O278" s="89">
        <f>O272/O30</f>
        <v>6.0525381964798788</v>
      </c>
      <c r="P278" s="89">
        <f>P272/P30</f>
        <v>8.9683684497651086</v>
      </c>
      <c r="Q278" s="89">
        <f>Q272/Q30</f>
        <v>7.1615212644061446</v>
      </c>
      <c r="R278" s="89"/>
      <c r="S278" s="89"/>
      <c r="T278" s="89"/>
      <c r="U278" s="89"/>
      <c r="V278" s="110">
        <f>V272/V30</f>
        <v>7.1312432844929221</v>
      </c>
      <c r="W278" s="841">
        <f>W272/SUM(S30:U30,W30)</f>
        <v>6.7054040419194969</v>
      </c>
      <c r="X278" s="841">
        <f>X272/SUM(T33:U33,W33:X33)</f>
        <v>6.314535917862873</v>
      </c>
      <c r="Y278" s="841">
        <f>Y272/SUM(U33,W33:Y33)</f>
        <v>7.0746290514430239</v>
      </c>
      <c r="Z278" s="842">
        <f>Z272/SUM(W33:Z33)</f>
        <v>6.8260523358173675</v>
      </c>
      <c r="AA278" s="841">
        <f>AA272/SUM(X30:Z30,AA30)</f>
        <v>8.0843151184220581</v>
      </c>
      <c r="AB278" s="841">
        <f>AB272/SUM(Y33:Z33,AA33:AB33)</f>
        <v>8.1538968548573543</v>
      </c>
      <c r="AC278" s="841">
        <f>AC272/SUM(Z33,AA33:AC33)</f>
        <v>7.4829526610483414</v>
      </c>
      <c r="AD278" s="842">
        <f>AD272/SUM(AA33:AD33)</f>
        <v>6.7926407273448737</v>
      </c>
      <c r="AE278" s="841">
        <f>AE272/SUM(AB30:AD30,AE30)</f>
        <v>7.7609195618852898</v>
      </c>
      <c r="AF278" s="841">
        <f>AF272/SUM(AC30:BO30,AF30)</f>
        <v>0</v>
      </c>
      <c r="AG278" s="841">
        <f>AG272/SUM(AD30:AE30,AG30)</f>
        <v>8.3748258904714739</v>
      </c>
      <c r="BN278" s="1024">
        <f>BN272/BN33</f>
        <v>6.8319203936030561</v>
      </c>
      <c r="BO278" s="1024">
        <f>BO272/BO33</f>
        <v>6.7926407273448737</v>
      </c>
      <c r="BP278" s="1024"/>
    </row>
    <row r="279" spans="1:72" outlineLevel="1">
      <c r="A279" s="159" t="s">
        <v>1151</v>
      </c>
      <c r="B279" s="42"/>
      <c r="C279" s="42"/>
      <c r="D279" s="30"/>
      <c r="E279" s="30"/>
      <c r="F279" s="30"/>
      <c r="G279" s="30"/>
      <c r="H279" s="30"/>
      <c r="I279" s="30"/>
      <c r="J279" s="30"/>
      <c r="K279" s="30"/>
      <c r="L279" s="30"/>
      <c r="M279" s="89">
        <f>M272/M79</f>
        <v>25.892644989749581</v>
      </c>
      <c r="N279" s="89">
        <f>N272/N79</f>
        <v>17.121681416118982</v>
      </c>
      <c r="O279" s="89">
        <f>O272/O79</f>
        <v>17.402043367747062</v>
      </c>
      <c r="P279" s="89">
        <f>P272/P79</f>
        <v>25.254732894105238</v>
      </c>
      <c r="Q279" s="89">
        <f>Q272/Q79</f>
        <v>19.671727058626004</v>
      </c>
      <c r="R279" s="89"/>
      <c r="S279" s="89"/>
      <c r="T279" s="89"/>
      <c r="U279" s="89"/>
      <c r="V279" s="110">
        <f>V272/V79</f>
        <v>20.184219847329185</v>
      </c>
      <c r="W279" s="841">
        <f>W272/SUM(S79:U79,W79)</f>
        <v>18.935426451718222</v>
      </c>
      <c r="X279" s="841">
        <f>X272/SUM(T79:U79,W79:X79)</f>
        <v>18.057766196653283</v>
      </c>
      <c r="Y279" s="841">
        <f>Y272/SUM(U79,W79,X79,Y79)</f>
        <v>26.511015446012848</v>
      </c>
      <c r="Z279" s="842">
        <f>Z272/SUM(W79,X79,Y79,Z79)</f>
        <v>25.232079683089875</v>
      </c>
      <c r="AA279" s="841">
        <f>AA272/SUM(X79:Z79,AA79)</f>
        <v>30.573154985635828</v>
      </c>
      <c r="AB279" s="841">
        <f>AB272/SUM(Y79:Z79,AA79:AB79)</f>
        <v>30.465777804965253</v>
      </c>
      <c r="AC279" s="841">
        <f>AC272/SUM(Z79,AA79,AB79,AC79)</f>
        <v>21.071442284372921</v>
      </c>
      <c r="AD279" s="842">
        <f>AD272/SUM(AA79,AB79,AC79,AD79)</f>
        <v>18.981530610895742</v>
      </c>
      <c r="AE279" s="841">
        <f>AE272/SUM(AB79:AD79,AE79)</f>
        <v>21.725529594536223</v>
      </c>
      <c r="AF279" s="841">
        <f>AF272/SUM(AC79:BO79,AF79)</f>
        <v>0</v>
      </c>
      <c r="AG279" s="841">
        <f>AG272/SUM(AD79:AE79,AG79)</f>
        <v>22.357698498487586</v>
      </c>
      <c r="BN279" s="1024">
        <f>BN272/BN79</f>
        <v>25.253770595252465</v>
      </c>
      <c r="BO279" s="1024">
        <f>BO272/BO79</f>
        <v>18.981530610895742</v>
      </c>
      <c r="BP279" s="1024"/>
    </row>
    <row r="280" spans="1:72" outlineLevel="1">
      <c r="B280" s="42"/>
      <c r="C280" s="42"/>
      <c r="D280" s="30"/>
      <c r="E280" s="30"/>
      <c r="F280" s="30"/>
      <c r="G280" s="30"/>
      <c r="H280" s="30"/>
      <c r="I280" s="30"/>
      <c r="J280" s="30"/>
      <c r="K280" s="30"/>
      <c r="L280" s="30"/>
      <c r="M280" s="89"/>
      <c r="N280" s="89"/>
      <c r="O280" s="89"/>
      <c r="P280" s="89"/>
      <c r="Q280" s="89"/>
      <c r="R280" s="89"/>
      <c r="S280" s="89"/>
      <c r="T280" s="89"/>
      <c r="U280" s="89"/>
      <c r="V280" s="110"/>
      <c r="X280" s="841"/>
    </row>
    <row r="281" spans="1:72" s="192" customFormat="1" outlineLevel="1">
      <c r="A281" s="184" t="s">
        <v>1152</v>
      </c>
      <c r="B281" s="191"/>
      <c r="C281" s="191"/>
      <c r="D281" s="186"/>
      <c r="E281" s="186"/>
      <c r="F281" s="186"/>
      <c r="G281" s="186"/>
      <c r="H281" s="186"/>
      <c r="I281" s="186"/>
      <c r="J281" s="186"/>
      <c r="K281" s="186"/>
      <c r="L281" s="186"/>
      <c r="M281" s="186"/>
      <c r="N281" s="186"/>
      <c r="O281" s="186"/>
      <c r="P281" s="186"/>
      <c r="Q281" s="186"/>
      <c r="R281" s="186"/>
      <c r="S281" s="186"/>
      <c r="T281" s="186"/>
      <c r="U281" s="186"/>
      <c r="V281" s="187"/>
      <c r="W281" s="843"/>
      <c r="Z281" s="193"/>
      <c r="AD281" s="193"/>
      <c r="AH281" s="193"/>
      <c r="AL281" s="193"/>
      <c r="AT281" s="193"/>
      <c r="AU281" s="185"/>
      <c r="AV281" s="133"/>
      <c r="AW281" s="133"/>
      <c r="AX281" s="136"/>
      <c r="AY281" s="137"/>
      <c r="AZ281" s="163"/>
      <c r="BA281" s="163"/>
      <c r="BB281" s="164"/>
      <c r="BC281" s="163"/>
      <c r="BD281" s="163"/>
      <c r="BE281" s="163"/>
      <c r="BF281" s="164"/>
      <c r="BG281" s="163"/>
      <c r="BH281" s="163"/>
      <c r="BI281" s="163"/>
      <c r="BJ281" s="163"/>
      <c r="BK281" s="163"/>
      <c r="BL281" s="163"/>
      <c r="BM281" s="164"/>
      <c r="BN281" s="184"/>
      <c r="BO281" s="184"/>
      <c r="BP281" s="184"/>
      <c r="BR281" s="184"/>
      <c r="BS281" s="184"/>
      <c r="BT281" s="184"/>
    </row>
    <row r="282" spans="1:72" outlineLevel="1">
      <c r="A282" s="159" t="s">
        <v>1153</v>
      </c>
      <c r="B282" s="42"/>
      <c r="L282" s="133" t="s">
        <v>1130</v>
      </c>
      <c r="M282" s="89" t="s">
        <v>1130</v>
      </c>
      <c r="N282" s="89">
        <v>711.99</v>
      </c>
      <c r="O282" s="89">
        <v>711.99</v>
      </c>
      <c r="P282" s="89">
        <v>711.99</v>
      </c>
      <c r="Q282" s="89"/>
      <c r="R282" s="89"/>
      <c r="S282" s="89"/>
      <c r="T282" s="89"/>
      <c r="U282" s="89"/>
      <c r="V282" s="110"/>
    </row>
    <row r="283" spans="1:72" outlineLevel="1">
      <c r="A283" s="159" t="s">
        <v>11</v>
      </c>
      <c r="B283" s="42"/>
      <c r="L283" s="133" t="s">
        <v>1130</v>
      </c>
      <c r="M283" s="89" t="s">
        <v>1130</v>
      </c>
      <c r="N283" s="89">
        <v>709.31</v>
      </c>
      <c r="O283" s="89">
        <v>709.31</v>
      </c>
      <c r="P283" s="89">
        <v>709.31</v>
      </c>
      <c r="Q283" s="89"/>
      <c r="R283" s="89"/>
      <c r="S283" s="89"/>
      <c r="T283" s="89"/>
      <c r="U283" s="89"/>
      <c r="V283" s="110"/>
    </row>
    <row r="284" spans="1:72" outlineLevel="1">
      <c r="A284" s="159" t="s">
        <v>1154</v>
      </c>
      <c r="B284" s="42"/>
      <c r="L284" s="133" t="s">
        <v>1130</v>
      </c>
      <c r="M284" s="89" t="s">
        <v>1130</v>
      </c>
      <c r="N284" s="89">
        <v>411.26</v>
      </c>
      <c r="O284" s="89">
        <v>411.26</v>
      </c>
      <c r="P284" s="89">
        <v>411.26</v>
      </c>
      <c r="Q284" s="89"/>
      <c r="R284" s="89"/>
      <c r="S284" s="89"/>
      <c r="T284" s="89"/>
      <c r="U284" s="89"/>
      <c r="V284" s="110"/>
    </row>
    <row r="285" spans="1:72" outlineLevel="1"/>
    <row r="286" spans="1:72">
      <c r="AS286" s="27"/>
      <c r="AT286" s="97"/>
      <c r="AU286" s="98"/>
      <c r="AV286" s="27"/>
    </row>
    <row r="287" spans="1:72">
      <c r="AW287" s="133">
        <f>AW241/AK241-1</f>
        <v>-0.23809523809523814</v>
      </c>
      <c r="AX287" s="136">
        <f>AX241/AL241-1</f>
        <v>-0.125</v>
      </c>
      <c r="AZ287" s="163">
        <f>AZ235+AY235</f>
        <v>542</v>
      </c>
      <c r="BA287" s="163">
        <f>BA235+AZ235</f>
        <v>544</v>
      </c>
      <c r="BD287" s="163">
        <f>BD235+BC235</f>
        <v>584</v>
      </c>
      <c r="BE287" s="163">
        <f>BE235+BD235</f>
        <v>586</v>
      </c>
      <c r="BH287" s="3422"/>
      <c r="BI287" s="3422"/>
      <c r="BJ287" s="3422"/>
      <c r="BK287" s="3422"/>
      <c r="BL287" s="3422"/>
      <c r="BM287" s="163"/>
    </row>
    <row r="288" spans="1:72">
      <c r="AR288" s="27"/>
      <c r="AS288" s="27"/>
      <c r="AT288" s="97"/>
      <c r="AU288" s="98"/>
      <c r="AV288" s="27"/>
      <c r="BD288" s="163">
        <f>BD287/AZ287-1</f>
        <v>7.7490774907749138E-2</v>
      </c>
      <c r="BE288" s="163">
        <f>BE287/BA287-1</f>
        <v>7.7205882352941124E-2</v>
      </c>
    </row>
    <row r="290" spans="1:75">
      <c r="A290" s="159" t="s">
        <v>2859</v>
      </c>
      <c r="BH290" s="133"/>
    </row>
    <row r="291" spans="1:75">
      <c r="A291" s="159" t="s">
        <v>2858</v>
      </c>
      <c r="BH291" s="133"/>
      <c r="BI291" s="165" t="s">
        <v>2863</v>
      </c>
      <c r="BJ291" s="165" t="s">
        <v>2880</v>
      </c>
      <c r="BK291" s="165"/>
      <c r="BL291" s="165"/>
    </row>
    <row r="292" spans="1:75">
      <c r="A292" s="3457" t="s">
        <v>2854</v>
      </c>
      <c r="BC292" s="27">
        <v>0.25</v>
      </c>
      <c r="BD292" s="27">
        <v>0.25</v>
      </c>
      <c r="BE292" s="27">
        <v>0.25</v>
      </c>
      <c r="BF292" s="97">
        <v>0.25</v>
      </c>
      <c r="BH292" s="3459"/>
      <c r="BI292" s="570">
        <f>BI304/BI$235</f>
        <v>0.26035216718266252</v>
      </c>
      <c r="BJ292" s="570"/>
      <c r="BK292" s="570"/>
      <c r="BL292" s="570"/>
      <c r="BV292" s="27">
        <v>0.25</v>
      </c>
      <c r="BW292" s="27"/>
    </row>
    <row r="293" spans="1:75">
      <c r="A293" s="3457" t="s">
        <v>2855</v>
      </c>
      <c r="BC293" s="27">
        <v>0.125</v>
      </c>
      <c r="BD293" s="27">
        <v>0.125</v>
      </c>
      <c r="BE293" s="27">
        <v>0.125</v>
      </c>
      <c r="BF293" s="97">
        <v>0.125</v>
      </c>
      <c r="BH293" s="3459"/>
      <c r="BI293" s="570">
        <f>BI305/BI$235</f>
        <v>0.12496904024767802</v>
      </c>
      <c r="BJ293" s="570"/>
      <c r="BK293" s="570"/>
      <c r="BL293" s="570"/>
      <c r="BV293" s="27">
        <v>0.125</v>
      </c>
      <c r="BW293" s="27"/>
    </row>
    <row r="294" spans="1:75">
      <c r="A294" s="3457" t="s">
        <v>2856</v>
      </c>
      <c r="BC294" s="27">
        <v>0.5</v>
      </c>
      <c r="BD294" s="27">
        <v>0.5</v>
      </c>
      <c r="BE294" s="27">
        <v>0.5</v>
      </c>
      <c r="BF294" s="97">
        <v>0.5</v>
      </c>
      <c r="BH294" s="3459"/>
      <c r="BI294" s="570">
        <f>BI306/BI$235</f>
        <v>0.49987616099071208</v>
      </c>
      <c r="BJ294" s="570"/>
      <c r="BK294" s="570"/>
      <c r="BL294" s="570"/>
      <c r="BV294" s="27">
        <v>0.5</v>
      </c>
      <c r="BW294" s="27"/>
    </row>
    <row r="295" spans="1:75">
      <c r="A295" s="3457" t="s">
        <v>2857</v>
      </c>
      <c r="BC295" s="27">
        <v>0.125</v>
      </c>
      <c r="BD295" s="27">
        <v>0.125</v>
      </c>
      <c r="BE295" s="27">
        <v>0.125</v>
      </c>
      <c r="BF295" s="97">
        <v>0.125</v>
      </c>
      <c r="BH295" s="3459"/>
      <c r="BI295" s="570">
        <f>BI307/BI$235</f>
        <v>0.13017608359133126</v>
      </c>
      <c r="BJ295" s="570"/>
      <c r="BK295" s="570"/>
      <c r="BL295" s="570"/>
      <c r="BV295" s="27">
        <v>0.125</v>
      </c>
      <c r="BW295" s="27"/>
    </row>
    <row r="296" spans="1:75">
      <c r="A296" s="3457"/>
      <c r="BC296" s="27"/>
      <c r="BD296" s="27"/>
      <c r="BE296" s="27"/>
      <c r="BF296" s="97"/>
      <c r="BV296" s="27"/>
      <c r="BW296" s="27"/>
    </row>
    <row r="297" spans="1:75">
      <c r="A297" s="159" t="s">
        <v>2862</v>
      </c>
      <c r="BC297" s="27"/>
      <c r="BD297" s="27"/>
      <c r="BE297" s="27"/>
      <c r="BF297" s="97"/>
      <c r="BV297" s="27"/>
      <c r="BW297" s="27"/>
    </row>
    <row r="298" spans="1:75">
      <c r="A298" s="3457" t="s">
        <v>2854</v>
      </c>
      <c r="BC298" s="27"/>
      <c r="BD298" s="27"/>
      <c r="BE298" s="27"/>
      <c r="BF298" s="97"/>
      <c r="BI298" s="27">
        <v>0.125</v>
      </c>
      <c r="BJ298" s="27"/>
      <c r="BK298" s="27"/>
      <c r="BL298" s="27"/>
      <c r="BV298" s="27"/>
      <c r="BW298" s="27"/>
    </row>
    <row r="299" spans="1:75">
      <c r="A299" s="3457" t="s">
        <v>2855</v>
      </c>
      <c r="BC299" s="27"/>
      <c r="BD299" s="27"/>
      <c r="BE299" s="27"/>
      <c r="BF299" s="97"/>
      <c r="BI299" s="27">
        <v>0.08</v>
      </c>
      <c r="BJ299" s="27"/>
      <c r="BK299" s="27"/>
      <c r="BL299" s="27"/>
      <c r="BV299" s="27"/>
      <c r="BW299" s="27"/>
    </row>
    <row r="300" spans="1:75">
      <c r="A300" s="3457" t="s">
        <v>2856</v>
      </c>
      <c r="BC300" s="27"/>
      <c r="BD300" s="27"/>
      <c r="BE300" s="27"/>
      <c r="BF300" s="97"/>
      <c r="BI300" s="27">
        <v>0.08</v>
      </c>
      <c r="BJ300" s="27"/>
      <c r="BK300" s="27"/>
      <c r="BL300" s="27"/>
      <c r="BV300" s="27"/>
      <c r="BW300" s="27"/>
    </row>
    <row r="301" spans="1:75">
      <c r="A301" s="3457" t="s">
        <v>2857</v>
      </c>
      <c r="BC301" s="27"/>
      <c r="BD301" s="27"/>
      <c r="BE301" s="27"/>
      <c r="BF301" s="97"/>
      <c r="BI301" s="27">
        <v>0.125</v>
      </c>
      <c r="BJ301" s="27"/>
      <c r="BK301" s="27"/>
      <c r="BL301" s="27"/>
      <c r="BV301" s="27"/>
      <c r="BW301" s="27"/>
    </row>
    <row r="302" spans="1:75">
      <c r="A302" s="3457"/>
      <c r="BC302" s="27"/>
      <c r="BD302" s="27"/>
      <c r="BE302" s="27"/>
      <c r="BF302" s="97"/>
      <c r="BV302" s="27"/>
      <c r="BW302" s="27"/>
    </row>
    <row r="303" spans="1:75">
      <c r="A303" s="159" t="s">
        <v>2861</v>
      </c>
    </row>
    <row r="304" spans="1:75">
      <c r="A304" s="3457" t="s">
        <v>2854</v>
      </c>
      <c r="BC304" s="3225">
        <f t="shared" ref="BC304:BF307" si="330">BC$235*BC292</f>
        <v>74.25</v>
      </c>
      <c r="BD304" s="3225">
        <f t="shared" si="330"/>
        <v>71.75</v>
      </c>
      <c r="BE304" s="3225">
        <f t="shared" si="330"/>
        <v>74.75</v>
      </c>
      <c r="BF304" s="3136">
        <f t="shared" si="330"/>
        <v>65.25</v>
      </c>
      <c r="BI304" s="3458">
        <f>BE304*(1+BI298)</f>
        <v>84.09375</v>
      </c>
      <c r="BJ304" s="3458"/>
      <c r="BK304" s="3458"/>
      <c r="BL304" s="3458"/>
    </row>
    <row r="305" spans="1:75">
      <c r="A305" s="3457" t="s">
        <v>2855</v>
      </c>
      <c r="BC305" s="3225">
        <f t="shared" si="330"/>
        <v>37.125</v>
      </c>
      <c r="BD305" s="3225">
        <f t="shared" si="330"/>
        <v>35.875</v>
      </c>
      <c r="BE305" s="3225">
        <f t="shared" si="330"/>
        <v>37.375</v>
      </c>
      <c r="BF305" s="3136">
        <f t="shared" si="330"/>
        <v>32.625</v>
      </c>
      <c r="BI305" s="3458">
        <f>BE305*(1+BI299)</f>
        <v>40.365000000000002</v>
      </c>
      <c r="BJ305" s="3458"/>
      <c r="BK305" s="3458"/>
      <c r="BL305" s="3458"/>
    </row>
    <row r="306" spans="1:75">
      <c r="A306" s="3457" t="s">
        <v>2856</v>
      </c>
      <c r="BC306" s="3225">
        <f t="shared" si="330"/>
        <v>148.5</v>
      </c>
      <c r="BD306" s="3225">
        <f t="shared" si="330"/>
        <v>143.5</v>
      </c>
      <c r="BE306" s="3225">
        <f t="shared" si="330"/>
        <v>149.5</v>
      </c>
      <c r="BF306" s="3136">
        <f t="shared" si="330"/>
        <v>130.5</v>
      </c>
      <c r="BI306" s="3458">
        <f>BE306*(1+BI300)</f>
        <v>161.46</v>
      </c>
      <c r="BJ306" s="3458"/>
      <c r="BK306" s="3458"/>
      <c r="BL306" s="3458"/>
    </row>
    <row r="307" spans="1:75">
      <c r="A307" s="3457" t="s">
        <v>2857</v>
      </c>
      <c r="BC307" s="3225">
        <f t="shared" si="330"/>
        <v>37.125</v>
      </c>
      <c r="BD307" s="3225">
        <f t="shared" si="330"/>
        <v>35.875</v>
      </c>
      <c r="BE307" s="3225">
        <f t="shared" si="330"/>
        <v>37.375</v>
      </c>
      <c r="BF307" s="3136">
        <f t="shared" si="330"/>
        <v>32.625</v>
      </c>
      <c r="BI307" s="3458">
        <f>BE307*(1+BI301)</f>
        <v>42.046875</v>
      </c>
      <c r="BJ307" s="3458"/>
      <c r="BK307" s="3458"/>
      <c r="BL307" s="3458"/>
    </row>
    <row r="309" spans="1:75">
      <c r="A309" s="159" t="s">
        <v>2864</v>
      </c>
      <c r="BV309" s="540">
        <v>13100</v>
      </c>
      <c r="BW309" s="540">
        <v>16800</v>
      </c>
    </row>
    <row r="311" spans="1:75" s="3462" customFormat="1" ht="15.5" customHeight="1">
      <c r="A311" s="3188" t="s">
        <v>2865</v>
      </c>
      <c r="B311" s="3460"/>
      <c r="C311" s="3460"/>
      <c r="D311" s="3461"/>
      <c r="E311" s="3461"/>
      <c r="F311" s="3461"/>
      <c r="G311" s="3461"/>
      <c r="H311" s="3461"/>
      <c r="I311" s="3461"/>
      <c r="J311" s="3461"/>
      <c r="K311" s="3461"/>
      <c r="L311" s="3461"/>
      <c r="M311" s="3461"/>
      <c r="N311" s="3461"/>
      <c r="O311" s="3461"/>
      <c r="P311" s="3461"/>
      <c r="Q311" s="3461"/>
      <c r="R311" s="3461"/>
      <c r="S311" s="3461"/>
      <c r="T311" s="3461"/>
      <c r="U311" s="3461"/>
      <c r="V311" s="3187"/>
      <c r="W311" s="3179"/>
      <c r="X311" s="3179"/>
      <c r="Y311" s="3179"/>
      <c r="Z311" s="3180"/>
      <c r="AA311" s="3179"/>
      <c r="AB311" s="3179"/>
      <c r="AC311" s="3179"/>
      <c r="AD311" s="3180"/>
      <c r="AE311" s="3179"/>
      <c r="AF311" s="3179"/>
      <c r="AG311" s="3179"/>
      <c r="AH311" s="3180"/>
      <c r="AI311" s="3179"/>
      <c r="AJ311" s="3179"/>
      <c r="AK311" s="3179"/>
      <c r="AL311" s="3180"/>
      <c r="AM311" s="3180"/>
      <c r="AN311" s="3179"/>
      <c r="AO311" s="3179"/>
      <c r="AP311" s="3179"/>
      <c r="AQ311" s="3179"/>
      <c r="AR311" s="3179"/>
      <c r="AS311" s="3179"/>
      <c r="AT311" s="3180"/>
      <c r="AU311" s="3181"/>
      <c r="AV311" s="3182"/>
      <c r="AW311" s="3183"/>
      <c r="AX311" s="3184"/>
      <c r="AY311" s="3266"/>
      <c r="AZ311" s="3183"/>
      <c r="BA311" s="3183"/>
      <c r="BB311" s="3184"/>
      <c r="BC311" s="3183"/>
      <c r="BD311" s="3183"/>
      <c r="BE311" s="3183"/>
      <c r="BF311" s="3184"/>
      <c r="BG311" s="3183"/>
      <c r="BH311" s="3183"/>
      <c r="BI311" s="3184"/>
      <c r="BJ311" s="3184"/>
      <c r="BK311" s="3184"/>
      <c r="BL311" s="3499"/>
      <c r="BM311" s="64"/>
      <c r="BN311" s="3189"/>
      <c r="BO311" s="3189"/>
      <c r="BQ311" s="3191"/>
      <c r="BR311" s="3191"/>
      <c r="BS311" s="3191"/>
    </row>
    <row r="312" spans="1:75" s="1773" customFormat="1">
      <c r="A312" s="3463" t="s">
        <v>2866</v>
      </c>
      <c r="B312" s="1771"/>
      <c r="C312" s="1772"/>
      <c r="V312" s="1774"/>
      <c r="W312" s="1775"/>
      <c r="Z312" s="1774"/>
      <c r="AD312" s="1774"/>
      <c r="AH312" s="1774"/>
      <c r="AL312" s="1774"/>
      <c r="AM312" s="1774"/>
      <c r="AT312" s="1774"/>
      <c r="AU312" s="1837"/>
      <c r="AX312" s="1774"/>
      <c r="AY312" s="3220">
        <v>133.731077979253</v>
      </c>
      <c r="AZ312" s="3220">
        <v>139.02621863699272</v>
      </c>
      <c r="BA312" s="3220">
        <v>134.10013919570744</v>
      </c>
      <c r="BB312" s="3129">
        <v>128.31639339184949</v>
      </c>
      <c r="BC312" s="3220">
        <v>135.49632820857914</v>
      </c>
      <c r="BD312" s="3220">
        <v>135.16128975888432</v>
      </c>
      <c r="BE312" s="3220">
        <v>134.10013919570744</v>
      </c>
      <c r="BF312" s="3129">
        <v>132.999941750652</v>
      </c>
      <c r="BG312" s="3220">
        <f>BC312*(1+BG313)</f>
        <v>133.62647887930075</v>
      </c>
      <c r="BH312" s="3220">
        <f>BD312*(1+BH313)</f>
        <v>140.43258005948081</v>
      </c>
      <c r="BI312" s="3220">
        <f>BE312*(1+BI313)</f>
        <v>135.44114058766451</v>
      </c>
      <c r="BJ312" s="3220"/>
      <c r="BK312" s="3220"/>
      <c r="BL312" s="3220"/>
      <c r="BM312" s="1774"/>
      <c r="BN312" s="1776"/>
      <c r="BO312" s="1776"/>
      <c r="BQ312" s="1776"/>
      <c r="BR312" s="1776"/>
      <c r="BS312" s="1776"/>
    </row>
    <row r="313" spans="1:75" s="1779" customFormat="1" ht="12">
      <c r="A313" s="1755" t="s">
        <v>2867</v>
      </c>
      <c r="B313" s="1777"/>
      <c r="C313" s="1778"/>
      <c r="Q313" s="1780"/>
      <c r="R313" s="1780"/>
      <c r="S313" s="1780"/>
      <c r="T313" s="1780"/>
      <c r="U313" s="1780"/>
      <c r="V313" s="1781"/>
      <c r="W313" s="1780"/>
      <c r="X313" s="1780"/>
      <c r="Y313" s="1780"/>
      <c r="Z313" s="1781"/>
      <c r="AA313" s="1780"/>
      <c r="AB313" s="1782"/>
      <c r="AC313" s="1782"/>
      <c r="AD313" s="1783"/>
      <c r="AE313" s="1780"/>
      <c r="AF313" s="1780"/>
      <c r="AG313" s="1780"/>
      <c r="AH313" s="1781"/>
      <c r="AI313" s="1780">
        <v>-8.0717261858756828E-2</v>
      </c>
      <c r="AJ313" s="1780">
        <v>-6.3022919224171359E-2</v>
      </c>
      <c r="AK313" s="1780">
        <v>-6.0253516115039818E-2</v>
      </c>
      <c r="AL313" s="1780">
        <v>-5.3732231729484603E-2</v>
      </c>
      <c r="AM313" s="1781">
        <v>-0.16967383966684801</v>
      </c>
      <c r="AN313" s="1780">
        <v>-0.3600571173180972</v>
      </c>
      <c r="AO313" s="1780">
        <v>-7.612699876606388E-2</v>
      </c>
      <c r="AP313" s="1780">
        <v>-0.13849196536860042</v>
      </c>
      <c r="AQ313" s="1780">
        <v>0.18025909192936207</v>
      </c>
      <c r="AR313" s="1780">
        <v>0.81266177246728222</v>
      </c>
      <c r="AS313" s="1780">
        <v>0.21228783447953803</v>
      </c>
      <c r="AT313" s="1780">
        <v>0.32326101925184569</v>
      </c>
      <c r="AU313" s="1780">
        <v>0.18877551020408156</v>
      </c>
      <c r="AV313" s="1780">
        <v>3.0172413793103647E-2</v>
      </c>
      <c r="AW313" s="1780">
        <v>4.4642857142856984E-2</v>
      </c>
      <c r="AX313" s="1780">
        <v>3.5087719298245501E-2</v>
      </c>
      <c r="AY313" s="1780">
        <v>0.03</v>
      </c>
      <c r="AZ313" s="1780">
        <v>4.4999999999999998E-2</v>
      </c>
      <c r="BA313" s="1780">
        <v>6.5000000000000002E-2</v>
      </c>
      <c r="BB313" s="1781">
        <v>5.5E-2</v>
      </c>
      <c r="BC313" s="1780">
        <v>1.32E-2</v>
      </c>
      <c r="BD313" s="1780">
        <v>-2.7799999999999998E-2</v>
      </c>
      <c r="BE313" s="1780">
        <v>0</v>
      </c>
      <c r="BF313" s="1781">
        <v>3.6499999999999998E-2</v>
      </c>
      <c r="BG313" s="1780">
        <v>-1.38E-2</v>
      </c>
      <c r="BH313" s="1780">
        <v>3.9E-2</v>
      </c>
      <c r="BI313" s="1780">
        <v>0.01</v>
      </c>
      <c r="BJ313" s="1780"/>
      <c r="BK313" s="1780"/>
      <c r="BL313" s="1780"/>
      <c r="BM313" s="1781"/>
      <c r="BN313" s="1784"/>
      <c r="BO313" s="1784"/>
      <c r="BP313" s="2818"/>
      <c r="BQ313" s="1784"/>
      <c r="BR313" s="1784"/>
      <c r="BS313" s="1784"/>
      <c r="BT313" s="1784"/>
      <c r="BU313" s="1784"/>
    </row>
    <row r="314" spans="1:75" s="1780" customFormat="1" ht="12">
      <c r="A314" s="1755" t="s">
        <v>2868</v>
      </c>
      <c r="B314" s="1785"/>
      <c r="C314" s="1785"/>
      <c r="V314" s="1781"/>
      <c r="Z314" s="1781"/>
      <c r="AB314" s="1782"/>
      <c r="AC314" s="1782"/>
      <c r="AD314" s="1781"/>
      <c r="AH314" s="1781"/>
      <c r="AL314" s="1781"/>
      <c r="AM314" s="1781"/>
      <c r="AT314" s="1781"/>
      <c r="AU314" s="2818"/>
      <c r="AY314" s="3464">
        <f>AY312*AY235</f>
        <v>36642.315366315321</v>
      </c>
      <c r="AZ314" s="3464">
        <f t="shared" ref="AZ314:BI314" si="331">AZ312*AZ235</f>
        <v>37259.026594714051</v>
      </c>
      <c r="BA314" s="3464">
        <f t="shared" si="331"/>
        <v>37011.638418015253</v>
      </c>
      <c r="BB314" s="3479">
        <f t="shared" si="331"/>
        <v>29641.086873517233</v>
      </c>
      <c r="BC314" s="3464">
        <f t="shared" si="331"/>
        <v>40242.409477948007</v>
      </c>
      <c r="BD314" s="3464">
        <f t="shared" si="331"/>
        <v>38791.290160799799</v>
      </c>
      <c r="BE314" s="3464">
        <f t="shared" si="331"/>
        <v>40095.941619516525</v>
      </c>
      <c r="BF314" s="3479">
        <f t="shared" si="331"/>
        <v>34712.984796920173</v>
      </c>
      <c r="BG314" s="3464">
        <f t="shared" si="331"/>
        <v>42626.846762496942</v>
      </c>
      <c r="BH314" s="3464">
        <f t="shared" si="331"/>
        <v>43393.667238379574</v>
      </c>
      <c r="BI314" s="3464">
        <f t="shared" si="331"/>
        <v>43747.488409815633</v>
      </c>
      <c r="BJ314" s="3464"/>
      <c r="BK314" s="3464"/>
      <c r="BL314" s="3464"/>
      <c r="BM314" s="1781"/>
      <c r="BN314" s="1784"/>
      <c r="BO314" s="1784"/>
      <c r="BP314" s="2818"/>
      <c r="BQ314" s="1784"/>
      <c r="BR314" s="1784"/>
      <c r="BS314" s="1784"/>
    </row>
    <row r="315" spans="1:75" s="3474" customFormat="1" ht="12">
      <c r="A315" s="3465" t="s">
        <v>2869</v>
      </c>
      <c r="B315" s="3466"/>
      <c r="C315" s="3466"/>
      <c r="D315" s="3467"/>
      <c r="E315" s="3467"/>
      <c r="F315" s="3467"/>
      <c r="G315" s="3467"/>
      <c r="H315" s="3467"/>
      <c r="I315" s="3467"/>
      <c r="J315" s="3467"/>
      <c r="K315" s="3467"/>
      <c r="L315" s="3467"/>
      <c r="M315" s="3467"/>
      <c r="N315" s="3467"/>
      <c r="O315" s="3467"/>
      <c r="P315" s="3467"/>
      <c r="Q315" s="3467"/>
      <c r="R315" s="3467"/>
      <c r="S315" s="3467"/>
      <c r="T315" s="3467"/>
      <c r="U315" s="3467"/>
      <c r="V315" s="3468"/>
      <c r="W315" s="3467"/>
      <c r="X315" s="3467"/>
      <c r="Y315" s="3467"/>
      <c r="Z315" s="3468"/>
      <c r="AA315" s="3467"/>
      <c r="AB315" s="3469"/>
      <c r="AC315" s="3469"/>
      <c r="AD315" s="3468"/>
      <c r="AE315" s="3467"/>
      <c r="AF315" s="3467"/>
      <c r="AG315" s="3467"/>
      <c r="AH315" s="3468"/>
      <c r="AI315" s="3467"/>
      <c r="AJ315" s="3467"/>
      <c r="AK315" s="3467"/>
      <c r="AL315" s="3468"/>
      <c r="AM315" s="3468"/>
      <c r="AN315" s="3467"/>
      <c r="AO315" s="3467"/>
      <c r="AP315" s="3467"/>
      <c r="AQ315" s="3467"/>
      <c r="AR315" s="3467"/>
      <c r="AS315" s="3467"/>
      <c r="AT315" s="3468"/>
      <c r="AU315" s="3470"/>
      <c r="AV315" s="3467"/>
      <c r="AW315" s="3467"/>
      <c r="AX315" s="3467"/>
      <c r="AY315" s="3297">
        <f>AY314/AY6</f>
        <v>0.92937112553111623</v>
      </c>
      <c r="AZ315" s="3297">
        <f t="shared" ref="AZ315:BI315" si="332">AZ314/AZ6</f>
        <v>0.93870368322871234</v>
      </c>
      <c r="BA315" s="3297">
        <f t="shared" si="332"/>
        <v>0.92963701348843975</v>
      </c>
      <c r="BB315" s="3295">
        <f t="shared" si="332"/>
        <v>0.93519756660410891</v>
      </c>
      <c r="BC315" s="3297">
        <f t="shared" si="332"/>
        <v>0.9243691162960378</v>
      </c>
      <c r="BD315" s="3297">
        <f t="shared" si="332"/>
        <v>0.93628660087373705</v>
      </c>
      <c r="BE315" s="3297">
        <f t="shared" si="332"/>
        <v>0.92287020092334393</v>
      </c>
      <c r="BF315" s="3295">
        <f t="shared" si="332"/>
        <v>0.93397327728684509</v>
      </c>
      <c r="BG315" s="3297">
        <f t="shared" si="332"/>
        <v>0.91338676128687013</v>
      </c>
      <c r="BH315" s="3297">
        <f t="shared" si="332"/>
        <v>0.9284848347821717</v>
      </c>
      <c r="BI315" s="3297">
        <f t="shared" si="332"/>
        <v>0.88079826870048383</v>
      </c>
      <c r="BJ315" s="3289"/>
      <c r="BK315" s="3289"/>
      <c r="BL315" s="3289"/>
      <c r="BM315" s="3500"/>
      <c r="BN315" s="3472"/>
      <c r="BO315" s="3472"/>
      <c r="BP315" s="3473"/>
      <c r="BQ315" s="3472"/>
      <c r="BR315" s="3472"/>
      <c r="BS315" s="3472"/>
    </row>
    <row r="316" spans="1:75" s="1773" customFormat="1">
      <c r="A316" s="3463" t="s">
        <v>2870</v>
      </c>
      <c r="B316" s="1771"/>
      <c r="C316" s="1772"/>
      <c r="V316" s="1774"/>
      <c r="W316" s="1775"/>
      <c r="Z316" s="1774"/>
      <c r="AD316" s="1774"/>
      <c r="AH316" s="1774"/>
      <c r="AL316" s="1774"/>
      <c r="AT316" s="1774"/>
      <c r="AU316" s="1837"/>
      <c r="AX316" s="1774"/>
      <c r="AY316" s="1837"/>
      <c r="AZ316" s="3103"/>
      <c r="BA316" s="3103"/>
      <c r="BB316" s="3100"/>
      <c r="BC316" s="3103"/>
      <c r="BD316" s="3103"/>
      <c r="BE316" s="3103"/>
      <c r="BF316" s="3100"/>
      <c r="BG316" s="3103"/>
      <c r="BH316" s="3103"/>
      <c r="BI316" s="3100"/>
      <c r="BJ316" s="3100"/>
      <c r="BK316" s="3100"/>
      <c r="BL316" s="3501"/>
      <c r="BM316" s="1776"/>
      <c r="BN316" s="1776"/>
      <c r="BO316" s="1776"/>
      <c r="BQ316" s="1776"/>
      <c r="BR316" s="1776"/>
      <c r="BS316" s="1776"/>
    </row>
    <row r="317" spans="1:75" s="1779" customFormat="1" ht="12">
      <c r="A317" s="1755" t="s">
        <v>2871</v>
      </c>
      <c r="B317" s="1777"/>
      <c r="C317" s="1778"/>
      <c r="Q317" s="1780"/>
      <c r="R317" s="1780"/>
      <c r="S317" s="1780"/>
      <c r="T317" s="1780"/>
      <c r="U317" s="1780"/>
      <c r="V317" s="1781"/>
      <c r="W317" s="1780"/>
      <c r="X317" s="1780"/>
      <c r="Y317" s="1780"/>
      <c r="Z317" s="1781"/>
      <c r="AA317" s="1780"/>
      <c r="AB317" s="1782"/>
      <c r="AC317" s="1782"/>
      <c r="AD317" s="1783"/>
      <c r="AE317" s="1780"/>
      <c r="AF317" s="1780"/>
      <c r="AG317" s="1780"/>
      <c r="AH317" s="1781"/>
      <c r="AI317" s="3475"/>
      <c r="AJ317" s="3475"/>
      <c r="AK317" s="3475"/>
      <c r="AL317" s="3476"/>
      <c r="AM317" s="3475"/>
      <c r="AN317" s="3475"/>
      <c r="AO317" s="3475"/>
      <c r="AP317" s="3475"/>
      <c r="AQ317" s="3475"/>
      <c r="AR317" s="3475"/>
      <c r="AS317" s="3475"/>
      <c r="AT317" s="3476"/>
      <c r="AU317" s="3477"/>
      <c r="AV317" s="3475"/>
      <c r="AW317" s="3475"/>
      <c r="AX317" s="3476"/>
      <c r="AY317" s="3477"/>
      <c r="AZ317" s="3475"/>
      <c r="BA317" s="3475"/>
      <c r="BB317" s="3476"/>
      <c r="BC317" s="3475"/>
      <c r="BD317" s="3475"/>
      <c r="BE317" s="3475"/>
      <c r="BF317" s="3476"/>
      <c r="BG317" s="3475"/>
      <c r="BH317" s="3475"/>
      <c r="BI317" s="1856"/>
      <c r="BJ317" s="1856"/>
      <c r="BK317" s="1856"/>
      <c r="BL317" s="3502"/>
      <c r="BM317" s="1784"/>
      <c r="BN317" s="1784"/>
      <c r="BO317" s="1784"/>
      <c r="BP317" s="2818"/>
      <c r="BQ317" s="1784"/>
      <c r="BR317" s="1784"/>
      <c r="BS317" s="1784"/>
      <c r="BT317" s="1784"/>
      <c r="BU317" s="1784"/>
    </row>
    <row r="318" spans="1:75" s="1780" customFormat="1" ht="12">
      <c r="A318" s="1755" t="s">
        <v>2868</v>
      </c>
      <c r="B318" s="1785"/>
      <c r="C318" s="1785"/>
      <c r="V318" s="1781"/>
      <c r="Z318" s="1781"/>
      <c r="AB318" s="1782"/>
      <c r="AC318" s="1782"/>
      <c r="AD318" s="1781"/>
      <c r="AH318" s="1781"/>
      <c r="AL318" s="1781"/>
      <c r="AT318" s="1781"/>
      <c r="AU318" s="2818"/>
      <c r="AX318" s="1781"/>
      <c r="AY318" s="2818"/>
      <c r="BB318" s="1781"/>
      <c r="BF318" s="1781"/>
      <c r="BI318" s="1856"/>
      <c r="BJ318" s="1856"/>
      <c r="BK318" s="1856"/>
      <c r="BL318" s="3502"/>
      <c r="BM318" s="1784"/>
      <c r="BN318" s="1784"/>
      <c r="BO318" s="1784"/>
      <c r="BP318" s="2818"/>
      <c r="BQ318" s="1784"/>
      <c r="BR318" s="1784"/>
      <c r="BS318" s="1784"/>
    </row>
    <row r="319" spans="1:75" s="3474" customFormat="1" ht="12">
      <c r="A319" s="3465" t="s">
        <v>2869</v>
      </c>
      <c r="B319" s="3466"/>
      <c r="C319" s="3466"/>
      <c r="D319" s="3467"/>
      <c r="E319" s="3467"/>
      <c r="F319" s="3467"/>
      <c r="G319" s="3467"/>
      <c r="H319" s="3467"/>
      <c r="I319" s="3467"/>
      <c r="J319" s="3467"/>
      <c r="K319" s="3467"/>
      <c r="L319" s="3467"/>
      <c r="M319" s="3467"/>
      <c r="N319" s="3467"/>
      <c r="O319" s="3467"/>
      <c r="P319" s="3467"/>
      <c r="Q319" s="3467"/>
      <c r="R319" s="3467"/>
      <c r="S319" s="3467"/>
      <c r="T319" s="3467"/>
      <c r="U319" s="3467"/>
      <c r="V319" s="3468"/>
      <c r="W319" s="3467"/>
      <c r="X319" s="3467"/>
      <c r="Y319" s="3467"/>
      <c r="Z319" s="3468"/>
      <c r="AA319" s="3467"/>
      <c r="AB319" s="3469"/>
      <c r="AC319" s="3469"/>
      <c r="AD319" s="3468"/>
      <c r="AE319" s="3467"/>
      <c r="AF319" s="3467"/>
      <c r="AG319" s="3467"/>
      <c r="AH319" s="3468"/>
      <c r="AI319" s="3467"/>
      <c r="AJ319" s="3467"/>
      <c r="AK319" s="3467"/>
      <c r="AL319" s="3468"/>
      <c r="AM319" s="3467"/>
      <c r="AN319" s="3467"/>
      <c r="AO319" s="3467"/>
      <c r="AP319" s="3467"/>
      <c r="AQ319" s="3467"/>
      <c r="AR319" s="3467"/>
      <c r="AS319" s="3467"/>
      <c r="AT319" s="3468"/>
      <c r="AU319" s="3470"/>
      <c r="AV319" s="3467"/>
      <c r="AW319" s="3467"/>
      <c r="AX319" s="3468"/>
      <c r="AY319" s="3470"/>
      <c r="AZ319" s="3471"/>
      <c r="BA319" s="3471"/>
      <c r="BB319" s="3478"/>
      <c r="BC319" s="3471"/>
      <c r="BD319" s="3471"/>
      <c r="BE319" s="3471"/>
      <c r="BF319" s="3478"/>
      <c r="BG319" s="3471"/>
      <c r="BH319" s="3471"/>
      <c r="BI319" s="3471"/>
      <c r="BJ319" s="3488"/>
      <c r="BK319" s="3488"/>
      <c r="BL319" s="3488"/>
      <c r="BM319" s="3500"/>
      <c r="BN319" s="3472"/>
      <c r="BO319" s="3472"/>
      <c r="BP319" s="3473"/>
      <c r="BQ319" s="3472"/>
      <c r="BR319" s="3472"/>
      <c r="BS319" s="3472"/>
    </row>
    <row r="320" spans="1:75" s="1773" customFormat="1">
      <c r="A320" s="3463" t="s">
        <v>2884</v>
      </c>
      <c r="B320" s="1771"/>
      <c r="C320" s="1772"/>
      <c r="V320" s="1774"/>
      <c r="W320" s="1775"/>
      <c r="Z320" s="1774"/>
      <c r="AD320" s="1774"/>
      <c r="AH320" s="1774"/>
      <c r="AL320" s="1774"/>
      <c r="AT320" s="1774"/>
      <c r="AU320" s="1837"/>
      <c r="AX320" s="1774"/>
      <c r="AY320" s="1837"/>
      <c r="AZ320" s="3103"/>
      <c r="BA320" s="3103"/>
      <c r="BB320" s="3100"/>
      <c r="BC320" s="3103"/>
      <c r="BD320" s="3103"/>
      <c r="BE320" s="3103"/>
      <c r="BF320" s="3100"/>
      <c r="BG320" s="3103"/>
      <c r="BH320" s="3103"/>
      <c r="BI320" s="3100"/>
      <c r="BJ320" s="3100"/>
      <c r="BK320" s="3100"/>
      <c r="BL320" s="3520"/>
      <c r="BM320" s="1776"/>
      <c r="BN320" s="1776"/>
      <c r="BO320" s="1776"/>
      <c r="BQ320" s="1776"/>
      <c r="BR320" s="1776"/>
      <c r="BS320" s="1776"/>
    </row>
    <row r="321" spans="1:73" s="1779" customFormat="1" ht="12">
      <c r="A321" s="1755" t="s">
        <v>2871</v>
      </c>
      <c r="B321" s="1777"/>
      <c r="C321" s="1778"/>
      <c r="Q321" s="1780"/>
      <c r="R321" s="1780"/>
      <c r="S321" s="1780"/>
      <c r="T321" s="1780"/>
      <c r="U321" s="1780"/>
      <c r="V321" s="1781"/>
      <c r="W321" s="1780"/>
      <c r="X321" s="1780"/>
      <c r="Y321" s="1780"/>
      <c r="Z321" s="1781"/>
      <c r="AA321" s="1780"/>
      <c r="AB321" s="1782"/>
      <c r="AC321" s="1782"/>
      <c r="AD321" s="1783"/>
      <c r="AE321" s="1780"/>
      <c r="AF321" s="1780"/>
      <c r="AG321" s="1780"/>
      <c r="AH321" s="1781"/>
      <c r="AI321" s="3475"/>
      <c r="AJ321" s="3475"/>
      <c r="AK321" s="3475"/>
      <c r="AL321" s="3476"/>
      <c r="AM321" s="3475"/>
      <c r="AN321" s="3475"/>
      <c r="AO321" s="3475"/>
      <c r="AP321" s="3475"/>
      <c r="AQ321" s="3475"/>
      <c r="AR321" s="3475"/>
      <c r="AS321" s="3475"/>
      <c r="AT321" s="3476"/>
      <c r="AU321" s="3477"/>
      <c r="AV321" s="3475"/>
      <c r="AW321" s="3475"/>
      <c r="AX321" s="3476"/>
      <c r="AY321" s="3477"/>
      <c r="AZ321" s="3475"/>
      <c r="BA321" s="3475"/>
      <c r="BB321" s="3476"/>
      <c r="BC321" s="3475"/>
      <c r="BD321" s="3475"/>
      <c r="BE321" s="3475"/>
      <c r="BF321" s="3476"/>
      <c r="BG321" s="3475"/>
      <c r="BH321" s="3475"/>
      <c r="BI321" s="1856"/>
      <c r="BJ321" s="1856"/>
      <c r="BK321" s="1856"/>
      <c r="BL321" s="1856"/>
      <c r="BM321" s="1784"/>
      <c r="BN321" s="1784"/>
      <c r="BO321" s="1784"/>
      <c r="BP321" s="2818"/>
      <c r="BQ321" s="1784"/>
      <c r="BR321" s="1784"/>
      <c r="BS321" s="1784"/>
      <c r="BT321" s="1784"/>
      <c r="BU321" s="1784"/>
    </row>
    <row r="322" spans="1:73" s="1780" customFormat="1" ht="12">
      <c r="A322" s="1755" t="s">
        <v>2868</v>
      </c>
      <c r="B322" s="1785"/>
      <c r="C322" s="1785"/>
      <c r="V322" s="1781"/>
      <c r="Z322" s="1781"/>
      <c r="AB322" s="1782"/>
      <c r="AC322" s="1782"/>
      <c r="AD322" s="1781"/>
      <c r="AH322" s="1781"/>
      <c r="AL322" s="1781"/>
      <c r="AT322" s="1781"/>
      <c r="AU322" s="2818"/>
      <c r="AX322" s="1781"/>
      <c r="AY322" s="2818"/>
      <c r="BB322" s="1781"/>
      <c r="BF322" s="1781"/>
      <c r="BI322" s="1856"/>
      <c r="BJ322" s="1856"/>
      <c r="BK322" s="1856"/>
      <c r="BL322" s="1856"/>
      <c r="BM322" s="1784"/>
      <c r="BN322" s="1784"/>
      <c r="BO322" s="1784"/>
      <c r="BP322" s="2818"/>
      <c r="BQ322" s="1784"/>
      <c r="BR322" s="1784"/>
      <c r="BS322" s="1784"/>
    </row>
    <row r="323" spans="1:73" s="3474" customFormat="1" ht="12">
      <c r="A323" s="3465" t="s">
        <v>2869</v>
      </c>
      <c r="B323" s="3466"/>
      <c r="C323" s="3466"/>
      <c r="D323" s="3467"/>
      <c r="E323" s="3467"/>
      <c r="F323" s="3467"/>
      <c r="G323" s="3467"/>
      <c r="H323" s="3467"/>
      <c r="I323" s="3467"/>
      <c r="J323" s="3467"/>
      <c r="K323" s="3467"/>
      <c r="L323" s="3467"/>
      <c r="M323" s="3467"/>
      <c r="N323" s="3467"/>
      <c r="O323" s="3467"/>
      <c r="P323" s="3467"/>
      <c r="Q323" s="3467"/>
      <c r="R323" s="3467"/>
      <c r="S323" s="3467"/>
      <c r="T323" s="3467"/>
      <c r="U323" s="3467"/>
      <c r="V323" s="3468"/>
      <c r="W323" s="3467"/>
      <c r="X323" s="3467"/>
      <c r="Y323" s="3467"/>
      <c r="Z323" s="3468"/>
      <c r="AA323" s="3467"/>
      <c r="AB323" s="3469"/>
      <c r="AC323" s="3469"/>
      <c r="AD323" s="3468"/>
      <c r="AE323" s="3467"/>
      <c r="AF323" s="3467"/>
      <c r="AG323" s="3467"/>
      <c r="AH323" s="3468"/>
      <c r="AI323" s="3467"/>
      <c r="AJ323" s="3467"/>
      <c r="AK323" s="3467"/>
      <c r="AL323" s="3468"/>
      <c r="AM323" s="3467"/>
      <c r="AN323" s="3467"/>
      <c r="AO323" s="3467"/>
      <c r="AP323" s="3467"/>
      <c r="AQ323" s="3467"/>
      <c r="AR323" s="3467"/>
      <c r="AS323" s="3467"/>
      <c r="AT323" s="3468"/>
      <c r="AU323" s="3470"/>
      <c r="AV323" s="3467"/>
      <c r="AW323" s="3467"/>
      <c r="AX323" s="3468"/>
      <c r="AY323" s="3470"/>
      <c r="AZ323" s="3471"/>
      <c r="BA323" s="3471"/>
      <c r="BB323" s="3478"/>
      <c r="BC323" s="3471"/>
      <c r="BD323" s="3471"/>
      <c r="BE323" s="3471"/>
      <c r="BF323" s="3478"/>
      <c r="BG323" s="3471"/>
      <c r="BH323" s="3471"/>
      <c r="BI323" s="3471"/>
      <c r="BJ323" s="3488"/>
      <c r="BK323" s="3488"/>
      <c r="BL323" s="3488"/>
      <c r="BM323" s="3472"/>
      <c r="BN323" s="3472"/>
      <c r="BO323" s="3472"/>
      <c r="BP323" s="3473"/>
      <c r="BQ323" s="3472"/>
      <c r="BR323" s="3472"/>
      <c r="BS323" s="3472"/>
    </row>
  </sheetData>
  <autoFilter ref="A4:Z279" xr:uid="{00000000-0009-0000-0000-000008000000}"/>
  <mergeCells count="1">
    <mergeCell ref="A3:A4"/>
  </mergeCells>
  <phoneticPr fontId="11" type="noConversion"/>
  <pageMargins left="0.55118110236220474" right="0.55118110236220474" top="0.39370078740157483" bottom="0.98425196850393704" header="0.31496062992125984" footer="0.51181102362204722"/>
  <pageSetup paperSize="9" scale="25" orientation="landscape" cellComments="asDisplayed" r:id="rId1"/>
  <headerFooter alignWithMargins="0">
    <oddHeader>&amp;R第 &amp;P 页，共 &amp;N 页</oddHeader>
  </headerFooter>
  <rowBreaks count="3" manualBreakCount="3">
    <brk id="123" max="16383" man="1"/>
    <brk id="182" max="41" man="1"/>
    <brk id="214" max="41" man="1"/>
  </rowBreaks>
  <ignoredErrors>
    <ignoredError sqref="BW60:BW65" formulaRange="1"/>
  </ignoredError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73:A106"/>
  <sheetViews>
    <sheetView workbookViewId="0">
      <selection activeCell="K109" sqref="K109"/>
    </sheetView>
  </sheetViews>
  <sheetFormatPr defaultRowHeight="15" outlineLevelRow="1"/>
  <cols>
    <col min="1" max="4" width="8.6640625" style="2947"/>
    <col min="5" max="5" width="10.83203125" style="2947" bestFit="1" customWidth="1"/>
    <col min="6" max="8" width="8.6640625" style="2947"/>
    <col min="9" max="9" width="4.25" style="2947" customWidth="1"/>
    <col min="10" max="16384" width="8.6640625" style="2947"/>
  </cols>
  <sheetData>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collapsed="1"/>
  </sheetData>
  <phoneticPr fontId="1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7"/>
  <sheetViews>
    <sheetView workbookViewId="0"/>
  </sheetViews>
  <sheetFormatPr defaultRowHeight="15"/>
  <cols>
    <col min="1" max="1" width="29.83203125" bestFit="1" customWidth="1"/>
    <col min="3" max="3" width="11.25" bestFit="1" customWidth="1"/>
    <col min="4" max="4" width="15.58203125" bestFit="1" customWidth="1"/>
    <col min="5" max="5" width="8.08203125" bestFit="1" customWidth="1"/>
    <col min="8" max="8" width="11.25" bestFit="1" customWidth="1"/>
    <col min="10" max="10" width="9" bestFit="1" customWidth="1"/>
    <col min="11" max="12" width="11.25" bestFit="1" customWidth="1"/>
  </cols>
  <sheetData>
    <row r="1" spans="1:12">
      <c r="A1" s="66" t="s">
        <v>508</v>
      </c>
      <c r="H1" s="1023" t="s">
        <v>399</v>
      </c>
      <c r="I1" s="1023" t="s">
        <v>399</v>
      </c>
      <c r="J1" s="1023" t="s">
        <v>1421</v>
      </c>
      <c r="K1" s="1023" t="s">
        <v>1421</v>
      </c>
    </row>
    <row r="2" spans="1:12">
      <c r="B2" s="2068">
        <v>2010</v>
      </c>
      <c r="C2" s="2068">
        <v>2011</v>
      </c>
      <c r="D2" s="2068">
        <v>2012</v>
      </c>
      <c r="E2" s="2068">
        <v>2013</v>
      </c>
      <c r="F2" s="2068">
        <v>2014</v>
      </c>
      <c r="G2" s="2068">
        <v>2015</v>
      </c>
      <c r="H2" s="2068">
        <v>2016</v>
      </c>
      <c r="I2" s="2068">
        <v>2017</v>
      </c>
      <c r="J2" s="2068">
        <v>2018</v>
      </c>
      <c r="K2" s="2068">
        <v>2019</v>
      </c>
    </row>
    <row r="3" spans="1:12">
      <c r="A3" s="66" t="s">
        <v>385</v>
      </c>
      <c r="B3" s="1776">
        <v>13646</v>
      </c>
      <c r="C3" s="1776">
        <v>21658</v>
      </c>
      <c r="D3" s="1776">
        <f>6712+7329+7831+6584</f>
        <v>28456</v>
      </c>
      <c r="E3" s="1776">
        <f>9153+10118+10765+9138</f>
        <v>39174</v>
      </c>
      <c r="F3" s="1776">
        <f>12280+13538+13823+10659</f>
        <v>50300</v>
      </c>
      <c r="G3" s="1776">
        <f>13775+14960+14778+12015</f>
        <v>55528</v>
      </c>
      <c r="H3" s="1776">
        <v>68087</v>
      </c>
      <c r="I3" s="1776">
        <v>81226</v>
      </c>
      <c r="J3" s="1776">
        <v>92731</v>
      </c>
      <c r="K3" s="1773">
        <v>96443</v>
      </c>
    </row>
    <row r="4" spans="1:12">
      <c r="A4" s="66"/>
    </row>
    <row r="5" spans="1:12">
      <c r="A5" s="66" t="s">
        <v>2088</v>
      </c>
      <c r="B5" s="1776">
        <f>552.14+35.714</f>
        <v>587.85400000000004</v>
      </c>
      <c r="C5" s="1776">
        <f>919.214+35.47</f>
        <v>954.68400000000008</v>
      </c>
      <c r="D5" s="1776">
        <f>1273.537+35.492</f>
        <v>1309.029</v>
      </c>
      <c r="E5" s="1776">
        <f>1798.645+127.459</f>
        <v>1926.104</v>
      </c>
      <c r="F5" s="1776">
        <f>2360.211+231.309</f>
        <v>2591.52</v>
      </c>
      <c r="G5" s="1776">
        <f>2797.237+214.685</f>
        <v>3011.922</v>
      </c>
      <c r="H5" s="1776">
        <v>3479.2869999999998</v>
      </c>
      <c r="I5" s="1776">
        <v>4161</v>
      </c>
      <c r="J5" s="1776">
        <v>4447</v>
      </c>
      <c r="K5" s="1776">
        <v>4419</v>
      </c>
    </row>
    <row r="6" spans="1:12">
      <c r="A6" s="66" t="s">
        <v>2087</v>
      </c>
      <c r="B6" s="1776">
        <v>116.303</v>
      </c>
      <c r="C6" s="1776">
        <v>162.69</v>
      </c>
      <c r="D6" s="1776">
        <v>195.934</v>
      </c>
      <c r="E6" s="1776">
        <v>235.81700000000001</v>
      </c>
      <c r="F6" s="1776">
        <v>310.91000000000003</v>
      </c>
      <c r="G6" s="1776">
        <v>353.221</v>
      </c>
      <c r="H6" s="1776">
        <v>295.69799999999998</v>
      </c>
      <c r="I6" s="1776">
        <v>435</v>
      </c>
      <c r="J6" s="1776">
        <v>509</v>
      </c>
      <c r="K6" s="1776">
        <v>548</v>
      </c>
    </row>
    <row r="7" spans="1:12">
      <c r="A7" s="66"/>
      <c r="E7" s="1776"/>
      <c r="F7" s="1776"/>
      <c r="G7" s="1776"/>
      <c r="H7" s="1776">
        <v>435.22500000000002</v>
      </c>
      <c r="I7" s="1776">
        <v>517</v>
      </c>
      <c r="J7" s="1776">
        <v>830</v>
      </c>
      <c r="K7" s="1764">
        <v>955</v>
      </c>
    </row>
    <row r="8" spans="1:12">
      <c r="A8" s="66" t="s">
        <v>2089</v>
      </c>
      <c r="B8" s="2075">
        <f t="shared" ref="B8:G8" si="0">B3/(B6+B5)</f>
        <v>19.379200945243745</v>
      </c>
      <c r="C8" s="2075">
        <f t="shared" si="0"/>
        <v>19.382946086091138</v>
      </c>
      <c r="D8" s="2075">
        <f t="shared" si="0"/>
        <v>18.908106046460944</v>
      </c>
      <c r="E8" s="2075">
        <f t="shared" si="0"/>
        <v>18.119996059060433</v>
      </c>
      <c r="F8" s="2075">
        <f t="shared" si="0"/>
        <v>17.330305984984996</v>
      </c>
      <c r="G8" s="2075">
        <f t="shared" si="0"/>
        <v>16.500933244144452</v>
      </c>
      <c r="H8" s="2075">
        <f>H3/SUM(H5:H7)</f>
        <v>16.171877412290598</v>
      </c>
      <c r="I8" s="2075">
        <f>I3/SUM(I5:I7)</f>
        <v>15.886172501466849</v>
      </c>
      <c r="J8" s="2075">
        <f>J3/SUM(J5:J7)</f>
        <v>16.02678880055306</v>
      </c>
      <c r="K8" s="2075">
        <f>K3/SUM(K5:K7)</f>
        <v>16.285545423843296</v>
      </c>
    </row>
    <row r="9" spans="1:12">
      <c r="A9" s="66" t="s">
        <v>2090</v>
      </c>
      <c r="C9" s="2075">
        <f>(C3-B3)/(SUM(C5:C7)-SUM(B5:B7))</f>
        <v>19.389328125415943</v>
      </c>
      <c r="D9" s="2075">
        <f t="shared" ref="D9:K9" si="1">(D3-C3)/(SUM(D5:D7)-SUM(C5:C7))</f>
        <v>17.539197448844011</v>
      </c>
      <c r="E9" s="2075">
        <f t="shared" si="1"/>
        <v>16.314589364921343</v>
      </c>
      <c r="F9" s="2075">
        <f t="shared" si="1"/>
        <v>15.024800508839199</v>
      </c>
      <c r="G9" s="2075">
        <f t="shared" si="1"/>
        <v>11.298580329491495</v>
      </c>
      <c r="H9" s="2075">
        <f t="shared" si="1"/>
        <v>14.861543522584599</v>
      </c>
      <c r="I9" s="2075">
        <f t="shared" si="1"/>
        <v>14.553772195084129</v>
      </c>
      <c r="J9" s="2075">
        <f t="shared" si="1"/>
        <v>17.095096582466567</v>
      </c>
      <c r="K9" s="2075">
        <f t="shared" si="1"/>
        <v>27.294117647058822</v>
      </c>
    </row>
    <row r="11" spans="1:12">
      <c r="C11">
        <f>1/C8</f>
        <v>5.1591744390063719E-2</v>
      </c>
      <c r="K11">
        <f>1/K8</f>
        <v>6.1404145453791359E-2</v>
      </c>
      <c r="L11" s="512">
        <f>K11/C11-1</f>
        <v>0.19019324079333622</v>
      </c>
    </row>
    <row r="14" spans="1:12">
      <c r="A14" s="511" t="s">
        <v>2091</v>
      </c>
      <c r="B14" s="1776"/>
      <c r="C14" s="1776"/>
      <c r="D14" s="1776">
        <v>5260.9650000000001</v>
      </c>
      <c r="E14" s="1776">
        <v>6793.3059999999996</v>
      </c>
      <c r="F14" s="1776">
        <v>8441.9709999999995</v>
      </c>
      <c r="G14" s="1776">
        <v>9223.9869999999992</v>
      </c>
      <c r="H14" s="1776">
        <v>10743.006000000001</v>
      </c>
      <c r="I14" s="1776">
        <v>12681.082000000002</v>
      </c>
      <c r="J14" s="1776">
        <v>14527.295</v>
      </c>
      <c r="K14" s="1776">
        <v>15066</v>
      </c>
    </row>
    <row r="15" spans="1:12">
      <c r="A15" s="1502" t="s">
        <v>1411</v>
      </c>
      <c r="B15" s="1776"/>
      <c r="C15" s="1776"/>
      <c r="D15" s="1776">
        <v>13.388999999999999</v>
      </c>
      <c r="E15" s="1776">
        <v>171.143</v>
      </c>
      <c r="F15" s="1776">
        <v>410.11500000000001</v>
      </c>
      <c r="G15" s="1776">
        <v>613.11599999999999</v>
      </c>
      <c r="H15" s="1776">
        <v>712.88499999999999</v>
      </c>
      <c r="I15" s="1776">
        <v>833.93899999999996</v>
      </c>
      <c r="J15" s="1776">
        <v>1060.8869999999999</v>
      </c>
      <c r="K15" s="1776">
        <v>1119</v>
      </c>
    </row>
    <row r="16" spans="1:12">
      <c r="A16" s="1756" t="s">
        <v>1344</v>
      </c>
      <c r="E16" s="512">
        <f t="shared" ref="E16:K16" si="2">E15/D15-1</f>
        <v>11.782358652625289</v>
      </c>
      <c r="F16" s="512">
        <f t="shared" si="2"/>
        <v>1.3963293853677921</v>
      </c>
      <c r="G16" s="512">
        <f t="shared" si="2"/>
        <v>0.49498555283274204</v>
      </c>
      <c r="H16" s="512">
        <f t="shared" si="2"/>
        <v>0.16272450890206747</v>
      </c>
      <c r="I16" s="512">
        <f t="shared" si="2"/>
        <v>0.1698085946541168</v>
      </c>
      <c r="J16" s="512">
        <f t="shared" si="2"/>
        <v>0.27213980878697352</v>
      </c>
      <c r="K16" s="512">
        <f t="shared" si="2"/>
        <v>5.4777747300136737E-2</v>
      </c>
    </row>
    <row r="17" spans="1:11">
      <c r="A17" s="1504" t="s">
        <v>1985</v>
      </c>
      <c r="E17" s="512">
        <f>E15/E14</f>
        <v>2.5192888411032864E-2</v>
      </c>
      <c r="F17" s="512">
        <f t="shared" ref="F17:K17" si="3">F15/F14</f>
        <v>4.8580479606006706E-2</v>
      </c>
      <c r="G17" s="512">
        <f t="shared" si="3"/>
        <v>6.6469738086144314E-2</v>
      </c>
      <c r="H17" s="512">
        <f t="shared" si="3"/>
        <v>6.6358056581184072E-2</v>
      </c>
      <c r="I17" s="512">
        <f t="shared" si="3"/>
        <v>6.5762448346284627E-2</v>
      </c>
      <c r="J17" s="512">
        <f t="shared" si="3"/>
        <v>7.3027153368882505E-2</v>
      </c>
      <c r="K17" s="512">
        <f t="shared" si="3"/>
        <v>7.4273197929111912E-2</v>
      </c>
    </row>
  </sheetData>
  <phoneticPr fontId="1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pageSetUpPr fitToPage="1"/>
  </sheetPr>
  <dimension ref="A1:DY395"/>
  <sheetViews>
    <sheetView zoomScaleNormal="100" workbookViewId="0">
      <pane xSplit="45" ySplit="3" topLeftCell="BQ10" activePane="bottomRight" state="frozen"/>
      <selection pane="topRight" activeCell="AT1" sqref="AT1"/>
      <selection pane="bottomLeft" activeCell="A4" sqref="A4"/>
      <selection pane="bottomRight" activeCell="BW259" sqref="BW259:BW260"/>
    </sheetView>
  </sheetViews>
  <sheetFormatPr defaultColWidth="9" defaultRowHeight="12" outlineLevelRow="1" outlineLevelCol="2"/>
  <cols>
    <col min="1" max="1" width="47.5" style="159" customWidth="1"/>
    <col min="2" max="4" width="10.25" style="133" hidden="1" customWidth="1" outlineLevel="1"/>
    <col min="5" max="5" width="10.25" style="136" hidden="1" customWidth="1" collapsed="1"/>
    <col min="6" max="7" width="10.08203125" style="133" hidden="1" customWidth="1" outlineLevel="1"/>
    <col min="8" max="11" width="10.25" style="133" hidden="1" customWidth="1" collapsed="1"/>
    <col min="12" max="12" width="10.5" style="219" hidden="1" customWidth="1"/>
    <col min="13" max="16" width="10.33203125" style="133" hidden="1" customWidth="1" outlineLevel="2"/>
    <col min="17" max="21" width="10.25" style="133" hidden="1" customWidth="1" outlineLevel="2"/>
    <col min="22" max="22" width="12.25" style="133" hidden="1" customWidth="1" outlineLevel="2"/>
    <col min="23" max="23" width="10.33203125" style="137" hidden="1" customWidth="1" outlineLevel="2"/>
    <col min="24" max="24" width="10.25" style="133" hidden="1" customWidth="1" outlineLevel="1" collapsed="1"/>
    <col min="25" max="25" width="10.25" style="133" hidden="1" customWidth="1" outlineLevel="1"/>
    <col min="26" max="26" width="11" style="133" hidden="1" customWidth="1" outlineLevel="1"/>
    <col min="27" max="27" width="11.75" style="133" hidden="1" customWidth="1" outlineLevel="1"/>
    <col min="28" max="28" width="11.08203125" style="136" hidden="1" customWidth="1" outlineLevel="1"/>
    <col min="29" max="29" width="11.08203125" style="133" hidden="1" customWidth="1" outlineLevel="1" collapsed="1"/>
    <col min="30" max="32" width="11.08203125" style="133" hidden="1" customWidth="1" outlineLevel="1"/>
    <col min="33" max="33" width="11" style="136" hidden="1" customWidth="1" outlineLevel="1"/>
    <col min="34" max="34" width="10.58203125" style="133" hidden="1" customWidth="1" outlineLevel="1" collapsed="1"/>
    <col min="35" max="36" width="10.25" style="133" hidden="1" customWidth="1" outlineLevel="1"/>
    <col min="37" max="37" width="10.33203125" style="136" hidden="1" customWidth="1" outlineLevel="1"/>
    <col min="38" max="40" width="9.58203125" style="133" hidden="1" customWidth="1" outlineLevel="1"/>
    <col min="41" max="41" width="9.58203125" style="136" hidden="1" customWidth="1" outlineLevel="1"/>
    <col min="42" max="42" width="9.58203125" style="133" hidden="1" customWidth="1" outlineLevel="1"/>
    <col min="43" max="43" width="12.5" style="133" hidden="1" customWidth="1" outlineLevel="1"/>
    <col min="44" max="44" width="11.58203125" style="133" hidden="1" customWidth="1" outlineLevel="1"/>
    <col min="45" max="45" width="10.25" style="133" hidden="1" customWidth="1" outlineLevel="1"/>
    <col min="46" max="46" width="10.25" style="137" customWidth="1" collapsed="1"/>
    <col min="47" max="47" width="10.25" style="133" customWidth="1"/>
    <col min="48" max="48" width="10.58203125" style="133" bestFit="1" customWidth="1"/>
    <col min="49" max="49" width="9.6640625" style="136" bestFit="1" customWidth="1"/>
    <col min="50" max="50" width="9.6640625" style="137" customWidth="1" outlineLevel="1"/>
    <col min="51" max="53" width="9.6640625" style="133" customWidth="1" outlineLevel="1"/>
    <col min="54" max="54" width="13.08203125" style="137" customWidth="1" outlineLevel="1"/>
    <col min="55" max="56" width="9.6640625" style="133" customWidth="1" outlineLevel="1"/>
    <col min="57" max="57" width="9.6640625" style="136" customWidth="1" outlineLevel="1"/>
    <col min="58" max="60" width="9.6640625" style="133" customWidth="1" outlineLevel="1"/>
    <col min="61" max="61" width="9.6640625" style="136" customWidth="1" outlineLevel="1"/>
    <col min="62" max="62" width="7.9140625" style="133" customWidth="1" outlineLevel="1"/>
    <col min="63" max="63" width="8.33203125" style="133" customWidth="1" outlineLevel="1"/>
    <col min="64" max="64" width="10.83203125" style="133" customWidth="1" outlineLevel="1"/>
    <col min="65" max="65" width="9.75" style="136" customWidth="1" outlineLevel="1"/>
    <col min="66" max="66" width="9.75" style="133" customWidth="1"/>
    <col min="67" max="68" width="9.75" style="136" bestFit="1" customWidth="1"/>
    <col min="69" max="69" width="9.75" style="3332" bestFit="1" customWidth="1"/>
    <col min="70" max="70" width="9.75" style="133" customWidth="1" collapsed="1"/>
    <col min="71" max="76" width="9.75" style="133" customWidth="1"/>
    <col min="77" max="78" width="11.75" style="159" bestFit="1" customWidth="1"/>
    <col min="79" max="79" width="11.75" style="137" bestFit="1" customWidth="1"/>
    <col min="80" max="81" width="11.25" style="137" bestFit="1" customWidth="1"/>
    <col min="82" max="82" width="10.25" style="137" customWidth="1"/>
    <col min="83" max="84" width="8.5" style="137" customWidth="1"/>
    <col min="85" max="86" width="8.5" style="3381" customWidth="1"/>
    <col min="87" max="16384" width="9" style="133"/>
  </cols>
  <sheetData>
    <row r="1" spans="1:129" s="833" customFormat="1" ht="23">
      <c r="A1" s="567" t="s">
        <v>40</v>
      </c>
      <c r="B1" s="13"/>
      <c r="E1" s="409"/>
      <c r="F1" s="833" t="s">
        <v>978</v>
      </c>
      <c r="G1" s="833" t="s">
        <v>978</v>
      </c>
      <c r="H1" s="13" t="s">
        <v>978</v>
      </c>
      <c r="I1" s="13" t="s">
        <v>978</v>
      </c>
      <c r="J1" s="13" t="s">
        <v>978</v>
      </c>
      <c r="K1" s="13" t="s">
        <v>978</v>
      </c>
      <c r="L1" s="13" t="s">
        <v>978</v>
      </c>
      <c r="Q1" s="13"/>
      <c r="R1" s="13"/>
      <c r="S1" s="13"/>
      <c r="T1" s="13" t="s">
        <v>38</v>
      </c>
      <c r="U1" s="13" t="s">
        <v>38</v>
      </c>
      <c r="V1" s="833" t="s">
        <v>38</v>
      </c>
      <c r="W1" s="379"/>
      <c r="X1" s="13" t="s">
        <v>38</v>
      </c>
      <c r="Y1" s="13" t="s">
        <v>38</v>
      </c>
      <c r="Z1" s="13" t="s">
        <v>38</v>
      </c>
      <c r="AA1" s="13" t="s">
        <v>38</v>
      </c>
      <c r="AB1" s="409" t="s">
        <v>38</v>
      </c>
      <c r="AC1" s="13"/>
      <c r="AD1" s="13" t="s">
        <v>759</v>
      </c>
      <c r="AE1" s="13" t="s">
        <v>759</v>
      </c>
      <c r="AF1" s="13" t="s">
        <v>759</v>
      </c>
      <c r="AG1" s="409" t="s">
        <v>759</v>
      </c>
      <c r="AH1" s="13" t="s">
        <v>1052</v>
      </c>
      <c r="AI1" s="833" t="s">
        <v>759</v>
      </c>
      <c r="AJ1" s="833" t="s">
        <v>759</v>
      </c>
      <c r="AK1" s="568"/>
      <c r="AL1" s="997" t="s">
        <v>1363</v>
      </c>
      <c r="AO1" s="568"/>
      <c r="AP1" s="863"/>
      <c r="AQ1" s="863"/>
      <c r="AR1" s="863"/>
      <c r="AS1" s="2834"/>
      <c r="AT1" s="379"/>
      <c r="AU1" s="2834"/>
      <c r="AV1" s="3153"/>
      <c r="AW1" s="568"/>
      <c r="AX1" s="379"/>
      <c r="AY1" s="3153"/>
      <c r="AZ1" s="3153"/>
      <c r="BA1" s="3153"/>
      <c r="BB1" s="379"/>
      <c r="BC1" s="3153"/>
      <c r="BD1" s="3153"/>
      <c r="BE1" s="568"/>
      <c r="BF1" s="3153"/>
      <c r="BG1" s="3153"/>
      <c r="BH1" s="3153"/>
      <c r="BI1" s="568"/>
      <c r="BJ1" s="3027"/>
      <c r="BK1" s="3027"/>
      <c r="BL1" s="3027"/>
      <c r="BM1" s="568"/>
      <c r="BN1" s="3158"/>
      <c r="BO1" s="568"/>
      <c r="BP1" s="568"/>
      <c r="BQ1" s="3331"/>
      <c r="BR1" s="3401"/>
      <c r="BS1" s="3423"/>
      <c r="BT1" s="3423"/>
      <c r="BU1" s="3486"/>
      <c r="BV1" s="3493"/>
      <c r="BW1" s="3521"/>
      <c r="BX1" s="3523"/>
      <c r="BY1" s="567"/>
      <c r="BZ1" s="1012"/>
      <c r="CA1" s="379"/>
      <c r="CB1" s="98"/>
      <c r="CC1" s="98"/>
      <c r="CD1" s="98"/>
      <c r="CE1" s="98"/>
      <c r="CF1" s="98"/>
      <c r="CG1" s="98"/>
      <c r="CH1" s="98"/>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row>
    <row r="2" spans="1:129" ht="15">
      <c r="A2" s="95" t="s">
        <v>42</v>
      </c>
      <c r="B2" s="5" t="s">
        <v>16</v>
      </c>
      <c r="C2" s="5" t="s">
        <v>16</v>
      </c>
      <c r="D2" s="5" t="s">
        <v>16</v>
      </c>
      <c r="E2" s="96" t="s">
        <v>16</v>
      </c>
      <c r="F2" s="5" t="s">
        <v>10</v>
      </c>
      <c r="G2" s="3176" t="s">
        <v>2788</v>
      </c>
      <c r="H2" s="5" t="s">
        <v>1053</v>
      </c>
      <c r="I2" s="5" t="s">
        <v>1053</v>
      </c>
      <c r="J2" s="5" t="s">
        <v>1053</v>
      </c>
      <c r="K2" s="5" t="s">
        <v>1053</v>
      </c>
      <c r="L2" s="5" t="s">
        <v>1053</v>
      </c>
      <c r="M2" s="5" t="s">
        <v>26</v>
      </c>
      <c r="N2" s="5" t="s">
        <v>26</v>
      </c>
      <c r="O2" s="5" t="s">
        <v>26</v>
      </c>
      <c r="P2" s="5" t="s">
        <v>26</v>
      </c>
      <c r="Q2" s="5" t="s">
        <v>26</v>
      </c>
      <c r="R2" s="5" t="s">
        <v>26</v>
      </c>
      <c r="S2" s="5" t="s">
        <v>26</v>
      </c>
      <c r="T2" s="5" t="s">
        <v>26</v>
      </c>
      <c r="U2" s="5" t="s">
        <v>26</v>
      </c>
      <c r="V2" s="5" t="s">
        <v>26</v>
      </c>
      <c r="W2" s="18" t="s">
        <v>26</v>
      </c>
      <c r="X2" s="5" t="s">
        <v>26</v>
      </c>
      <c r="Y2" s="5" t="s">
        <v>26</v>
      </c>
      <c r="Z2" s="5" t="s">
        <v>26</v>
      </c>
      <c r="AA2" s="5" t="s">
        <v>26</v>
      </c>
      <c r="AB2" s="96" t="s">
        <v>26</v>
      </c>
      <c r="AC2" s="5" t="s">
        <v>26</v>
      </c>
      <c r="AD2" s="5" t="s">
        <v>26</v>
      </c>
      <c r="AE2" s="5" t="s">
        <v>26</v>
      </c>
      <c r="AF2" s="5" t="s">
        <v>26</v>
      </c>
      <c r="AG2" s="96" t="s">
        <v>26</v>
      </c>
      <c r="AH2" s="5" t="s">
        <v>26</v>
      </c>
      <c r="AI2" s="5" t="s">
        <v>26</v>
      </c>
      <c r="AJ2" s="5" t="s">
        <v>26</v>
      </c>
      <c r="AK2" s="96" t="s">
        <v>26</v>
      </c>
      <c r="AL2" s="5" t="s">
        <v>26</v>
      </c>
      <c r="AM2" s="5" t="s">
        <v>26</v>
      </c>
      <c r="AN2" s="5" t="s">
        <v>26</v>
      </c>
      <c r="AO2" s="96" t="s">
        <v>702</v>
      </c>
      <c r="AP2" s="5" t="s">
        <v>26</v>
      </c>
      <c r="AQ2" s="5" t="s">
        <v>26</v>
      </c>
      <c r="AR2" s="5" t="s">
        <v>26</v>
      </c>
      <c r="AS2" s="1427" t="s">
        <v>702</v>
      </c>
      <c r="AT2" s="1430" t="s">
        <v>702</v>
      </c>
      <c r="AU2" s="3099" t="s">
        <v>702</v>
      </c>
      <c r="AV2" s="3099" t="s">
        <v>702</v>
      </c>
      <c r="AW2" s="3099" t="s">
        <v>702</v>
      </c>
      <c r="AX2" s="3099" t="s">
        <v>702</v>
      </c>
      <c r="AY2" s="3099" t="s">
        <v>702</v>
      </c>
      <c r="AZ2" s="3099" t="s">
        <v>702</v>
      </c>
      <c r="BA2" s="3099" t="s">
        <v>702</v>
      </c>
      <c r="BB2" s="3099" t="s">
        <v>702</v>
      </c>
      <c r="BC2" s="3099" t="s">
        <v>702</v>
      </c>
      <c r="BD2" s="3099" t="s">
        <v>702</v>
      </c>
      <c r="BE2" s="3099" t="s">
        <v>702</v>
      </c>
      <c r="BF2" s="3099" t="s">
        <v>702</v>
      </c>
      <c r="BG2" s="3099" t="s">
        <v>702</v>
      </c>
      <c r="BH2" s="3099" t="s">
        <v>702</v>
      </c>
      <c r="BI2" s="3099" t="s">
        <v>702</v>
      </c>
      <c r="BJ2" s="3099" t="s">
        <v>702</v>
      </c>
      <c r="BK2" s="3099" t="s">
        <v>702</v>
      </c>
      <c r="BL2" s="1428" t="s">
        <v>702</v>
      </c>
      <c r="BM2" s="1428" t="s">
        <v>702</v>
      </c>
      <c r="BN2" s="1427" t="s">
        <v>702</v>
      </c>
      <c r="BO2" s="1427" t="s">
        <v>702</v>
      </c>
      <c r="BP2" s="1427" t="s">
        <v>702</v>
      </c>
      <c r="BQ2" s="3402" t="s">
        <v>702</v>
      </c>
      <c r="BR2" s="3154" t="s">
        <v>2827</v>
      </c>
      <c r="BS2" s="3154" t="s">
        <v>26</v>
      </c>
      <c r="BT2" s="3154" t="s">
        <v>26</v>
      </c>
      <c r="BU2" s="3154" t="s">
        <v>702</v>
      </c>
      <c r="BV2" s="3154" t="s">
        <v>702</v>
      </c>
      <c r="BW2" s="3154" t="s">
        <v>702</v>
      </c>
      <c r="BX2" s="6"/>
      <c r="BY2" s="2875" t="s">
        <v>26</v>
      </c>
      <c r="BZ2" s="2875" t="s">
        <v>26</v>
      </c>
      <c r="CA2" s="2875" t="s">
        <v>26</v>
      </c>
      <c r="CB2" s="2875" t="s">
        <v>26</v>
      </c>
      <c r="CC2" s="2875" t="s">
        <v>26</v>
      </c>
      <c r="CD2" s="2875" t="s">
        <v>26</v>
      </c>
      <c r="CE2" s="2875" t="s">
        <v>26</v>
      </c>
      <c r="CF2" s="2875" t="s">
        <v>26</v>
      </c>
      <c r="CG2" s="2875" t="s">
        <v>26</v>
      </c>
      <c r="CH2" s="2875" t="s">
        <v>26</v>
      </c>
      <c r="CI2" s="27"/>
      <c r="CJ2" s="27"/>
      <c r="CK2" s="27"/>
      <c r="CL2" s="27"/>
      <c r="CM2" s="27"/>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row>
    <row r="3" spans="1:129" s="2923" customFormat="1" thickBot="1">
      <c r="A3" s="1435" t="s">
        <v>2783</v>
      </c>
      <c r="B3" s="1432">
        <v>2009</v>
      </c>
      <c r="C3" s="1432">
        <v>2010</v>
      </c>
      <c r="D3" s="1432">
        <v>2011</v>
      </c>
      <c r="E3" s="1433">
        <v>2012</v>
      </c>
      <c r="F3" s="1432">
        <v>2009</v>
      </c>
      <c r="G3" s="1432">
        <v>2010</v>
      </c>
      <c r="H3" s="1432">
        <v>2011</v>
      </c>
      <c r="I3" s="1432">
        <v>2012</v>
      </c>
      <c r="J3" s="1432">
        <v>2013</v>
      </c>
      <c r="K3" s="1432">
        <v>2014</v>
      </c>
      <c r="L3" s="1432">
        <v>2015</v>
      </c>
      <c r="M3" s="1432">
        <v>1999</v>
      </c>
      <c r="N3" s="1432">
        <v>2000</v>
      </c>
      <c r="O3" s="1432">
        <v>2001</v>
      </c>
      <c r="P3" s="1432">
        <v>2002</v>
      </c>
      <c r="Q3" s="1432">
        <v>2003</v>
      </c>
      <c r="R3" s="1432">
        <v>2004</v>
      </c>
      <c r="S3" s="1432">
        <v>2005</v>
      </c>
      <c r="T3" s="1432">
        <v>2006</v>
      </c>
      <c r="U3" s="1432">
        <v>2007</v>
      </c>
      <c r="V3" s="1432">
        <v>2008</v>
      </c>
      <c r="W3" s="1434">
        <v>2009</v>
      </c>
      <c r="X3" s="1432">
        <v>2010</v>
      </c>
      <c r="Y3" s="1432">
        <v>2011</v>
      </c>
      <c r="Z3" s="1432">
        <v>2012</v>
      </c>
      <c r="AA3" s="1432">
        <v>2013</v>
      </c>
      <c r="AB3" s="1433">
        <v>2014</v>
      </c>
      <c r="AC3" s="1432" t="s">
        <v>749</v>
      </c>
      <c r="AD3" s="1432" t="s">
        <v>701</v>
      </c>
      <c r="AE3" s="1432" t="s">
        <v>699</v>
      </c>
      <c r="AF3" s="1432" t="s">
        <v>700</v>
      </c>
      <c r="AG3" s="1433">
        <v>2015</v>
      </c>
      <c r="AH3" s="1432" t="s">
        <v>695</v>
      </c>
      <c r="AI3" s="1432" t="s">
        <v>983</v>
      </c>
      <c r="AJ3" s="1432" t="s">
        <v>760</v>
      </c>
      <c r="AK3" s="1433" t="s">
        <v>1054</v>
      </c>
      <c r="AL3" s="1432" t="s">
        <v>771</v>
      </c>
      <c r="AM3" s="1432" t="s">
        <v>772</v>
      </c>
      <c r="AN3" s="1432" t="s">
        <v>773</v>
      </c>
      <c r="AO3" s="1433" t="s">
        <v>774</v>
      </c>
      <c r="AP3" s="1432" t="s">
        <v>1176</v>
      </c>
      <c r="AQ3" s="1432" t="s">
        <v>1177</v>
      </c>
      <c r="AR3" s="1432" t="s">
        <v>1178</v>
      </c>
      <c r="AS3" s="2880" t="s">
        <v>1179</v>
      </c>
      <c r="AT3" s="1430" t="s">
        <v>1922</v>
      </c>
      <c r="AU3" s="3099" t="s">
        <v>2042</v>
      </c>
      <c r="AV3" s="3099" t="s">
        <v>2076</v>
      </c>
      <c r="AW3" s="3099" t="s">
        <v>2114</v>
      </c>
      <c r="AX3" s="3099" t="s">
        <v>2083</v>
      </c>
      <c r="AY3" s="3099" t="s">
        <v>2761</v>
      </c>
      <c r="AZ3" s="3099" t="s">
        <v>2762</v>
      </c>
      <c r="BA3" s="3099" t="s">
        <v>2763</v>
      </c>
      <c r="BB3" s="3099" t="s">
        <v>2700</v>
      </c>
      <c r="BC3" s="3099" t="s">
        <v>2703</v>
      </c>
      <c r="BD3" s="3099" t="s">
        <v>2706</v>
      </c>
      <c r="BE3" s="3099" t="s">
        <v>2708</v>
      </c>
      <c r="BF3" s="3099" t="s">
        <v>2714</v>
      </c>
      <c r="BG3" s="3099" t="s">
        <v>2745</v>
      </c>
      <c r="BH3" s="3099" t="s">
        <v>2746</v>
      </c>
      <c r="BI3" s="3099" t="s">
        <v>2775</v>
      </c>
      <c r="BJ3" s="3099" t="s">
        <v>2752</v>
      </c>
      <c r="BK3" s="3099" t="s">
        <v>2759</v>
      </c>
      <c r="BL3" s="1427" t="s">
        <v>2754</v>
      </c>
      <c r="BM3" s="1427" t="s">
        <v>2755</v>
      </c>
      <c r="BN3" s="1427" t="s">
        <v>2785</v>
      </c>
      <c r="BO3" s="1427" t="s">
        <v>2794</v>
      </c>
      <c r="BP3" s="1427" t="s">
        <v>2818</v>
      </c>
      <c r="BQ3" s="3402" t="s">
        <v>2819</v>
      </c>
      <c r="BR3" s="3154" t="s">
        <v>2824</v>
      </c>
      <c r="BS3" s="3154" t="s">
        <v>2828</v>
      </c>
      <c r="BT3" s="3154" t="s">
        <v>2852</v>
      </c>
      <c r="BU3" s="3154" t="s">
        <v>2875</v>
      </c>
      <c r="BV3" s="3154" t="s">
        <v>2881</v>
      </c>
      <c r="BW3" s="3154" t="s">
        <v>2883</v>
      </c>
      <c r="BX3" s="6"/>
      <c r="BY3" s="2877">
        <v>2016</v>
      </c>
      <c r="BZ3" s="2877">
        <v>2017</v>
      </c>
      <c r="CA3" s="2877">
        <v>2018</v>
      </c>
      <c r="CB3" s="2877">
        <v>2019</v>
      </c>
      <c r="CC3" s="2877">
        <v>2020</v>
      </c>
      <c r="CD3" s="2877">
        <v>2021</v>
      </c>
      <c r="CE3" s="2877">
        <v>2022</v>
      </c>
      <c r="CF3" s="2877">
        <v>2023</v>
      </c>
      <c r="CG3" s="2877">
        <v>2024</v>
      </c>
      <c r="CH3" s="2877">
        <v>2025</v>
      </c>
      <c r="CI3" s="1436"/>
      <c r="CJ3" s="1436"/>
      <c r="CK3" s="1436"/>
      <c r="CL3" s="1436"/>
      <c r="CM3" s="1436"/>
      <c r="CN3" s="1436"/>
      <c r="CO3" s="1436"/>
      <c r="CP3" s="1436"/>
      <c r="CQ3" s="1436"/>
      <c r="CR3" s="1436"/>
      <c r="CS3" s="1436"/>
      <c r="CT3" s="1436"/>
      <c r="CU3" s="1436"/>
      <c r="CV3" s="1436"/>
      <c r="CW3" s="1436"/>
      <c r="CX3" s="1436"/>
      <c r="CY3" s="1436"/>
      <c r="CZ3" s="1436"/>
      <c r="DA3" s="1436"/>
      <c r="DB3" s="1436"/>
      <c r="DC3" s="1436"/>
      <c r="DD3" s="1436"/>
      <c r="DE3" s="1436"/>
      <c r="DF3" s="1436"/>
      <c r="DG3" s="1436"/>
      <c r="DH3" s="1436"/>
      <c r="DI3" s="1436"/>
      <c r="DJ3" s="1436"/>
      <c r="DK3" s="1436"/>
      <c r="DL3" s="1436"/>
      <c r="DM3" s="1436"/>
      <c r="DN3" s="1436"/>
      <c r="DO3" s="1436"/>
      <c r="DP3" s="1436"/>
      <c r="DQ3" s="1436"/>
      <c r="DR3" s="1436"/>
      <c r="DS3" s="1436"/>
      <c r="DT3" s="1436"/>
      <c r="DU3" s="1436"/>
      <c r="DV3" s="1436"/>
      <c r="DW3" s="1436"/>
      <c r="DX3" s="1436"/>
      <c r="DY3" s="1436"/>
    </row>
    <row r="4" spans="1:129">
      <c r="A4" s="62" t="s">
        <v>43</v>
      </c>
      <c r="B4" s="426" t="s">
        <v>156</v>
      </c>
      <c r="C4" s="426" t="s">
        <v>156</v>
      </c>
      <c r="D4" s="426" t="s">
        <v>156</v>
      </c>
      <c r="E4" s="432" t="s">
        <v>156</v>
      </c>
      <c r="F4" s="426" t="s">
        <v>156</v>
      </c>
      <c r="G4" s="426" t="s">
        <v>156</v>
      </c>
      <c r="H4" s="12" t="s">
        <v>156</v>
      </c>
      <c r="I4" s="12"/>
      <c r="J4" s="12"/>
      <c r="K4" s="12"/>
      <c r="L4" s="429"/>
      <c r="Q4" s="12"/>
      <c r="R4" s="12"/>
      <c r="S4" s="12"/>
      <c r="T4" s="12"/>
      <c r="U4" s="12"/>
      <c r="W4" s="137">
        <v>57.8</v>
      </c>
      <c r="X4" s="12">
        <v>65.599999999999994</v>
      </c>
      <c r="Y4" s="12">
        <v>72.8</v>
      </c>
      <c r="Z4" s="12"/>
      <c r="AA4" s="12"/>
      <c r="AB4" s="406"/>
      <c r="AC4" s="12"/>
      <c r="AD4" s="12"/>
      <c r="AE4" s="12"/>
      <c r="AF4" s="12"/>
      <c r="AG4" s="406"/>
      <c r="BY4" s="63"/>
      <c r="CD4" s="98"/>
      <c r="CE4" s="98"/>
      <c r="CF4" s="98"/>
      <c r="CG4" s="98"/>
      <c r="CH4" s="98"/>
      <c r="CI4" s="27"/>
      <c r="CJ4" s="27"/>
      <c r="CK4" s="27"/>
      <c r="CL4" s="27"/>
      <c r="CM4" s="27"/>
      <c r="CN4" s="27"/>
      <c r="CO4" s="27"/>
      <c r="CP4" s="27"/>
      <c r="CQ4" s="27"/>
      <c r="CR4" s="27"/>
      <c r="CS4" s="27"/>
      <c r="CT4" s="27"/>
      <c r="CU4" s="27"/>
      <c r="CV4" s="27"/>
      <c r="CW4" s="27"/>
      <c r="CX4" s="27"/>
      <c r="CY4" s="27"/>
      <c r="CZ4" s="27"/>
      <c r="DA4" s="27"/>
      <c r="DB4" s="27"/>
      <c r="DC4" s="27"/>
      <c r="DD4" s="27"/>
      <c r="DE4" s="27"/>
      <c r="DF4" s="27"/>
      <c r="DG4" s="27"/>
      <c r="DH4" s="27"/>
      <c r="DI4" s="27"/>
      <c r="DJ4" s="27"/>
      <c r="DK4" s="27"/>
      <c r="DL4" s="27"/>
      <c r="DM4" s="27"/>
      <c r="DN4" s="27"/>
      <c r="DO4" s="27"/>
      <c r="DP4" s="27"/>
      <c r="DQ4" s="27"/>
      <c r="DR4" s="27"/>
      <c r="DS4" s="27"/>
      <c r="DT4" s="27"/>
      <c r="DU4" s="27"/>
      <c r="DV4" s="27"/>
      <c r="DW4" s="27"/>
      <c r="DX4" s="27"/>
      <c r="DY4" s="27"/>
    </row>
    <row r="5" spans="1:129" s="1773" customFormat="1">
      <c r="A5" s="62" t="s">
        <v>1389</v>
      </c>
      <c r="B5" s="1833" t="s">
        <v>156</v>
      </c>
      <c r="C5" s="1833" t="s">
        <v>156</v>
      </c>
      <c r="D5" s="1833" t="s">
        <v>156</v>
      </c>
      <c r="E5" s="1834" t="s">
        <v>156</v>
      </c>
      <c r="F5" s="1773">
        <f>(260945.1+52365.7)/1000</f>
        <v>313.31079999999997</v>
      </c>
      <c r="G5" s="1835">
        <f>(408603.1+57273.1)/1000</f>
        <v>465.87619999999993</v>
      </c>
      <c r="H5" s="1836">
        <f>(647846.9+94608.2)/1000</f>
        <v>742.45510000000002</v>
      </c>
      <c r="I5" s="1836">
        <v>992.95749999999998</v>
      </c>
      <c r="J5" s="1836">
        <v>1169.5586000000001</v>
      </c>
      <c r="K5" s="1836"/>
      <c r="L5" s="1830"/>
      <c r="Q5" s="1836"/>
      <c r="R5" s="1836"/>
      <c r="S5" s="1836"/>
      <c r="T5" s="1836"/>
      <c r="U5" s="1836"/>
      <c r="W5" s="1837">
        <v>21811.1</v>
      </c>
      <c r="X5" s="1836">
        <v>25965.4</v>
      </c>
      <c r="Y5" s="1836">
        <v>29181.4</v>
      </c>
      <c r="Z5" s="1836">
        <v>33959</v>
      </c>
      <c r="AA5" s="1836">
        <v>39443</v>
      </c>
      <c r="AB5" s="1838">
        <v>50447</v>
      </c>
      <c r="AC5" s="1836">
        <v>14986</v>
      </c>
      <c r="AD5" s="1836">
        <v>15063</v>
      </c>
      <c r="AE5" s="1836">
        <v>15393</v>
      </c>
      <c r="AF5" s="1836">
        <v>14950</v>
      </c>
      <c r="AG5" s="1838">
        <v>59680</v>
      </c>
      <c r="AH5" s="1773">
        <v>18882</v>
      </c>
      <c r="AI5" s="1773">
        <v>18860.8</v>
      </c>
      <c r="AJ5" s="1773">
        <v>18585</v>
      </c>
      <c r="AK5" s="1774">
        <v>16104</v>
      </c>
      <c r="AL5" s="1773">
        <v>23610.3</v>
      </c>
      <c r="AM5" s="1773">
        <v>22837.7</v>
      </c>
      <c r="AN5" s="1773">
        <v>22196.5</v>
      </c>
      <c r="AO5" s="1774">
        <v>19765.900000000001</v>
      </c>
      <c r="AP5" s="1773">
        <v>27196</v>
      </c>
      <c r="AQ5" s="1773">
        <v>25898</v>
      </c>
      <c r="AR5" s="1773">
        <v>24676</v>
      </c>
      <c r="AS5" s="1773">
        <v>21957</v>
      </c>
      <c r="AT5" s="1837">
        <v>29409</v>
      </c>
      <c r="AU5" s="1773">
        <v>28292</v>
      </c>
      <c r="AV5" s="1773">
        <v>26927</v>
      </c>
      <c r="AW5" s="1774">
        <v>23245</v>
      </c>
      <c r="AX5" s="1837">
        <v>17885</v>
      </c>
      <c r="AY5" s="1773">
        <v>2713</v>
      </c>
      <c r="AZ5" s="1773">
        <v>8631</v>
      </c>
      <c r="BA5" s="1773">
        <v>7567</v>
      </c>
      <c r="BB5" s="1837">
        <v>15422</v>
      </c>
      <c r="BC5" s="1773">
        <v>20815</v>
      </c>
      <c r="BD5" s="1773">
        <v>18725</v>
      </c>
      <c r="BE5" s="1774">
        <v>17463</v>
      </c>
      <c r="BF5" s="1773">
        <v>24412</v>
      </c>
      <c r="BG5" s="1773">
        <v>26139</v>
      </c>
      <c r="BH5" s="1773">
        <v>23987</v>
      </c>
      <c r="BI5" s="1774">
        <v>20511</v>
      </c>
      <c r="BJ5" s="1773">
        <v>29401</v>
      </c>
      <c r="BK5" s="1773">
        <v>27321</v>
      </c>
      <c r="BL5" s="1773">
        <v>25685</v>
      </c>
      <c r="BM5" s="1774">
        <v>21672</v>
      </c>
      <c r="BN5" s="1773">
        <v>30164</v>
      </c>
      <c r="BO5" s="1773">
        <v>28837</v>
      </c>
      <c r="BP5" s="1773">
        <v>27498</v>
      </c>
      <c r="BQ5" s="1773">
        <v>24422</v>
      </c>
      <c r="BR5" s="1773">
        <v>31451</v>
      </c>
      <c r="BS5" s="1773">
        <v>30409</v>
      </c>
      <c r="BT5" s="1773">
        <v>30727</v>
      </c>
      <c r="BU5" s="1773">
        <v>27003</v>
      </c>
      <c r="BV5" s="1773">
        <v>35530</v>
      </c>
      <c r="BW5" s="1773">
        <v>33928</v>
      </c>
      <c r="BY5" s="2881">
        <v>72431</v>
      </c>
      <c r="BZ5" s="1776">
        <v>88410.5</v>
      </c>
      <c r="CA5" s="1837">
        <f>SUM(AP5:AS5)</f>
        <v>99727</v>
      </c>
      <c r="CB5" s="1837">
        <v>107873</v>
      </c>
      <c r="CC5" s="1837">
        <v>36796</v>
      </c>
      <c r="CD5" s="1837">
        <v>72425</v>
      </c>
      <c r="CE5" s="2934">
        <f>SUM(BF5:BI5)</f>
        <v>95049</v>
      </c>
      <c r="CF5" s="2934">
        <v>104079</v>
      </c>
      <c r="CG5" s="2934">
        <v>110921</v>
      </c>
      <c r="CH5" s="2934">
        <v>119590</v>
      </c>
      <c r="CI5" s="1839"/>
      <c r="CJ5" s="1839"/>
      <c r="CK5" s="1839"/>
      <c r="CL5" s="1839"/>
      <c r="CM5" s="1839"/>
      <c r="CN5" s="1839"/>
      <c r="CO5" s="1839"/>
      <c r="CP5" s="1839"/>
      <c r="CQ5" s="1839"/>
      <c r="CR5" s="1839"/>
      <c r="CS5" s="1839"/>
      <c r="CT5" s="1839"/>
      <c r="CU5" s="1839"/>
      <c r="CV5" s="1839"/>
      <c r="CW5" s="1839"/>
      <c r="CX5" s="1839"/>
      <c r="CY5" s="1839"/>
      <c r="CZ5" s="1839"/>
      <c r="DA5" s="1839"/>
      <c r="DB5" s="1839"/>
      <c r="DC5" s="1839"/>
      <c r="DD5" s="1839"/>
      <c r="DE5" s="1839"/>
      <c r="DF5" s="1839"/>
      <c r="DG5" s="1839"/>
      <c r="DH5" s="1839"/>
      <c r="DI5" s="1839"/>
      <c r="DJ5" s="1839"/>
      <c r="DK5" s="1839"/>
      <c r="DL5" s="1839"/>
      <c r="DM5" s="1839"/>
      <c r="DN5" s="1839"/>
      <c r="DO5" s="1839"/>
      <c r="DP5" s="1839"/>
      <c r="DQ5" s="1839"/>
      <c r="DR5" s="1839"/>
      <c r="DS5" s="1839"/>
      <c r="DT5" s="1839"/>
      <c r="DU5" s="1839"/>
      <c r="DV5" s="1839"/>
      <c r="DW5" s="1839"/>
      <c r="DX5" s="1839"/>
      <c r="DY5" s="1839"/>
    </row>
    <row r="6" spans="1:129" s="1842" customFormat="1">
      <c r="A6" s="1509" t="s">
        <v>969</v>
      </c>
      <c r="B6" s="1840"/>
      <c r="C6" s="1840"/>
      <c r="D6" s="1840"/>
      <c r="E6" s="1841"/>
      <c r="G6" s="1843"/>
      <c r="H6" s="1844"/>
      <c r="I6" s="1844"/>
      <c r="J6" s="1844"/>
      <c r="K6" s="1844"/>
      <c r="L6" s="1845"/>
      <c r="Q6" s="1844"/>
      <c r="R6" s="1844"/>
      <c r="S6" s="1844"/>
      <c r="T6" s="1844"/>
      <c r="U6" s="1844"/>
      <c r="W6" s="1846"/>
      <c r="X6" s="1844"/>
      <c r="Y6" s="1844"/>
      <c r="Z6" s="1844"/>
      <c r="AA6" s="1844"/>
      <c r="AB6" s="1847">
        <v>0.28000000000000003</v>
      </c>
      <c r="AC6" s="1848">
        <v>0.19</v>
      </c>
      <c r="AD6" s="1848">
        <v>0.2</v>
      </c>
      <c r="AE6" s="1848">
        <v>0.21</v>
      </c>
      <c r="AF6" s="1848">
        <v>0.4</v>
      </c>
      <c r="AG6" s="1847">
        <v>0.24</v>
      </c>
      <c r="AH6" s="1849">
        <v>0.32</v>
      </c>
      <c r="AI6" s="1849">
        <v>0.25</v>
      </c>
      <c r="AJ6" s="1849">
        <v>0.21</v>
      </c>
      <c r="AK6" s="1850">
        <v>0.08</v>
      </c>
      <c r="AL6" s="1842">
        <v>0.14000000000000001</v>
      </c>
      <c r="AM6" s="1842">
        <v>0.12</v>
      </c>
      <c r="AN6" s="1842">
        <v>0.11</v>
      </c>
      <c r="AO6" s="1851">
        <v>0.14000000000000001</v>
      </c>
      <c r="AP6" s="1842">
        <v>0.11</v>
      </c>
      <c r="AQ6" s="1842">
        <v>0.13</v>
      </c>
      <c r="AR6" s="1842">
        <v>0.11</v>
      </c>
      <c r="AS6" s="1842">
        <v>0.11</v>
      </c>
      <c r="AT6" s="1846">
        <v>0.08</v>
      </c>
      <c r="AU6" s="1842">
        <v>0.09</v>
      </c>
      <c r="AV6" s="1842">
        <v>0.09</v>
      </c>
      <c r="AW6" s="1851">
        <v>0.06</v>
      </c>
      <c r="AX6" s="1846">
        <v>-0.39</v>
      </c>
      <c r="AY6" s="1842">
        <v>-0.9</v>
      </c>
      <c r="AZ6" s="1842">
        <v>-0.68</v>
      </c>
      <c r="BA6" s="1842">
        <v>-0.67</v>
      </c>
      <c r="BB6" s="1846">
        <v>-0.14000000000000001</v>
      </c>
      <c r="BC6" s="1842">
        <v>6.67</v>
      </c>
      <c r="BD6" s="1842">
        <v>1.17</v>
      </c>
      <c r="BE6" s="1851">
        <v>1.31</v>
      </c>
      <c r="BF6" s="1842">
        <v>0.57999999999999996</v>
      </c>
      <c r="BG6" s="1842">
        <v>0.26</v>
      </c>
      <c r="BH6" s="1842">
        <v>0.28000000000000003</v>
      </c>
      <c r="BI6" s="1851">
        <v>0.17</v>
      </c>
      <c r="BJ6" s="1842">
        <v>0.2</v>
      </c>
      <c r="BK6" s="1842">
        <v>0.05</v>
      </c>
      <c r="BL6" s="3152">
        <v>7.0000000000000007E-2</v>
      </c>
      <c r="BM6" s="1851">
        <v>0.06</v>
      </c>
      <c r="BN6" s="1842">
        <f t="shared" ref="BN6:BW6" si="0">BN5/BJ5-1</f>
        <v>2.5951498248358851E-2</v>
      </c>
      <c r="BO6" s="1842">
        <f t="shared" si="0"/>
        <v>5.5488452106438269E-2</v>
      </c>
      <c r="BP6" s="1842">
        <f t="shared" si="0"/>
        <v>7.0585945104146397E-2</v>
      </c>
      <c r="BQ6" s="1842">
        <f t="shared" si="0"/>
        <v>0.12689184200812109</v>
      </c>
      <c r="BR6" s="1842">
        <f t="shared" si="0"/>
        <v>4.2666755072271689E-2</v>
      </c>
      <c r="BS6" s="1842">
        <f t="shared" si="0"/>
        <v>5.4513298886846862E-2</v>
      </c>
      <c r="BT6" s="1842">
        <f t="shared" si="0"/>
        <v>0.11742672194341397</v>
      </c>
      <c r="BU6" s="1842">
        <f t="shared" si="0"/>
        <v>0.10568340021292277</v>
      </c>
      <c r="BV6" s="1842">
        <f t="shared" si="0"/>
        <v>0.1296938094178246</v>
      </c>
      <c r="BW6" s="1842">
        <f t="shared" si="0"/>
        <v>0.11572231905028119</v>
      </c>
      <c r="BY6" s="2882">
        <v>0.21</v>
      </c>
      <c r="BZ6" s="1852">
        <v>0.13</v>
      </c>
      <c r="CA6" s="1846">
        <v>0.13</v>
      </c>
      <c r="CB6" s="1941">
        <v>0.11</v>
      </c>
      <c r="CC6" s="1941">
        <v>-0.66</v>
      </c>
      <c r="CD6" s="1941">
        <v>0.97</v>
      </c>
      <c r="CE6" s="1941">
        <f>CE5/CD5-1</f>
        <v>0.31237832240248542</v>
      </c>
      <c r="CF6" s="1941">
        <v>0.1</v>
      </c>
      <c r="CG6" s="1941">
        <f>CG5/CF5-1</f>
        <v>6.5738525543097115E-2</v>
      </c>
      <c r="CH6" s="1941">
        <f>CH5/CG5-1</f>
        <v>7.8154722730592097E-2</v>
      </c>
      <c r="CI6" s="1839"/>
      <c r="CJ6" s="1839"/>
      <c r="CK6" s="1839"/>
      <c r="CL6" s="1839"/>
      <c r="CM6" s="1839"/>
      <c r="CN6" s="1839"/>
      <c r="CO6" s="1839"/>
      <c r="CP6" s="1839"/>
      <c r="CQ6" s="1839"/>
      <c r="CR6" s="1839"/>
      <c r="CS6" s="1839"/>
      <c r="CT6" s="1839"/>
      <c r="CU6" s="1839"/>
      <c r="CV6" s="1839"/>
      <c r="CW6" s="1839"/>
      <c r="CX6" s="1839"/>
      <c r="CY6" s="1839"/>
      <c r="CZ6" s="1839"/>
      <c r="DA6" s="1839"/>
      <c r="DB6" s="1839"/>
      <c r="DC6" s="1839"/>
      <c r="DD6" s="1839"/>
      <c r="DE6" s="1839"/>
      <c r="DF6" s="1839"/>
      <c r="DG6" s="1839"/>
      <c r="DH6" s="1839"/>
      <c r="DI6" s="1839"/>
      <c r="DJ6" s="1839"/>
      <c r="DK6" s="1839"/>
      <c r="DL6" s="1839"/>
      <c r="DM6" s="1839"/>
      <c r="DN6" s="1839"/>
      <c r="DO6" s="1839"/>
      <c r="DP6" s="1839"/>
      <c r="DQ6" s="1839"/>
      <c r="DR6" s="1839"/>
      <c r="DS6" s="1839"/>
      <c r="DT6" s="1839"/>
      <c r="DU6" s="1839"/>
      <c r="DV6" s="1839"/>
      <c r="DW6" s="1839"/>
      <c r="DX6" s="1839"/>
      <c r="DY6" s="1839"/>
    </row>
    <row r="7" spans="1:129" s="1842" customFormat="1">
      <c r="A7" s="1509" t="s">
        <v>2048</v>
      </c>
      <c r="B7" s="1840"/>
      <c r="C7" s="1840"/>
      <c r="D7" s="1840"/>
      <c r="E7" s="1841"/>
      <c r="G7" s="1843"/>
      <c r="H7" s="1844"/>
      <c r="I7" s="1844"/>
      <c r="J7" s="1844"/>
      <c r="K7" s="1844"/>
      <c r="L7" s="1845"/>
      <c r="Q7" s="1844"/>
      <c r="R7" s="1844"/>
      <c r="S7" s="1844"/>
      <c r="T7" s="1844"/>
      <c r="U7" s="1844"/>
      <c r="W7" s="1846"/>
      <c r="X7" s="1844"/>
      <c r="Y7" s="1844">
        <v>0.1</v>
      </c>
      <c r="Z7" s="1844">
        <v>0.18</v>
      </c>
      <c r="AA7" s="1844">
        <v>0.16</v>
      </c>
      <c r="AB7" s="1847">
        <v>0.28999999999999998</v>
      </c>
      <c r="AC7" s="1848">
        <v>0.25</v>
      </c>
      <c r="AD7" s="1848">
        <v>0.28000000000000003</v>
      </c>
      <c r="AE7" s="1848">
        <v>0.26</v>
      </c>
      <c r="AF7" s="1848">
        <v>0.46</v>
      </c>
      <c r="AG7" s="1847">
        <v>0.3</v>
      </c>
      <c r="AH7" s="1849">
        <v>0.34</v>
      </c>
      <c r="AI7" s="1849">
        <v>0.26</v>
      </c>
      <c r="AJ7" s="1849">
        <v>0.21</v>
      </c>
      <c r="AK7" s="1850">
        <v>0.09</v>
      </c>
      <c r="AL7" s="1842">
        <v>0.15</v>
      </c>
      <c r="AM7" s="1842">
        <v>0.13</v>
      </c>
      <c r="AN7" s="1842">
        <v>0.1</v>
      </c>
      <c r="AO7" s="1851">
        <v>0.12</v>
      </c>
      <c r="AP7" s="1842">
        <v>0.15</v>
      </c>
      <c r="AQ7" s="1842">
        <v>0.11</v>
      </c>
      <c r="AR7" s="1842">
        <v>0.12</v>
      </c>
      <c r="AS7" s="1842">
        <v>0.13</v>
      </c>
      <c r="AT7" s="1846">
        <v>0.11</v>
      </c>
      <c r="AU7" s="1842">
        <v>0.11</v>
      </c>
      <c r="AV7" s="1842">
        <v>0.1</v>
      </c>
      <c r="AW7" s="1851">
        <v>0.06</v>
      </c>
      <c r="AX7" s="1846">
        <v>-0.39</v>
      </c>
      <c r="AY7" s="1842">
        <v>-0.9</v>
      </c>
      <c r="AZ7" s="1842">
        <v>-0.68</v>
      </c>
      <c r="BA7" s="1842">
        <v>-0.67</v>
      </c>
      <c r="BB7" s="1846">
        <v>-0.14000000000000001</v>
      </c>
      <c r="BC7" s="1842">
        <v>6.67</v>
      </c>
      <c r="BD7" s="1842">
        <v>1.17</v>
      </c>
      <c r="BE7" s="1851">
        <v>1.31</v>
      </c>
      <c r="BF7" s="1842">
        <v>0.57999999999999996</v>
      </c>
      <c r="BG7" s="1842">
        <v>0.26</v>
      </c>
      <c r="BH7" s="1842">
        <v>0.28000000000000003</v>
      </c>
      <c r="BI7" s="1851">
        <v>0.17</v>
      </c>
      <c r="BJ7" s="1842">
        <v>0.2</v>
      </c>
      <c r="BK7" s="1842">
        <v>0.05</v>
      </c>
      <c r="BL7" s="3152">
        <v>7.0000000000000007E-2</v>
      </c>
      <c r="BM7" s="1851">
        <v>0.06</v>
      </c>
      <c r="BN7" s="1842">
        <v>0.03</v>
      </c>
      <c r="BO7" s="1851">
        <v>0.06</v>
      </c>
      <c r="BP7" s="1851">
        <v>7.0000000000000007E-2</v>
      </c>
      <c r="BQ7" s="1842">
        <v>0.13</v>
      </c>
      <c r="BR7" s="1842">
        <v>0.04</v>
      </c>
      <c r="BS7" s="1842">
        <v>0.05</v>
      </c>
      <c r="BT7" s="1842">
        <f>BT6</f>
        <v>0.11742672194341397</v>
      </c>
      <c r="BU7" s="1842">
        <f>BU6</f>
        <v>0.10568340021292277</v>
      </c>
      <c r="BV7" s="1842">
        <f>BV6</f>
        <v>0.1296938094178246</v>
      </c>
      <c r="BW7" s="1842">
        <f>BW6</f>
        <v>0.11572231905028119</v>
      </c>
      <c r="BY7" s="2882">
        <v>0.22</v>
      </c>
      <c r="BZ7" s="1852">
        <v>0.13</v>
      </c>
      <c r="CA7" s="1846">
        <v>0.12</v>
      </c>
      <c r="CB7" s="1941">
        <v>0.11</v>
      </c>
      <c r="CC7" s="1941">
        <v>-0.66</v>
      </c>
      <c r="CD7" s="1941">
        <v>0.97</v>
      </c>
      <c r="CE7" s="1941">
        <v>0.31</v>
      </c>
      <c r="CF7" s="1941">
        <v>0.1</v>
      </c>
      <c r="CG7" s="1941">
        <v>7.0000000000000007E-2</v>
      </c>
      <c r="CH7" s="1941">
        <v>7.0000000000000007E-2</v>
      </c>
      <c r="CI7" s="1839"/>
      <c r="CJ7" s="1839"/>
      <c r="CK7" s="1839"/>
      <c r="CL7" s="1839"/>
      <c r="CM7" s="1839"/>
      <c r="CN7" s="1839"/>
      <c r="CO7" s="1839"/>
      <c r="CP7" s="1839"/>
      <c r="CQ7" s="1839"/>
      <c r="CR7" s="1839"/>
      <c r="CS7" s="1839"/>
      <c r="CT7" s="1839"/>
      <c r="CU7" s="1839"/>
      <c r="CV7" s="1839"/>
      <c r="CW7" s="1839"/>
      <c r="CX7" s="1839"/>
      <c r="CY7" s="1839"/>
      <c r="CZ7" s="1839"/>
      <c r="DA7" s="1839"/>
      <c r="DB7" s="1839"/>
      <c r="DC7" s="1839"/>
      <c r="DD7" s="1839"/>
      <c r="DE7" s="1839"/>
      <c r="DF7" s="1839"/>
      <c r="DG7" s="1839"/>
      <c r="DH7" s="1839"/>
      <c r="DI7" s="1839"/>
      <c r="DJ7" s="1839"/>
      <c r="DK7" s="1839"/>
      <c r="DL7" s="1839"/>
      <c r="DM7" s="1839"/>
      <c r="DN7" s="1839"/>
      <c r="DO7" s="1839"/>
      <c r="DP7" s="1839"/>
      <c r="DQ7" s="1839"/>
      <c r="DR7" s="1839"/>
      <c r="DS7" s="1839"/>
      <c r="DT7" s="1839"/>
      <c r="DU7" s="1839"/>
      <c r="DV7" s="1839"/>
      <c r="DW7" s="1839"/>
      <c r="DX7" s="1839"/>
      <c r="DY7" s="1839"/>
    </row>
    <row r="8" spans="1:129" s="1842" customFormat="1">
      <c r="A8" s="2956" t="s">
        <v>2715</v>
      </c>
      <c r="B8" s="1840"/>
      <c r="C8" s="1840"/>
      <c r="D8" s="1840"/>
      <c r="E8" s="1841"/>
      <c r="G8" s="1843"/>
      <c r="H8" s="1844"/>
      <c r="I8" s="1844"/>
      <c r="J8" s="1844"/>
      <c r="K8" s="1844"/>
      <c r="L8" s="1845"/>
      <c r="Q8" s="1844"/>
      <c r="R8" s="1844"/>
      <c r="S8" s="1844"/>
      <c r="T8" s="1844"/>
      <c r="U8" s="1844"/>
      <c r="W8" s="1846"/>
      <c r="X8" s="1844"/>
      <c r="Y8" s="1844"/>
      <c r="Z8" s="1844"/>
      <c r="AA8" s="1844"/>
      <c r="AB8" s="1847"/>
      <c r="AC8" s="1848"/>
      <c r="AD8" s="1848"/>
      <c r="AE8" s="1848"/>
      <c r="AF8" s="1848"/>
      <c r="AG8" s="1847"/>
      <c r="AH8" s="1849"/>
      <c r="AI8" s="1849"/>
      <c r="AJ8" s="1849"/>
      <c r="AK8" s="1850"/>
      <c r="AO8" s="1851"/>
      <c r="AT8" s="1846"/>
      <c r="AW8" s="1851"/>
      <c r="AX8" s="1846"/>
      <c r="BB8" s="2957">
        <f>BB5/AT5-1</f>
        <v>-0.4756027066544255</v>
      </c>
      <c r="BC8" s="2958">
        <f>BC5/AU5-1</f>
        <v>-0.2642796550261558</v>
      </c>
      <c r="BD8" s="2958">
        <f>BD5/AV5-1</f>
        <v>-0.30460132952055563</v>
      </c>
      <c r="BE8" s="2997">
        <f>BE5/AW5-1</f>
        <v>-0.24874166487416649</v>
      </c>
      <c r="BF8" s="2958">
        <f>BF5/AT5-1</f>
        <v>-0.16991397191335988</v>
      </c>
      <c r="BG8" s="2958">
        <f>BG5/AU5-1</f>
        <v>-7.6099250671567975E-2</v>
      </c>
      <c r="BH8" s="2958">
        <f>BH5/AV5-1</f>
        <v>-0.10918409031826792</v>
      </c>
      <c r="BI8" s="2997">
        <f>BI5/AW5-1</f>
        <v>-0.11761669176166922</v>
      </c>
      <c r="BJ8" s="3030">
        <f>BJ5/AT5-1</f>
        <v>-2.720255704036223E-4</v>
      </c>
      <c r="BK8" s="2958">
        <f>BK5/AU5-1</f>
        <v>-3.4320656015834894E-2</v>
      </c>
      <c r="BL8" s="2958">
        <f>BL5/AV5-1</f>
        <v>-4.6124707542615218E-2</v>
      </c>
      <c r="BM8" s="2958">
        <f>BM5/AW5-1</f>
        <v>-6.7670466767046689E-2</v>
      </c>
      <c r="BN8" s="2958">
        <f>BN5/AT5-1</f>
        <v>2.5672413206841549E-2</v>
      </c>
      <c r="BO8" s="2958">
        <f>BO5/AU5-1</f>
        <v>1.9263396013007306E-2</v>
      </c>
      <c r="BP8" s="2958">
        <f>BP5/AV5-1</f>
        <v>2.1205481486983313E-2</v>
      </c>
      <c r="BQ8" s="2958">
        <f>BQ5/AW5-1</f>
        <v>5.0634545063454439E-2</v>
      </c>
      <c r="BR8" s="2958">
        <f>BR5/AT5-1</f>
        <v>6.9434526845523425E-2</v>
      </c>
      <c r="BS8" s="2958">
        <f>BS5/AU5-1</f>
        <v>7.4826806164286719E-2</v>
      </c>
      <c r="BT8" s="2958">
        <f>BT5/AV5-1</f>
        <v>0.14112229360864559</v>
      </c>
      <c r="BU8" s="2958">
        <f>BU5/AW5-1</f>
        <v>0.16166917616691756</v>
      </c>
      <c r="BV8" s="2958">
        <f>BV5/AT5-1</f>
        <v>0.20813356455506815</v>
      </c>
      <c r="BW8" s="2958">
        <f>BW5/AU5-1</f>
        <v>0.19920825675102494</v>
      </c>
      <c r="BY8" s="2882"/>
      <c r="BZ8" s="1852"/>
      <c r="CA8" s="1846"/>
      <c r="CB8" s="1941"/>
      <c r="CC8" s="2958">
        <f>CC5/CB5-1</f>
        <v>-0.65889518229770194</v>
      </c>
      <c r="CD8" s="2958">
        <f>CD5/CB5-1</f>
        <v>-0.32860864164341397</v>
      </c>
      <c r="CE8" s="2958">
        <f>CE5/CB5-1</f>
        <v>-0.11888053544445787</v>
      </c>
      <c r="CF8" s="2958">
        <f>CF5/CB5-1</f>
        <v>-3.5170988106384304E-2</v>
      </c>
      <c r="CG8" s="2958">
        <f>CG5/CB5-1</f>
        <v>2.8255448536705252E-2</v>
      </c>
      <c r="CH8" s="2958">
        <f>CH5/CB5-1</f>
        <v>0.10861846801331199</v>
      </c>
      <c r="CI8" s="1839"/>
      <c r="CJ8" s="1839"/>
      <c r="CK8" s="1839"/>
      <c r="CL8" s="1839"/>
      <c r="CM8" s="1839"/>
      <c r="CN8" s="1839"/>
      <c r="CO8" s="1839"/>
      <c r="CP8" s="1839"/>
      <c r="CQ8" s="1839"/>
      <c r="CR8" s="1839"/>
      <c r="CS8" s="1839"/>
      <c r="CT8" s="1839"/>
      <c r="CU8" s="1839"/>
      <c r="CV8" s="1839"/>
      <c r="CW8" s="1839"/>
      <c r="CX8" s="1839"/>
      <c r="CY8" s="1839"/>
      <c r="CZ8" s="1839"/>
      <c r="DA8" s="1839"/>
      <c r="DB8" s="1839"/>
      <c r="DC8" s="1839"/>
      <c r="DD8" s="1839"/>
      <c r="DE8" s="1839"/>
      <c r="DF8" s="1839"/>
      <c r="DG8" s="1839"/>
      <c r="DH8" s="1839"/>
      <c r="DI8" s="1839"/>
      <c r="DJ8" s="1839"/>
      <c r="DK8" s="1839"/>
      <c r="DL8" s="1839"/>
      <c r="DM8" s="1839"/>
      <c r="DN8" s="1839"/>
      <c r="DO8" s="1839"/>
      <c r="DP8" s="1839"/>
      <c r="DQ8" s="1839"/>
      <c r="DR8" s="1839"/>
      <c r="DS8" s="1839"/>
      <c r="DT8" s="1839"/>
      <c r="DU8" s="1839"/>
      <c r="DV8" s="1839"/>
      <c r="DW8" s="1839"/>
      <c r="DX8" s="1839"/>
      <c r="DY8" s="1839"/>
    </row>
    <row r="9" spans="1:129" s="660" customFormat="1">
      <c r="A9" s="1560"/>
      <c r="B9" s="658"/>
      <c r="C9" s="658"/>
      <c r="D9" s="658"/>
      <c r="E9" s="659"/>
      <c r="G9" s="654"/>
      <c r="H9" s="661"/>
      <c r="I9" s="661"/>
      <c r="J9" s="661"/>
      <c r="K9" s="661"/>
      <c r="L9" s="662"/>
      <c r="Q9" s="661"/>
      <c r="R9" s="661"/>
      <c r="S9" s="661"/>
      <c r="T9" s="661"/>
      <c r="U9" s="661"/>
      <c r="W9" s="663"/>
      <c r="X9" s="661"/>
      <c r="Y9" s="661"/>
      <c r="Z9" s="661"/>
      <c r="AA9" s="661"/>
      <c r="AB9" s="665"/>
      <c r="AC9" s="664"/>
      <c r="AD9" s="664"/>
      <c r="AE9" s="664"/>
      <c r="AF9" s="664"/>
      <c r="AG9" s="665"/>
      <c r="AH9" s="666"/>
      <c r="AI9" s="666"/>
      <c r="AJ9" s="666"/>
      <c r="AK9" s="1007"/>
      <c r="AO9" s="667"/>
      <c r="AT9" s="663"/>
      <c r="AW9" s="667"/>
      <c r="AX9" s="663"/>
      <c r="BB9" s="663"/>
      <c r="BE9" s="667"/>
      <c r="BI9" s="667"/>
      <c r="BM9" s="667"/>
      <c r="BO9" s="667"/>
      <c r="BP9" s="667"/>
      <c r="BQ9" s="667"/>
      <c r="BY9" s="2883"/>
      <c r="BZ9" s="1013"/>
      <c r="CA9" s="663"/>
      <c r="CB9" s="98"/>
      <c r="CC9" s="98"/>
      <c r="CD9" s="98"/>
      <c r="CE9" s="98"/>
      <c r="CF9" s="98"/>
      <c r="CG9" s="98"/>
      <c r="CH9" s="98"/>
      <c r="CI9" s="27"/>
      <c r="CJ9" s="27"/>
      <c r="CK9" s="27"/>
      <c r="CL9" s="27"/>
      <c r="CM9" s="27"/>
      <c r="CN9" s="27"/>
      <c r="CO9" s="27"/>
      <c r="CP9" s="27"/>
      <c r="CQ9" s="27"/>
      <c r="CR9" s="27"/>
      <c r="CS9" s="27"/>
      <c r="CT9" s="27"/>
      <c r="CU9" s="27"/>
      <c r="CV9" s="27"/>
      <c r="CW9" s="27"/>
      <c r="CX9" s="27"/>
      <c r="CY9" s="27"/>
      <c r="CZ9" s="27"/>
      <c r="DA9" s="27"/>
      <c r="DB9" s="27"/>
      <c r="DC9" s="27"/>
      <c r="DD9" s="27"/>
      <c r="DE9" s="27"/>
      <c r="DF9" s="27"/>
      <c r="DG9" s="27"/>
      <c r="DH9" s="27"/>
      <c r="DI9" s="27"/>
      <c r="DJ9" s="27"/>
      <c r="DK9" s="27"/>
      <c r="DL9" s="27"/>
      <c r="DM9" s="27"/>
      <c r="DN9" s="27"/>
      <c r="DO9" s="27"/>
      <c r="DP9" s="27"/>
      <c r="DQ9" s="27"/>
      <c r="DR9" s="27"/>
      <c r="DS9" s="27"/>
      <c r="DT9" s="27"/>
      <c r="DU9" s="27"/>
      <c r="DV9" s="27"/>
      <c r="DW9" s="27"/>
      <c r="DX9" s="27"/>
      <c r="DY9" s="27"/>
    </row>
    <row r="10" spans="1:129" s="1403" customFormat="1">
      <c r="A10" s="464" t="s">
        <v>387</v>
      </c>
      <c r="B10" s="1396" t="s">
        <v>156</v>
      </c>
      <c r="C10" s="1396" t="s">
        <v>156</v>
      </c>
      <c r="D10" s="1396" t="s">
        <v>156</v>
      </c>
      <c r="E10" s="1397" t="s">
        <v>156</v>
      </c>
      <c r="F10" s="1401">
        <f>F59/F5</f>
        <v>0.21879775928566778</v>
      </c>
      <c r="G10" s="1401">
        <f>G59/G5</f>
        <v>0.17936139686895364</v>
      </c>
      <c r="H10" s="1437">
        <f>H59/H5</f>
        <v>0.16798509027683961</v>
      </c>
      <c r="I10" s="1437">
        <f>I59/I5</f>
        <v>0.1979936281260779</v>
      </c>
      <c r="J10" s="1437">
        <f>J59/J5</f>
        <v>0.19564808467057571</v>
      </c>
      <c r="K10" s="1437"/>
      <c r="L10" s="1402"/>
      <c r="M10" s="1437"/>
      <c r="N10" s="1437"/>
      <c r="O10" s="1437"/>
      <c r="P10" s="1437"/>
      <c r="Q10" s="1437"/>
      <c r="R10" s="1437"/>
      <c r="S10" s="1437"/>
      <c r="T10" s="1437"/>
      <c r="U10" s="1437"/>
      <c r="V10" s="1437"/>
      <c r="W10" s="1438">
        <f t="shared" ref="W10:AB10" si="1">W59/W5</f>
        <v>0.13550100636831705</v>
      </c>
      <c r="X10" s="1406">
        <f t="shared" si="1"/>
        <v>0.11683413311560768</v>
      </c>
      <c r="Y10" s="1406">
        <f t="shared" si="1"/>
        <v>0.1181920332814738</v>
      </c>
      <c r="Z10" s="1406">
        <f t="shared" si="1"/>
        <v>0.11868273506286994</v>
      </c>
      <c r="AA10" s="1406">
        <f t="shared" si="1"/>
        <v>0.12095935907512106</v>
      </c>
      <c r="AB10" s="1407">
        <f t="shared" si="1"/>
        <v>0.11424832001902986</v>
      </c>
      <c r="AC10" s="1406"/>
      <c r="AD10" s="1406">
        <f t="shared" ref="AD10:AN10" si="2">AD59/AD5</f>
        <v>0.11037641904003186</v>
      </c>
      <c r="AE10" s="1406">
        <f t="shared" si="2"/>
        <v>0.12588533749106737</v>
      </c>
      <c r="AF10" s="1406">
        <f t="shared" si="2"/>
        <v>0.11361652173913044</v>
      </c>
      <c r="AG10" s="1407">
        <f t="shared" si="2"/>
        <v>0.11110924932975871</v>
      </c>
      <c r="AH10" s="1406">
        <f t="shared" si="2"/>
        <v>0.10083471030611164</v>
      </c>
      <c r="AI10" s="1406">
        <f t="shared" si="2"/>
        <v>0.11642501908720734</v>
      </c>
      <c r="AJ10" s="1406">
        <f t="shared" si="2"/>
        <v>0.13887032553134249</v>
      </c>
      <c r="AK10" s="1404">
        <f t="shared" si="2"/>
        <v>0.12996770988574266</v>
      </c>
      <c r="AL10" s="1403">
        <f t="shared" si="2"/>
        <v>9.2713773226092006E-2</v>
      </c>
      <c r="AM10" s="1403">
        <f t="shared" si="2"/>
        <v>0.11323381951772726</v>
      </c>
      <c r="AN10" s="1403">
        <f t="shared" si="2"/>
        <v>0.13362467055616878</v>
      </c>
      <c r="AO10" s="1404">
        <v>0.11732326886203005</v>
      </c>
      <c r="AP10" s="1403">
        <f t="shared" ref="AP10:BM10" si="3">AP59/AP5</f>
        <v>9.2219444035887624E-2</v>
      </c>
      <c r="AQ10" s="1403">
        <f t="shared" si="3"/>
        <v>0.11120549849409221</v>
      </c>
      <c r="AR10" s="1403">
        <f t="shared" si="3"/>
        <v>0.13276057707894309</v>
      </c>
      <c r="AS10" s="1403">
        <f t="shared" si="3"/>
        <v>0.11654597622626042</v>
      </c>
      <c r="AT10" s="2838">
        <f t="shared" si="3"/>
        <v>8.8714339147879906E-2</v>
      </c>
      <c r="AU10" s="1403">
        <f t="shared" si="3"/>
        <v>0.11144493142937933</v>
      </c>
      <c r="AV10" s="1403">
        <f t="shared" si="3"/>
        <v>0.13213503175251606</v>
      </c>
      <c r="AW10" s="1404">
        <f t="shared" si="3"/>
        <v>0.11817595181759519</v>
      </c>
      <c r="AX10" s="2838">
        <f t="shared" si="3"/>
        <v>0.12351132233715403</v>
      </c>
      <c r="AY10" s="1403">
        <f t="shared" si="3"/>
        <v>0.20862513822336898</v>
      </c>
      <c r="AZ10" s="1403">
        <f t="shared" si="3"/>
        <v>0.17425559031398447</v>
      </c>
      <c r="BA10" s="1403">
        <f t="shared" si="3"/>
        <v>0.12158054711246201</v>
      </c>
      <c r="BB10" s="2838">
        <f t="shared" si="3"/>
        <v>8.0793671378550119E-2</v>
      </c>
      <c r="BC10" s="1403">
        <f t="shared" si="3"/>
        <v>0.10141724717751621</v>
      </c>
      <c r="BD10" s="1403">
        <f t="shared" si="3"/>
        <v>0.15818424566088118</v>
      </c>
      <c r="BE10" s="1404">
        <f t="shared" si="3"/>
        <v>0.13050449521846189</v>
      </c>
      <c r="BF10" s="1403">
        <f t="shared" si="3"/>
        <v>9.21268228739964E-2</v>
      </c>
      <c r="BG10" s="1403">
        <f t="shared" si="3"/>
        <v>0.12169555070966755</v>
      </c>
      <c r="BH10" s="1403">
        <f t="shared" si="3"/>
        <v>0.15087338975278275</v>
      </c>
      <c r="BI10" s="1404">
        <f t="shared" si="3"/>
        <v>0.12763882794598019</v>
      </c>
      <c r="BJ10" s="1403">
        <f t="shared" si="3"/>
        <v>9.0643175402197199E-2</v>
      </c>
      <c r="BK10" s="1404">
        <f t="shared" si="3"/>
        <v>0.12290911752864098</v>
      </c>
      <c r="BL10" s="1404">
        <f t="shared" si="3"/>
        <v>0.15296865875024332</v>
      </c>
      <c r="BM10" s="1404">
        <f t="shared" si="3"/>
        <v>0.13321336286452565</v>
      </c>
      <c r="BO10" s="1404">
        <f t="shared" ref="BO10:BY10" si="4">BO59/BO5</f>
        <v>0.12338315358740506</v>
      </c>
      <c r="BP10" s="1404">
        <f t="shared" si="4"/>
        <v>0.14764710160738964</v>
      </c>
      <c r="BQ10" s="3333">
        <f t="shared" si="4"/>
        <v>0.13037425272295472</v>
      </c>
      <c r="BR10" s="3333">
        <f t="shared" si="4"/>
        <v>9.5004928301166899E-2</v>
      </c>
      <c r="BS10" s="3333">
        <f t="shared" si="4"/>
        <v>0.1245026143575915</v>
      </c>
      <c r="BT10" s="1404">
        <f t="shared" si="4"/>
        <v>0.14358707325804668</v>
      </c>
      <c r="BU10" s="1404">
        <f>BU59/BU5</f>
        <v>0.13135577528422768</v>
      </c>
      <c r="BV10" s="1404">
        <f>BV59/BV5</f>
        <v>9.6425555868280333E-2</v>
      </c>
      <c r="BW10" s="1404">
        <f>BW59/BW5</f>
        <v>0.12718108936571562</v>
      </c>
      <c r="BX10" s="1404"/>
      <c r="BY10" s="2884">
        <f t="shared" si="4"/>
        <v>0.12113231903466748</v>
      </c>
      <c r="BZ10" s="1405">
        <v>0.11378512733216077</v>
      </c>
      <c r="CA10" s="2909">
        <f t="shared" ref="CA10:CG10" si="5">CA59/CA5</f>
        <v>0.11253722662869634</v>
      </c>
      <c r="CB10" s="2909">
        <f t="shared" si="5"/>
        <v>0.11186302411168689</v>
      </c>
      <c r="CC10" s="2909">
        <f t="shared" si="5"/>
        <v>0.14129253179693446</v>
      </c>
      <c r="CD10" s="2909">
        <f t="shared" si="5"/>
        <v>0.1187159130134622</v>
      </c>
      <c r="CE10" s="2909">
        <f t="shared" si="5"/>
        <v>0.12274721459457753</v>
      </c>
      <c r="CF10" s="2909">
        <f t="shared" si="5"/>
        <v>0.12335821827650151</v>
      </c>
      <c r="CG10" s="2909">
        <f t="shared" si="5"/>
        <v>0.12343018905347049</v>
      </c>
      <c r="CH10" s="2909">
        <f>CH59/CH5</f>
        <v>0.12319591939125345</v>
      </c>
      <c r="CI10" s="1439"/>
      <c r="CJ10" s="1439"/>
      <c r="CK10" s="1439"/>
      <c r="CL10" s="1439"/>
      <c r="CM10" s="1439"/>
      <c r="CN10" s="1439"/>
      <c r="CO10" s="1439"/>
      <c r="CP10" s="1439"/>
      <c r="CQ10" s="1439"/>
      <c r="CR10" s="1439"/>
      <c r="CS10" s="1439"/>
      <c r="CT10" s="1439"/>
      <c r="CU10" s="1439"/>
      <c r="CV10" s="1439"/>
      <c r="CW10" s="1439"/>
      <c r="CX10" s="1439"/>
      <c r="CY10" s="1439"/>
      <c r="CZ10" s="1439"/>
      <c r="DA10" s="1439"/>
      <c r="DB10" s="1439"/>
      <c r="DC10" s="1439"/>
      <c r="DD10" s="1439"/>
      <c r="DE10" s="1439"/>
      <c r="DF10" s="1439"/>
      <c r="DG10" s="1439"/>
      <c r="DH10" s="1439"/>
      <c r="DI10" s="1439"/>
      <c r="DJ10" s="1439"/>
      <c r="DK10" s="1439"/>
      <c r="DL10" s="1439"/>
      <c r="DM10" s="1439"/>
      <c r="DN10" s="1439"/>
      <c r="DO10" s="1439"/>
      <c r="DP10" s="1439"/>
      <c r="DQ10" s="1439"/>
      <c r="DR10" s="1439"/>
      <c r="DS10" s="1439"/>
      <c r="DT10" s="1439"/>
      <c r="DU10" s="1439"/>
      <c r="DV10" s="1439"/>
      <c r="DW10" s="1439"/>
      <c r="DX10" s="1439"/>
      <c r="DY10" s="1439"/>
    </row>
    <row r="11" spans="1:129" s="1403" customFormat="1">
      <c r="A11" s="464" t="s">
        <v>18</v>
      </c>
      <c r="B11" s="1396"/>
      <c r="C11" s="1396"/>
      <c r="D11" s="1396"/>
      <c r="E11" s="1397"/>
      <c r="F11" s="1398">
        <f>F143/F5</f>
        <v>7.9763292551677106E-2</v>
      </c>
      <c r="G11" s="1398">
        <f>G143/G5</f>
        <v>8.6466116964120529E-2</v>
      </c>
      <c r="H11" s="1398">
        <f>H143/H5</f>
        <v>8.2254788202007087E-2</v>
      </c>
      <c r="I11" s="1398">
        <f>I143/I5</f>
        <v>8.8810360967110868E-2</v>
      </c>
      <c r="J11" s="1398"/>
      <c r="K11" s="1398"/>
      <c r="L11" s="1399"/>
      <c r="M11" s="1398"/>
      <c r="N11" s="1398"/>
      <c r="O11" s="1398"/>
      <c r="P11" s="1398"/>
      <c r="Q11" s="1398"/>
      <c r="R11" s="1398"/>
      <c r="S11" s="1398"/>
      <c r="T11" s="1398"/>
      <c r="U11" s="1398"/>
      <c r="V11" s="1398"/>
      <c r="W11" s="1400">
        <f t="shared" ref="W11:AB11" si="6">W143/W5</f>
        <v>0.10765963202222723</v>
      </c>
      <c r="X11" s="1401">
        <f t="shared" si="6"/>
        <v>9.0434116169980039E-2</v>
      </c>
      <c r="Y11" s="1401">
        <f t="shared" si="6"/>
        <v>9.2104456948604252E-2</v>
      </c>
      <c r="Z11" s="1401">
        <f t="shared" si="6"/>
        <v>9.2221296269030306E-2</v>
      </c>
      <c r="AA11" s="1401">
        <f t="shared" si="6"/>
        <v>9.4642902416144814E-2</v>
      </c>
      <c r="AB11" s="1402">
        <f t="shared" si="6"/>
        <v>9.0875651674034122E-2</v>
      </c>
      <c r="AC11" s="1401"/>
      <c r="AD11" s="1401">
        <f t="shared" ref="AD11:AN11" si="7">AD143/AD5</f>
        <v>8.906047932018854E-2</v>
      </c>
      <c r="AE11" s="1401">
        <f t="shared" si="7"/>
        <v>0.10457266289872019</v>
      </c>
      <c r="AF11" s="1401">
        <f t="shared" si="7"/>
        <v>9.0974849498327764E-2</v>
      </c>
      <c r="AG11" s="1402">
        <f t="shared" si="7"/>
        <v>8.9858545576407503E-2</v>
      </c>
      <c r="AH11" s="1401">
        <f t="shared" si="7"/>
        <v>7.9514405253680753E-2</v>
      </c>
      <c r="AI11" s="1401">
        <f t="shared" si="7"/>
        <v>9.4878743213437394E-2</v>
      </c>
      <c r="AJ11" s="1401">
        <f t="shared" si="7"/>
        <v>0.11643788001076137</v>
      </c>
      <c r="AK11" s="1404">
        <f t="shared" si="7"/>
        <v>0.10693982861400894</v>
      </c>
      <c r="AL11" s="1403">
        <f t="shared" si="7"/>
        <v>7.4853474966434144E-2</v>
      </c>
      <c r="AM11" s="1403">
        <f t="shared" si="7"/>
        <v>9.4010911781834419E-2</v>
      </c>
      <c r="AN11" s="1403">
        <f t="shared" si="7"/>
        <v>0.11296560268510801</v>
      </c>
      <c r="AO11" s="1404">
        <v>9.5214485553402575E-2</v>
      </c>
      <c r="AP11" s="1403">
        <f t="shared" ref="AP11:BM11" si="8">AP143/AP5</f>
        <v>7.431239888218856E-2</v>
      </c>
      <c r="AQ11" s="1403">
        <f t="shared" si="8"/>
        <v>9.197621437948876E-2</v>
      </c>
      <c r="AR11" s="1403">
        <f t="shared" si="8"/>
        <v>0.11233587291295186</v>
      </c>
      <c r="AS11" s="1403">
        <f t="shared" si="8"/>
        <v>9.4867240515553133E-2</v>
      </c>
      <c r="AT11" s="2838">
        <f t="shared" si="8"/>
        <v>7.2052772960658304E-2</v>
      </c>
      <c r="AU11" s="1403">
        <f t="shared" si="8"/>
        <v>9.3772091050473627E-2</v>
      </c>
      <c r="AV11" s="1403">
        <f t="shared" si="8"/>
        <v>0.11178371151632191</v>
      </c>
      <c r="AW11" s="1404">
        <f t="shared" si="8"/>
        <v>9.4988169498816943E-2</v>
      </c>
      <c r="AX11" s="2838">
        <f t="shared" si="8"/>
        <v>8.8342186189544314E-2</v>
      </c>
      <c r="AY11" s="1403">
        <f t="shared" si="8"/>
        <v>6.5241430151124213E-2</v>
      </c>
      <c r="AZ11" s="1403">
        <f t="shared" si="8"/>
        <v>0.13080755416521839</v>
      </c>
      <c r="BA11" s="1403">
        <f t="shared" si="8"/>
        <v>8.3652702524117883E-2</v>
      </c>
      <c r="BB11" s="2838">
        <f t="shared" si="8"/>
        <v>6.062767475035663E-2</v>
      </c>
      <c r="BC11" s="1403">
        <f t="shared" si="8"/>
        <v>8.3449435503242853E-2</v>
      </c>
      <c r="BD11" s="1403">
        <f t="shared" si="8"/>
        <v>0.13457943925233645</v>
      </c>
      <c r="BE11" s="1404">
        <f t="shared" si="8"/>
        <v>0.10788524308538051</v>
      </c>
      <c r="BF11" s="1403">
        <f t="shared" si="8"/>
        <v>7.6929378993937411E-2</v>
      </c>
      <c r="BG11" s="1403">
        <f t="shared" si="8"/>
        <v>0.10566586326944413</v>
      </c>
      <c r="BH11" s="1403">
        <f t="shared" si="8"/>
        <v>0.13190478175678494</v>
      </c>
      <c r="BI11" s="1404">
        <f t="shared" si="8"/>
        <v>0.1075520452440154</v>
      </c>
      <c r="BJ11" s="1403">
        <f t="shared" si="8"/>
        <v>7.6562021699942182E-2</v>
      </c>
      <c r="BK11" s="1404">
        <f t="shared" si="8"/>
        <v>0.10801215182460379</v>
      </c>
      <c r="BL11" s="1404">
        <f t="shared" si="8"/>
        <v>0.13716176756861981</v>
      </c>
      <c r="BM11" s="1404">
        <f t="shared" si="8"/>
        <v>0.1175249169435216</v>
      </c>
      <c r="BO11" s="1404">
        <f t="shared" ref="BO11:BY11" si="9">BO143/BO5</f>
        <v>0.11082983666816937</v>
      </c>
      <c r="BP11" s="1404">
        <f t="shared" si="9"/>
        <v>0.13353698450796422</v>
      </c>
      <c r="BQ11" s="3333">
        <f t="shared" si="9"/>
        <v>0.11665711243960364</v>
      </c>
      <c r="BR11" s="3333">
        <f t="shared" si="9"/>
        <v>8.365393787160981E-2</v>
      </c>
      <c r="BS11" s="3333">
        <f t="shared" si="9"/>
        <v>0.11210496892367391</v>
      </c>
      <c r="BT11" s="1404">
        <f t="shared" si="9"/>
        <v>0.13135027825690759</v>
      </c>
      <c r="BU11" s="1404">
        <f>BU143/BU5</f>
        <v>0.1186905158686072</v>
      </c>
      <c r="BV11" s="1404">
        <f>BV143/BV5</f>
        <v>8.581480439065578E-2</v>
      </c>
      <c r="BW11" s="1404">
        <f>BW143/BW5</f>
        <v>0.11530299457675076</v>
      </c>
      <c r="BX11" s="1404"/>
      <c r="BY11" s="2885">
        <f t="shared" si="9"/>
        <v>9.9087918156590418E-2</v>
      </c>
      <c r="BZ11" s="1405">
        <v>9.3922633623834267E-2</v>
      </c>
      <c r="CA11" s="2909">
        <f t="shared" ref="CA11:CG11" si="10">CA143/CA5</f>
        <v>9.2833435278309784E-2</v>
      </c>
      <c r="CB11" s="2909">
        <f t="shared" si="10"/>
        <v>9.1811667423729759E-2</v>
      </c>
      <c r="CC11" s="2909">
        <f t="shared" si="10"/>
        <v>9.5635395151646915E-2</v>
      </c>
      <c r="CD11" s="2909">
        <f t="shared" si="10"/>
        <v>9.770107007248878E-2</v>
      </c>
      <c r="CE11" s="2909">
        <f t="shared" si="10"/>
        <v>0.10531410114782902</v>
      </c>
      <c r="CF11" s="2909">
        <f t="shared" si="10"/>
        <v>0.10824469873845828</v>
      </c>
      <c r="CG11" s="2909">
        <f t="shared" si="10"/>
        <v>0.11042093021159204</v>
      </c>
      <c r="CH11" s="2909">
        <f>CH143/CH5</f>
        <v>0.11102098837695459</v>
      </c>
      <c r="CI11" s="1439"/>
      <c r="CJ11" s="1439"/>
      <c r="CK11" s="1439"/>
      <c r="CL11" s="1439"/>
      <c r="CM11" s="1439"/>
      <c r="CN11" s="1439"/>
      <c r="CO11" s="1439"/>
      <c r="CP11" s="1439"/>
      <c r="CQ11" s="1439"/>
      <c r="CR11" s="1439"/>
      <c r="CS11" s="1439"/>
      <c r="CT11" s="1439"/>
      <c r="CU11" s="1439"/>
      <c r="CV11" s="1439"/>
      <c r="CW11" s="1439"/>
      <c r="CX11" s="1439"/>
      <c r="CY11" s="1439"/>
      <c r="CZ11" s="1439"/>
      <c r="DA11" s="1439"/>
      <c r="DB11" s="1439"/>
      <c r="DC11" s="1439"/>
      <c r="DD11" s="1439"/>
      <c r="DE11" s="1439"/>
      <c r="DF11" s="1439"/>
      <c r="DG11" s="1439"/>
      <c r="DH11" s="1439"/>
      <c r="DI11" s="1439"/>
      <c r="DJ11" s="1439"/>
      <c r="DK11" s="1439"/>
      <c r="DL11" s="1439"/>
      <c r="DM11" s="1439"/>
      <c r="DN11" s="1439"/>
      <c r="DO11" s="1439"/>
      <c r="DP11" s="1439"/>
      <c r="DQ11" s="1439"/>
      <c r="DR11" s="1439"/>
      <c r="DS11" s="1439"/>
      <c r="DT11" s="1439"/>
      <c r="DU11" s="1439"/>
      <c r="DV11" s="1439"/>
      <c r="DW11" s="1439"/>
      <c r="DX11" s="1439"/>
      <c r="DY11" s="1439"/>
    </row>
    <row r="12" spans="1:129" s="473" customFormat="1" ht="15">
      <c r="A12" s="464"/>
      <c r="B12" s="466"/>
      <c r="C12" s="466"/>
      <c r="D12" s="466"/>
      <c r="E12" s="467"/>
      <c r="F12" s="82"/>
      <c r="G12" s="82"/>
      <c r="H12" s="82"/>
      <c r="I12" s="3177" t="s">
        <v>2789</v>
      </c>
      <c r="J12" s="82"/>
      <c r="K12" s="82"/>
      <c r="L12" s="224"/>
      <c r="M12" s="82"/>
      <c r="N12" s="82"/>
      <c r="O12" s="82"/>
      <c r="P12" s="82"/>
      <c r="Q12" s="82"/>
      <c r="R12" s="82"/>
      <c r="S12" s="82"/>
      <c r="T12" s="82"/>
      <c r="U12" s="82"/>
      <c r="V12" s="82"/>
      <c r="W12" s="115"/>
      <c r="X12" s="211"/>
      <c r="Y12" s="211"/>
      <c r="Z12" s="211"/>
      <c r="AA12" s="211"/>
      <c r="AB12" s="446"/>
      <c r="AC12" s="211"/>
      <c r="AD12" s="211"/>
      <c r="AE12" s="211"/>
      <c r="AF12" s="211"/>
      <c r="AG12" s="446"/>
      <c r="AH12" s="211"/>
      <c r="AI12" s="211"/>
      <c r="AJ12" s="211"/>
      <c r="AK12" s="486"/>
      <c r="AO12" s="486"/>
      <c r="AT12" s="2819"/>
      <c r="AW12" s="486"/>
      <c r="AX12" s="2819"/>
      <c r="BB12" s="2819"/>
      <c r="BE12" s="486"/>
      <c r="BI12" s="486"/>
      <c r="BM12" s="486"/>
      <c r="BO12" s="486"/>
      <c r="BP12" s="486"/>
      <c r="BQ12" s="3334"/>
      <c r="BY12" s="451"/>
      <c r="BZ12" s="489"/>
      <c r="CA12" s="98"/>
      <c r="CB12" s="98"/>
      <c r="CC12" s="98"/>
      <c r="CD12" s="98"/>
      <c r="CE12" s="98"/>
      <c r="CF12" s="98"/>
      <c r="CG12" s="98"/>
      <c r="CH12" s="98"/>
      <c r="CI12" s="27"/>
      <c r="CJ12" s="27"/>
      <c r="CK12" s="27"/>
      <c r="CL12" s="27"/>
      <c r="CM12" s="27"/>
      <c r="CN12" s="27"/>
      <c r="CO12" s="27"/>
      <c r="CP12" s="27"/>
      <c r="CQ12" s="27"/>
      <c r="CR12" s="27"/>
      <c r="CS12" s="27"/>
      <c r="CT12" s="27"/>
      <c r="CU12" s="27"/>
      <c r="CV12" s="27"/>
      <c r="CW12" s="27"/>
      <c r="CX12" s="27"/>
      <c r="CY12" s="27"/>
      <c r="CZ12" s="27"/>
      <c r="DA12" s="27"/>
      <c r="DB12" s="27"/>
      <c r="DC12" s="27"/>
      <c r="DD12" s="27"/>
      <c r="DE12" s="27"/>
      <c r="DF12" s="27"/>
      <c r="DG12" s="27"/>
      <c r="DH12" s="27"/>
      <c r="DI12" s="27"/>
      <c r="DJ12" s="27"/>
      <c r="DK12" s="27"/>
      <c r="DL12" s="27"/>
      <c r="DM12" s="27"/>
      <c r="DN12" s="27"/>
      <c r="DO12" s="27"/>
      <c r="DP12" s="27"/>
      <c r="DQ12" s="27"/>
      <c r="DR12" s="27"/>
      <c r="DS12" s="27"/>
      <c r="DT12" s="27"/>
      <c r="DU12" s="27"/>
      <c r="DV12" s="27"/>
      <c r="DW12" s="27"/>
      <c r="DX12" s="27"/>
      <c r="DY12" s="27"/>
    </row>
    <row r="13" spans="1:129" s="473" customFormat="1" ht="11.5" hidden="1" outlineLevel="1">
      <c r="A13" s="990" t="s">
        <v>1322</v>
      </c>
      <c r="B13" s="466"/>
      <c r="C13" s="466"/>
      <c r="D13" s="466"/>
      <c r="E13" s="467"/>
      <c r="F13" s="82"/>
      <c r="G13" s="82"/>
      <c r="H13" s="82"/>
      <c r="I13" s="82"/>
      <c r="J13" s="82"/>
      <c r="K13" s="82"/>
      <c r="L13" s="224"/>
      <c r="M13" s="82"/>
      <c r="N13" s="82"/>
      <c r="O13" s="82"/>
      <c r="P13" s="82"/>
      <c r="Q13" s="82"/>
      <c r="R13" s="82"/>
      <c r="S13" s="82"/>
      <c r="T13" s="82"/>
      <c r="U13" s="82"/>
      <c r="V13" s="82"/>
      <c r="W13" s="115"/>
      <c r="X13" s="211"/>
      <c r="Y13" s="211"/>
      <c r="Z13" s="211"/>
      <c r="AA13" s="211"/>
      <c r="AB13" s="446"/>
      <c r="AC13" s="211"/>
      <c r="AD13" s="211"/>
      <c r="AE13" s="211"/>
      <c r="AF13" s="211"/>
      <c r="AG13" s="446"/>
      <c r="AH13" s="211"/>
      <c r="AI13" s="211"/>
      <c r="AJ13" s="211"/>
      <c r="AK13" s="486"/>
      <c r="AO13" s="486"/>
      <c r="AT13" s="2819"/>
      <c r="AW13" s="486"/>
      <c r="AX13" s="2819"/>
      <c r="BB13" s="2819"/>
      <c r="BE13" s="486"/>
      <c r="BI13" s="486"/>
      <c r="BM13" s="486"/>
      <c r="BO13" s="486"/>
      <c r="BP13" s="486"/>
      <c r="BQ13" s="3334"/>
      <c r="BY13" s="451"/>
      <c r="BZ13" s="489"/>
      <c r="CA13" s="98"/>
      <c r="CB13" s="98"/>
      <c r="CC13" s="98"/>
      <c r="CD13" s="98"/>
      <c r="CE13" s="98"/>
      <c r="CF13" s="98"/>
      <c r="CG13" s="98"/>
      <c r="CH13" s="98"/>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row>
    <row r="14" spans="1:129" s="1795" customFormat="1" ht="11.5" hidden="1" outlineLevel="1">
      <c r="A14" s="991" t="s">
        <v>1323</v>
      </c>
      <c r="B14" s="1853"/>
      <c r="C14" s="1853"/>
      <c r="D14" s="1853"/>
      <c r="E14" s="1854"/>
      <c r="F14" s="1855"/>
      <c r="G14" s="1855"/>
      <c r="H14" s="1855"/>
      <c r="I14" s="1855"/>
      <c r="J14" s="1855"/>
      <c r="K14" s="1855"/>
      <c r="L14" s="1856"/>
      <c r="M14" s="1855"/>
      <c r="N14" s="1855"/>
      <c r="O14" s="1855"/>
      <c r="P14" s="1855"/>
      <c r="Q14" s="1855"/>
      <c r="R14" s="1855"/>
      <c r="S14" s="1855"/>
      <c r="T14" s="1855"/>
      <c r="U14" s="1855"/>
      <c r="V14" s="1855"/>
      <c r="W14" s="1857"/>
      <c r="X14" s="1793"/>
      <c r="Y14" s="1793"/>
      <c r="Z14" s="1793"/>
      <c r="AA14" s="1793"/>
      <c r="AB14" s="1858"/>
      <c r="AC14" s="1859">
        <v>8887</v>
      </c>
      <c r="AD14" s="1859">
        <v>9301</v>
      </c>
      <c r="AE14" s="1859">
        <v>9584</v>
      </c>
      <c r="AF14" s="1859">
        <v>9616</v>
      </c>
      <c r="AG14" s="1860">
        <v>37388</v>
      </c>
      <c r="AH14" s="1859">
        <v>12288</v>
      </c>
      <c r="AI14" s="1859">
        <v>12179</v>
      </c>
      <c r="AJ14" s="1859">
        <v>11793</v>
      </c>
      <c r="AK14" s="1860">
        <v>10050</v>
      </c>
      <c r="AL14" s="1859">
        <v>15128</v>
      </c>
      <c r="AM14" s="1859">
        <v>14730</v>
      </c>
      <c r="AN14" s="1859">
        <v>13540</v>
      </c>
      <c r="AO14" s="1860">
        <v>11800</v>
      </c>
      <c r="AP14" s="1859">
        <v>16582</v>
      </c>
      <c r="AQ14" s="1859">
        <v>16213</v>
      </c>
      <c r="AR14" s="1859">
        <v>15232</v>
      </c>
      <c r="AS14" s="1859">
        <v>13362</v>
      </c>
      <c r="AT14" s="2835">
        <v>18363</v>
      </c>
      <c r="AU14" s="1859">
        <v>17962</v>
      </c>
      <c r="AV14" s="1859">
        <v>16793</v>
      </c>
      <c r="AW14" s="1860">
        <v>14315</v>
      </c>
      <c r="AX14" s="2835"/>
      <c r="AY14" s="1859"/>
      <c r="AZ14" s="1859"/>
      <c r="BA14" s="1859"/>
      <c r="BB14" s="2835"/>
      <c r="BC14" s="1859"/>
      <c r="BD14" s="1859"/>
      <c r="BE14" s="1860"/>
      <c r="BF14" s="1859"/>
      <c r="BG14" s="1859"/>
      <c r="BH14" s="1859"/>
      <c r="BI14" s="1860"/>
      <c r="BJ14" s="1859"/>
      <c r="BK14" s="1859"/>
      <c r="BL14" s="1859"/>
      <c r="BM14" s="1860"/>
      <c r="BN14" s="1859"/>
      <c r="BO14" s="1860"/>
      <c r="BP14" s="1860"/>
      <c r="BQ14" s="1794"/>
      <c r="BR14" s="1859"/>
      <c r="BS14" s="1859"/>
      <c r="BT14" s="1859"/>
      <c r="BU14" s="1859"/>
      <c r="BV14" s="1859"/>
      <c r="BW14" s="1859"/>
      <c r="BX14" s="1859"/>
      <c r="BY14" s="1861">
        <v>51053</v>
      </c>
      <c r="BZ14" s="1861">
        <v>55198</v>
      </c>
      <c r="CA14" s="1837">
        <f>SUM(AP14:AS14)</f>
        <v>61389</v>
      </c>
      <c r="CB14" s="1837">
        <v>67433</v>
      </c>
      <c r="CC14" s="1837"/>
      <c r="CD14" s="1941"/>
      <c r="CE14" s="1941"/>
      <c r="CF14" s="1941"/>
      <c r="CG14" s="1941"/>
      <c r="CH14" s="1941"/>
      <c r="CI14" s="1839"/>
      <c r="CJ14" s="1839"/>
      <c r="CK14" s="1839"/>
      <c r="CL14" s="1839"/>
      <c r="CM14" s="1839"/>
      <c r="CN14" s="1839"/>
      <c r="CO14" s="1839"/>
      <c r="CP14" s="1839"/>
      <c r="CQ14" s="1839"/>
      <c r="CR14" s="1839"/>
      <c r="CS14" s="1839"/>
      <c r="CT14" s="1839"/>
      <c r="CU14" s="1839"/>
      <c r="CV14" s="1839"/>
      <c r="CW14" s="1839"/>
      <c r="CX14" s="1839"/>
      <c r="CY14" s="1839"/>
      <c r="CZ14" s="1839"/>
      <c r="DA14" s="1839"/>
      <c r="DB14" s="1839"/>
      <c r="DC14" s="1839"/>
      <c r="DD14" s="1839"/>
      <c r="DE14" s="1839"/>
      <c r="DF14" s="1839"/>
      <c r="DG14" s="1839"/>
      <c r="DH14" s="1839"/>
      <c r="DI14" s="1839"/>
      <c r="DJ14" s="1839"/>
      <c r="DK14" s="1839"/>
      <c r="DL14" s="1839"/>
      <c r="DM14" s="1839"/>
      <c r="DN14" s="1839"/>
      <c r="DO14" s="1839"/>
      <c r="DP14" s="1839"/>
      <c r="DQ14" s="1839"/>
      <c r="DR14" s="1839"/>
      <c r="DS14" s="1839"/>
      <c r="DT14" s="1839"/>
      <c r="DU14" s="1839"/>
      <c r="DV14" s="1839"/>
      <c r="DW14" s="1839"/>
      <c r="DX14" s="1839"/>
      <c r="DY14" s="1839"/>
    </row>
    <row r="15" spans="1:129" s="988" customFormat="1" hidden="1" outlineLevel="1">
      <c r="A15" s="1459" t="s">
        <v>1325</v>
      </c>
      <c r="B15" s="986"/>
      <c r="C15" s="986"/>
      <c r="D15" s="986"/>
      <c r="E15" s="477"/>
      <c r="F15" s="1511"/>
      <c r="G15" s="1511"/>
      <c r="H15" s="1511"/>
      <c r="I15" s="1511"/>
      <c r="J15" s="1511"/>
      <c r="K15" s="1511"/>
      <c r="L15" s="224"/>
      <c r="M15" s="1511"/>
      <c r="N15" s="1511"/>
      <c r="O15" s="1511"/>
      <c r="P15" s="1511"/>
      <c r="Q15" s="1511"/>
      <c r="R15" s="1511"/>
      <c r="S15" s="1511"/>
      <c r="T15" s="1511"/>
      <c r="U15" s="1511"/>
      <c r="V15" s="1511"/>
      <c r="W15" s="1512"/>
      <c r="X15" s="987"/>
      <c r="Y15" s="987"/>
      <c r="Z15" s="987"/>
      <c r="AA15" s="987"/>
      <c r="AB15" s="468"/>
      <c r="AC15" s="987"/>
      <c r="AD15" s="987"/>
      <c r="AE15" s="987"/>
      <c r="AF15" s="987"/>
      <c r="AG15" s="468"/>
      <c r="AH15" s="988">
        <f>AH14/AC14-1</f>
        <v>0.38269382243726802</v>
      </c>
      <c r="AI15" s="988">
        <f>AI14/AD14-1</f>
        <v>0.30942909364584459</v>
      </c>
      <c r="AJ15" s="988">
        <f>AJ14/AE14-1</f>
        <v>0.23048831385642732</v>
      </c>
      <c r="AK15" s="989">
        <f>AK14/AF14-1</f>
        <v>4.5133111480865296E-2</v>
      </c>
      <c r="AL15" s="988">
        <v>0.10069848661233993</v>
      </c>
      <c r="AM15" s="988">
        <v>0.10585585585585577</v>
      </c>
      <c r="AN15" s="988">
        <v>4.8393341076267804E-2</v>
      </c>
      <c r="AO15" s="989">
        <v>6.5558966949611719E-2</v>
      </c>
      <c r="AP15" s="988">
        <f t="shared" ref="AP15:AW15" si="11">AP14/AL14-1</f>
        <v>9.6113167636171282E-2</v>
      </c>
      <c r="AQ15" s="988">
        <f t="shared" si="11"/>
        <v>0.10067888662593338</v>
      </c>
      <c r="AR15" s="988">
        <f t="shared" si="11"/>
        <v>0.12496307237813875</v>
      </c>
      <c r="AS15" s="988">
        <f t="shared" si="11"/>
        <v>0.13237288135593217</v>
      </c>
      <c r="AT15" s="2829">
        <f t="shared" si="11"/>
        <v>0.10740562055240632</v>
      </c>
      <c r="AU15" s="988">
        <f t="shared" si="11"/>
        <v>0.10787639548510453</v>
      </c>
      <c r="AV15" s="988">
        <f t="shared" si="11"/>
        <v>0.10248161764705888</v>
      </c>
      <c r="AW15" s="989">
        <f t="shared" si="11"/>
        <v>7.1321658434366109E-2</v>
      </c>
      <c r="AX15" s="2829"/>
      <c r="BB15" s="2829"/>
      <c r="BE15" s="989"/>
      <c r="BI15" s="989"/>
      <c r="BM15" s="989"/>
      <c r="BO15" s="989"/>
      <c r="BP15" s="989"/>
      <c r="BQ15" s="3335"/>
      <c r="BY15" s="1009">
        <f>BY14/AG14-1</f>
        <v>0.36549160158339578</v>
      </c>
      <c r="BZ15" s="1009">
        <f>BZ14/BY14-1</f>
        <v>8.1190135741288527E-2</v>
      </c>
      <c r="CA15" s="2829">
        <f>CA14/BZ14-1</f>
        <v>0.11215986086452401</v>
      </c>
      <c r="CB15" s="2829">
        <f>CB14/CA14-1</f>
        <v>9.8454120445030879E-2</v>
      </c>
      <c r="CC15" s="2829"/>
      <c r="CD15" s="98"/>
      <c r="CE15" s="98"/>
      <c r="CF15" s="98"/>
      <c r="CG15" s="98"/>
      <c r="CH15" s="98"/>
      <c r="CI15" s="27"/>
      <c r="CJ15" s="27"/>
      <c r="CK15" s="27"/>
      <c r="CL15" s="27"/>
      <c r="CM15" s="27"/>
      <c r="CN15" s="27"/>
      <c r="CO15" s="27"/>
      <c r="CP15" s="27"/>
      <c r="CQ15" s="27"/>
      <c r="CR15" s="27"/>
      <c r="CS15" s="27"/>
      <c r="CT15" s="27"/>
      <c r="CU15" s="27"/>
      <c r="CV15" s="27"/>
      <c r="CW15" s="27"/>
      <c r="CX15" s="27"/>
      <c r="CY15" s="27"/>
      <c r="CZ15" s="27"/>
      <c r="DA15" s="27"/>
      <c r="DB15" s="27"/>
      <c r="DC15" s="27"/>
      <c r="DD15" s="27"/>
      <c r="DE15" s="27"/>
      <c r="DF15" s="27"/>
      <c r="DG15" s="27"/>
      <c r="DH15" s="27"/>
      <c r="DI15" s="27"/>
      <c r="DJ15" s="27"/>
      <c r="DK15" s="27"/>
      <c r="DL15" s="27"/>
      <c r="DM15" s="27"/>
      <c r="DN15" s="27"/>
      <c r="DO15" s="27"/>
      <c r="DP15" s="27"/>
      <c r="DQ15" s="27"/>
      <c r="DR15" s="27"/>
      <c r="DS15" s="27"/>
      <c r="DT15" s="27"/>
      <c r="DU15" s="27"/>
      <c r="DV15" s="27"/>
      <c r="DW15" s="27"/>
      <c r="DX15" s="27"/>
      <c r="DY15" s="27"/>
    </row>
    <row r="16" spans="1:129" s="473" customFormat="1" ht="11.5" hidden="1" outlineLevel="1">
      <c r="A16" s="1459" t="s">
        <v>1327</v>
      </c>
      <c r="B16" s="466"/>
      <c r="C16" s="466"/>
      <c r="D16" s="466"/>
      <c r="E16" s="467"/>
      <c r="F16" s="82"/>
      <c r="G16" s="82"/>
      <c r="H16" s="82"/>
      <c r="I16" s="82"/>
      <c r="J16" s="82"/>
      <c r="K16" s="82"/>
      <c r="L16" s="1513"/>
      <c r="M16" s="82"/>
      <c r="N16" s="82"/>
      <c r="O16" s="82"/>
      <c r="P16" s="82"/>
      <c r="Q16" s="82"/>
      <c r="R16" s="82"/>
      <c r="S16" s="82"/>
      <c r="T16" s="82"/>
      <c r="U16" s="82"/>
      <c r="V16" s="82"/>
      <c r="W16" s="115"/>
      <c r="X16" s="211"/>
      <c r="Y16" s="211"/>
      <c r="Z16" s="211"/>
      <c r="AA16" s="211"/>
      <c r="AB16" s="446"/>
      <c r="AC16" s="211"/>
      <c r="AD16" s="211"/>
      <c r="AE16" s="211"/>
      <c r="AF16" s="211"/>
      <c r="AG16" s="446"/>
      <c r="AH16" s="473">
        <f t="shared" ref="AH16:AW16" si="12">AH14/AH5</f>
        <v>0.65077851922465846</v>
      </c>
      <c r="AI16" s="473">
        <f t="shared" si="12"/>
        <v>0.64573082796063797</v>
      </c>
      <c r="AJ16" s="473">
        <f t="shared" si="12"/>
        <v>0.63454398708635995</v>
      </c>
      <c r="AK16" s="486">
        <f t="shared" si="12"/>
        <v>0.62406855439642328</v>
      </c>
      <c r="AL16" s="473">
        <f t="shared" si="12"/>
        <v>0.64073730532860662</v>
      </c>
      <c r="AM16" s="473">
        <f t="shared" si="12"/>
        <v>0.64498614133647436</v>
      </c>
      <c r="AN16" s="473">
        <f t="shared" si="12"/>
        <v>0.61000608203996121</v>
      </c>
      <c r="AO16" s="486">
        <f t="shared" si="12"/>
        <v>0.59698774151442635</v>
      </c>
      <c r="AP16" s="473">
        <f t="shared" si="12"/>
        <v>0.60972201794381531</v>
      </c>
      <c r="AQ16" s="473">
        <f t="shared" si="12"/>
        <v>0.62603289829330455</v>
      </c>
      <c r="AR16" s="473">
        <f t="shared" si="12"/>
        <v>0.61727994812773546</v>
      </c>
      <c r="AS16" s="473">
        <f t="shared" si="12"/>
        <v>0.60855308102199757</v>
      </c>
      <c r="AT16" s="2819">
        <f t="shared" si="12"/>
        <v>0.62440069366520456</v>
      </c>
      <c r="AU16" s="473">
        <f t="shared" si="12"/>
        <v>0.63487911777180828</v>
      </c>
      <c r="AV16" s="473">
        <f t="shared" si="12"/>
        <v>0.62364912541315409</v>
      </c>
      <c r="AW16" s="486">
        <f t="shared" si="12"/>
        <v>0.61583136158313612</v>
      </c>
      <c r="AX16" s="2819"/>
      <c r="BB16" s="2819"/>
      <c r="BE16" s="486"/>
      <c r="BI16" s="486"/>
      <c r="BM16" s="486"/>
      <c r="BO16" s="486"/>
      <c r="BP16" s="486"/>
      <c r="BQ16" s="3334"/>
      <c r="BY16" s="489">
        <f>BY14/BY5</f>
        <v>0.7048501332302467</v>
      </c>
      <c r="BZ16" s="489">
        <f>BZ14/BZ5</f>
        <v>0.62433760695844953</v>
      </c>
      <c r="CA16" s="2819">
        <f>CA14/CA5</f>
        <v>0.61557050748543529</v>
      </c>
      <c r="CB16" s="2819">
        <f>CB14/CB5</f>
        <v>0.62511471823347831</v>
      </c>
      <c r="CC16" s="2819"/>
      <c r="CD16" s="98"/>
      <c r="CE16" s="98"/>
      <c r="CF16" s="98"/>
      <c r="CG16" s="98"/>
      <c r="CH16" s="98"/>
      <c r="CI16" s="27"/>
      <c r="CJ16" s="27"/>
      <c r="CK16" s="27"/>
      <c r="CL16" s="27"/>
      <c r="CM16" s="27"/>
      <c r="CN16" s="27"/>
      <c r="CO16" s="27"/>
      <c r="CP16" s="27"/>
      <c r="CQ16" s="27"/>
      <c r="CR16" s="27"/>
      <c r="CS16" s="27"/>
      <c r="CT16" s="27"/>
      <c r="CU16" s="27"/>
      <c r="CV16" s="27"/>
      <c r="CW16" s="27"/>
      <c r="CX16" s="27"/>
      <c r="CY16" s="27"/>
      <c r="CZ16" s="27"/>
      <c r="DA16" s="27"/>
      <c r="DB16" s="27"/>
      <c r="DC16" s="27"/>
      <c r="DD16" s="27"/>
      <c r="DE16" s="27"/>
      <c r="DF16" s="27"/>
      <c r="DG16" s="27"/>
      <c r="DH16" s="27"/>
      <c r="DI16" s="27"/>
      <c r="DJ16" s="27"/>
      <c r="DK16" s="27"/>
      <c r="DL16" s="27"/>
      <c r="DM16" s="27"/>
      <c r="DN16" s="27"/>
      <c r="DO16" s="27"/>
      <c r="DP16" s="27"/>
      <c r="DQ16" s="27"/>
      <c r="DR16" s="27"/>
      <c r="DS16" s="27"/>
      <c r="DT16" s="27"/>
      <c r="DU16" s="27"/>
      <c r="DV16" s="27"/>
      <c r="DW16" s="27"/>
      <c r="DX16" s="27"/>
      <c r="DY16" s="27"/>
    </row>
    <row r="17" spans="1:129" s="1859" customFormat="1" ht="11.5" hidden="1" outlineLevel="1">
      <c r="A17" s="1514" t="s">
        <v>1324</v>
      </c>
      <c r="B17" s="1862"/>
      <c r="C17" s="1862"/>
      <c r="D17" s="1862"/>
      <c r="E17" s="1863"/>
      <c r="F17" s="1864"/>
      <c r="G17" s="1864"/>
      <c r="H17" s="1864"/>
      <c r="I17" s="1864"/>
      <c r="J17" s="1864"/>
      <c r="K17" s="1864"/>
      <c r="L17" s="1865"/>
      <c r="M17" s="1864"/>
      <c r="N17" s="1864"/>
      <c r="O17" s="1864"/>
      <c r="P17" s="1864"/>
      <c r="Q17" s="1864"/>
      <c r="R17" s="1864"/>
      <c r="S17" s="1864"/>
      <c r="T17" s="1864"/>
      <c r="U17" s="1864"/>
      <c r="V17" s="1864"/>
      <c r="W17" s="1866"/>
      <c r="AB17" s="1860"/>
      <c r="AC17" s="1859">
        <v>6098</v>
      </c>
      <c r="AD17" s="1859">
        <v>5762</v>
      </c>
      <c r="AE17" s="1859">
        <v>5809</v>
      </c>
      <c r="AF17" s="1859">
        <v>5335</v>
      </c>
      <c r="AG17" s="1860">
        <v>22292</v>
      </c>
      <c r="AH17" s="1859">
        <v>6594</v>
      </c>
      <c r="AI17" s="1859">
        <v>6682</v>
      </c>
      <c r="AJ17" s="1859">
        <v>6793</v>
      </c>
      <c r="AK17" s="1860">
        <v>6054</v>
      </c>
      <c r="AL17" s="1859">
        <v>8483</v>
      </c>
      <c r="AM17" s="1859">
        <v>8108</v>
      </c>
      <c r="AN17" s="1859">
        <v>8657</v>
      </c>
      <c r="AO17" s="1860">
        <v>7966</v>
      </c>
      <c r="AP17" s="1859">
        <v>10614</v>
      </c>
      <c r="AQ17" s="1859">
        <v>9685</v>
      </c>
      <c r="AR17" s="1859">
        <v>9444</v>
      </c>
      <c r="AS17" s="1859">
        <v>8595</v>
      </c>
      <c r="AT17" s="2835">
        <v>11046</v>
      </c>
      <c r="AU17" s="1859">
        <v>10330</v>
      </c>
      <c r="AV17" s="1859">
        <v>10134</v>
      </c>
      <c r="AW17" s="1860">
        <v>8930</v>
      </c>
      <c r="AX17" s="2835"/>
      <c r="BB17" s="2835"/>
      <c r="BE17" s="1860"/>
      <c r="BI17" s="1860"/>
      <c r="BM17" s="1860"/>
      <c r="BO17" s="1860"/>
      <c r="BP17" s="1860"/>
      <c r="BQ17" s="1794"/>
      <c r="BY17" s="1861">
        <v>27358</v>
      </c>
      <c r="BZ17" s="1861">
        <v>7966</v>
      </c>
      <c r="CA17" s="1837">
        <f>SUM(AP17:AS17)</f>
        <v>38338</v>
      </c>
      <c r="CB17" s="1837">
        <v>40440</v>
      </c>
      <c r="CC17" s="1837"/>
      <c r="CD17" s="1941"/>
      <c r="CE17" s="1941"/>
      <c r="CF17" s="1941"/>
      <c r="CG17" s="1941"/>
      <c r="CH17" s="1941"/>
      <c r="CI17" s="1839"/>
      <c r="CJ17" s="1839"/>
      <c r="CK17" s="1839"/>
      <c r="CL17" s="1839"/>
      <c r="CM17" s="1839"/>
      <c r="CN17" s="1839"/>
      <c r="CO17" s="1839"/>
      <c r="CP17" s="1839"/>
      <c r="CQ17" s="1839"/>
      <c r="CR17" s="1839"/>
      <c r="CS17" s="1839"/>
      <c r="CT17" s="1839"/>
      <c r="CU17" s="1839"/>
      <c r="CV17" s="1839"/>
      <c r="CW17" s="1839"/>
      <c r="CX17" s="1839"/>
      <c r="CY17" s="1839"/>
      <c r="CZ17" s="1839"/>
      <c r="DA17" s="1839"/>
      <c r="DB17" s="1839"/>
      <c r="DC17" s="1839"/>
      <c r="DD17" s="1839"/>
      <c r="DE17" s="1839"/>
      <c r="DF17" s="1839"/>
      <c r="DG17" s="1839"/>
      <c r="DH17" s="1839"/>
      <c r="DI17" s="1839"/>
      <c r="DJ17" s="1839"/>
      <c r="DK17" s="1839"/>
      <c r="DL17" s="1839"/>
      <c r="DM17" s="1839"/>
      <c r="DN17" s="1839"/>
      <c r="DO17" s="1839"/>
      <c r="DP17" s="1839"/>
      <c r="DQ17" s="1839"/>
      <c r="DR17" s="1839"/>
      <c r="DS17" s="1839"/>
      <c r="DT17" s="1839"/>
      <c r="DU17" s="1839"/>
      <c r="DV17" s="1839"/>
      <c r="DW17" s="1839"/>
      <c r="DX17" s="1839"/>
      <c r="DY17" s="1839"/>
    </row>
    <row r="18" spans="1:129" s="988" customFormat="1" hidden="1" outlineLevel="1">
      <c r="A18" s="1459" t="s">
        <v>1326</v>
      </c>
      <c r="B18" s="986"/>
      <c r="C18" s="986"/>
      <c r="D18" s="986"/>
      <c r="E18" s="477"/>
      <c r="F18" s="1511"/>
      <c r="G18" s="1511"/>
      <c r="H18" s="1511"/>
      <c r="I18" s="1511"/>
      <c r="J18" s="1511"/>
      <c r="K18" s="1511"/>
      <c r="L18" s="224"/>
      <c r="M18" s="1511"/>
      <c r="N18" s="1511"/>
      <c r="O18" s="1511"/>
      <c r="P18" s="1511"/>
      <c r="Q18" s="1511"/>
      <c r="R18" s="1511"/>
      <c r="S18" s="1511"/>
      <c r="T18" s="1511"/>
      <c r="U18" s="1511"/>
      <c r="V18" s="1511"/>
      <c r="W18" s="1512"/>
      <c r="X18" s="987"/>
      <c r="Y18" s="987"/>
      <c r="Z18" s="987"/>
      <c r="AA18" s="987"/>
      <c r="AB18" s="468"/>
      <c r="AC18" s="987"/>
      <c r="AD18" s="987"/>
      <c r="AE18" s="987"/>
      <c r="AF18" s="987"/>
      <c r="AG18" s="468"/>
      <c r="AH18" s="988">
        <f>AH17/AC17-1</f>
        <v>8.133814365365688E-2</v>
      </c>
      <c r="AI18" s="988">
        <f>AI17/AD17-1</f>
        <v>0.15966678236723353</v>
      </c>
      <c r="AJ18" s="988">
        <f>AJ17/AE17-1</f>
        <v>0.16939232225856427</v>
      </c>
      <c r="AK18" s="989">
        <f>AK17/AF17-1</f>
        <v>0.13477038425492038</v>
      </c>
      <c r="AL18" s="988">
        <v>0.2196980589503954</v>
      </c>
      <c r="AM18" s="988">
        <v>0.15812026853306671</v>
      </c>
      <c r="AN18" s="988">
        <v>0.22395023328149311</v>
      </c>
      <c r="AO18" s="989">
        <v>0.2586506557118029</v>
      </c>
      <c r="AP18" s="988">
        <f t="shared" ref="AP18:AW18" si="13">AP17/AL17-1</f>
        <v>0.25120829895084285</v>
      </c>
      <c r="AQ18" s="988">
        <f t="shared" si="13"/>
        <v>0.19449925999013318</v>
      </c>
      <c r="AR18" s="988">
        <f t="shared" si="13"/>
        <v>9.0909090909090828E-2</v>
      </c>
      <c r="AS18" s="988">
        <f t="shared" si="13"/>
        <v>7.8960582475521068E-2</v>
      </c>
      <c r="AT18" s="2829">
        <f t="shared" si="13"/>
        <v>4.0700960994912272E-2</v>
      </c>
      <c r="AU18" s="988">
        <f t="shared" si="13"/>
        <v>6.6597831698502752E-2</v>
      </c>
      <c r="AV18" s="988">
        <f t="shared" si="13"/>
        <v>7.3062261753494173E-2</v>
      </c>
      <c r="AW18" s="989">
        <f t="shared" si="13"/>
        <v>3.8976148923792975E-2</v>
      </c>
      <c r="AX18" s="2829"/>
      <c r="BB18" s="2829"/>
      <c r="BE18" s="989"/>
      <c r="BI18" s="989"/>
      <c r="BM18" s="989"/>
      <c r="BO18" s="989"/>
      <c r="BP18" s="989"/>
      <c r="BQ18" s="3335"/>
      <c r="BY18" s="1009">
        <f>BY17/AG17-1</f>
        <v>0.22725641485734793</v>
      </c>
      <c r="BZ18" s="1009">
        <f>BZ17/BY17-1</f>
        <v>-0.70882374442576213</v>
      </c>
      <c r="CA18" s="2829">
        <f>CA17/BZ17-1</f>
        <v>3.8127039919658552</v>
      </c>
      <c r="CB18" s="2829">
        <f>CB17/CA17-1</f>
        <v>5.4828107882518573E-2</v>
      </c>
      <c r="CC18" s="2829"/>
      <c r="CD18" s="98"/>
      <c r="CE18" s="98"/>
      <c r="CF18" s="98"/>
      <c r="CG18" s="98"/>
      <c r="CH18" s="98"/>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G18" s="27"/>
      <c r="DH18" s="27"/>
      <c r="DI18" s="27"/>
      <c r="DJ18" s="27"/>
      <c r="DK18" s="27"/>
      <c r="DL18" s="27"/>
      <c r="DM18" s="27"/>
      <c r="DN18" s="27"/>
      <c r="DO18" s="27"/>
      <c r="DP18" s="27"/>
      <c r="DQ18" s="27"/>
      <c r="DR18" s="27"/>
      <c r="DS18" s="27"/>
      <c r="DT18" s="27"/>
      <c r="DU18" s="27"/>
      <c r="DV18" s="27"/>
      <c r="DW18" s="27"/>
      <c r="DX18" s="27"/>
      <c r="DY18" s="27"/>
    </row>
    <row r="19" spans="1:129" s="473" customFormat="1" ht="11.5" hidden="1" outlineLevel="1">
      <c r="A19" s="1459" t="s">
        <v>1328</v>
      </c>
      <c r="B19" s="466"/>
      <c r="C19" s="466"/>
      <c r="D19" s="466"/>
      <c r="E19" s="467"/>
      <c r="F19" s="82"/>
      <c r="G19" s="82"/>
      <c r="H19" s="82"/>
      <c r="I19" s="82"/>
      <c r="J19" s="82"/>
      <c r="K19" s="82"/>
      <c r="L19" s="1513"/>
      <c r="M19" s="82"/>
      <c r="N19" s="82"/>
      <c r="O19" s="82"/>
      <c r="P19" s="82"/>
      <c r="Q19" s="82"/>
      <c r="R19" s="82"/>
      <c r="S19" s="82"/>
      <c r="T19" s="82"/>
      <c r="U19" s="82"/>
      <c r="V19" s="82"/>
      <c r="W19" s="115"/>
      <c r="X19" s="211"/>
      <c r="Y19" s="211"/>
      <c r="Z19" s="211"/>
      <c r="AA19" s="211"/>
      <c r="AB19" s="446"/>
      <c r="AC19" s="211"/>
      <c r="AD19" s="211"/>
      <c r="AE19" s="211"/>
      <c r="AF19" s="211"/>
      <c r="AG19" s="446"/>
      <c r="AH19" s="473">
        <f t="shared" ref="AH19:AW19" si="14">AH17/AH5</f>
        <v>0.3492214807753416</v>
      </c>
      <c r="AI19" s="473">
        <f t="shared" si="14"/>
        <v>0.35427977604343402</v>
      </c>
      <c r="AJ19" s="473">
        <f t="shared" si="14"/>
        <v>0.36550981974710789</v>
      </c>
      <c r="AK19" s="486">
        <f t="shared" si="14"/>
        <v>0.37593144560357677</v>
      </c>
      <c r="AL19" s="473">
        <f t="shared" si="14"/>
        <v>0.35929234274871563</v>
      </c>
      <c r="AM19" s="473">
        <f t="shared" si="14"/>
        <v>0.35502699483748362</v>
      </c>
      <c r="AN19" s="473">
        <f t="shared" si="14"/>
        <v>0.39001644403396935</v>
      </c>
      <c r="AO19" s="486">
        <f t="shared" si="14"/>
        <v>0.40301731770372201</v>
      </c>
      <c r="AP19" s="473">
        <f t="shared" si="14"/>
        <v>0.39027798205618475</v>
      </c>
      <c r="AQ19" s="473">
        <f t="shared" si="14"/>
        <v>0.3739671017066955</v>
      </c>
      <c r="AR19" s="473">
        <f t="shared" si="14"/>
        <v>0.38272005187226454</v>
      </c>
      <c r="AS19" s="473">
        <f t="shared" si="14"/>
        <v>0.39144691897800243</v>
      </c>
      <c r="AT19" s="2819">
        <f t="shared" si="14"/>
        <v>0.37559930633479549</v>
      </c>
      <c r="AU19" s="473">
        <f t="shared" si="14"/>
        <v>0.36512088222819172</v>
      </c>
      <c r="AV19" s="473">
        <f t="shared" si="14"/>
        <v>0.37635087458684591</v>
      </c>
      <c r="AW19" s="486">
        <f t="shared" si="14"/>
        <v>0.38416863841686383</v>
      </c>
      <c r="AX19" s="2819"/>
      <c r="BB19" s="2819"/>
      <c r="BE19" s="486"/>
      <c r="BI19" s="486"/>
      <c r="BM19" s="486"/>
      <c r="BO19" s="486"/>
      <c r="BP19" s="486"/>
      <c r="BQ19" s="3334"/>
      <c r="BY19" s="489">
        <f>BY17/BY5</f>
        <v>0.37771120100509448</v>
      </c>
      <c r="BZ19" s="489">
        <f>BZ17/BZ5</f>
        <v>9.0102419961429925E-2</v>
      </c>
      <c r="CA19" s="98">
        <f>CA17/CA5</f>
        <v>0.38442949251456476</v>
      </c>
      <c r="CB19" s="98">
        <f>CB17/CB5</f>
        <v>0.37488528176652175</v>
      </c>
      <c r="CC19" s="98"/>
      <c r="CD19" s="98"/>
      <c r="CE19" s="98"/>
      <c r="CF19" s="98"/>
      <c r="CG19" s="98"/>
      <c r="CH19" s="98"/>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27"/>
      <c r="DY19" s="27"/>
    </row>
    <row r="20" spans="1:129" s="473" customFormat="1" ht="11.5" hidden="1" outlineLevel="1">
      <c r="A20" s="1503"/>
      <c r="B20" s="466"/>
      <c r="C20" s="466"/>
      <c r="D20" s="466"/>
      <c r="E20" s="467"/>
      <c r="F20" s="82"/>
      <c r="G20" s="82"/>
      <c r="H20" s="82"/>
      <c r="I20" s="82"/>
      <c r="J20" s="82"/>
      <c r="K20" s="82"/>
      <c r="L20" s="224"/>
      <c r="M20" s="82"/>
      <c r="N20" s="82"/>
      <c r="O20" s="82"/>
      <c r="P20" s="82"/>
      <c r="Q20" s="82"/>
      <c r="R20" s="82"/>
      <c r="S20" s="82"/>
      <c r="T20" s="82"/>
      <c r="U20" s="82"/>
      <c r="V20" s="82"/>
      <c r="W20" s="115"/>
      <c r="X20" s="211"/>
      <c r="Y20" s="211"/>
      <c r="Z20" s="211"/>
      <c r="AA20" s="211"/>
      <c r="AB20" s="446"/>
      <c r="AC20" s="211"/>
      <c r="AD20" s="211"/>
      <c r="AE20" s="211"/>
      <c r="AF20" s="211"/>
      <c r="AG20" s="446"/>
      <c r="AH20" s="211"/>
      <c r="AI20" s="211"/>
      <c r="AJ20" s="211"/>
      <c r="AK20" s="486"/>
      <c r="AO20" s="486"/>
      <c r="AT20" s="2819"/>
      <c r="AW20" s="486"/>
      <c r="AX20" s="2819"/>
      <c r="BB20" s="2819"/>
      <c r="BE20" s="486"/>
      <c r="BI20" s="486"/>
      <c r="BM20" s="486"/>
      <c r="BO20" s="486"/>
      <c r="BP20" s="486"/>
      <c r="BQ20" s="3334"/>
      <c r="BY20" s="451"/>
      <c r="BZ20" s="489"/>
      <c r="CA20" s="98"/>
      <c r="CB20" s="98"/>
      <c r="CC20" s="98"/>
      <c r="CD20" s="98"/>
      <c r="CE20" s="98"/>
      <c r="CF20" s="98"/>
      <c r="CG20" s="98"/>
      <c r="CH20" s="98"/>
      <c r="CI20" s="27"/>
      <c r="CJ20" s="27"/>
      <c r="CK20" s="27"/>
      <c r="CL20" s="27"/>
      <c r="CM20" s="27"/>
      <c r="CN20" s="27"/>
      <c r="CO20" s="27"/>
      <c r="CP20" s="27"/>
      <c r="CQ20" s="27"/>
      <c r="CR20" s="27"/>
      <c r="CS20" s="27"/>
      <c r="CT20" s="27"/>
      <c r="CU20" s="27"/>
      <c r="CV20" s="27"/>
      <c r="CW20" s="27"/>
      <c r="CX20" s="27"/>
      <c r="CY20" s="27"/>
      <c r="CZ20" s="27"/>
      <c r="DA20" s="27"/>
      <c r="DB20" s="27"/>
      <c r="DC20" s="27"/>
      <c r="DD20" s="27"/>
      <c r="DE20" s="27"/>
      <c r="DF20" s="27"/>
      <c r="DG20" s="27"/>
      <c r="DH20" s="27"/>
      <c r="DI20" s="27"/>
      <c r="DJ20" s="27"/>
      <c r="DK20" s="27"/>
      <c r="DL20" s="27"/>
      <c r="DM20" s="27"/>
      <c r="DN20" s="27"/>
      <c r="DO20" s="27"/>
      <c r="DP20" s="27"/>
      <c r="DQ20" s="27"/>
      <c r="DR20" s="27"/>
      <c r="DS20" s="27"/>
      <c r="DT20" s="27"/>
      <c r="DU20" s="27"/>
      <c r="DV20" s="27"/>
      <c r="DW20" s="27"/>
      <c r="DX20" s="27"/>
      <c r="DY20" s="27"/>
    </row>
    <row r="21" spans="1:129" s="473" customFormat="1" ht="11.5" hidden="1" outlineLevel="1">
      <c r="A21" s="990" t="s">
        <v>1359</v>
      </c>
      <c r="B21" s="466"/>
      <c r="C21" s="466"/>
      <c r="D21" s="466"/>
      <c r="E21" s="467"/>
      <c r="F21" s="82"/>
      <c r="G21" s="82"/>
      <c r="H21" s="82"/>
      <c r="I21" s="82"/>
      <c r="J21" s="82"/>
      <c r="K21" s="82"/>
      <c r="L21" s="224"/>
      <c r="M21" s="82"/>
      <c r="N21" s="82"/>
      <c r="O21" s="82"/>
      <c r="P21" s="82"/>
      <c r="Q21" s="82"/>
      <c r="R21" s="82"/>
      <c r="S21" s="82"/>
      <c r="T21" s="82"/>
      <c r="U21" s="82"/>
      <c r="V21" s="82"/>
      <c r="W21" s="115"/>
      <c r="X21" s="211"/>
      <c r="Y21" s="211"/>
      <c r="Z21" s="211"/>
      <c r="AA21" s="211"/>
      <c r="AB21" s="446"/>
      <c r="AC21" s="211"/>
      <c r="AD21" s="211"/>
      <c r="AE21" s="211"/>
      <c r="AF21" s="211"/>
      <c r="AG21" s="446"/>
      <c r="AH21" s="211">
        <f t="shared" ref="AH21:AW21" si="15">SUM(AH24,AH27,AH30)</f>
        <v>1</v>
      </c>
      <c r="AI21" s="211">
        <f t="shared" si="15"/>
        <v>1.0000106040040719</v>
      </c>
      <c r="AJ21" s="211">
        <f t="shared" si="15"/>
        <v>1.0000538068334679</v>
      </c>
      <c r="AK21" s="486">
        <f t="shared" si="15"/>
        <v>1</v>
      </c>
      <c r="AL21" s="473">
        <f t="shared" si="15"/>
        <v>1.0000296480773221</v>
      </c>
      <c r="AM21" s="473">
        <f t="shared" si="15"/>
        <v>0.99996934892743139</v>
      </c>
      <c r="AN21" s="473">
        <f t="shared" si="15"/>
        <v>1.0000225260739306</v>
      </c>
      <c r="AO21" s="486">
        <f t="shared" si="15"/>
        <v>1.0000050592181484</v>
      </c>
      <c r="AP21" s="473">
        <f t="shared" si="15"/>
        <v>0.99996322988674813</v>
      </c>
      <c r="AQ21" s="473">
        <f t="shared" si="15"/>
        <v>1</v>
      </c>
      <c r="AR21" s="473">
        <f t="shared" si="15"/>
        <v>1.0000405252066784</v>
      </c>
      <c r="AS21" s="473">
        <f t="shared" si="15"/>
        <v>1</v>
      </c>
      <c r="AT21" s="2819">
        <f t="shared" si="15"/>
        <v>1</v>
      </c>
      <c r="AU21" s="473">
        <f t="shared" si="15"/>
        <v>1</v>
      </c>
      <c r="AV21" s="473">
        <f t="shared" si="15"/>
        <v>1.0000371374456865</v>
      </c>
      <c r="AW21" s="486">
        <f t="shared" si="15"/>
        <v>1</v>
      </c>
      <c r="AX21" s="2819"/>
      <c r="BB21" s="2819"/>
      <c r="BE21" s="486"/>
      <c r="BI21" s="486"/>
      <c r="BM21" s="486"/>
      <c r="BO21" s="486"/>
      <c r="BP21" s="486"/>
      <c r="BQ21" s="3334"/>
      <c r="BY21" s="451">
        <f>SUM(BY24,BY27,BY30)</f>
        <v>1.0000276124863663</v>
      </c>
      <c r="BZ21" s="489">
        <f>SUM(BZ24,BZ27,BZ30)</f>
        <v>1.0000056554368542</v>
      </c>
      <c r="CA21" s="98">
        <f>SUM(CA24,CA27,CA30)</f>
        <v>1</v>
      </c>
      <c r="CB21" s="98">
        <f>SUM(CB24,CB27,CB30)</f>
        <v>1</v>
      </c>
      <c r="CC21" s="98"/>
      <c r="CD21" s="98"/>
      <c r="CE21" s="98"/>
      <c r="CF21" s="98"/>
      <c r="CG21" s="98"/>
      <c r="CH21" s="98"/>
      <c r="CI21" s="27"/>
      <c r="CJ21" s="27"/>
      <c r="CK21" s="27"/>
      <c r="CL21" s="27"/>
      <c r="CM21" s="27"/>
      <c r="CN21" s="27"/>
      <c r="CO21" s="27"/>
      <c r="CP21" s="27"/>
      <c r="CQ21" s="27"/>
      <c r="CR21" s="27"/>
      <c r="CS21" s="27"/>
      <c r="CT21" s="27"/>
      <c r="CU21" s="27"/>
      <c r="CV21" s="27"/>
      <c r="CW21" s="27"/>
      <c r="CX21" s="27"/>
      <c r="CY21" s="27"/>
      <c r="CZ21" s="27"/>
      <c r="DA21" s="27"/>
      <c r="DB21" s="27"/>
      <c r="DC21" s="27"/>
      <c r="DD21" s="27"/>
      <c r="DE21" s="27"/>
      <c r="DF21" s="27"/>
      <c r="DG21" s="27"/>
      <c r="DH21" s="27"/>
      <c r="DI21" s="27"/>
      <c r="DJ21" s="27"/>
      <c r="DK21" s="27"/>
      <c r="DL21" s="27"/>
      <c r="DM21" s="27"/>
      <c r="DN21" s="27"/>
      <c r="DO21" s="27"/>
      <c r="DP21" s="27"/>
      <c r="DQ21" s="27"/>
      <c r="DR21" s="27"/>
      <c r="DS21" s="27"/>
      <c r="DT21" s="27"/>
      <c r="DU21" s="27"/>
      <c r="DV21" s="27"/>
      <c r="DW21" s="27"/>
      <c r="DX21" s="27"/>
      <c r="DY21" s="27"/>
    </row>
    <row r="22" spans="1:129" s="1795" customFormat="1" ht="11.5" hidden="1" outlineLevel="1">
      <c r="A22" s="991" t="s">
        <v>1360</v>
      </c>
      <c r="B22" s="1853"/>
      <c r="C22" s="1853"/>
      <c r="D22" s="1853"/>
      <c r="E22" s="1854"/>
      <c r="F22" s="1855"/>
      <c r="G22" s="1855"/>
      <c r="H22" s="1855"/>
      <c r="I22" s="1855"/>
      <c r="J22" s="1855"/>
      <c r="K22" s="1855"/>
      <c r="L22" s="1856"/>
      <c r="M22" s="1855"/>
      <c r="N22" s="1855"/>
      <c r="O22" s="1855"/>
      <c r="P22" s="1855"/>
      <c r="Q22" s="1855"/>
      <c r="R22" s="1855"/>
      <c r="S22" s="1855"/>
      <c r="T22" s="1855"/>
      <c r="U22" s="1855"/>
      <c r="V22" s="1855"/>
      <c r="W22" s="1857"/>
      <c r="Y22" s="1793"/>
      <c r="Z22" s="1793"/>
      <c r="AA22" s="1793"/>
      <c r="AB22" s="1858"/>
      <c r="AC22" s="1859">
        <v>8048</v>
      </c>
      <c r="AD22" s="1859">
        <v>8175</v>
      </c>
      <c r="AE22" s="1859">
        <v>8206</v>
      </c>
      <c r="AF22" s="1859">
        <v>8430</v>
      </c>
      <c r="AG22" s="1860">
        <v>32548</v>
      </c>
      <c r="AH22" s="1859">
        <v>10640</v>
      </c>
      <c r="AI22" s="1859">
        <v>10611</v>
      </c>
      <c r="AJ22" s="1859">
        <v>10023</v>
      </c>
      <c r="AK22" s="1860">
        <v>8869</v>
      </c>
      <c r="AL22" s="1859">
        <v>11342</v>
      </c>
      <c r="AM22" s="1859">
        <v>11168</v>
      </c>
      <c r="AN22" s="1859">
        <v>10392</v>
      </c>
      <c r="AO22" s="1860">
        <v>9493</v>
      </c>
      <c r="AP22" s="1859">
        <v>12445</v>
      </c>
      <c r="AQ22" s="1859">
        <v>12290</v>
      </c>
      <c r="AR22" s="1859">
        <v>11442</v>
      </c>
      <c r="AS22" s="1859">
        <v>10688</v>
      </c>
      <c r="AT22" s="2835">
        <v>13727</v>
      </c>
      <c r="AU22" s="1859">
        <v>13680</v>
      </c>
      <c r="AV22" s="1859">
        <v>12588</v>
      </c>
      <c r="AW22" s="1860">
        <v>11134</v>
      </c>
      <c r="AX22" s="2835"/>
      <c r="AY22" s="1859"/>
      <c r="AZ22" s="1859"/>
      <c r="BA22" s="1859"/>
      <c r="BB22" s="2835"/>
      <c r="BC22" s="1859"/>
      <c r="BD22" s="1859"/>
      <c r="BE22" s="1860"/>
      <c r="BF22" s="1859"/>
      <c r="BG22" s="1859"/>
      <c r="BH22" s="1859"/>
      <c r="BI22" s="1860"/>
      <c r="BJ22" s="1859"/>
      <c r="BK22" s="1859"/>
      <c r="BL22" s="1859"/>
      <c r="BM22" s="1860"/>
      <c r="BN22" s="1859"/>
      <c r="BO22" s="1860"/>
      <c r="BP22" s="1860"/>
      <c r="BQ22" s="1794"/>
      <c r="BR22" s="1859"/>
      <c r="BS22" s="1859"/>
      <c r="BT22" s="1859"/>
      <c r="BU22" s="1859"/>
      <c r="BV22" s="1859"/>
      <c r="BW22" s="1859"/>
      <c r="BX22" s="1859"/>
      <c r="BY22" s="1861">
        <v>40143</v>
      </c>
      <c r="BZ22" s="1861">
        <v>42395</v>
      </c>
      <c r="CA22" s="1837">
        <f>SUM(AP22:AS22)</f>
        <v>46865</v>
      </c>
      <c r="CB22" s="1837">
        <v>51129</v>
      </c>
      <c r="CC22" s="1837"/>
      <c r="CD22" s="1941"/>
      <c r="CE22" s="1941"/>
      <c r="CF22" s="1941"/>
      <c r="CG22" s="1941"/>
      <c r="CH22" s="1941"/>
      <c r="CI22" s="1839"/>
      <c r="CJ22" s="1839"/>
      <c r="CK22" s="1839"/>
      <c r="CL22" s="1839"/>
      <c r="CM22" s="1839"/>
      <c r="CN22" s="1839"/>
      <c r="CO22" s="1839"/>
      <c r="CP22" s="1839"/>
      <c r="CQ22" s="1839"/>
      <c r="CR22" s="1839"/>
      <c r="CS22" s="1839"/>
      <c r="CT22" s="1839"/>
      <c r="CU22" s="1839"/>
      <c r="CV22" s="1839"/>
      <c r="CW22" s="1839"/>
      <c r="CX22" s="1839"/>
      <c r="CY22" s="1839"/>
      <c r="CZ22" s="1839"/>
      <c r="DA22" s="1839"/>
      <c r="DB22" s="1839"/>
      <c r="DC22" s="1839"/>
      <c r="DD22" s="1839"/>
      <c r="DE22" s="1839"/>
      <c r="DF22" s="1839"/>
      <c r="DG22" s="1839"/>
      <c r="DH22" s="1839"/>
      <c r="DI22" s="1839"/>
      <c r="DJ22" s="1839"/>
      <c r="DK22" s="1839"/>
      <c r="DL22" s="1839"/>
      <c r="DM22" s="1839"/>
      <c r="DN22" s="1839"/>
      <c r="DO22" s="1839"/>
      <c r="DP22" s="1839"/>
      <c r="DQ22" s="1839"/>
      <c r="DR22" s="1839"/>
      <c r="DS22" s="1839"/>
      <c r="DT22" s="1839"/>
      <c r="DU22" s="1839"/>
      <c r="DV22" s="1839"/>
      <c r="DW22" s="1839"/>
      <c r="DX22" s="1839"/>
      <c r="DY22" s="1839"/>
    </row>
    <row r="23" spans="1:129" s="473" customFormat="1" hidden="1" outlineLevel="1">
      <c r="A23" s="1459" t="s">
        <v>1332</v>
      </c>
      <c r="B23" s="466"/>
      <c r="C23" s="466"/>
      <c r="D23" s="466"/>
      <c r="E23" s="467"/>
      <c r="F23" s="82"/>
      <c r="G23" s="82"/>
      <c r="H23" s="82"/>
      <c r="I23" s="82"/>
      <c r="J23" s="82"/>
      <c r="K23" s="82"/>
      <c r="L23" s="224"/>
      <c r="M23" s="82"/>
      <c r="N23" s="82"/>
      <c r="O23" s="82"/>
      <c r="P23" s="82"/>
      <c r="Q23" s="82"/>
      <c r="R23" s="82"/>
      <c r="S23" s="82"/>
      <c r="T23" s="82"/>
      <c r="U23" s="82"/>
      <c r="V23" s="82"/>
      <c r="W23" s="115"/>
      <c r="Y23" s="211"/>
      <c r="Z23" s="211"/>
      <c r="AA23" s="211"/>
      <c r="AB23" s="446"/>
      <c r="AC23" s="211"/>
      <c r="AD23" s="211"/>
      <c r="AE23" s="211"/>
      <c r="AF23" s="211"/>
      <c r="AG23" s="446"/>
      <c r="AH23" s="988">
        <f>AH22/AC22-1</f>
        <v>0.3220675944333995</v>
      </c>
      <c r="AI23" s="988">
        <f>AI22/AD22-1</f>
        <v>0.29798165137614685</v>
      </c>
      <c r="AJ23" s="988">
        <f>AJ22/AE22-1</f>
        <v>0.22142334876919323</v>
      </c>
      <c r="AK23" s="989">
        <f>AK22/AF22-1</f>
        <v>5.2075919335705878E-2</v>
      </c>
      <c r="AL23" s="988">
        <f t="shared" ref="AL23:AS23" si="16">AL22/AH22-1</f>
        <v>6.5977443609022579E-2</v>
      </c>
      <c r="AM23" s="988">
        <f t="shared" si="16"/>
        <v>5.2492696258599647E-2</v>
      </c>
      <c r="AN23" s="988">
        <f t="shared" si="16"/>
        <v>3.6815324753068035E-2</v>
      </c>
      <c r="AO23" s="989">
        <f t="shared" si="16"/>
        <v>7.0357424737850893E-2</v>
      </c>
      <c r="AP23" s="988">
        <f t="shared" si="16"/>
        <v>9.7249162405219636E-2</v>
      </c>
      <c r="AQ23" s="988">
        <f t="shared" si="16"/>
        <v>0.10046561604584525</v>
      </c>
      <c r="AR23" s="988">
        <f t="shared" si="16"/>
        <v>0.10103926096997684</v>
      </c>
      <c r="AS23" s="988">
        <f t="shared" si="16"/>
        <v>0.12588222901085011</v>
      </c>
      <c r="AT23" s="2829">
        <f>AT22/AP22-1</f>
        <v>0.1030132583366814</v>
      </c>
      <c r="AU23" s="988">
        <f>AU22/AQ22-1</f>
        <v>0.11310008136696492</v>
      </c>
      <c r="AV23" s="988">
        <f>AV22/AR22-1</f>
        <v>0.10015731515469328</v>
      </c>
      <c r="AW23" s="989">
        <f>AW22/AS22-1</f>
        <v>4.1729041916167775E-2</v>
      </c>
      <c r="AX23" s="2829"/>
      <c r="AY23" s="988"/>
      <c r="AZ23" s="988"/>
      <c r="BA23" s="988"/>
      <c r="BB23" s="2829"/>
      <c r="BC23" s="988"/>
      <c r="BD23" s="988"/>
      <c r="BE23" s="989"/>
      <c r="BF23" s="988"/>
      <c r="BG23" s="988"/>
      <c r="BH23" s="988"/>
      <c r="BI23" s="989"/>
      <c r="BJ23" s="988"/>
      <c r="BK23" s="988"/>
      <c r="BL23" s="988"/>
      <c r="BM23" s="989"/>
      <c r="BN23" s="988"/>
      <c r="BO23" s="989"/>
      <c r="BP23" s="989"/>
      <c r="BQ23" s="3335"/>
      <c r="BR23" s="988"/>
      <c r="BS23" s="988"/>
      <c r="BT23" s="988"/>
      <c r="BU23" s="988"/>
      <c r="BV23" s="988"/>
      <c r="BW23" s="988"/>
      <c r="BX23" s="988"/>
      <c r="BY23" s="1009">
        <f>BY22/AG22-1</f>
        <v>0.23334767113186672</v>
      </c>
      <c r="BZ23" s="1009">
        <f>BZ22/BY22-1</f>
        <v>5.6099444485962602E-2</v>
      </c>
      <c r="CA23" s="2829">
        <f>CA22/BZ22-1</f>
        <v>0.10543696190588503</v>
      </c>
      <c r="CB23" s="2829">
        <f>CB22/CA22-1</f>
        <v>9.0984743411927971E-2</v>
      </c>
      <c r="CC23" s="2829"/>
      <c r="CD23" s="98"/>
      <c r="CE23" s="98"/>
      <c r="CF23" s="98"/>
      <c r="CG23" s="98"/>
      <c r="CH23" s="98"/>
      <c r="CI23" s="27"/>
      <c r="CJ23" s="27"/>
      <c r="CK23" s="27"/>
      <c r="CL23" s="27"/>
      <c r="CM23" s="27"/>
      <c r="CN23" s="27"/>
      <c r="CO23" s="27"/>
      <c r="CP23" s="27"/>
      <c r="CQ23" s="27"/>
      <c r="CR23" s="27"/>
      <c r="CS23" s="27"/>
      <c r="CT23" s="27"/>
      <c r="CU23" s="27"/>
      <c r="CV23" s="27"/>
      <c r="CW23" s="27"/>
      <c r="CX23" s="27"/>
      <c r="CY23" s="27"/>
      <c r="CZ23" s="27"/>
      <c r="DA23" s="27"/>
      <c r="DB23" s="27"/>
      <c r="DC23" s="27"/>
      <c r="DD23" s="27"/>
      <c r="DE23" s="27"/>
      <c r="DF23" s="27"/>
      <c r="DG23" s="27"/>
      <c r="DH23" s="27"/>
      <c r="DI23" s="27"/>
      <c r="DJ23" s="27"/>
      <c r="DK23" s="27"/>
      <c r="DL23" s="27"/>
      <c r="DM23" s="27"/>
      <c r="DN23" s="27"/>
      <c r="DO23" s="27"/>
      <c r="DP23" s="27"/>
      <c r="DQ23" s="27"/>
      <c r="DR23" s="27"/>
      <c r="DS23" s="27"/>
      <c r="DT23" s="27"/>
      <c r="DU23" s="27"/>
      <c r="DV23" s="27"/>
      <c r="DW23" s="27"/>
      <c r="DX23" s="27"/>
      <c r="DY23" s="27"/>
    </row>
    <row r="24" spans="1:129" s="473" customFormat="1" hidden="1" outlineLevel="1">
      <c r="A24" s="1459" t="s">
        <v>1333</v>
      </c>
      <c r="B24" s="466"/>
      <c r="C24" s="466"/>
      <c r="D24" s="466"/>
      <c r="E24" s="467"/>
      <c r="F24" s="82"/>
      <c r="G24" s="82"/>
      <c r="H24" s="82"/>
      <c r="I24" s="82"/>
      <c r="J24" s="82"/>
      <c r="K24" s="82"/>
      <c r="L24" s="224"/>
      <c r="M24" s="82"/>
      <c r="N24" s="82"/>
      <c r="O24" s="82"/>
      <c r="P24" s="82"/>
      <c r="Q24" s="82"/>
      <c r="R24" s="82"/>
      <c r="S24" s="82"/>
      <c r="T24" s="82"/>
      <c r="U24" s="82"/>
      <c r="V24" s="82"/>
      <c r="W24" s="115"/>
      <c r="Y24" s="211"/>
      <c r="Z24" s="211"/>
      <c r="AA24" s="211"/>
      <c r="AB24" s="446"/>
      <c r="AC24" s="211"/>
      <c r="AD24" s="211"/>
      <c r="AE24" s="211"/>
      <c r="AF24" s="211"/>
      <c r="AG24" s="446"/>
      <c r="AH24" s="988">
        <f t="shared" ref="AH24:AW24" si="17">AH22/AH$5</f>
        <v>0.56349962927655972</v>
      </c>
      <c r="AI24" s="988">
        <f t="shared" si="17"/>
        <v>0.56259543603664741</v>
      </c>
      <c r="AJ24" s="988">
        <f t="shared" si="17"/>
        <v>0.53930589184826472</v>
      </c>
      <c r="AK24" s="989">
        <f t="shared" si="17"/>
        <v>0.55073273720814708</v>
      </c>
      <c r="AL24" s="988">
        <f t="shared" si="17"/>
        <v>0.48038356141175675</v>
      </c>
      <c r="AM24" s="988">
        <f t="shared" si="17"/>
        <v>0.48901596920880824</v>
      </c>
      <c r="AN24" s="988">
        <f t="shared" si="17"/>
        <v>0.46818192057306335</v>
      </c>
      <c r="AO24" s="989">
        <f t="shared" si="17"/>
        <v>0.48027157883020755</v>
      </c>
      <c r="AP24" s="988">
        <f t="shared" si="17"/>
        <v>0.45760405942050303</v>
      </c>
      <c r="AQ24" s="988">
        <f t="shared" si="17"/>
        <v>0.47455401961541432</v>
      </c>
      <c r="AR24" s="988">
        <f t="shared" si="17"/>
        <v>0.46368941481601555</v>
      </c>
      <c r="AS24" s="988">
        <f t="shared" si="17"/>
        <v>0.4867695951177301</v>
      </c>
      <c r="AT24" s="2829">
        <f t="shared" si="17"/>
        <v>0.46676187561630794</v>
      </c>
      <c r="AU24" s="988">
        <f t="shared" si="17"/>
        <v>0.48352891276685989</v>
      </c>
      <c r="AV24" s="988">
        <f t="shared" si="17"/>
        <v>0.46748616630148176</v>
      </c>
      <c r="AW24" s="989">
        <f t="shared" si="17"/>
        <v>0.4789847278984728</v>
      </c>
      <c r="AX24" s="2829"/>
      <c r="AY24" s="988"/>
      <c r="AZ24" s="988"/>
      <c r="BA24" s="988"/>
      <c r="BB24" s="2829"/>
      <c r="BC24" s="988"/>
      <c r="BD24" s="988"/>
      <c r="BE24" s="989"/>
      <c r="BF24" s="988"/>
      <c r="BG24" s="988"/>
      <c r="BH24" s="988"/>
      <c r="BI24" s="989"/>
      <c r="BJ24" s="988"/>
      <c r="BK24" s="988"/>
      <c r="BL24" s="988"/>
      <c r="BM24" s="989"/>
      <c r="BN24" s="988"/>
      <c r="BO24" s="989"/>
      <c r="BP24" s="989"/>
      <c r="BQ24" s="3335"/>
      <c r="BR24" s="988"/>
      <c r="BS24" s="988"/>
      <c r="BT24" s="988"/>
      <c r="BU24" s="988"/>
      <c r="BV24" s="988"/>
      <c r="BW24" s="988"/>
      <c r="BX24" s="988"/>
      <c r="BY24" s="1009">
        <f>BY22/BY$5</f>
        <v>0.55422402010189009</v>
      </c>
      <c r="BZ24" s="1009">
        <f>BZ22/BZ$5</f>
        <v>0.47952449086929722</v>
      </c>
      <c r="CA24" s="2829">
        <f>CA22/CA$5</f>
        <v>0.46993291686303607</v>
      </c>
      <c r="CB24" s="2829">
        <f>CB22/CB$5</f>
        <v>0.47397402501089242</v>
      </c>
      <c r="CC24" s="2829"/>
      <c r="CD24" s="98"/>
      <c r="CE24" s="98"/>
      <c r="CF24" s="98"/>
      <c r="CG24" s="98"/>
      <c r="CH24" s="98"/>
      <c r="CI24" s="27"/>
      <c r="CJ24" s="27"/>
      <c r="CK24" s="27"/>
      <c r="CL24" s="27"/>
      <c r="CM24" s="27"/>
      <c r="CN24" s="27"/>
      <c r="CO24" s="27"/>
      <c r="CP24" s="27"/>
      <c r="CQ24" s="27"/>
      <c r="CR24" s="27"/>
      <c r="CS24" s="27"/>
      <c r="CT24" s="27"/>
      <c r="CU24" s="27"/>
      <c r="CV24" s="27"/>
      <c r="CW24" s="27"/>
      <c r="CX24" s="27"/>
      <c r="CY24" s="27"/>
      <c r="CZ24" s="27"/>
      <c r="DA24" s="27"/>
      <c r="DB24" s="27"/>
      <c r="DC24" s="27"/>
      <c r="DD24" s="27"/>
      <c r="DE24" s="27"/>
      <c r="DF24" s="27"/>
      <c r="DG24" s="27"/>
      <c r="DH24" s="27"/>
      <c r="DI24" s="27"/>
      <c r="DJ24" s="27"/>
      <c r="DK24" s="27"/>
      <c r="DL24" s="27"/>
      <c r="DM24" s="27"/>
      <c r="DN24" s="27"/>
      <c r="DO24" s="27"/>
      <c r="DP24" s="27"/>
      <c r="DQ24" s="27"/>
      <c r="DR24" s="27"/>
      <c r="DS24" s="27"/>
      <c r="DT24" s="27"/>
      <c r="DU24" s="27"/>
      <c r="DV24" s="27"/>
      <c r="DW24" s="27"/>
      <c r="DX24" s="27"/>
      <c r="DY24" s="27"/>
    </row>
    <row r="25" spans="1:129" s="1795" customFormat="1" ht="11.5" hidden="1" outlineLevel="1">
      <c r="A25" s="991" t="s">
        <v>1329</v>
      </c>
      <c r="B25" s="1853"/>
      <c r="C25" s="1853"/>
      <c r="D25" s="1853"/>
      <c r="E25" s="1854"/>
      <c r="F25" s="1855"/>
      <c r="G25" s="1855"/>
      <c r="H25" s="1855"/>
      <c r="I25" s="1855"/>
      <c r="J25" s="1855"/>
      <c r="K25" s="1855"/>
      <c r="L25" s="1856"/>
      <c r="M25" s="1855"/>
      <c r="N25" s="1855"/>
      <c r="O25" s="1855"/>
      <c r="P25" s="1855"/>
      <c r="Q25" s="1855"/>
      <c r="R25" s="1855"/>
      <c r="S25" s="1855"/>
      <c r="T25" s="1855"/>
      <c r="U25" s="1855"/>
      <c r="V25" s="1855"/>
      <c r="W25" s="1857"/>
      <c r="X25" s="1793"/>
      <c r="Y25" s="1793"/>
      <c r="Z25" s="1793"/>
      <c r="AA25" s="1793"/>
      <c r="AB25" s="1858"/>
      <c r="AC25" s="1859">
        <v>6937</v>
      </c>
      <c r="AD25" s="1859">
        <v>6888</v>
      </c>
      <c r="AE25" s="1859">
        <v>7187</v>
      </c>
      <c r="AF25" s="1859">
        <v>6520</v>
      </c>
      <c r="AG25" s="1860">
        <v>27131</v>
      </c>
      <c r="AH25" s="1859">
        <v>8242</v>
      </c>
      <c r="AI25" s="1859">
        <v>8250</v>
      </c>
      <c r="AJ25" s="1859">
        <v>8563</v>
      </c>
      <c r="AK25" s="1860">
        <v>7235</v>
      </c>
      <c r="AL25" s="1859">
        <v>9572</v>
      </c>
      <c r="AM25" s="1859">
        <v>9546</v>
      </c>
      <c r="AN25" s="1859">
        <v>9792</v>
      </c>
      <c r="AO25" s="1860">
        <v>8360</v>
      </c>
      <c r="AP25" s="1859">
        <v>10803</v>
      </c>
      <c r="AQ25" s="1859">
        <v>10794</v>
      </c>
      <c r="AR25" s="1859">
        <v>10739</v>
      </c>
      <c r="AS25" s="1859">
        <v>9077</v>
      </c>
      <c r="AT25" s="2835">
        <v>11519</v>
      </c>
      <c r="AU25" s="1859">
        <v>11750</v>
      </c>
      <c r="AV25" s="1859">
        <v>11707</v>
      </c>
      <c r="AW25" s="1860">
        <v>9835</v>
      </c>
      <c r="AX25" s="2835"/>
      <c r="AY25" s="1859"/>
      <c r="AZ25" s="1859"/>
      <c r="BA25" s="1859"/>
      <c r="BB25" s="2835"/>
      <c r="BC25" s="1859"/>
      <c r="BD25" s="1859"/>
      <c r="BE25" s="1860"/>
      <c r="BF25" s="1859"/>
      <c r="BG25" s="1859"/>
      <c r="BH25" s="1859"/>
      <c r="BI25" s="1860"/>
      <c r="BJ25" s="1859"/>
      <c r="BK25" s="1859"/>
      <c r="BL25" s="1859"/>
      <c r="BM25" s="1860"/>
      <c r="BN25" s="1859"/>
      <c r="BO25" s="1860"/>
      <c r="BP25" s="1860"/>
      <c r="BQ25" s="1794"/>
      <c r="BR25" s="1859"/>
      <c r="BS25" s="1859"/>
      <c r="BT25" s="1859"/>
      <c r="BU25" s="1859"/>
      <c r="BV25" s="1859"/>
      <c r="BW25" s="1859"/>
      <c r="BX25" s="1859"/>
      <c r="BY25" s="1861">
        <v>32290</v>
      </c>
      <c r="BZ25" s="1861">
        <v>37270</v>
      </c>
      <c r="CA25" s="1837">
        <f>SUM(AP25:AS25)</f>
        <v>41413</v>
      </c>
      <c r="CB25" s="1837">
        <v>44811</v>
      </c>
      <c r="CC25" s="1837"/>
      <c r="CD25" s="1941"/>
      <c r="CE25" s="1941"/>
      <c r="CF25" s="1941"/>
      <c r="CG25" s="1941"/>
      <c r="CH25" s="1941"/>
      <c r="CI25" s="1839"/>
      <c r="CJ25" s="1839"/>
      <c r="CK25" s="1839"/>
      <c r="CL25" s="1839"/>
      <c r="CM25" s="1839"/>
      <c r="CN25" s="1839"/>
      <c r="CO25" s="1839"/>
      <c r="CP25" s="1839"/>
      <c r="CQ25" s="1839"/>
      <c r="CR25" s="1839"/>
      <c r="CS25" s="1839"/>
      <c r="CT25" s="1839"/>
      <c r="CU25" s="1839"/>
      <c r="CV25" s="1839"/>
      <c r="CW25" s="1839"/>
      <c r="CX25" s="1839"/>
      <c r="CY25" s="1839"/>
      <c r="CZ25" s="1839"/>
      <c r="DA25" s="1839"/>
      <c r="DB25" s="1839"/>
      <c r="DC25" s="1839"/>
      <c r="DD25" s="1839"/>
      <c r="DE25" s="1839"/>
      <c r="DF25" s="1839"/>
      <c r="DG25" s="1839"/>
      <c r="DH25" s="1839"/>
      <c r="DI25" s="1839"/>
      <c r="DJ25" s="1839"/>
      <c r="DK25" s="1839"/>
      <c r="DL25" s="1839"/>
      <c r="DM25" s="1839"/>
      <c r="DN25" s="1839"/>
      <c r="DO25" s="1839"/>
      <c r="DP25" s="1839"/>
      <c r="DQ25" s="1839"/>
      <c r="DR25" s="1839"/>
      <c r="DS25" s="1839"/>
      <c r="DT25" s="1839"/>
      <c r="DU25" s="1839"/>
      <c r="DV25" s="1839"/>
      <c r="DW25" s="1839"/>
      <c r="DX25" s="1839"/>
      <c r="DY25" s="1839"/>
    </row>
    <row r="26" spans="1:129" s="473" customFormat="1" hidden="1" outlineLevel="1">
      <c r="A26" s="1459" t="s">
        <v>1330</v>
      </c>
      <c r="B26" s="466"/>
      <c r="C26" s="466"/>
      <c r="D26" s="466"/>
      <c r="E26" s="467"/>
      <c r="F26" s="82"/>
      <c r="G26" s="82"/>
      <c r="H26" s="82"/>
      <c r="I26" s="82"/>
      <c r="J26" s="82"/>
      <c r="K26" s="82"/>
      <c r="L26" s="224"/>
      <c r="M26" s="82"/>
      <c r="N26" s="82"/>
      <c r="O26" s="82"/>
      <c r="P26" s="82"/>
      <c r="Q26" s="82"/>
      <c r="R26" s="82"/>
      <c r="S26" s="82"/>
      <c r="T26" s="82"/>
      <c r="U26" s="82"/>
      <c r="V26" s="82"/>
      <c r="W26" s="115"/>
      <c r="X26" s="211"/>
      <c r="Y26" s="211"/>
      <c r="Z26" s="211"/>
      <c r="AA26" s="211"/>
      <c r="AB26" s="446"/>
      <c r="AC26" s="211"/>
      <c r="AD26" s="211"/>
      <c r="AE26" s="211"/>
      <c r="AF26" s="211"/>
      <c r="AG26" s="446"/>
      <c r="AH26" s="988">
        <f>AH25/AC25-1</f>
        <v>0.18812166642640915</v>
      </c>
      <c r="AI26" s="988">
        <f>AI25/AD25-1</f>
        <v>0.19773519163763065</v>
      </c>
      <c r="AJ26" s="988">
        <f>AJ25/AE25-1</f>
        <v>0.19145679699457352</v>
      </c>
      <c r="AK26" s="989">
        <f>AK25/AF25-1</f>
        <v>0.10966257668711665</v>
      </c>
      <c r="AL26" s="988">
        <f t="shared" ref="AL26:AW26" si="18">AL25/AH25-1</f>
        <v>0.16136859985440433</v>
      </c>
      <c r="AM26" s="988">
        <f t="shared" si="18"/>
        <v>0.15709090909090917</v>
      </c>
      <c r="AN26" s="988">
        <f t="shared" si="18"/>
        <v>0.14352446572462929</v>
      </c>
      <c r="AO26" s="989">
        <f t="shared" si="18"/>
        <v>0.15549412577747068</v>
      </c>
      <c r="AP26" s="988">
        <f t="shared" si="18"/>
        <v>0.12860426243209355</v>
      </c>
      <c r="AQ26" s="988">
        <f t="shared" si="18"/>
        <v>0.13073538654934014</v>
      </c>
      <c r="AR26" s="988">
        <f t="shared" si="18"/>
        <v>9.6711601307189587E-2</v>
      </c>
      <c r="AS26" s="988">
        <f t="shared" si="18"/>
        <v>8.5765550239234489E-2</v>
      </c>
      <c r="AT26" s="2829">
        <f>AT25/AP25-1</f>
        <v>6.6277885772470624E-2</v>
      </c>
      <c r="AU26" s="988">
        <f t="shared" si="18"/>
        <v>8.8567722808967853E-2</v>
      </c>
      <c r="AV26" s="988">
        <f t="shared" si="18"/>
        <v>9.0138746624452981E-2</v>
      </c>
      <c r="AW26" s="989">
        <f t="shared" si="18"/>
        <v>8.3507766883331502E-2</v>
      </c>
      <c r="AX26" s="2829"/>
      <c r="AY26" s="988"/>
      <c r="AZ26" s="988"/>
      <c r="BA26" s="988"/>
      <c r="BB26" s="2829"/>
      <c r="BC26" s="988"/>
      <c r="BD26" s="988"/>
      <c r="BE26" s="989"/>
      <c r="BF26" s="988"/>
      <c r="BG26" s="988"/>
      <c r="BH26" s="988"/>
      <c r="BI26" s="989"/>
      <c r="BJ26" s="988"/>
      <c r="BK26" s="988"/>
      <c r="BL26" s="988"/>
      <c r="BM26" s="989"/>
      <c r="BN26" s="988"/>
      <c r="BO26" s="989"/>
      <c r="BP26" s="989"/>
      <c r="BQ26" s="3335"/>
      <c r="BR26" s="988"/>
      <c r="BS26" s="988"/>
      <c r="BT26" s="988"/>
      <c r="BU26" s="988"/>
      <c r="BV26" s="988"/>
      <c r="BW26" s="988"/>
      <c r="BX26" s="988"/>
      <c r="BY26" s="1009">
        <f>BY25/AG25-1</f>
        <v>0.1901514872286314</v>
      </c>
      <c r="BZ26" s="1009">
        <f>BZ25/BY25-1</f>
        <v>0.15422731495819142</v>
      </c>
      <c r="CA26" s="2829">
        <f>CA25/BZ25-1</f>
        <v>0.11116179232626777</v>
      </c>
      <c r="CB26" s="2829">
        <f>CB25/CA25-1</f>
        <v>8.2051529712892091E-2</v>
      </c>
      <c r="CC26" s="2829"/>
      <c r="CD26" s="98"/>
      <c r="CE26" s="98"/>
      <c r="CF26" s="98"/>
      <c r="CG26" s="98"/>
      <c r="CH26" s="98"/>
      <c r="CI26" s="27"/>
      <c r="CJ26" s="27"/>
      <c r="CK26" s="27"/>
      <c r="CL26" s="27"/>
      <c r="CM26" s="27"/>
      <c r="CN26" s="27"/>
      <c r="CO26" s="27"/>
      <c r="CP26" s="27"/>
      <c r="CQ26" s="27"/>
      <c r="CR26" s="27"/>
      <c r="CS26" s="27"/>
      <c r="CT26" s="27"/>
      <c r="CU26" s="27"/>
      <c r="CV26" s="27"/>
      <c r="CW26" s="27"/>
      <c r="CX26" s="27"/>
      <c r="CY26" s="27"/>
      <c r="CZ26" s="27"/>
      <c r="DA26" s="27"/>
      <c r="DB26" s="27"/>
      <c r="DC26" s="27"/>
      <c r="DD26" s="27"/>
      <c r="DE26" s="27"/>
      <c r="DF26" s="27"/>
      <c r="DG26" s="27"/>
      <c r="DH26" s="27"/>
      <c r="DI26" s="27"/>
      <c r="DJ26" s="27"/>
      <c r="DK26" s="27"/>
      <c r="DL26" s="27"/>
      <c r="DM26" s="27"/>
      <c r="DN26" s="27"/>
      <c r="DO26" s="27"/>
      <c r="DP26" s="27"/>
      <c r="DQ26" s="27"/>
      <c r="DR26" s="27"/>
      <c r="DS26" s="27"/>
      <c r="DT26" s="27"/>
      <c r="DU26" s="27"/>
      <c r="DV26" s="27"/>
      <c r="DW26" s="27"/>
      <c r="DX26" s="27"/>
      <c r="DY26" s="27"/>
    </row>
    <row r="27" spans="1:129" s="473" customFormat="1" ht="11.5" hidden="1" outlineLevel="1">
      <c r="A27" s="1459" t="s">
        <v>1331</v>
      </c>
      <c r="B27" s="466"/>
      <c r="C27" s="466"/>
      <c r="D27" s="466"/>
      <c r="E27" s="467"/>
      <c r="F27" s="82"/>
      <c r="G27" s="82"/>
      <c r="H27" s="82"/>
      <c r="I27" s="82"/>
      <c r="J27" s="82"/>
      <c r="K27" s="82"/>
      <c r="L27" s="224"/>
      <c r="M27" s="82"/>
      <c r="N27" s="82"/>
      <c r="O27" s="82"/>
      <c r="P27" s="82"/>
      <c r="Q27" s="82"/>
      <c r="R27" s="82"/>
      <c r="S27" s="82"/>
      <c r="T27" s="82"/>
      <c r="U27" s="82"/>
      <c r="V27" s="82"/>
      <c r="W27" s="115"/>
      <c r="X27" s="211"/>
      <c r="Y27" s="211"/>
      <c r="Z27" s="211"/>
      <c r="AA27" s="211"/>
      <c r="AB27" s="446"/>
      <c r="AC27" s="211"/>
      <c r="AD27" s="211"/>
      <c r="AE27" s="211"/>
      <c r="AF27" s="211"/>
      <c r="AG27" s="446"/>
      <c r="AH27" s="211">
        <f t="shared" ref="AH27:AW27" si="19">AH25/AH$5</f>
        <v>0.43650037072344033</v>
      </c>
      <c r="AI27" s="211">
        <f t="shared" si="19"/>
        <v>0.43741516796742452</v>
      </c>
      <c r="AJ27" s="211">
        <f t="shared" si="19"/>
        <v>0.46074791498520312</v>
      </c>
      <c r="AK27" s="486">
        <f t="shared" si="19"/>
        <v>0.44926726279185297</v>
      </c>
      <c r="AL27" s="473">
        <f t="shared" si="19"/>
        <v>0.40541628018280157</v>
      </c>
      <c r="AM27" s="473">
        <f t="shared" si="19"/>
        <v>0.41799305534270087</v>
      </c>
      <c r="AN27" s="473">
        <f t="shared" si="19"/>
        <v>0.44115063185637376</v>
      </c>
      <c r="AO27" s="486">
        <f t="shared" si="19"/>
        <v>0.42295063720852577</v>
      </c>
      <c r="AP27" s="473">
        <f t="shared" si="19"/>
        <v>0.39722753346080308</v>
      </c>
      <c r="AQ27" s="473">
        <f t="shared" si="19"/>
        <v>0.41678894123098309</v>
      </c>
      <c r="AR27" s="473">
        <f t="shared" si="19"/>
        <v>0.43520019452099207</v>
      </c>
      <c r="AS27" s="473">
        <f t="shared" si="19"/>
        <v>0.41339891606321444</v>
      </c>
      <c r="AT27" s="2819">
        <f t="shared" si="19"/>
        <v>0.39168281818490935</v>
      </c>
      <c r="AU27" s="473">
        <f t="shared" si="19"/>
        <v>0.41531174890428391</v>
      </c>
      <c r="AV27" s="473">
        <f t="shared" si="19"/>
        <v>0.43476807665168787</v>
      </c>
      <c r="AW27" s="486">
        <f t="shared" si="19"/>
        <v>0.42310174231017422</v>
      </c>
      <c r="AX27" s="2819"/>
      <c r="BB27" s="2819"/>
      <c r="BE27" s="486"/>
      <c r="BI27" s="486"/>
      <c r="BM27" s="486"/>
      <c r="BO27" s="486"/>
      <c r="BP27" s="486"/>
      <c r="BQ27" s="3334"/>
      <c r="BY27" s="451">
        <f>BY25/BY$5</f>
        <v>0.44580359238447625</v>
      </c>
      <c r="BZ27" s="489">
        <f>BZ25/BZ$5</f>
        <v>0.42155626311354422</v>
      </c>
      <c r="CA27" s="98">
        <f>CA25/CA$5</f>
        <v>0.4152636698186048</v>
      </c>
      <c r="CB27" s="98">
        <f>CB25/CB$5</f>
        <v>0.41540515235508424</v>
      </c>
      <c r="CC27" s="98"/>
      <c r="CD27" s="98"/>
      <c r="CE27" s="98"/>
      <c r="CF27" s="98"/>
      <c r="CG27" s="98"/>
      <c r="CH27" s="98"/>
      <c r="CI27" s="27"/>
      <c r="CJ27" s="27"/>
      <c r="CK27" s="27"/>
      <c r="CL27" s="27"/>
      <c r="CM27" s="27"/>
      <c r="CN27" s="27"/>
      <c r="CO27" s="27"/>
      <c r="CP27" s="27"/>
      <c r="CQ27" s="27"/>
      <c r="CR27" s="27"/>
      <c r="CS27" s="27"/>
      <c r="CT27" s="27"/>
      <c r="CU27" s="27"/>
      <c r="CV27" s="27"/>
      <c r="CW27" s="27"/>
      <c r="CX27" s="27"/>
      <c r="CY27" s="27"/>
      <c r="CZ27" s="27"/>
      <c r="DA27" s="27"/>
      <c r="DB27" s="27"/>
      <c r="DC27" s="27"/>
      <c r="DD27" s="27"/>
      <c r="DE27" s="27"/>
      <c r="DF27" s="27"/>
      <c r="DG27" s="27"/>
      <c r="DH27" s="27"/>
      <c r="DI27" s="27"/>
      <c r="DJ27" s="27"/>
      <c r="DK27" s="27"/>
      <c r="DL27" s="27"/>
      <c r="DM27" s="27"/>
      <c r="DN27" s="27"/>
      <c r="DO27" s="27"/>
      <c r="DP27" s="27"/>
      <c r="DQ27" s="27"/>
      <c r="DR27" s="27"/>
      <c r="DS27" s="27"/>
      <c r="DT27" s="27"/>
      <c r="DU27" s="27"/>
      <c r="DV27" s="27"/>
      <c r="DW27" s="27"/>
      <c r="DX27" s="27"/>
      <c r="DY27" s="27"/>
    </row>
    <row r="28" spans="1:129" s="1795" customFormat="1" ht="11.5" hidden="1" outlineLevel="1">
      <c r="A28" s="991" t="s">
        <v>1963</v>
      </c>
      <c r="B28" s="1853"/>
      <c r="C28" s="1853"/>
      <c r="D28" s="1853"/>
      <c r="E28" s="1854"/>
      <c r="F28" s="1855"/>
      <c r="G28" s="1855"/>
      <c r="H28" s="1855"/>
      <c r="I28" s="1855"/>
      <c r="J28" s="1855"/>
      <c r="K28" s="1855"/>
      <c r="L28" s="1856"/>
      <c r="M28" s="1855"/>
      <c r="N28" s="1855"/>
      <c r="O28" s="1855"/>
      <c r="P28" s="1855"/>
      <c r="Q28" s="1855"/>
      <c r="R28" s="1855"/>
      <c r="S28" s="1855"/>
      <c r="T28" s="1855"/>
      <c r="U28" s="1855"/>
      <c r="V28" s="1855"/>
      <c r="W28" s="1857"/>
      <c r="X28" s="1793"/>
      <c r="Y28" s="1793"/>
      <c r="Z28" s="1793"/>
      <c r="AA28" s="1793"/>
      <c r="AB28" s="1858"/>
      <c r="AC28" s="1859"/>
      <c r="AD28" s="1859"/>
      <c r="AE28" s="1859"/>
      <c r="AF28" s="1859"/>
      <c r="AG28" s="1860"/>
      <c r="AH28" s="1867">
        <v>1818</v>
      </c>
      <c r="AI28" s="1867">
        <v>1460</v>
      </c>
      <c r="AJ28" s="1867">
        <v>1403</v>
      </c>
      <c r="AK28" s="1868">
        <v>1299</v>
      </c>
      <c r="AL28" s="1859">
        <v>2697</v>
      </c>
      <c r="AM28" s="1859">
        <v>2123</v>
      </c>
      <c r="AN28" s="1859">
        <v>2013</v>
      </c>
      <c r="AO28" s="1860">
        <v>1913</v>
      </c>
      <c r="AP28" s="1859">
        <v>3947</v>
      </c>
      <c r="AQ28" s="1859">
        <v>2814</v>
      </c>
      <c r="AR28" s="1859">
        <v>2496</v>
      </c>
      <c r="AS28" s="1859">
        <v>2192</v>
      </c>
      <c r="AT28" s="2835">
        <v>4163</v>
      </c>
      <c r="AU28" s="1859">
        <v>2862</v>
      </c>
      <c r="AV28" s="1859">
        <v>2633</v>
      </c>
      <c r="AW28" s="1860">
        <v>2276</v>
      </c>
      <c r="AX28" s="2835"/>
      <c r="AY28" s="1859"/>
      <c r="AZ28" s="1859"/>
      <c r="BA28" s="1859"/>
      <c r="BB28" s="2835"/>
      <c r="BC28" s="1859"/>
      <c r="BD28" s="1859"/>
      <c r="BE28" s="1860"/>
      <c r="BF28" s="1859"/>
      <c r="BG28" s="1859"/>
      <c r="BH28" s="1859"/>
      <c r="BI28" s="1860"/>
      <c r="BJ28" s="1859"/>
      <c r="BK28" s="1859"/>
      <c r="BL28" s="1859"/>
      <c r="BM28" s="1860"/>
      <c r="BN28" s="1859"/>
      <c r="BO28" s="1860"/>
      <c r="BP28" s="1860"/>
      <c r="BQ28" s="1794"/>
      <c r="BR28" s="1859"/>
      <c r="BS28" s="1859"/>
      <c r="BT28" s="1859"/>
      <c r="BU28" s="1859"/>
      <c r="BV28" s="1859"/>
      <c r="BW28" s="1859"/>
      <c r="BX28" s="1859"/>
      <c r="BY28" s="2886"/>
      <c r="BZ28" s="1861">
        <v>8746</v>
      </c>
      <c r="CA28" s="1837">
        <f>SUM(AP28:AS28)</f>
        <v>11449</v>
      </c>
      <c r="CB28" s="1837">
        <v>11933</v>
      </c>
      <c r="CC28" s="1837"/>
      <c r="CD28" s="1941"/>
      <c r="CE28" s="1941"/>
      <c r="CF28" s="1941"/>
      <c r="CG28" s="1941"/>
      <c r="CH28" s="1941"/>
      <c r="CI28" s="1839"/>
      <c r="CJ28" s="1839"/>
      <c r="CK28" s="1839"/>
      <c r="CL28" s="1839"/>
      <c r="CM28" s="1839"/>
      <c r="CN28" s="1839"/>
      <c r="CO28" s="1839"/>
      <c r="CP28" s="1839"/>
      <c r="CQ28" s="1839"/>
      <c r="CR28" s="1839"/>
      <c r="CS28" s="1839"/>
      <c r="CT28" s="1839"/>
      <c r="CU28" s="1839"/>
      <c r="CV28" s="1839"/>
      <c r="CW28" s="1839"/>
      <c r="CX28" s="1839"/>
      <c r="CY28" s="1839"/>
      <c r="CZ28" s="1839"/>
      <c r="DA28" s="1839"/>
      <c r="DB28" s="1839"/>
      <c r="DC28" s="1839"/>
      <c r="DD28" s="1839"/>
      <c r="DE28" s="1839"/>
      <c r="DF28" s="1839"/>
      <c r="DG28" s="1839"/>
      <c r="DH28" s="1839"/>
      <c r="DI28" s="1839"/>
      <c r="DJ28" s="1839"/>
      <c r="DK28" s="1839"/>
      <c r="DL28" s="1839"/>
      <c r="DM28" s="1839"/>
      <c r="DN28" s="1839"/>
      <c r="DO28" s="1839"/>
      <c r="DP28" s="1839"/>
      <c r="DQ28" s="1839"/>
      <c r="DR28" s="1839"/>
      <c r="DS28" s="1839"/>
      <c r="DT28" s="1839"/>
      <c r="DU28" s="1839"/>
      <c r="DV28" s="1839"/>
      <c r="DW28" s="1839"/>
      <c r="DX28" s="1839"/>
      <c r="DY28" s="1839"/>
    </row>
    <row r="29" spans="1:129" s="473" customFormat="1" hidden="1" outlineLevel="1">
      <c r="A29" s="1459" t="s">
        <v>1964</v>
      </c>
      <c r="B29" s="466"/>
      <c r="C29" s="466"/>
      <c r="D29" s="466"/>
      <c r="E29" s="467"/>
      <c r="F29" s="82"/>
      <c r="G29" s="82"/>
      <c r="H29" s="82"/>
      <c r="I29" s="82"/>
      <c r="J29" s="82"/>
      <c r="K29" s="82"/>
      <c r="L29" s="224"/>
      <c r="M29" s="82"/>
      <c r="N29" s="82"/>
      <c r="O29" s="82"/>
      <c r="P29" s="82"/>
      <c r="Q29" s="82"/>
      <c r="R29" s="82"/>
      <c r="S29" s="82"/>
      <c r="T29" s="82"/>
      <c r="U29" s="82"/>
      <c r="V29" s="82"/>
      <c r="W29" s="115"/>
      <c r="X29" s="211"/>
      <c r="Y29" s="211"/>
      <c r="Z29" s="211"/>
      <c r="AA29" s="211"/>
      <c r="AB29" s="446"/>
      <c r="AC29" s="211"/>
      <c r="AD29" s="211"/>
      <c r="AE29" s="211"/>
      <c r="AF29" s="211"/>
      <c r="AG29" s="446"/>
      <c r="AH29" s="995"/>
      <c r="AI29" s="995"/>
      <c r="AJ29" s="995"/>
      <c r="AK29" s="996"/>
      <c r="AL29" s="988">
        <v>0.48349834983498341</v>
      </c>
      <c r="AM29" s="988">
        <v>0.454109589041096</v>
      </c>
      <c r="AN29" s="988">
        <v>0.43478260869565211</v>
      </c>
      <c r="AO29" s="989">
        <v>0.48524844720496896</v>
      </c>
      <c r="AP29" s="988">
        <f t="shared" ref="AP29:AW29" si="20">AP28/AL28-1</f>
        <v>0.46347793845012975</v>
      </c>
      <c r="AQ29" s="988">
        <f t="shared" si="20"/>
        <v>0.32548280734809243</v>
      </c>
      <c r="AR29" s="988">
        <f t="shared" si="20"/>
        <v>0.23994038748137103</v>
      </c>
      <c r="AS29" s="988">
        <f t="shared" si="20"/>
        <v>0.14584422373235761</v>
      </c>
      <c r="AT29" s="2829">
        <f t="shared" si="20"/>
        <v>5.4725107676716567E-2</v>
      </c>
      <c r="AU29" s="988">
        <f t="shared" si="20"/>
        <v>1.7057569296375252E-2</v>
      </c>
      <c r="AV29" s="988">
        <f t="shared" si="20"/>
        <v>5.4887820512820484E-2</v>
      </c>
      <c r="AW29" s="989">
        <f t="shared" si="20"/>
        <v>3.8321167883211604E-2</v>
      </c>
      <c r="AX29" s="2829"/>
      <c r="AY29" s="988"/>
      <c r="AZ29" s="988"/>
      <c r="BA29" s="988"/>
      <c r="BB29" s="2829"/>
      <c r="BC29" s="988"/>
      <c r="BD29" s="988"/>
      <c r="BE29" s="989"/>
      <c r="BF29" s="988"/>
      <c r="BG29" s="988"/>
      <c r="BH29" s="988"/>
      <c r="BI29" s="989"/>
      <c r="BJ29" s="988"/>
      <c r="BK29" s="988"/>
      <c r="BL29" s="988"/>
      <c r="BM29" s="989"/>
      <c r="BN29" s="988"/>
      <c r="BO29" s="989"/>
      <c r="BP29" s="989"/>
      <c r="BQ29" s="3335"/>
      <c r="BR29" s="988"/>
      <c r="BS29" s="988"/>
      <c r="BT29" s="988"/>
      <c r="BU29" s="988"/>
      <c r="BV29" s="988"/>
      <c r="BW29" s="988"/>
      <c r="BX29" s="988"/>
      <c r="BY29" s="2887"/>
      <c r="BZ29" s="1009">
        <v>0.46523705813369065</v>
      </c>
      <c r="CA29" s="2829">
        <f>CA28/BZ28-1</f>
        <v>0.30905556825977598</v>
      </c>
      <c r="CB29" s="2829">
        <f>CB28/CA28-1</f>
        <v>4.2274434448423381E-2</v>
      </c>
      <c r="CC29" s="1009"/>
      <c r="CD29" s="98"/>
      <c r="CE29" s="98"/>
      <c r="CF29" s="98"/>
      <c r="CG29" s="98"/>
      <c r="CH29" s="98"/>
      <c r="CI29" s="27"/>
      <c r="CJ29" s="27"/>
      <c r="CK29" s="27"/>
      <c r="CL29" s="27"/>
      <c r="CM29" s="27"/>
      <c r="CN29" s="27"/>
      <c r="CO29" s="27"/>
      <c r="CP29" s="27"/>
      <c r="CQ29" s="27"/>
      <c r="CR29" s="27"/>
      <c r="CS29" s="27"/>
      <c r="CT29" s="27"/>
      <c r="CU29" s="27"/>
      <c r="CV29" s="27"/>
      <c r="CW29" s="27"/>
      <c r="CX29" s="27"/>
      <c r="CY29" s="27"/>
      <c r="CZ29" s="27"/>
      <c r="DA29" s="27"/>
      <c r="DB29" s="27"/>
      <c r="DC29" s="27"/>
      <c r="DD29" s="27"/>
      <c r="DE29" s="27"/>
      <c r="DF29" s="27"/>
      <c r="DG29" s="27"/>
      <c r="DH29" s="27"/>
      <c r="DI29" s="27"/>
      <c r="DJ29" s="27"/>
      <c r="DK29" s="27"/>
      <c r="DL29" s="27"/>
      <c r="DM29" s="27"/>
      <c r="DN29" s="27"/>
      <c r="DO29" s="27"/>
      <c r="DP29" s="27"/>
      <c r="DQ29" s="27"/>
      <c r="DR29" s="27"/>
      <c r="DS29" s="27"/>
      <c r="DT29" s="27"/>
      <c r="DU29" s="27"/>
      <c r="DV29" s="27"/>
      <c r="DW29" s="27"/>
      <c r="DX29" s="27"/>
      <c r="DY29" s="27"/>
    </row>
    <row r="30" spans="1:129" s="473" customFormat="1" ht="11.5" hidden="1" outlineLevel="1">
      <c r="A30" s="1459" t="s">
        <v>1965</v>
      </c>
      <c r="B30" s="466"/>
      <c r="C30" s="466"/>
      <c r="D30" s="466"/>
      <c r="E30" s="467"/>
      <c r="F30" s="82"/>
      <c r="G30" s="82"/>
      <c r="H30" s="82"/>
      <c r="I30" s="82"/>
      <c r="J30" s="82"/>
      <c r="K30" s="82"/>
      <c r="L30" s="224"/>
      <c r="M30" s="82"/>
      <c r="N30" s="82"/>
      <c r="O30" s="82"/>
      <c r="P30" s="82"/>
      <c r="Q30" s="82"/>
      <c r="R30" s="82"/>
      <c r="S30" s="82"/>
      <c r="T30" s="82"/>
      <c r="U30" s="82"/>
      <c r="V30" s="82"/>
      <c r="W30" s="115"/>
      <c r="X30" s="211"/>
      <c r="Y30" s="211"/>
      <c r="Z30" s="211"/>
      <c r="AA30" s="211"/>
      <c r="AB30" s="446"/>
      <c r="AC30" s="211"/>
      <c r="AD30" s="211"/>
      <c r="AE30" s="211"/>
      <c r="AF30" s="211"/>
      <c r="AG30" s="446"/>
      <c r="AH30" s="211"/>
      <c r="AI30" s="211"/>
      <c r="AJ30" s="211"/>
      <c r="AK30" s="486"/>
      <c r="AL30" s="473">
        <f t="shared" ref="AL30:AW30" si="21">AL28/AL$5</f>
        <v>0.11422980648276389</v>
      </c>
      <c r="AM30" s="473">
        <f t="shared" si="21"/>
        <v>9.2960324375922262E-2</v>
      </c>
      <c r="AN30" s="473">
        <f t="shared" si="21"/>
        <v>9.0689973644493507E-2</v>
      </c>
      <c r="AO30" s="486">
        <f t="shared" si="21"/>
        <v>9.6782843179415046E-2</v>
      </c>
      <c r="AP30" s="473">
        <f t="shared" si="21"/>
        <v>0.14513163700544199</v>
      </c>
      <c r="AQ30" s="473">
        <f t="shared" si="21"/>
        <v>0.1086570391536026</v>
      </c>
      <c r="AR30" s="473">
        <f t="shared" si="21"/>
        <v>0.10115091586967094</v>
      </c>
      <c r="AS30" s="473">
        <f t="shared" si="21"/>
        <v>9.9831488819055431E-2</v>
      </c>
      <c r="AT30" s="2819">
        <f t="shared" si="21"/>
        <v>0.14155530619878268</v>
      </c>
      <c r="AU30" s="473">
        <f t="shared" si="21"/>
        <v>0.10115933832885621</v>
      </c>
      <c r="AV30" s="473">
        <f t="shared" si="21"/>
        <v>9.77828944925168E-2</v>
      </c>
      <c r="AW30" s="486">
        <f t="shared" si="21"/>
        <v>9.7913529791352982E-2</v>
      </c>
      <c r="AX30" s="2819"/>
      <c r="BB30" s="2819"/>
      <c r="BE30" s="486"/>
      <c r="BI30" s="486"/>
      <c r="BM30" s="486"/>
      <c r="BO30" s="486"/>
      <c r="BP30" s="486"/>
      <c r="BQ30" s="3334"/>
      <c r="BY30" s="451"/>
      <c r="BZ30" s="489">
        <f>BZ28/BZ$5</f>
        <v>9.8924901454012809E-2</v>
      </c>
      <c r="CA30" s="98">
        <f>CA28/CA$5</f>
        <v>0.11480341331835912</v>
      </c>
      <c r="CB30" s="98">
        <f>CB28/CB$5</f>
        <v>0.11062082263402334</v>
      </c>
      <c r="CC30" s="452"/>
      <c r="CD30" s="98"/>
      <c r="CE30" s="98"/>
      <c r="CF30" s="98"/>
      <c r="CG30" s="98"/>
      <c r="CH30" s="98"/>
      <c r="CI30" s="27"/>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c r="DH30" s="27"/>
      <c r="DI30" s="27"/>
      <c r="DJ30" s="27"/>
      <c r="DK30" s="27"/>
      <c r="DL30" s="27"/>
      <c r="DM30" s="27"/>
      <c r="DN30" s="27"/>
      <c r="DO30" s="27"/>
      <c r="DP30" s="27"/>
      <c r="DQ30" s="27"/>
      <c r="DR30" s="27"/>
      <c r="DS30" s="27"/>
      <c r="DT30" s="27"/>
      <c r="DU30" s="27"/>
      <c r="DV30" s="27"/>
      <c r="DW30" s="27"/>
      <c r="DX30" s="27"/>
      <c r="DY30" s="27"/>
    </row>
    <row r="31" spans="1:129" s="473" customFormat="1" ht="11.5" collapsed="1">
      <c r="A31" s="2080"/>
      <c r="B31" s="466"/>
      <c r="C31" s="466"/>
      <c r="D31" s="466"/>
      <c r="E31" s="467"/>
      <c r="F31" s="82"/>
      <c r="G31" s="82"/>
      <c r="H31" s="82"/>
      <c r="I31" s="82"/>
      <c r="J31" s="82"/>
      <c r="K31" s="82"/>
      <c r="L31" s="224"/>
      <c r="M31" s="82"/>
      <c r="N31" s="82"/>
      <c r="O31" s="82"/>
      <c r="P31" s="82"/>
      <c r="Q31" s="82"/>
      <c r="R31" s="82"/>
      <c r="S31" s="82"/>
      <c r="T31" s="82"/>
      <c r="U31" s="82"/>
      <c r="V31" s="82"/>
      <c r="W31" s="115"/>
      <c r="X31" s="211"/>
      <c r="Y31" s="211"/>
      <c r="Z31" s="211"/>
      <c r="AA31" s="211"/>
      <c r="AB31" s="446"/>
      <c r="AC31" s="211"/>
      <c r="AD31" s="211"/>
      <c r="AE31" s="211"/>
      <c r="AF31" s="211"/>
      <c r="AG31" s="446"/>
      <c r="AH31" s="211"/>
      <c r="AI31" s="211"/>
      <c r="AJ31" s="211"/>
      <c r="AK31" s="486"/>
      <c r="AO31" s="486"/>
      <c r="AT31" s="2819"/>
      <c r="AW31" s="486"/>
      <c r="AX31" s="2819"/>
      <c r="BB31" s="2819"/>
      <c r="BE31" s="486"/>
      <c r="BI31" s="486"/>
      <c r="BM31" s="486"/>
      <c r="BO31" s="486"/>
      <c r="BP31" s="486"/>
      <c r="BQ31" s="3334"/>
      <c r="BY31" s="451"/>
      <c r="BZ31" s="489"/>
      <c r="CA31" s="98"/>
      <c r="CB31" s="98"/>
      <c r="CC31" s="452"/>
      <c r="CD31" s="98"/>
      <c r="CE31" s="98"/>
      <c r="CF31" s="98"/>
      <c r="CG31" s="98"/>
      <c r="CH31" s="98"/>
      <c r="CI31" s="27"/>
      <c r="CJ31" s="27"/>
      <c r="CK31" s="27"/>
      <c r="CL31" s="27"/>
      <c r="CM31" s="27"/>
      <c r="CN31" s="27"/>
      <c r="CO31" s="27"/>
      <c r="CP31" s="27"/>
      <c r="CQ31" s="27"/>
      <c r="CR31" s="27"/>
      <c r="CS31" s="27"/>
      <c r="CT31" s="27"/>
      <c r="CU31" s="27"/>
      <c r="CV31" s="27"/>
      <c r="CW31" s="27"/>
      <c r="CX31" s="27"/>
      <c r="CY31" s="27"/>
      <c r="CZ31" s="27"/>
      <c r="DA31" s="27"/>
      <c r="DB31" s="27"/>
      <c r="DC31" s="27"/>
      <c r="DD31" s="27"/>
      <c r="DE31" s="27"/>
      <c r="DF31" s="27"/>
      <c r="DG31" s="27"/>
      <c r="DH31" s="27"/>
      <c r="DI31" s="27"/>
      <c r="DJ31" s="27"/>
      <c r="DK31" s="27"/>
      <c r="DL31" s="27"/>
      <c r="DM31" s="27"/>
      <c r="DN31" s="27"/>
      <c r="DO31" s="27"/>
      <c r="DP31" s="27"/>
      <c r="DQ31" s="27"/>
      <c r="DR31" s="27"/>
      <c r="DS31" s="27"/>
      <c r="DT31" s="27"/>
      <c r="DU31" s="27"/>
      <c r="DV31" s="27"/>
      <c r="DW31" s="27"/>
      <c r="DX31" s="27"/>
      <c r="DY31" s="27"/>
    </row>
    <row r="32" spans="1:129" s="473" customFormat="1" ht="11.5">
      <c r="A32" s="464" t="s">
        <v>1359</v>
      </c>
      <c r="B32" s="466"/>
      <c r="C32" s="466"/>
      <c r="D32" s="466"/>
      <c r="E32" s="467"/>
      <c r="F32" s="82"/>
      <c r="G32" s="82"/>
      <c r="H32" s="82"/>
      <c r="I32" s="82"/>
      <c r="J32" s="82"/>
      <c r="K32" s="82"/>
      <c r="L32" s="224"/>
      <c r="M32" s="82"/>
      <c r="N32" s="82"/>
      <c r="O32" s="82"/>
      <c r="P32" s="82"/>
      <c r="Q32" s="82"/>
      <c r="R32" s="82"/>
      <c r="S32" s="82"/>
      <c r="T32" s="82"/>
      <c r="U32" s="82"/>
      <c r="V32" s="82"/>
      <c r="W32" s="115"/>
      <c r="X32" s="211"/>
      <c r="Y32" s="211"/>
      <c r="Z32" s="211"/>
      <c r="AA32" s="211"/>
      <c r="AB32" s="446"/>
      <c r="AC32" s="211"/>
      <c r="AD32" s="211"/>
      <c r="AE32" s="211"/>
      <c r="AF32" s="211"/>
      <c r="AG32" s="446"/>
      <c r="AH32" s="211"/>
      <c r="AI32" s="211"/>
      <c r="AJ32" s="211"/>
      <c r="AK32" s="486"/>
      <c r="AO32" s="486"/>
      <c r="AT32" s="2819"/>
      <c r="AW32" s="486"/>
      <c r="AX32" s="2819"/>
      <c r="BB32" s="2819"/>
      <c r="BE32" s="486"/>
      <c r="BI32" s="486"/>
      <c r="BM32" s="486"/>
      <c r="BO32" s="486"/>
      <c r="BP32" s="486"/>
      <c r="BQ32" s="3334"/>
      <c r="BY32" s="451"/>
      <c r="BZ32" s="489"/>
      <c r="CA32" s="98"/>
      <c r="CB32" s="98"/>
      <c r="CC32" s="452"/>
      <c r="CD32" s="98"/>
      <c r="CE32" s="98"/>
      <c r="CF32" s="98"/>
      <c r="CG32" s="98"/>
      <c r="CH32" s="98"/>
      <c r="CI32" s="27"/>
      <c r="CJ32" s="27"/>
      <c r="CK32" s="27"/>
      <c r="CL32" s="27"/>
      <c r="CM32" s="27"/>
      <c r="CN32" s="27"/>
      <c r="CO32" s="27"/>
      <c r="CP32" s="27"/>
      <c r="CQ32" s="27"/>
      <c r="CR32" s="27"/>
      <c r="CS32" s="27"/>
      <c r="CT32" s="27"/>
      <c r="CU32" s="27"/>
      <c r="CV32" s="27"/>
      <c r="CW32" s="27"/>
      <c r="CX32" s="27"/>
      <c r="CY32" s="27"/>
      <c r="CZ32" s="27"/>
      <c r="DA32" s="27"/>
      <c r="DB32" s="27"/>
      <c r="DC32" s="27"/>
      <c r="DD32" s="27"/>
      <c r="DE32" s="27"/>
      <c r="DF32" s="27"/>
      <c r="DG32" s="27"/>
      <c r="DH32" s="27"/>
      <c r="DI32" s="27"/>
      <c r="DJ32" s="27"/>
      <c r="DK32" s="27"/>
      <c r="DL32" s="27"/>
      <c r="DM32" s="27"/>
      <c r="DN32" s="27"/>
      <c r="DO32" s="27"/>
      <c r="DP32" s="27"/>
      <c r="DQ32" s="27"/>
      <c r="DR32" s="27"/>
      <c r="DS32" s="27"/>
      <c r="DT32" s="27"/>
      <c r="DU32" s="27"/>
      <c r="DV32" s="27"/>
      <c r="DW32" s="27"/>
      <c r="DX32" s="27"/>
      <c r="DY32" s="27"/>
    </row>
    <row r="33" spans="1:129" s="473" customFormat="1" ht="11.5">
      <c r="A33" s="1505" t="s">
        <v>1360</v>
      </c>
      <c r="B33" s="466"/>
      <c r="C33" s="466"/>
      <c r="D33" s="466"/>
      <c r="E33" s="467"/>
      <c r="F33" s="82"/>
      <c r="G33" s="82"/>
      <c r="H33" s="82"/>
      <c r="I33" s="82"/>
      <c r="J33" s="82"/>
      <c r="K33" s="82"/>
      <c r="L33" s="224"/>
      <c r="M33" s="82"/>
      <c r="N33" s="82"/>
      <c r="O33" s="82"/>
      <c r="P33" s="82"/>
      <c r="Q33" s="82"/>
      <c r="R33" s="82"/>
      <c r="S33" s="82"/>
      <c r="T33" s="82"/>
      <c r="U33" s="82"/>
      <c r="V33" s="82"/>
      <c r="W33" s="115"/>
      <c r="X33" s="211"/>
      <c r="Y33" s="211"/>
      <c r="Z33" s="211"/>
      <c r="AA33" s="211"/>
      <c r="AB33" s="446"/>
      <c r="AC33" s="211"/>
      <c r="AD33" s="211"/>
      <c r="AE33" s="211"/>
      <c r="AF33" s="211"/>
      <c r="AG33" s="446"/>
      <c r="AH33" s="211"/>
      <c r="AI33" s="211"/>
      <c r="AJ33" s="211"/>
      <c r="AK33" s="486"/>
      <c r="AO33" s="486"/>
      <c r="AP33" s="1859">
        <v>16046</v>
      </c>
      <c r="AQ33" s="1859">
        <v>14821</v>
      </c>
      <c r="AR33" s="1859">
        <v>13663</v>
      </c>
      <c r="AS33" s="1859">
        <v>12602</v>
      </c>
      <c r="AT33" s="2835">
        <v>17352</v>
      </c>
      <c r="AU33" s="1859">
        <v>16112</v>
      </c>
      <c r="AV33" s="1859">
        <v>14585</v>
      </c>
      <c r="AW33" s="1860">
        <v>11956</v>
      </c>
      <c r="AX33" s="2835">
        <v>9823</v>
      </c>
      <c r="AY33" s="1859">
        <v>1363</v>
      </c>
      <c r="AZ33" s="1859">
        <v>3530</v>
      </c>
      <c r="BA33" s="1859">
        <v>3405</v>
      </c>
      <c r="BB33" s="2835">
        <v>6737</v>
      </c>
      <c r="BC33" s="1859">
        <v>10362</v>
      </c>
      <c r="BD33" s="1859">
        <v>8855</v>
      </c>
      <c r="BE33" s="1860">
        <v>8325</v>
      </c>
      <c r="BF33" s="1859">
        <v>11346</v>
      </c>
      <c r="BG33" s="1859">
        <v>12773</v>
      </c>
      <c r="BH33" s="1859">
        <v>10904</v>
      </c>
      <c r="BI33" s="1860">
        <v>9469</v>
      </c>
      <c r="BJ33" s="1859">
        <v>13425</v>
      </c>
      <c r="BK33" s="1859">
        <v>12370</v>
      </c>
      <c r="BL33" s="1859">
        <v>10927</v>
      </c>
      <c r="BM33" s="1860">
        <v>9439</v>
      </c>
      <c r="BN33" s="1859">
        <v>13301</v>
      </c>
      <c r="BO33" s="1859">
        <v>12578</v>
      </c>
      <c r="BP33" s="1859">
        <v>11379</v>
      </c>
      <c r="BQ33" s="1775">
        <v>10376</v>
      </c>
      <c r="BR33" s="1859">
        <v>13239</v>
      </c>
      <c r="BS33" s="1859">
        <v>12376</v>
      </c>
      <c r="BT33" s="1859">
        <v>11875</v>
      </c>
      <c r="BU33" s="1859">
        <v>10517</v>
      </c>
      <c r="BV33" s="1859">
        <v>14357</v>
      </c>
      <c r="BW33" s="1859">
        <v>13317</v>
      </c>
      <c r="BX33" s="1859"/>
      <c r="BY33" s="451"/>
      <c r="BZ33" s="489"/>
      <c r="CA33" s="2910">
        <f>SUM(AP33:AS33)</f>
        <v>57132</v>
      </c>
      <c r="CB33" s="2910">
        <f>SUM(AT33:AW33)</f>
        <v>60005</v>
      </c>
      <c r="CC33" s="2874">
        <f>SUM(AX33:BA33)</f>
        <v>18121</v>
      </c>
      <c r="CD33" s="2874">
        <v>34279</v>
      </c>
      <c r="CE33" s="2934">
        <f>SUM(BF33:BI33)</f>
        <v>44492</v>
      </c>
      <c r="CF33" s="2934">
        <v>46161</v>
      </c>
      <c r="CG33" s="2934">
        <v>47634</v>
      </c>
      <c r="CH33" s="2934">
        <v>48007</v>
      </c>
      <c r="CI33" s="27"/>
      <c r="CJ33" s="27"/>
      <c r="CK33" s="27"/>
      <c r="CL33" s="27"/>
      <c r="CM33" s="27"/>
      <c r="CN33" s="27"/>
      <c r="CO33" s="27"/>
      <c r="CP33" s="27"/>
      <c r="CQ33" s="27"/>
      <c r="CR33" s="27"/>
      <c r="CS33" s="27"/>
      <c r="CT33" s="27"/>
      <c r="CU33" s="27"/>
      <c r="CV33" s="27"/>
      <c r="CW33" s="27"/>
      <c r="CX33" s="27"/>
      <c r="CY33" s="27"/>
      <c r="CZ33" s="27"/>
      <c r="DA33" s="27"/>
      <c r="DB33" s="27"/>
      <c r="DC33" s="27"/>
      <c r="DD33" s="27"/>
      <c r="DE33" s="27"/>
      <c r="DF33" s="27"/>
      <c r="DG33" s="27"/>
      <c r="DH33" s="27"/>
      <c r="DI33" s="27"/>
      <c r="DJ33" s="27"/>
      <c r="DK33" s="27"/>
      <c r="DL33" s="27"/>
      <c r="DM33" s="27"/>
      <c r="DN33" s="27"/>
      <c r="DO33" s="27"/>
      <c r="DP33" s="27"/>
      <c r="DQ33" s="27"/>
      <c r="DR33" s="27"/>
      <c r="DS33" s="27"/>
      <c r="DT33" s="27"/>
      <c r="DU33" s="27"/>
      <c r="DV33" s="27"/>
      <c r="DW33" s="27"/>
      <c r="DX33" s="27"/>
      <c r="DY33" s="27"/>
    </row>
    <row r="34" spans="1:129" s="473" customFormat="1">
      <c r="A34" s="1503" t="s">
        <v>1332</v>
      </c>
      <c r="B34" s="466"/>
      <c r="C34" s="466"/>
      <c r="D34" s="466"/>
      <c r="E34" s="467"/>
      <c r="F34" s="82"/>
      <c r="G34" s="82"/>
      <c r="H34" s="82"/>
      <c r="I34" s="82"/>
      <c r="J34" s="82"/>
      <c r="K34" s="82"/>
      <c r="L34" s="224"/>
      <c r="M34" s="82"/>
      <c r="N34" s="82"/>
      <c r="O34" s="82"/>
      <c r="P34" s="82"/>
      <c r="Q34" s="82"/>
      <c r="R34" s="82"/>
      <c r="S34" s="82"/>
      <c r="T34" s="82"/>
      <c r="U34" s="82"/>
      <c r="V34" s="82"/>
      <c r="W34" s="115"/>
      <c r="X34" s="211"/>
      <c r="Y34" s="211"/>
      <c r="Z34" s="211"/>
      <c r="AA34" s="211"/>
      <c r="AB34" s="446"/>
      <c r="AC34" s="211"/>
      <c r="AD34" s="211"/>
      <c r="AE34" s="211"/>
      <c r="AF34" s="211"/>
      <c r="AG34" s="446"/>
      <c r="AH34" s="211"/>
      <c r="AI34" s="211"/>
      <c r="AJ34" s="211"/>
      <c r="AK34" s="486"/>
      <c r="AO34" s="486"/>
      <c r="AT34" s="2829">
        <f>AT33/AP33-1</f>
        <v>8.1391000872491626E-2</v>
      </c>
      <c r="AU34" s="988">
        <f>AU33/AQ33-1</f>
        <v>8.710613318939342E-2</v>
      </c>
      <c r="AV34" s="988">
        <f>AV33/AR33-1</f>
        <v>6.7481519432042836E-2</v>
      </c>
      <c r="AW34" s="989">
        <f>AW33/AS33-1</f>
        <v>-5.126170449135059E-2</v>
      </c>
      <c r="AX34" s="2829">
        <f t="shared" ref="AX34:BC34" si="22">AX33/AT33-1</f>
        <v>-0.43389810972798526</v>
      </c>
      <c r="AY34" s="988">
        <f t="shared" si="22"/>
        <v>-0.91540466732869907</v>
      </c>
      <c r="AZ34" s="988">
        <f t="shared" si="22"/>
        <v>-0.75797051765512513</v>
      </c>
      <c r="BA34" s="988">
        <f t="shared" si="22"/>
        <v>-0.71520575443292067</v>
      </c>
      <c r="BB34" s="2829">
        <f t="shared" si="22"/>
        <v>-0.31416064338796701</v>
      </c>
      <c r="BC34" s="988">
        <f t="shared" si="22"/>
        <v>6.6023477622890683</v>
      </c>
      <c r="BD34" s="988">
        <v>1.51</v>
      </c>
      <c r="BE34" s="989">
        <v>1.44</v>
      </c>
      <c r="BF34" s="988">
        <v>0.68</v>
      </c>
      <c r="BG34" s="2968">
        <v>0.23</v>
      </c>
      <c r="BH34" s="2968">
        <v>1.23</v>
      </c>
      <c r="BI34" s="3028">
        <v>2.23</v>
      </c>
      <c r="BJ34" s="988">
        <f t="shared" ref="BJ34:BW34" si="23">BJ33/BF33-1</f>
        <v>0.18323638286620825</v>
      </c>
      <c r="BK34" s="988">
        <f t="shared" si="23"/>
        <v>-3.1550927738197787E-2</v>
      </c>
      <c r="BL34" s="988">
        <f t="shared" si="23"/>
        <v>2.1093176815847325E-3</v>
      </c>
      <c r="BM34" s="988">
        <f t="shared" si="23"/>
        <v>-3.1682331819622433E-3</v>
      </c>
      <c r="BN34" s="988">
        <f t="shared" si="23"/>
        <v>-9.2364990689013382E-3</v>
      </c>
      <c r="BO34" s="988">
        <f t="shared" si="23"/>
        <v>1.6814874696847282E-2</v>
      </c>
      <c r="BP34" s="988">
        <f t="shared" si="23"/>
        <v>4.1365425093804253E-2</v>
      </c>
      <c r="BQ34" s="3336">
        <f t="shared" si="23"/>
        <v>9.9268990359148157E-2</v>
      </c>
      <c r="BR34" s="988">
        <f t="shared" si="23"/>
        <v>-4.6613036613788461E-3</v>
      </c>
      <c r="BS34" s="988">
        <f t="shared" si="23"/>
        <v>-1.6059786929559561E-2</v>
      </c>
      <c r="BT34" s="988">
        <f t="shared" si="23"/>
        <v>4.3589067580630969E-2</v>
      </c>
      <c r="BU34" s="988">
        <f t="shared" si="23"/>
        <v>1.3589051657671547E-2</v>
      </c>
      <c r="BV34" s="988">
        <f t="shared" si="23"/>
        <v>8.44474658206813E-2</v>
      </c>
      <c r="BW34" s="988">
        <f t="shared" si="23"/>
        <v>7.6034259857789221E-2</v>
      </c>
      <c r="BX34" s="988"/>
      <c r="BY34" s="451"/>
      <c r="BZ34" s="489"/>
      <c r="CA34" s="98"/>
      <c r="CB34" s="98"/>
      <c r="CC34" s="452">
        <f t="shared" ref="CC34:CH34" si="24">CC33/CB33-1</f>
        <v>-0.6980084992917257</v>
      </c>
      <c r="CD34" s="452">
        <f t="shared" si="24"/>
        <v>0.89167264499751675</v>
      </c>
      <c r="CE34" s="452">
        <f t="shared" si="24"/>
        <v>0.29793751276291602</v>
      </c>
      <c r="CF34" s="452">
        <f t="shared" si="24"/>
        <v>3.7512361772902958E-2</v>
      </c>
      <c r="CG34" s="452">
        <f t="shared" si="24"/>
        <v>3.1910053941639038E-2</v>
      </c>
      <c r="CH34" s="452">
        <f t="shared" si="24"/>
        <v>7.8305412100601046E-3</v>
      </c>
      <c r="CI34" s="27"/>
      <c r="CJ34" s="27"/>
      <c r="CK34" s="27"/>
      <c r="CL34" s="27"/>
      <c r="CM34" s="27"/>
      <c r="CN34" s="27"/>
      <c r="CO34" s="27"/>
      <c r="CP34" s="27"/>
      <c r="CQ34" s="27"/>
      <c r="CR34" s="27"/>
      <c r="CS34" s="27"/>
      <c r="CT34" s="27"/>
      <c r="CU34" s="27"/>
      <c r="CV34" s="27"/>
      <c r="CW34" s="27"/>
      <c r="CX34" s="27"/>
      <c r="CY34" s="27"/>
      <c r="CZ34" s="27"/>
      <c r="DA34" s="27"/>
      <c r="DB34" s="27"/>
      <c r="DC34" s="27"/>
      <c r="DD34" s="27"/>
      <c r="DE34" s="27"/>
      <c r="DF34" s="27"/>
      <c r="DG34" s="27"/>
      <c r="DH34" s="27"/>
      <c r="DI34" s="27"/>
      <c r="DJ34" s="27"/>
      <c r="DK34" s="27"/>
      <c r="DL34" s="27"/>
      <c r="DM34" s="27"/>
      <c r="DN34" s="27"/>
      <c r="DO34" s="27"/>
      <c r="DP34" s="27"/>
      <c r="DQ34" s="27"/>
      <c r="DR34" s="27"/>
      <c r="DS34" s="27"/>
      <c r="DT34" s="27"/>
      <c r="DU34" s="27"/>
      <c r="DV34" s="27"/>
      <c r="DW34" s="27"/>
      <c r="DX34" s="27"/>
      <c r="DY34" s="27"/>
    </row>
    <row r="35" spans="1:129" s="654" customFormat="1">
      <c r="A35" s="3439" t="s">
        <v>1333</v>
      </c>
      <c r="B35" s="658"/>
      <c r="C35" s="658"/>
      <c r="D35" s="658"/>
      <c r="E35" s="659"/>
      <c r="F35" s="3414"/>
      <c r="G35" s="3414"/>
      <c r="H35" s="3414"/>
      <c r="I35" s="3414"/>
      <c r="J35" s="3414"/>
      <c r="K35" s="3414"/>
      <c r="L35" s="3104"/>
      <c r="M35" s="3414"/>
      <c r="N35" s="3414"/>
      <c r="O35" s="3414"/>
      <c r="P35" s="3414"/>
      <c r="Q35" s="3414"/>
      <c r="R35" s="3414"/>
      <c r="S35" s="3414"/>
      <c r="T35" s="3414"/>
      <c r="U35" s="3414"/>
      <c r="V35" s="3414"/>
      <c r="W35" s="3440"/>
      <c r="X35" s="38"/>
      <c r="Y35" s="38"/>
      <c r="Z35" s="38"/>
      <c r="AA35" s="38"/>
      <c r="AB35" s="1548"/>
      <c r="AC35" s="38"/>
      <c r="AD35" s="38"/>
      <c r="AE35" s="38"/>
      <c r="AF35" s="38"/>
      <c r="AG35" s="1548"/>
      <c r="AH35" s="38"/>
      <c r="AI35" s="38"/>
      <c r="AJ35" s="38"/>
      <c r="AK35" s="3441"/>
      <c r="AO35" s="3441"/>
      <c r="AP35" s="3028">
        <f t="shared" ref="AP35:BF35" si="25">AP33/AP$5</f>
        <v>0.5900132372407707</v>
      </c>
      <c r="AQ35" s="3028">
        <f t="shared" si="25"/>
        <v>0.57228357402115992</v>
      </c>
      <c r="AR35" s="3028">
        <f t="shared" si="25"/>
        <v>0.5536958988490841</v>
      </c>
      <c r="AS35" s="2968">
        <f t="shared" si="25"/>
        <v>0.57393997358473381</v>
      </c>
      <c r="AT35" s="2990">
        <f t="shared" si="25"/>
        <v>0.59002346220544732</v>
      </c>
      <c r="AU35" s="2968">
        <f t="shared" si="25"/>
        <v>0.56948960836985718</v>
      </c>
      <c r="AV35" s="2968">
        <f t="shared" si="25"/>
        <v>0.54164964533739368</v>
      </c>
      <c r="AW35" s="3028">
        <f t="shared" si="25"/>
        <v>0.5143471714347172</v>
      </c>
      <c r="AX35" s="2990">
        <f t="shared" si="25"/>
        <v>0.54923119932904674</v>
      </c>
      <c r="AY35" s="2968">
        <f t="shared" si="25"/>
        <v>0.50239587172871358</v>
      </c>
      <c r="AZ35" s="2968">
        <f t="shared" si="25"/>
        <v>0.40899084694705135</v>
      </c>
      <c r="BA35" s="2968">
        <f t="shared" si="25"/>
        <v>0.44998017708470994</v>
      </c>
      <c r="BB35" s="2990">
        <f t="shared" si="25"/>
        <v>0.43684347036700816</v>
      </c>
      <c r="BC35" s="2968">
        <f t="shared" si="25"/>
        <v>0.49781407638722075</v>
      </c>
      <c r="BD35" s="2968">
        <f t="shared" si="25"/>
        <v>0.47289719626168225</v>
      </c>
      <c r="BE35" s="3028">
        <f t="shared" si="25"/>
        <v>0.476722212678234</v>
      </c>
      <c r="BF35" s="2968">
        <f t="shared" si="25"/>
        <v>0.46477142388989023</v>
      </c>
      <c r="BG35" s="2968">
        <f>BG33/BG5</f>
        <v>0.48865679635793258</v>
      </c>
      <c r="BH35" s="2968">
        <f>BH33/BH5</f>
        <v>0.45457956393046234</v>
      </c>
      <c r="BI35" s="3028">
        <f>BI33/BI5</f>
        <v>0.46165472185656475</v>
      </c>
      <c r="BJ35" s="2968">
        <f>BJ33/BJ$5</f>
        <v>0.45661712186660319</v>
      </c>
      <c r="BK35" s="3028">
        <f t="shared" ref="BK35:BR35" si="26">BK33/BK5</f>
        <v>0.45276527213498774</v>
      </c>
      <c r="BL35" s="3028">
        <f t="shared" si="26"/>
        <v>0.42542339887093633</v>
      </c>
      <c r="BM35" s="3028">
        <f t="shared" si="26"/>
        <v>0.43553894425987449</v>
      </c>
      <c r="BN35" s="3028">
        <f t="shared" si="26"/>
        <v>0.4409561066171595</v>
      </c>
      <c r="BO35" s="3028">
        <f t="shared" si="26"/>
        <v>0.43617574643686929</v>
      </c>
      <c r="BP35" s="3028">
        <f t="shared" si="26"/>
        <v>0.41381191359371589</v>
      </c>
      <c r="BQ35" s="3341">
        <f t="shared" si="26"/>
        <v>0.42486282859716651</v>
      </c>
      <c r="BR35" s="3028">
        <f t="shared" si="26"/>
        <v>0.42094051063559185</v>
      </c>
      <c r="BS35" s="3028">
        <f>BS33/BS5</f>
        <v>0.40698477424446711</v>
      </c>
      <c r="BT35" s="3028">
        <f>BT33/BT5</f>
        <v>0.38646792723012335</v>
      </c>
      <c r="BU35" s="3028">
        <f>BU33/BU5</f>
        <v>0.3894752434914639</v>
      </c>
      <c r="BV35" s="3028">
        <f>BV33/BV5</f>
        <v>0.40408105826062485</v>
      </c>
      <c r="BW35" s="3028">
        <f>BW33/BW5</f>
        <v>0.39250766328696063</v>
      </c>
      <c r="BX35" s="3028"/>
      <c r="BY35" s="3442"/>
      <c r="BZ35" s="3443"/>
      <c r="CA35" s="3413"/>
      <c r="CB35" s="3413"/>
      <c r="CC35" s="3444">
        <f t="shared" ref="CC35:CH35" si="27">CC33/CC$5</f>
        <v>0.49247200782693773</v>
      </c>
      <c r="CD35" s="3444">
        <f t="shared" si="27"/>
        <v>0.47330341732827064</v>
      </c>
      <c r="CE35" s="3444">
        <f t="shared" si="27"/>
        <v>0.46809540342349737</v>
      </c>
      <c r="CF35" s="3444">
        <f t="shared" si="27"/>
        <v>0.44351886547718561</v>
      </c>
      <c r="CG35" s="3445">
        <f t="shared" si="27"/>
        <v>0.42944077316288171</v>
      </c>
      <c r="CH35" s="3445">
        <f t="shared" si="27"/>
        <v>0.40142988544192659</v>
      </c>
      <c r="CI35" s="38"/>
      <c r="CJ35" s="38"/>
      <c r="CK35" s="38"/>
      <c r="CL35" s="38"/>
      <c r="CM35" s="38"/>
      <c r="CN35" s="38"/>
      <c r="CO35" s="38"/>
      <c r="CP35" s="38"/>
      <c r="CQ35" s="38"/>
      <c r="CR35" s="38"/>
      <c r="CS35" s="38"/>
      <c r="CT35" s="38"/>
      <c r="CU35" s="38"/>
      <c r="CV35" s="38"/>
      <c r="CW35" s="38"/>
      <c r="CX35" s="38"/>
      <c r="CY35" s="38"/>
      <c r="CZ35" s="38"/>
      <c r="DA35" s="38"/>
      <c r="DB35" s="38"/>
      <c r="DC35" s="38"/>
      <c r="DD35" s="38"/>
      <c r="DE35" s="38"/>
      <c r="DF35" s="38"/>
      <c r="DG35" s="38"/>
      <c r="DH35" s="38"/>
      <c r="DI35" s="38"/>
      <c r="DJ35" s="38"/>
      <c r="DK35" s="38"/>
      <c r="DL35" s="38"/>
      <c r="DM35" s="38"/>
      <c r="DN35" s="38"/>
      <c r="DO35" s="38"/>
      <c r="DP35" s="38"/>
      <c r="DQ35" s="38"/>
      <c r="DR35" s="38"/>
      <c r="DS35" s="38"/>
      <c r="DT35" s="38"/>
      <c r="DU35" s="38"/>
      <c r="DV35" s="38"/>
      <c r="DW35" s="38"/>
      <c r="DX35" s="38"/>
      <c r="DY35" s="38"/>
    </row>
    <row r="36" spans="1:129" s="473" customFormat="1">
      <c r="A36" s="2956" t="s">
        <v>2715</v>
      </c>
      <c r="B36" s="466"/>
      <c r="C36" s="466"/>
      <c r="D36" s="466"/>
      <c r="E36" s="467"/>
      <c r="F36" s="82"/>
      <c r="G36" s="82"/>
      <c r="H36" s="82"/>
      <c r="I36" s="82"/>
      <c r="J36" s="82"/>
      <c r="K36" s="82"/>
      <c r="L36" s="224"/>
      <c r="M36" s="82"/>
      <c r="N36" s="82"/>
      <c r="O36" s="82"/>
      <c r="P36" s="82"/>
      <c r="Q36" s="82"/>
      <c r="R36" s="82"/>
      <c r="S36" s="82"/>
      <c r="T36" s="82"/>
      <c r="U36" s="82"/>
      <c r="V36" s="82"/>
      <c r="W36" s="115"/>
      <c r="X36" s="211"/>
      <c r="Y36" s="211"/>
      <c r="Z36" s="211"/>
      <c r="AA36" s="211"/>
      <c r="AB36" s="446"/>
      <c r="AC36" s="211"/>
      <c r="AD36" s="211"/>
      <c r="AE36" s="211"/>
      <c r="AF36" s="211"/>
      <c r="AG36" s="446"/>
      <c r="AH36" s="211"/>
      <c r="AI36" s="211"/>
      <c r="AJ36" s="211"/>
      <c r="AK36" s="486"/>
      <c r="AO36" s="486"/>
      <c r="AP36" s="988"/>
      <c r="AQ36" s="988"/>
      <c r="AR36" s="988"/>
      <c r="AS36" s="988"/>
      <c r="AT36" s="2829"/>
      <c r="AU36" s="988"/>
      <c r="AV36" s="988"/>
      <c r="AW36" s="989"/>
      <c r="AX36" s="2829"/>
      <c r="AY36" s="988"/>
      <c r="AZ36" s="988"/>
      <c r="BA36" s="988"/>
      <c r="BB36" s="2829"/>
      <c r="BC36" s="988"/>
      <c r="BD36" s="988"/>
      <c r="BE36" s="989"/>
      <c r="BF36" s="988"/>
      <c r="BG36" s="988"/>
      <c r="BH36" s="988"/>
      <c r="BI36" s="989">
        <f>BI33/AW33-1</f>
        <v>-0.20801271328203408</v>
      </c>
      <c r="BJ36" s="989">
        <f>BJ33/AT33-1</f>
        <v>-0.22631396957123096</v>
      </c>
      <c r="BK36" s="989">
        <f>BK33/AU33-1</f>
        <v>-0.23224925521350548</v>
      </c>
      <c r="BL36" s="989">
        <f>BL33/AV33-1</f>
        <v>-0.25080562221460401</v>
      </c>
      <c r="BM36" s="989">
        <f>BM33/AW33-1</f>
        <v>-0.21052191368350615</v>
      </c>
      <c r="BN36" s="988"/>
      <c r="BO36" s="989">
        <f>BO33/AU33-1</f>
        <v>-0.21933962264150941</v>
      </c>
      <c r="BP36" s="989">
        <f>BP33/AV33-1</f>
        <v>-0.21981487829962287</v>
      </c>
      <c r="BQ36" s="3335">
        <f>BQ33/AW33-1</f>
        <v>-0.13215122114419542</v>
      </c>
      <c r="BR36" s="3335">
        <f>BR33/AT33-1</f>
        <v>-0.23703319502074693</v>
      </c>
      <c r="BS36" s="3335">
        <f>BS33/AU33-1</f>
        <v>-0.23187686196623636</v>
      </c>
      <c r="BT36" s="3335">
        <f>BT33/AV33-1</f>
        <v>-0.18580733630442237</v>
      </c>
      <c r="BU36" s="3335">
        <f>BU33/AW33-1</f>
        <v>-0.12035797925727665</v>
      </c>
      <c r="BV36" s="3335">
        <f>BV33/AT33-1</f>
        <v>-0.17260258183494703</v>
      </c>
      <c r="BW36" s="3335">
        <f>BW33/AU33-1</f>
        <v>-0.17347318768619657</v>
      </c>
      <c r="BX36" s="989"/>
      <c r="BY36" s="451"/>
      <c r="BZ36" s="489"/>
      <c r="CA36" s="98"/>
      <c r="CB36" s="98"/>
      <c r="CC36" s="1009"/>
      <c r="CD36" s="1009"/>
      <c r="CE36" s="2829"/>
      <c r="CF36" s="2829"/>
      <c r="CG36" s="3372"/>
      <c r="CH36" s="3372"/>
      <c r="CI36" s="27"/>
      <c r="CJ36" s="27"/>
      <c r="CK36" s="27"/>
      <c r="CL36" s="27"/>
      <c r="CM36" s="27"/>
      <c r="CN36" s="27"/>
      <c r="CO36" s="27"/>
      <c r="CP36" s="27"/>
      <c r="CQ36" s="27"/>
      <c r="CR36" s="27"/>
      <c r="CS36" s="27"/>
      <c r="CT36" s="27"/>
      <c r="CU36" s="27"/>
      <c r="CV36" s="27"/>
      <c r="CW36" s="27"/>
      <c r="CX36" s="27"/>
      <c r="CY36" s="27"/>
      <c r="CZ36" s="27"/>
      <c r="DA36" s="27"/>
      <c r="DB36" s="27"/>
      <c r="DC36" s="27"/>
      <c r="DD36" s="27"/>
      <c r="DE36" s="27"/>
      <c r="DF36" s="27"/>
      <c r="DG36" s="27"/>
      <c r="DH36" s="27"/>
      <c r="DI36" s="27"/>
      <c r="DJ36" s="27"/>
      <c r="DK36" s="27"/>
      <c r="DL36" s="27"/>
      <c r="DM36" s="27"/>
      <c r="DN36" s="27"/>
      <c r="DO36" s="27"/>
      <c r="DP36" s="27"/>
      <c r="DQ36" s="27"/>
      <c r="DR36" s="27"/>
      <c r="DS36" s="27"/>
      <c r="DT36" s="27"/>
      <c r="DU36" s="27"/>
      <c r="DV36" s="27"/>
      <c r="DW36" s="27"/>
      <c r="DX36" s="27"/>
      <c r="DY36" s="27"/>
    </row>
    <row r="37" spans="1:129" s="473" customFormat="1" ht="11.5">
      <c r="A37" s="1505" t="s">
        <v>1329</v>
      </c>
      <c r="B37" s="466"/>
      <c r="C37" s="466"/>
      <c r="D37" s="466"/>
      <c r="E37" s="467"/>
      <c r="F37" s="82"/>
      <c r="G37" s="82"/>
      <c r="H37" s="82"/>
      <c r="I37" s="82"/>
      <c r="J37" s="82"/>
      <c r="K37" s="82"/>
      <c r="L37" s="224"/>
      <c r="M37" s="82"/>
      <c r="N37" s="82"/>
      <c r="O37" s="82"/>
      <c r="P37" s="82"/>
      <c r="Q37" s="82"/>
      <c r="R37" s="82"/>
      <c r="S37" s="82"/>
      <c r="T37" s="82"/>
      <c r="U37" s="82"/>
      <c r="V37" s="82"/>
      <c r="W37" s="115"/>
      <c r="X37" s="211"/>
      <c r="Y37" s="211"/>
      <c r="Z37" s="211"/>
      <c r="AA37" s="211"/>
      <c r="AB37" s="446"/>
      <c r="AC37" s="211"/>
      <c r="AD37" s="211"/>
      <c r="AE37" s="211"/>
      <c r="AF37" s="211"/>
      <c r="AG37" s="446"/>
      <c r="AH37" s="211"/>
      <c r="AI37" s="211"/>
      <c r="AJ37" s="211"/>
      <c r="AK37" s="486"/>
      <c r="AO37" s="486"/>
      <c r="AP37" s="1859">
        <v>11150</v>
      </c>
      <c r="AQ37" s="1859">
        <v>11077</v>
      </c>
      <c r="AR37" s="1859">
        <v>11013</v>
      </c>
      <c r="AS37" s="1859">
        <v>9355</v>
      </c>
      <c r="AT37" s="2835">
        <v>12057</v>
      </c>
      <c r="AU37" s="1859">
        <v>12180</v>
      </c>
      <c r="AV37" s="1859">
        <v>12342</v>
      </c>
      <c r="AW37" s="1860">
        <v>11289</v>
      </c>
      <c r="AX37" s="2835">
        <v>8062</v>
      </c>
      <c r="AY37" s="1859">
        <v>1350</v>
      </c>
      <c r="AZ37" s="1859">
        <v>5101</v>
      </c>
      <c r="BA37" s="1859">
        <v>4162</v>
      </c>
      <c r="BB37" s="2835">
        <v>8685</v>
      </c>
      <c r="BC37" s="1859">
        <v>10453</v>
      </c>
      <c r="BD37" s="1859">
        <v>9870</v>
      </c>
      <c r="BE37" s="1860">
        <v>9138</v>
      </c>
      <c r="BF37" s="1859">
        <v>13066</v>
      </c>
      <c r="BG37" s="1859">
        <v>13366</v>
      </c>
      <c r="BH37" s="1859">
        <v>13083</v>
      </c>
      <c r="BI37" s="1860">
        <v>11042</v>
      </c>
      <c r="BJ37" s="1859">
        <v>15976</v>
      </c>
      <c r="BK37" s="1859">
        <v>14951</v>
      </c>
      <c r="BL37" s="1859">
        <v>14758</v>
      </c>
      <c r="BM37" s="1860">
        <v>12233</v>
      </c>
      <c r="BN37" s="1859">
        <v>16863</v>
      </c>
      <c r="BO37" s="1860">
        <v>16259</v>
      </c>
      <c r="BP37" s="1860">
        <v>16119</v>
      </c>
      <c r="BQ37" s="1794">
        <v>14046</v>
      </c>
      <c r="BR37" s="1859">
        <v>18212</v>
      </c>
      <c r="BS37" s="1859">
        <v>18033</v>
      </c>
      <c r="BT37" s="1859">
        <v>18852</v>
      </c>
      <c r="BU37" s="1859">
        <v>16486</v>
      </c>
      <c r="BV37" s="1859">
        <v>21173</v>
      </c>
      <c r="BW37" s="1859">
        <v>20611</v>
      </c>
      <c r="BX37" s="1859"/>
      <c r="BY37" s="451"/>
      <c r="BZ37" s="489"/>
      <c r="CA37" s="2910">
        <f>SUM(AP37:AS37)</f>
        <v>42595</v>
      </c>
      <c r="CB37" s="2910">
        <f>SUM(AT37:AW37)</f>
        <v>47868</v>
      </c>
      <c r="CC37" s="2874">
        <f>SUM(AX37:BA37)</f>
        <v>18675</v>
      </c>
      <c r="CD37" s="2874">
        <v>38146</v>
      </c>
      <c r="CE37" s="2934">
        <v>50557</v>
      </c>
      <c r="CF37" s="2934">
        <v>57918</v>
      </c>
      <c r="CG37" s="2934">
        <v>63287</v>
      </c>
      <c r="CH37" s="2934">
        <v>71583</v>
      </c>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row>
    <row r="38" spans="1:129" s="473" customFormat="1">
      <c r="A38" s="1503" t="s">
        <v>1330</v>
      </c>
      <c r="B38" s="466"/>
      <c r="C38" s="466"/>
      <c r="D38" s="466"/>
      <c r="E38" s="467"/>
      <c r="F38" s="82"/>
      <c r="G38" s="82"/>
      <c r="H38" s="82"/>
      <c r="I38" s="82"/>
      <c r="J38" s="82"/>
      <c r="K38" s="82"/>
      <c r="L38" s="224"/>
      <c r="M38" s="82"/>
      <c r="N38" s="82"/>
      <c r="O38" s="82"/>
      <c r="P38" s="82"/>
      <c r="Q38" s="82"/>
      <c r="R38" s="82"/>
      <c r="S38" s="82"/>
      <c r="T38" s="82"/>
      <c r="U38" s="82"/>
      <c r="V38" s="82"/>
      <c r="W38" s="115"/>
      <c r="X38" s="211"/>
      <c r="Y38" s="211"/>
      <c r="Z38" s="211"/>
      <c r="AA38" s="211"/>
      <c r="AB38" s="446"/>
      <c r="AC38" s="211"/>
      <c r="AD38" s="211"/>
      <c r="AE38" s="211"/>
      <c r="AF38" s="211"/>
      <c r="AG38" s="446"/>
      <c r="AH38" s="211"/>
      <c r="AI38" s="211"/>
      <c r="AJ38" s="211"/>
      <c r="AK38" s="486"/>
      <c r="AO38" s="486"/>
      <c r="AT38" s="2829">
        <f>AT37/AP37-1</f>
        <v>8.1345291479820725E-2</v>
      </c>
      <c r="AU38" s="988">
        <f>AU37/AQ37-1</f>
        <v>9.9575697390990259E-2</v>
      </c>
      <c r="AV38" s="988">
        <f>AV37/AR37-1</f>
        <v>0.1206755652410787</v>
      </c>
      <c r="AW38" s="989">
        <f>AW37/AS37-1</f>
        <v>0.20673436664885081</v>
      </c>
      <c r="AX38" s="2829">
        <f t="shared" ref="AX38:BC38" si="28">AX37/AT37-1</f>
        <v>-0.33134278842166376</v>
      </c>
      <c r="AY38" s="988">
        <f t="shared" si="28"/>
        <v>-0.88916256157635465</v>
      </c>
      <c r="AZ38" s="988">
        <f t="shared" si="28"/>
        <v>-0.58669583535893699</v>
      </c>
      <c r="BA38" s="988">
        <f t="shared" si="28"/>
        <v>-0.63132252635308705</v>
      </c>
      <c r="BB38" s="2829">
        <f t="shared" si="28"/>
        <v>7.7276110146365706E-2</v>
      </c>
      <c r="BC38" s="988">
        <f t="shared" si="28"/>
        <v>6.742962962962963</v>
      </c>
      <c r="BD38" s="988">
        <v>0.93</v>
      </c>
      <c r="BE38" s="989">
        <v>1.2</v>
      </c>
      <c r="BF38" s="988">
        <v>0.5</v>
      </c>
      <c r="BG38" s="2968">
        <v>0.28000000000000003</v>
      </c>
      <c r="BH38" s="2968">
        <v>1.28</v>
      </c>
      <c r="BI38" s="3028">
        <v>2.2799999999999998</v>
      </c>
      <c r="BJ38" s="988">
        <f t="shared" ref="BJ38:BW38" si="29">BJ37/BF37-1</f>
        <v>0.22271544466554416</v>
      </c>
      <c r="BK38" s="988">
        <f t="shared" si="29"/>
        <v>0.1185844680532695</v>
      </c>
      <c r="BL38" s="988">
        <f t="shared" si="29"/>
        <v>0.12802873958572203</v>
      </c>
      <c r="BM38" s="988">
        <f t="shared" si="29"/>
        <v>0.10786089476544114</v>
      </c>
      <c r="BN38" s="988">
        <f t="shared" si="29"/>
        <v>5.5520781171757738E-2</v>
      </c>
      <c r="BO38" s="988">
        <f t="shared" si="29"/>
        <v>8.7485786903886087E-2</v>
      </c>
      <c r="BP38" s="988">
        <f t="shared" si="29"/>
        <v>9.2221168179970281E-2</v>
      </c>
      <c r="BQ38" s="3336">
        <f t="shared" si="29"/>
        <v>0.14820567317910571</v>
      </c>
      <c r="BR38" s="988">
        <f t="shared" si="29"/>
        <v>7.9997627942833383E-2</v>
      </c>
      <c r="BS38" s="988">
        <f t="shared" si="29"/>
        <v>0.10910880127929157</v>
      </c>
      <c r="BT38" s="988">
        <f t="shared" si="29"/>
        <v>0.16955146100874741</v>
      </c>
      <c r="BU38" s="988">
        <f t="shared" si="29"/>
        <v>0.17371493663676496</v>
      </c>
      <c r="BV38" s="988">
        <f t="shared" si="29"/>
        <v>0.16258510871952558</v>
      </c>
      <c r="BW38" s="988">
        <f t="shared" si="29"/>
        <v>0.1429601286530251</v>
      </c>
      <c r="BX38" s="988"/>
      <c r="BY38" s="451"/>
      <c r="BZ38" s="489"/>
      <c r="CA38" s="98"/>
      <c r="CB38" s="98"/>
      <c r="CC38" s="452">
        <f t="shared" ref="CC38:CH38" si="30">CC37/CB37-1</f>
        <v>-0.60986462772624717</v>
      </c>
      <c r="CD38" s="452">
        <f t="shared" si="30"/>
        <v>1.0426238286479252</v>
      </c>
      <c r="CE38" s="452">
        <f t="shared" si="30"/>
        <v>0.325355214177109</v>
      </c>
      <c r="CF38" s="452">
        <f t="shared" si="30"/>
        <v>0.14559803785825909</v>
      </c>
      <c r="CG38" s="452">
        <f t="shared" si="30"/>
        <v>9.2700024172105433E-2</v>
      </c>
      <c r="CH38" s="452">
        <f t="shared" si="30"/>
        <v>0.13108537298339318</v>
      </c>
      <c r="CI38" s="27"/>
      <c r="CJ38" s="27"/>
      <c r="CK38" s="27"/>
      <c r="CL38" s="27"/>
      <c r="CM38" s="27"/>
      <c r="CN38" s="27"/>
      <c r="CO38" s="27"/>
      <c r="CP38" s="27"/>
      <c r="CQ38" s="27"/>
      <c r="CR38" s="27"/>
      <c r="CS38" s="27"/>
      <c r="CT38" s="27"/>
      <c r="CU38" s="27"/>
      <c r="CV38" s="27"/>
      <c r="CW38" s="27"/>
      <c r="CX38" s="27"/>
      <c r="CY38" s="27"/>
      <c r="CZ38" s="27"/>
      <c r="DA38" s="27"/>
      <c r="DB38" s="27"/>
      <c r="DC38" s="27"/>
      <c r="DD38" s="27"/>
      <c r="DE38" s="27"/>
      <c r="DF38" s="27"/>
      <c r="DG38" s="27"/>
      <c r="DH38" s="27"/>
      <c r="DI38" s="27"/>
      <c r="DJ38" s="27"/>
      <c r="DK38" s="27"/>
      <c r="DL38" s="27"/>
      <c r="DM38" s="27"/>
      <c r="DN38" s="27"/>
      <c r="DO38" s="27"/>
      <c r="DP38" s="27"/>
      <c r="DQ38" s="27"/>
      <c r="DR38" s="27"/>
      <c r="DS38" s="27"/>
      <c r="DT38" s="27"/>
      <c r="DU38" s="27"/>
      <c r="DV38" s="27"/>
      <c r="DW38" s="27"/>
      <c r="DX38" s="27"/>
      <c r="DY38" s="27"/>
    </row>
    <row r="39" spans="1:129" s="654" customFormat="1" ht="11.5">
      <c r="A39" s="3439" t="s">
        <v>1331</v>
      </c>
      <c r="B39" s="658"/>
      <c r="C39" s="658"/>
      <c r="D39" s="658"/>
      <c r="E39" s="659"/>
      <c r="F39" s="3414"/>
      <c r="G39" s="3414"/>
      <c r="H39" s="3414"/>
      <c r="I39" s="3414"/>
      <c r="J39" s="3414"/>
      <c r="K39" s="3414"/>
      <c r="L39" s="3104"/>
      <c r="M39" s="3414"/>
      <c r="N39" s="3414"/>
      <c r="O39" s="3414"/>
      <c r="P39" s="3414"/>
      <c r="Q39" s="3414"/>
      <c r="R39" s="3414"/>
      <c r="S39" s="3414"/>
      <c r="T39" s="3414"/>
      <c r="U39" s="3414"/>
      <c r="V39" s="3414"/>
      <c r="W39" s="3440"/>
      <c r="X39" s="38"/>
      <c r="Y39" s="38"/>
      <c r="Z39" s="38"/>
      <c r="AA39" s="38"/>
      <c r="AB39" s="1548"/>
      <c r="AC39" s="38"/>
      <c r="AD39" s="38"/>
      <c r="AE39" s="38"/>
      <c r="AF39" s="38"/>
      <c r="AG39" s="1548"/>
      <c r="AH39" s="38"/>
      <c r="AI39" s="38"/>
      <c r="AJ39" s="38"/>
      <c r="AK39" s="3441"/>
      <c r="AO39" s="3441"/>
      <c r="AP39" s="654">
        <f t="shared" ref="AP39:AX39" si="31">AP37/AP$5</f>
        <v>0.4099867627592293</v>
      </c>
      <c r="AQ39" s="654">
        <f t="shared" si="31"/>
        <v>0.42771642597884008</v>
      </c>
      <c r="AR39" s="654">
        <f t="shared" si="31"/>
        <v>0.44630410115091584</v>
      </c>
      <c r="AS39" s="654">
        <f t="shared" si="31"/>
        <v>0.42606002641526619</v>
      </c>
      <c r="AT39" s="2921">
        <f t="shared" si="31"/>
        <v>0.40997653779455268</v>
      </c>
      <c r="AU39" s="654">
        <f t="shared" si="31"/>
        <v>0.43051039163014282</v>
      </c>
      <c r="AV39" s="654">
        <f t="shared" si="31"/>
        <v>0.45835035466260632</v>
      </c>
      <c r="AW39" s="3441">
        <f t="shared" si="31"/>
        <v>0.48565282856528286</v>
      </c>
      <c r="AX39" s="2921">
        <f t="shared" si="31"/>
        <v>0.45076880067095332</v>
      </c>
      <c r="AY39" s="654">
        <f>AY37/AY$5</f>
        <v>0.49760412827128642</v>
      </c>
      <c r="AZ39" s="654">
        <f>AZ37/AZ$5</f>
        <v>0.59100915305294865</v>
      </c>
      <c r="BA39" s="654">
        <f t="shared" ref="BA39:BF39" si="32">BA37/BA$5</f>
        <v>0.55001982291529006</v>
      </c>
      <c r="BB39" s="2921">
        <f t="shared" si="32"/>
        <v>0.56315652963299179</v>
      </c>
      <c r="BC39" s="654">
        <f t="shared" si="32"/>
        <v>0.50218592361277925</v>
      </c>
      <c r="BD39" s="654">
        <f t="shared" si="32"/>
        <v>0.52710280373831775</v>
      </c>
      <c r="BE39" s="3441">
        <f t="shared" si="32"/>
        <v>0.523277787321766</v>
      </c>
      <c r="BF39" s="654">
        <f t="shared" si="32"/>
        <v>0.53522857611010977</v>
      </c>
      <c r="BG39" s="654">
        <f>BG37/BG5</f>
        <v>0.51134320364206742</v>
      </c>
      <c r="BH39" s="654">
        <f>BH37/BH5</f>
        <v>0.54542043606953772</v>
      </c>
      <c r="BI39" s="3441">
        <f>BI37/BI5</f>
        <v>0.53834527814343525</v>
      </c>
      <c r="BJ39" s="654">
        <f>BJ37/BJ$5</f>
        <v>0.54338287813339681</v>
      </c>
      <c r="BK39" s="3441">
        <f t="shared" ref="BK39:BR39" si="33">BK37/BK5</f>
        <v>0.54723472786501226</v>
      </c>
      <c r="BL39" s="3441">
        <f t="shared" si="33"/>
        <v>0.57457660112906361</v>
      </c>
      <c r="BM39" s="3441">
        <f t="shared" si="33"/>
        <v>0.56446105574012551</v>
      </c>
      <c r="BN39" s="3441">
        <f t="shared" si="33"/>
        <v>0.55904389338284044</v>
      </c>
      <c r="BO39" s="3441">
        <f t="shared" si="33"/>
        <v>0.56382425356313071</v>
      </c>
      <c r="BP39" s="3441">
        <f t="shared" si="33"/>
        <v>0.58618808640628406</v>
      </c>
      <c r="BQ39" s="3446">
        <f t="shared" si="33"/>
        <v>0.57513717140283349</v>
      </c>
      <c r="BR39" s="3441">
        <f t="shared" si="33"/>
        <v>0.5790594893644081</v>
      </c>
      <c r="BS39" s="3441">
        <f>BS37/BS5</f>
        <v>0.59301522575553289</v>
      </c>
      <c r="BT39" s="3441">
        <f>BT37/BT5</f>
        <v>0.61353207276987665</v>
      </c>
      <c r="BU39" s="3441">
        <f>BU37/BU5</f>
        <v>0.6105247565085361</v>
      </c>
      <c r="BV39" s="3441">
        <f>BV37/BV5</f>
        <v>0.59591894173937521</v>
      </c>
      <c r="BW39" s="3441">
        <f>BW37/BW5</f>
        <v>0.60749233671303937</v>
      </c>
      <c r="BX39" s="3441"/>
      <c r="BY39" s="3442"/>
      <c r="BZ39" s="3443"/>
      <c r="CA39" s="3413"/>
      <c r="CB39" s="3413"/>
      <c r="CC39" s="3443">
        <f t="shared" ref="CC39:CH39" si="34">CC37/CC$5</f>
        <v>0.50752799217306233</v>
      </c>
      <c r="CD39" s="3443">
        <f t="shared" si="34"/>
        <v>0.52669658267172936</v>
      </c>
      <c r="CE39" s="3443">
        <f t="shared" si="34"/>
        <v>0.53190459657650269</v>
      </c>
      <c r="CF39" s="3443">
        <f t="shared" si="34"/>
        <v>0.55648113452281445</v>
      </c>
      <c r="CG39" s="3447">
        <f t="shared" si="34"/>
        <v>0.57055922683711835</v>
      </c>
      <c r="CH39" s="3447">
        <f t="shared" si="34"/>
        <v>0.59857011455807341</v>
      </c>
      <c r="CI39" s="38"/>
      <c r="CJ39" s="38"/>
      <c r="CK39" s="38"/>
      <c r="CL39" s="38"/>
      <c r="CM39" s="38"/>
      <c r="CN39" s="38"/>
      <c r="CO39" s="38"/>
      <c r="CP39" s="38"/>
      <c r="CQ39" s="38"/>
      <c r="CR39" s="38"/>
      <c r="CS39" s="38"/>
      <c r="CT39" s="38"/>
      <c r="CU39" s="38"/>
      <c r="CV39" s="38"/>
      <c r="CW39" s="38"/>
      <c r="CX39" s="38"/>
      <c r="CY39" s="38"/>
      <c r="CZ39" s="38"/>
      <c r="DA39" s="38"/>
      <c r="DB39" s="38"/>
      <c r="DC39" s="38"/>
      <c r="DD39" s="38"/>
      <c r="DE39" s="38"/>
      <c r="DF39" s="38"/>
      <c r="DG39" s="38"/>
      <c r="DH39" s="38"/>
      <c r="DI39" s="38"/>
      <c r="DJ39" s="38"/>
      <c r="DK39" s="38"/>
      <c r="DL39" s="38"/>
      <c r="DM39" s="38"/>
      <c r="DN39" s="38"/>
      <c r="DO39" s="38"/>
      <c r="DP39" s="38"/>
      <c r="DQ39" s="38"/>
      <c r="DR39" s="38"/>
      <c r="DS39" s="38"/>
      <c r="DT39" s="38"/>
      <c r="DU39" s="38"/>
      <c r="DV39" s="38"/>
      <c r="DW39" s="38"/>
      <c r="DX39" s="38"/>
      <c r="DY39" s="38"/>
    </row>
    <row r="40" spans="1:129" s="473" customFormat="1" ht="13.5" customHeight="1">
      <c r="A40" s="2956" t="s">
        <v>2715</v>
      </c>
      <c r="B40" s="466"/>
      <c r="C40" s="466"/>
      <c r="D40" s="466"/>
      <c r="E40" s="467"/>
      <c r="F40" s="82"/>
      <c r="G40" s="82"/>
      <c r="H40" s="82"/>
      <c r="I40" s="82"/>
      <c r="J40" s="82"/>
      <c r="K40" s="82"/>
      <c r="L40" s="224"/>
      <c r="M40" s="82"/>
      <c r="N40" s="82"/>
      <c r="O40" s="82"/>
      <c r="P40" s="82"/>
      <c r="Q40" s="82"/>
      <c r="R40" s="82"/>
      <c r="S40" s="82"/>
      <c r="T40" s="82"/>
      <c r="U40" s="82"/>
      <c r="V40" s="82"/>
      <c r="W40" s="115"/>
      <c r="X40" s="211"/>
      <c r="Y40" s="211"/>
      <c r="Z40" s="211"/>
      <c r="AA40" s="211"/>
      <c r="AB40" s="446"/>
      <c r="AC40" s="211"/>
      <c r="AD40" s="211"/>
      <c r="AE40" s="211"/>
      <c r="AF40" s="211"/>
      <c r="AG40" s="446"/>
      <c r="AH40" s="211"/>
      <c r="AI40" s="211"/>
      <c r="AJ40" s="211"/>
      <c r="AK40" s="486"/>
      <c r="AO40" s="486"/>
      <c r="AT40" s="2819"/>
      <c r="AW40" s="486"/>
      <c r="AX40" s="2819"/>
      <c r="BB40" s="2819"/>
      <c r="BE40" s="486"/>
      <c r="BI40" s="989">
        <f>BI37/AW37-1</f>
        <v>-2.1879705908406377E-2</v>
      </c>
      <c r="BJ40" s="989">
        <f>BJ37/AT37-1</f>
        <v>0.3250393962013769</v>
      </c>
      <c r="BK40" s="989">
        <f>BK37/AU37-1</f>
        <v>0.22750410509031194</v>
      </c>
      <c r="BL40" s="989">
        <f>BL37/AV37-1</f>
        <v>0.19575433479176785</v>
      </c>
      <c r="BM40" s="989">
        <f>BM37/AW37-1</f>
        <v>8.3621224200549182E-2</v>
      </c>
      <c r="BN40" s="988"/>
      <c r="BO40" s="989">
        <f>BO37/AU37-1</f>
        <v>0.33489326765188832</v>
      </c>
      <c r="BP40" s="989">
        <f>BP37/AV37-1</f>
        <v>0.30602819640252799</v>
      </c>
      <c r="BQ40" s="3335">
        <f>BQ37/AW37-1</f>
        <v>0.24422003720435814</v>
      </c>
      <c r="BR40" s="3335">
        <f>BR37/AT37-1</f>
        <v>0.51049183047192503</v>
      </c>
      <c r="BS40" s="3335">
        <f>BS37/AU37-1</f>
        <v>0.48054187192118225</v>
      </c>
      <c r="BT40" s="3335">
        <f>BT37/AV37-1</f>
        <v>0.52746718522119584</v>
      </c>
      <c r="BU40" s="3335">
        <f>BU37/AW37-1</f>
        <v>0.46035964212950664</v>
      </c>
      <c r="BV40" s="3335">
        <f>BV37/AT37-1</f>
        <v>0.75607530894915809</v>
      </c>
      <c r="BW40" s="3335">
        <f>BW37/AU37-1</f>
        <v>0.6922003284072249</v>
      </c>
      <c r="BX40" s="989"/>
      <c r="BY40" s="451"/>
      <c r="BZ40" s="489"/>
      <c r="CA40" s="98"/>
      <c r="CB40" s="98"/>
      <c r="CC40" s="452"/>
      <c r="CD40" s="98"/>
      <c r="CE40" s="98"/>
      <c r="CF40" s="98"/>
      <c r="CG40" s="98"/>
      <c r="CH40" s="98"/>
      <c r="CI40" s="27"/>
      <c r="CJ40" s="27"/>
      <c r="CK40" s="27"/>
      <c r="CL40" s="27"/>
      <c r="CM40" s="27"/>
      <c r="CN40" s="27"/>
      <c r="CO40" s="27"/>
      <c r="CP40" s="27"/>
      <c r="CQ40" s="27"/>
      <c r="CR40" s="27"/>
      <c r="CS40" s="27"/>
      <c r="CT40" s="27"/>
      <c r="CU40" s="27"/>
      <c r="CV40" s="27"/>
      <c r="CW40" s="27"/>
      <c r="CX40" s="27"/>
      <c r="CY40" s="27"/>
      <c r="CZ40" s="27"/>
      <c r="DA40" s="27"/>
      <c r="DB40" s="27"/>
      <c r="DC40" s="27"/>
      <c r="DD40" s="27"/>
      <c r="DE40" s="27"/>
      <c r="DF40" s="27"/>
      <c r="DG40" s="27"/>
      <c r="DH40" s="27"/>
      <c r="DI40" s="27"/>
      <c r="DJ40" s="27"/>
      <c r="DK40" s="27"/>
      <c r="DL40" s="27"/>
      <c r="DM40" s="27"/>
      <c r="DN40" s="27"/>
      <c r="DO40" s="27"/>
      <c r="DP40" s="27"/>
      <c r="DQ40" s="27"/>
      <c r="DR40" s="27"/>
      <c r="DS40" s="27"/>
      <c r="DT40" s="27"/>
      <c r="DU40" s="27"/>
      <c r="DV40" s="27"/>
      <c r="DW40" s="27"/>
      <c r="DX40" s="27"/>
      <c r="DY40" s="27"/>
    </row>
    <row r="41" spans="1:129" s="473" customFormat="1" ht="11.5" hidden="1" outlineLevel="1">
      <c r="A41" s="990" t="s">
        <v>1934</v>
      </c>
      <c r="B41" s="466"/>
      <c r="C41" s="466"/>
      <c r="D41" s="466"/>
      <c r="E41" s="467"/>
      <c r="F41" s="82"/>
      <c r="G41" s="82"/>
      <c r="H41" s="82"/>
      <c r="I41" s="82"/>
      <c r="J41" s="82"/>
      <c r="K41" s="82"/>
      <c r="L41" s="224"/>
      <c r="M41" s="82"/>
      <c r="N41" s="82"/>
      <c r="O41" s="82"/>
      <c r="P41" s="82"/>
      <c r="Q41" s="82"/>
      <c r="R41" s="82"/>
      <c r="S41" s="82"/>
      <c r="T41" s="82"/>
      <c r="U41" s="82"/>
      <c r="V41" s="82"/>
      <c r="W41" s="115"/>
      <c r="X41" s="211"/>
      <c r="Y41" s="211"/>
      <c r="Z41" s="211"/>
      <c r="AA41" s="211"/>
      <c r="AB41" s="446"/>
      <c r="AC41" s="211"/>
      <c r="AD41" s="211"/>
      <c r="AE41" s="211"/>
      <c r="AF41" s="211"/>
      <c r="AG41" s="446"/>
      <c r="AH41" s="211"/>
      <c r="AI41" s="211"/>
      <c r="AJ41" s="211"/>
      <c r="AK41" s="446"/>
      <c r="AL41" s="211"/>
      <c r="AM41" s="211"/>
      <c r="AN41" s="211"/>
      <c r="AO41" s="446"/>
      <c r="AP41" s="211"/>
      <c r="AQ41" s="211"/>
      <c r="AR41" s="211"/>
      <c r="AS41" s="211"/>
      <c r="AT41" s="447"/>
      <c r="AU41" s="211"/>
      <c r="AV41" s="2836"/>
      <c r="AW41" s="2065"/>
      <c r="AX41" s="2854"/>
      <c r="AY41" s="2836"/>
      <c r="AZ41" s="2836"/>
      <c r="BA41" s="2836"/>
      <c r="BB41" s="2854"/>
      <c r="BC41" s="2836"/>
      <c r="BD41" s="2836"/>
      <c r="BE41" s="2065"/>
      <c r="BF41" s="2836"/>
      <c r="BG41" s="2836"/>
      <c r="BH41" s="2836"/>
      <c r="BI41" s="2065"/>
      <c r="BJ41" s="2836"/>
      <c r="BK41" s="2836"/>
      <c r="BL41" s="2836"/>
      <c r="BM41" s="2065"/>
      <c r="BN41" s="2836"/>
      <c r="BO41" s="2065"/>
      <c r="BP41" s="2065"/>
      <c r="BQ41" s="2065"/>
      <c r="BR41" s="2836"/>
      <c r="BS41" s="2836"/>
      <c r="BT41" s="2836"/>
      <c r="BU41" s="2836"/>
      <c r="BV41" s="2836"/>
      <c r="BW41" s="2836"/>
      <c r="BX41" s="2836"/>
      <c r="BY41" s="451"/>
      <c r="BZ41" s="451"/>
      <c r="CA41" s="447"/>
      <c r="CB41" s="98"/>
      <c r="CC41" s="452"/>
      <c r="CD41" s="98"/>
      <c r="CE41" s="98"/>
      <c r="CF41" s="98"/>
      <c r="CG41" s="98"/>
      <c r="CH41" s="98"/>
      <c r="CI41" s="27"/>
      <c r="CJ41" s="27"/>
      <c r="CK41" s="27"/>
      <c r="CL41" s="27"/>
      <c r="CM41" s="27"/>
      <c r="CN41" s="27"/>
      <c r="CO41" s="27"/>
      <c r="CP41" s="27"/>
      <c r="CQ41" s="27"/>
      <c r="CR41" s="27"/>
      <c r="CS41" s="27"/>
      <c r="CT41" s="27"/>
      <c r="CU41" s="27"/>
      <c r="CV41" s="27"/>
      <c r="CW41" s="27"/>
      <c r="CX41" s="27"/>
      <c r="CY41" s="27"/>
      <c r="CZ41" s="27"/>
      <c r="DA41" s="27"/>
      <c r="DB41" s="27"/>
      <c r="DC41" s="27"/>
      <c r="DD41" s="27"/>
      <c r="DE41" s="27"/>
      <c r="DF41" s="27"/>
      <c r="DG41" s="27"/>
      <c r="DH41" s="27"/>
      <c r="DI41" s="27"/>
      <c r="DJ41" s="27"/>
      <c r="DK41" s="27"/>
      <c r="DL41" s="27"/>
      <c r="DM41" s="27"/>
      <c r="DN41" s="27"/>
      <c r="DO41" s="27"/>
      <c r="DP41" s="27"/>
      <c r="DQ41" s="27"/>
      <c r="DR41" s="27"/>
      <c r="DS41" s="27"/>
      <c r="DT41" s="27"/>
      <c r="DU41" s="27"/>
      <c r="DV41" s="27"/>
      <c r="DW41" s="27"/>
      <c r="DX41" s="27"/>
      <c r="DY41" s="27"/>
    </row>
    <row r="42" spans="1:129" s="1795" customFormat="1" ht="11.5" hidden="1" outlineLevel="1">
      <c r="A42" s="991" t="s">
        <v>1334</v>
      </c>
      <c r="B42" s="1853"/>
      <c r="C42" s="1853"/>
      <c r="D42" s="1853"/>
      <c r="E42" s="1854"/>
      <c r="F42" s="1855"/>
      <c r="G42" s="1855"/>
      <c r="H42" s="1855"/>
      <c r="I42" s="1855"/>
      <c r="J42" s="1855"/>
      <c r="K42" s="1855"/>
      <c r="L42" s="1856"/>
      <c r="M42" s="1855"/>
      <c r="N42" s="1855"/>
      <c r="O42" s="1855"/>
      <c r="P42" s="1855"/>
      <c r="Q42" s="1855"/>
      <c r="R42" s="1855"/>
      <c r="S42" s="1855"/>
      <c r="T42" s="1855"/>
      <c r="U42" s="1855"/>
      <c r="V42" s="1855"/>
      <c r="W42" s="1857"/>
      <c r="X42" s="1793"/>
      <c r="Y42" s="1793"/>
      <c r="Z42" s="1793"/>
      <c r="AA42" s="1793"/>
      <c r="AB42" s="1858"/>
      <c r="AC42" s="1859"/>
      <c r="AD42" s="1859">
        <v>6477.831755972612</v>
      </c>
      <c r="AE42" s="1859">
        <v>8348.7977795721781</v>
      </c>
      <c r="AF42" s="1859">
        <v>6252.3236501329293</v>
      </c>
      <c r="AG42" s="1860"/>
      <c r="AH42" s="1859">
        <f>7588.52564986386-AH28</f>
        <v>5770.5256498638601</v>
      </c>
      <c r="AI42" s="1859">
        <f>8364.85231097333-AI28</f>
        <v>6904.8523109733305</v>
      </c>
      <c r="AJ42" s="1859">
        <f>10996.2490689578-AJ28</f>
        <v>9593.2490689578008</v>
      </c>
      <c r="AK42" s="1860">
        <f>7685.14781995506-AK28</f>
        <v>6386.1478199550602</v>
      </c>
      <c r="AL42" s="1859">
        <v>8630.2953732249589</v>
      </c>
      <c r="AM42" s="1859">
        <v>10329.071721813703</v>
      </c>
      <c r="AN42" s="1859">
        <v>13332.609220267555</v>
      </c>
      <c r="AO42" s="1860">
        <v>9211.7568445291836</v>
      </c>
      <c r="AP42" s="1859">
        <v>9607</v>
      </c>
      <c r="AQ42" s="1859">
        <v>11916.8</v>
      </c>
      <c r="AR42" s="1859">
        <v>14004.9</v>
      </c>
      <c r="AS42" s="1859">
        <v>10764</v>
      </c>
      <c r="AT42" s="2835">
        <v>10398.959999999999</v>
      </c>
      <c r="AU42" s="1859">
        <v>13313.3</v>
      </c>
      <c r="AV42" s="1859">
        <v>15339.554999999998</v>
      </c>
      <c r="AW42" s="1860">
        <v>11908</v>
      </c>
      <c r="AX42" s="2835">
        <v>5927.4072000000006</v>
      </c>
      <c r="AY42" s="1859"/>
      <c r="AZ42" s="1859"/>
      <c r="BA42" s="1859"/>
      <c r="BB42" s="2835"/>
      <c r="BC42" s="1859"/>
      <c r="BD42" s="1859"/>
      <c r="BE42" s="1860"/>
      <c r="BF42" s="1859"/>
      <c r="BG42" s="1859"/>
      <c r="BH42" s="1859"/>
      <c r="BI42" s="1860"/>
      <c r="BJ42" s="1859"/>
      <c r="BK42" s="1859"/>
      <c r="BL42" s="1859"/>
      <c r="BM42" s="1860"/>
      <c r="BN42" s="1859"/>
      <c r="BO42" s="1860"/>
      <c r="BP42" s="1860"/>
      <c r="BQ42" s="1794"/>
      <c r="BR42" s="1859"/>
      <c r="BS42" s="1859"/>
      <c r="BT42" s="1859"/>
      <c r="BU42" s="1859"/>
      <c r="BV42" s="1859"/>
      <c r="BW42" s="1859"/>
      <c r="BX42" s="1859"/>
      <c r="BY42" s="1861">
        <f>SUM(AH42:AK42)</f>
        <v>28654.774849750051</v>
      </c>
      <c r="BZ42" s="1861">
        <f>SUM(AL42:AO42)</f>
        <v>41503.733159835399</v>
      </c>
      <c r="CA42" s="1837">
        <f>SUM(AP42:AS42)</f>
        <v>46292.7</v>
      </c>
      <c r="CB42" s="1837">
        <v>53869.1</v>
      </c>
      <c r="CC42" s="1776"/>
      <c r="CD42" s="1941"/>
      <c r="CE42" s="1941"/>
      <c r="CF42" s="1941"/>
      <c r="CG42" s="1941"/>
      <c r="CH42" s="1941"/>
      <c r="CI42" s="1839"/>
      <c r="CJ42" s="1839"/>
      <c r="CK42" s="1839"/>
      <c r="CL42" s="1839"/>
      <c r="CM42" s="1839"/>
      <c r="CN42" s="1839"/>
      <c r="CO42" s="1839"/>
      <c r="CP42" s="1839"/>
      <c r="CQ42" s="1839"/>
      <c r="CR42" s="1839"/>
      <c r="CS42" s="1839"/>
      <c r="CT42" s="1839"/>
      <c r="CU42" s="1839"/>
      <c r="CV42" s="1839"/>
      <c r="CW42" s="1839"/>
      <c r="CX42" s="1839"/>
      <c r="CY42" s="1839"/>
      <c r="CZ42" s="1839"/>
      <c r="DA42" s="1839"/>
      <c r="DB42" s="1839"/>
      <c r="DC42" s="1839"/>
      <c r="DD42" s="1839"/>
      <c r="DE42" s="1839"/>
      <c r="DF42" s="1839"/>
      <c r="DG42" s="1839"/>
      <c r="DH42" s="1839"/>
      <c r="DI42" s="1839"/>
      <c r="DJ42" s="1839"/>
      <c r="DK42" s="1839"/>
      <c r="DL42" s="1839"/>
      <c r="DM42" s="1839"/>
      <c r="DN42" s="1839"/>
      <c r="DO42" s="1839"/>
      <c r="DP42" s="1839"/>
      <c r="DQ42" s="1839"/>
      <c r="DR42" s="1839"/>
      <c r="DS42" s="1839"/>
      <c r="DT42" s="1839"/>
      <c r="DU42" s="1839"/>
      <c r="DV42" s="1839"/>
      <c r="DW42" s="1839"/>
      <c r="DX42" s="1839"/>
      <c r="DY42" s="1839"/>
    </row>
    <row r="43" spans="1:129" s="473" customFormat="1" hidden="1" outlineLevel="1">
      <c r="A43" s="1459" t="s">
        <v>1335</v>
      </c>
      <c r="B43" s="466"/>
      <c r="C43" s="466"/>
      <c r="D43" s="466"/>
      <c r="E43" s="467"/>
      <c r="F43" s="82"/>
      <c r="G43" s="82"/>
      <c r="H43" s="82"/>
      <c r="I43" s="82"/>
      <c r="J43" s="82"/>
      <c r="K43" s="82"/>
      <c r="L43" s="224"/>
      <c r="M43" s="82"/>
      <c r="N43" s="82"/>
      <c r="O43" s="82"/>
      <c r="P43" s="82"/>
      <c r="Q43" s="82"/>
      <c r="R43" s="82"/>
      <c r="S43" s="82"/>
      <c r="T43" s="82"/>
      <c r="U43" s="82"/>
      <c r="V43" s="82"/>
      <c r="W43" s="115"/>
      <c r="X43" s="211"/>
      <c r="Y43" s="211"/>
      <c r="Z43" s="211"/>
      <c r="AA43" s="211"/>
      <c r="AB43" s="446"/>
      <c r="AC43" s="211"/>
      <c r="AD43" s="211"/>
      <c r="AE43" s="211"/>
      <c r="AF43" s="211"/>
      <c r="AG43" s="446"/>
      <c r="AH43" s="995"/>
      <c r="AI43" s="988">
        <f>AI42/AD42-1</f>
        <v>6.5920291092309125E-2</v>
      </c>
      <c r="AJ43" s="988">
        <f>AJ42/AE42-1</f>
        <v>0.14905754364185753</v>
      </c>
      <c r="AK43" s="989">
        <f>AK42/AF42-1</f>
        <v>2.1403909539981392E-2</v>
      </c>
      <c r="AL43" s="988">
        <f t="shared" ref="AL43:AS43" si="35">AL42/AH42-1</f>
        <v>0.4955821872880104</v>
      </c>
      <c r="AM43" s="988">
        <f t="shared" si="35"/>
        <v>0.49591493874511028</v>
      </c>
      <c r="AN43" s="988">
        <f t="shared" si="35"/>
        <v>0.38979079188194099</v>
      </c>
      <c r="AO43" s="989">
        <f t="shared" si="35"/>
        <v>0.44245906988636019</v>
      </c>
      <c r="AP43" s="988">
        <f t="shared" si="35"/>
        <v>0.11317163370853067</v>
      </c>
      <c r="AQ43" s="988">
        <f t="shared" si="35"/>
        <v>0.15371451771732914</v>
      </c>
      <c r="AR43" s="988">
        <f t="shared" si="35"/>
        <v>5.0424546960430083E-2</v>
      </c>
      <c r="AS43" s="988">
        <f t="shared" si="35"/>
        <v>0.16850674433430002</v>
      </c>
      <c r="AT43" s="2829">
        <f>AT42/AP42-1</f>
        <v>8.24357239512854E-2</v>
      </c>
      <c r="AU43" s="988">
        <f>AU42/AQ42-1</f>
        <v>0.1171875</v>
      </c>
      <c r="AV43" s="988">
        <f>AV42/AR42-1</f>
        <v>9.5299145299145183E-2</v>
      </c>
      <c r="AW43" s="989">
        <f>AW42/AS42-1</f>
        <v>0.106280193236715</v>
      </c>
      <c r="AX43" s="2829">
        <f>AX42/AT42-1</f>
        <v>-0.42999999999999994</v>
      </c>
      <c r="AY43" s="988"/>
      <c r="AZ43" s="988"/>
      <c r="BA43" s="988"/>
      <c r="BB43" s="2829"/>
      <c r="BC43" s="988"/>
      <c r="BD43" s="988"/>
      <c r="BE43" s="989"/>
      <c r="BF43" s="988"/>
      <c r="BG43" s="988"/>
      <c r="BH43" s="988"/>
      <c r="BI43" s="989"/>
      <c r="BJ43" s="988"/>
      <c r="BK43" s="988"/>
      <c r="BL43" s="988"/>
      <c r="BM43" s="989"/>
      <c r="BN43" s="988"/>
      <c r="BO43" s="989"/>
      <c r="BP43" s="989"/>
      <c r="BQ43" s="3335"/>
      <c r="BR43" s="988"/>
      <c r="BS43" s="988"/>
      <c r="BT43" s="988"/>
      <c r="BU43" s="988"/>
      <c r="BV43" s="988"/>
      <c r="BW43" s="988"/>
      <c r="BX43" s="988"/>
      <c r="BY43" s="1009" t="e">
        <f>BY42/AG42-1</f>
        <v>#DIV/0!</v>
      </c>
      <c r="BZ43" s="1009">
        <f>BZ42/BY42-1</f>
        <v>0.44840548835083327</v>
      </c>
      <c r="CA43" s="2829">
        <f>CA42/BZ42-1</f>
        <v>0.11538641166860253</v>
      </c>
      <c r="CB43" s="2829">
        <f>CB42/CA42-1</f>
        <v>0.16366295333821546</v>
      </c>
      <c r="CC43" s="2829"/>
      <c r="CD43" s="98"/>
      <c r="CE43" s="98"/>
      <c r="CF43" s="98"/>
      <c r="CG43" s="98"/>
      <c r="CH43" s="98"/>
      <c r="CI43" s="27"/>
      <c r="CJ43" s="27"/>
      <c r="CK43" s="27"/>
      <c r="CL43" s="27"/>
      <c r="CM43" s="27"/>
      <c r="CN43" s="27"/>
      <c r="CO43" s="27"/>
      <c r="CP43" s="27"/>
      <c r="CQ43" s="27"/>
      <c r="CR43" s="27"/>
      <c r="CS43" s="27"/>
      <c r="CT43" s="27"/>
      <c r="CU43" s="27"/>
      <c r="CV43" s="27"/>
      <c r="CW43" s="27"/>
      <c r="CX43" s="27"/>
      <c r="CY43" s="27"/>
      <c r="CZ43" s="27"/>
      <c r="DA43" s="27"/>
      <c r="DB43" s="27"/>
      <c r="DC43" s="27"/>
      <c r="DD43" s="27"/>
      <c r="DE43" s="27"/>
      <c r="DF43" s="27"/>
      <c r="DG43" s="27"/>
      <c r="DH43" s="27"/>
      <c r="DI43" s="27"/>
      <c r="DJ43" s="27"/>
      <c r="DK43" s="27"/>
      <c r="DL43" s="27"/>
      <c r="DM43" s="27"/>
      <c r="DN43" s="27"/>
      <c r="DO43" s="27"/>
      <c r="DP43" s="27"/>
      <c r="DQ43" s="27"/>
      <c r="DR43" s="27"/>
      <c r="DS43" s="27"/>
      <c r="DT43" s="27"/>
      <c r="DU43" s="27"/>
      <c r="DV43" s="27"/>
      <c r="DW43" s="27"/>
      <c r="DX43" s="27"/>
      <c r="DY43" s="27"/>
    </row>
    <row r="44" spans="1:129" s="473" customFormat="1" ht="11.5" hidden="1" outlineLevel="1">
      <c r="A44" s="1459" t="s">
        <v>1336</v>
      </c>
      <c r="B44" s="466"/>
      <c r="C44" s="466"/>
      <c r="D44" s="466"/>
      <c r="E44" s="467"/>
      <c r="F44" s="82"/>
      <c r="G44" s="82"/>
      <c r="H44" s="82"/>
      <c r="I44" s="82"/>
      <c r="J44" s="82"/>
      <c r="K44" s="82"/>
      <c r="L44" s="224"/>
      <c r="M44" s="82"/>
      <c r="N44" s="82"/>
      <c r="O44" s="82"/>
      <c r="P44" s="82"/>
      <c r="Q44" s="82"/>
      <c r="R44" s="82"/>
      <c r="S44" s="82"/>
      <c r="T44" s="82"/>
      <c r="U44" s="82"/>
      <c r="V44" s="82"/>
      <c r="W44" s="115"/>
      <c r="X44" s="211"/>
      <c r="Y44" s="211"/>
      <c r="Z44" s="211"/>
      <c r="AA44" s="211"/>
      <c r="AB44" s="446"/>
      <c r="AC44" s="211"/>
      <c r="AD44" s="211"/>
      <c r="AE44" s="211"/>
      <c r="AF44" s="211"/>
      <c r="AG44" s="446"/>
      <c r="AH44" s="211">
        <f t="shared" ref="AH44:AX44" si="36">AH42/AH$5</f>
        <v>0.30560987447642518</v>
      </c>
      <c r="AI44" s="211">
        <f t="shared" si="36"/>
        <v>0.36609541010844349</v>
      </c>
      <c r="AJ44" s="211">
        <f t="shared" si="36"/>
        <v>0.51618235506902344</v>
      </c>
      <c r="AK44" s="486">
        <f t="shared" si="36"/>
        <v>0.39655662071255965</v>
      </c>
      <c r="AL44" s="473">
        <f t="shared" si="36"/>
        <v>0.36553094934096386</v>
      </c>
      <c r="AM44" s="473">
        <f t="shared" si="36"/>
        <v>0.45228160987374838</v>
      </c>
      <c r="AN44" s="473">
        <f t="shared" si="36"/>
        <v>0.60066268196641615</v>
      </c>
      <c r="AO44" s="486">
        <f t="shared" si="36"/>
        <v>0.46604287406741829</v>
      </c>
      <c r="AP44" s="473">
        <f t="shared" si="36"/>
        <v>0.3532504780114723</v>
      </c>
      <c r="AQ44" s="473">
        <f t="shared" si="36"/>
        <v>0.46014364043555483</v>
      </c>
      <c r="AR44" s="473">
        <f t="shared" si="36"/>
        <v>0.56755146701248171</v>
      </c>
      <c r="AS44" s="473">
        <f t="shared" si="36"/>
        <v>0.49023090586145646</v>
      </c>
      <c r="AT44" s="2819">
        <f t="shared" si="36"/>
        <v>0.35359787820055083</v>
      </c>
      <c r="AU44" s="473">
        <f t="shared" si="36"/>
        <v>0.47056765163297043</v>
      </c>
      <c r="AV44" s="473">
        <f t="shared" si="36"/>
        <v>0.56967189066735979</v>
      </c>
      <c r="AW44" s="486">
        <f t="shared" si="36"/>
        <v>0.51228221122822115</v>
      </c>
      <c r="AX44" s="2819">
        <f t="shared" si="36"/>
        <v>0.33141779144534528</v>
      </c>
      <c r="BB44" s="2819"/>
      <c r="BE44" s="486"/>
      <c r="BI44" s="486"/>
      <c r="BM44" s="486"/>
      <c r="BO44" s="486"/>
      <c r="BP44" s="486"/>
      <c r="BQ44" s="3334"/>
      <c r="BY44" s="451">
        <f>BY42/BY$5</f>
        <v>0.39561478993455912</v>
      </c>
      <c r="BZ44" s="489">
        <f>BZ42/BZ$5</f>
        <v>0.46944348419967535</v>
      </c>
      <c r="CA44" s="98">
        <f>CA42/CA$5</f>
        <v>0.46419425030332806</v>
      </c>
      <c r="CB44" s="98">
        <f>CB42/CB$5</f>
        <v>0.49937519119705576</v>
      </c>
      <c r="CC44" s="98"/>
      <c r="CD44" s="98"/>
      <c r="CE44" s="98"/>
      <c r="CF44" s="98"/>
      <c r="CG44" s="98"/>
      <c r="CH44" s="98"/>
      <c r="CI44" s="27"/>
      <c r="CJ44" s="27"/>
      <c r="CK44" s="27"/>
      <c r="CL44" s="27"/>
      <c r="CM44" s="27"/>
      <c r="CN44" s="27"/>
      <c r="CO44" s="27"/>
      <c r="CP44" s="27"/>
      <c r="CQ44" s="27"/>
      <c r="CR44" s="27"/>
      <c r="CS44" s="27"/>
      <c r="CT44" s="27"/>
      <c r="CU44" s="27"/>
      <c r="CV44" s="27"/>
      <c r="CW44" s="27"/>
      <c r="CX44" s="27"/>
      <c r="CY44" s="27"/>
      <c r="CZ44" s="27"/>
      <c r="DA44" s="27"/>
      <c r="DB44" s="27"/>
      <c r="DC44" s="27"/>
      <c r="DD44" s="27"/>
      <c r="DE44" s="27"/>
      <c r="DF44" s="27"/>
      <c r="DG44" s="27"/>
      <c r="DH44" s="27"/>
      <c r="DI44" s="27"/>
      <c r="DJ44" s="27"/>
      <c r="DK44" s="27"/>
      <c r="DL44" s="27"/>
      <c r="DM44" s="27"/>
      <c r="DN44" s="27"/>
      <c r="DO44" s="27"/>
      <c r="DP44" s="27"/>
      <c r="DQ44" s="27"/>
      <c r="DR44" s="27"/>
      <c r="DS44" s="27"/>
      <c r="DT44" s="27"/>
      <c r="DU44" s="27"/>
      <c r="DV44" s="27"/>
      <c r="DW44" s="27"/>
      <c r="DX44" s="27"/>
      <c r="DY44" s="27"/>
    </row>
    <row r="45" spans="1:129" s="1795" customFormat="1" ht="11.5" hidden="1" outlineLevel="1">
      <c r="A45" s="991" t="s">
        <v>1361</v>
      </c>
      <c r="B45" s="1853"/>
      <c r="C45" s="1853"/>
      <c r="D45" s="1853"/>
      <c r="E45" s="1854"/>
      <c r="F45" s="1855"/>
      <c r="G45" s="1855"/>
      <c r="H45" s="1855"/>
      <c r="I45" s="1855"/>
      <c r="J45" s="1855"/>
      <c r="K45" s="1855"/>
      <c r="L45" s="1856"/>
      <c r="M45" s="1855"/>
      <c r="N45" s="1855"/>
      <c r="O45" s="1855"/>
      <c r="P45" s="1855"/>
      <c r="Q45" s="1855"/>
      <c r="R45" s="1855"/>
      <c r="S45" s="1855"/>
      <c r="T45" s="1855"/>
      <c r="U45" s="1855"/>
      <c r="V45" s="1855"/>
      <c r="W45" s="1857"/>
      <c r="X45" s="1793"/>
      <c r="Y45" s="1793"/>
      <c r="Z45" s="1793"/>
      <c r="AA45" s="1793"/>
      <c r="AB45" s="1858"/>
      <c r="AC45" s="1859"/>
      <c r="AD45" s="1859">
        <v>6798.7607203757379</v>
      </c>
      <c r="AE45" s="1859">
        <v>6223.9167989137568</v>
      </c>
      <c r="AF45" s="1859">
        <v>6840.7576204323914</v>
      </c>
      <c r="AG45" s="1860"/>
      <c r="AH45" s="1859">
        <v>9136.1607134548049</v>
      </c>
      <c r="AI45" s="1859">
        <v>9069.5468009812339</v>
      </c>
      <c r="AJ45" s="1859">
        <v>7722.6359640921892</v>
      </c>
      <c r="AK45" s="1860">
        <v>6961.1549545520011</v>
      </c>
      <c r="AL45" s="1859">
        <v>9571.0419634152531</v>
      </c>
      <c r="AM45" s="1859">
        <v>9343.447114370867</v>
      </c>
      <c r="AN45" s="1859">
        <v>7870.9105746027599</v>
      </c>
      <c r="AO45" s="1860">
        <v>7241.689499220447</v>
      </c>
      <c r="AP45" s="1859">
        <v>9956.7549545408892</v>
      </c>
      <c r="AQ45" s="1859">
        <v>10003.094480645452</v>
      </c>
      <c r="AR45" s="1859">
        <v>8513.1768774903449</v>
      </c>
      <c r="AS45" s="1859">
        <v>8125.1756181253422</v>
      </c>
      <c r="AT45" s="2835">
        <v>10941.5</v>
      </c>
      <c r="AU45" s="1859">
        <v>11113.4</v>
      </c>
      <c r="AV45" s="1859">
        <v>9194.2000000000007</v>
      </c>
      <c r="AW45" s="1860">
        <v>8206.4</v>
      </c>
      <c r="AX45" s="2835">
        <v>5908.398130554292</v>
      </c>
      <c r="AY45" s="1859"/>
      <c r="AZ45" s="1859"/>
      <c r="BA45" s="1859"/>
      <c r="BB45" s="2835"/>
      <c r="BC45" s="1859"/>
      <c r="BD45" s="1859"/>
      <c r="BE45" s="1860"/>
      <c r="BF45" s="1859"/>
      <c r="BG45" s="1859"/>
      <c r="BH45" s="1859"/>
      <c r="BI45" s="1860"/>
      <c r="BJ45" s="1859"/>
      <c r="BK45" s="1859"/>
      <c r="BL45" s="1859"/>
      <c r="BM45" s="1860"/>
      <c r="BN45" s="1859"/>
      <c r="BO45" s="1860"/>
      <c r="BP45" s="1860"/>
      <c r="BQ45" s="1794"/>
      <c r="BR45" s="1859"/>
      <c r="BS45" s="1859"/>
      <c r="BT45" s="1859"/>
      <c r="BU45" s="1859"/>
      <c r="BV45" s="1859"/>
      <c r="BW45" s="1859"/>
      <c r="BX45" s="1859"/>
      <c r="BY45" s="1861">
        <f>SUM(AH45:AK45)</f>
        <v>32889.498433080233</v>
      </c>
      <c r="BZ45" s="1861">
        <f>SUM(AL45:AO45)</f>
        <v>34027.089151609325</v>
      </c>
      <c r="CA45" s="1837">
        <f>SUM(AP45:AS45)</f>
        <v>36598.201930802032</v>
      </c>
      <c r="CB45" s="1837">
        <v>39455.599999999999</v>
      </c>
      <c r="CC45" s="1837"/>
      <c r="CD45" s="1941"/>
      <c r="CE45" s="1941"/>
      <c r="CF45" s="1941"/>
      <c r="CG45" s="1941"/>
      <c r="CH45" s="1941"/>
      <c r="CI45" s="1839"/>
      <c r="CJ45" s="1839"/>
      <c r="CK45" s="1839"/>
      <c r="CL45" s="1839"/>
      <c r="CM45" s="1839"/>
      <c r="CN45" s="1839"/>
      <c r="CO45" s="1839"/>
      <c r="CP45" s="1839"/>
      <c r="CQ45" s="1839"/>
      <c r="CR45" s="1839"/>
      <c r="CS45" s="1839"/>
      <c r="CT45" s="1839"/>
      <c r="CU45" s="1839"/>
      <c r="CV45" s="1839"/>
      <c r="CW45" s="1839"/>
      <c r="CX45" s="1839"/>
      <c r="CY45" s="1839"/>
      <c r="CZ45" s="1839"/>
      <c r="DA45" s="1839"/>
      <c r="DB45" s="1839"/>
      <c r="DC45" s="1839"/>
      <c r="DD45" s="1839"/>
      <c r="DE45" s="1839"/>
      <c r="DF45" s="1839"/>
      <c r="DG45" s="1839"/>
      <c r="DH45" s="1839"/>
      <c r="DI45" s="1839"/>
      <c r="DJ45" s="1839"/>
      <c r="DK45" s="1839"/>
      <c r="DL45" s="1839"/>
      <c r="DM45" s="1839"/>
      <c r="DN45" s="1839"/>
      <c r="DO45" s="1839"/>
      <c r="DP45" s="1839"/>
      <c r="DQ45" s="1839"/>
      <c r="DR45" s="1839"/>
      <c r="DS45" s="1839"/>
      <c r="DT45" s="1839"/>
      <c r="DU45" s="1839"/>
      <c r="DV45" s="1839"/>
      <c r="DW45" s="1839"/>
      <c r="DX45" s="1839"/>
      <c r="DY45" s="1839"/>
    </row>
    <row r="46" spans="1:129" s="473" customFormat="1" hidden="1" outlineLevel="1">
      <c r="A46" s="1459" t="s">
        <v>1337</v>
      </c>
      <c r="B46" s="466"/>
      <c r="C46" s="466"/>
      <c r="D46" s="466"/>
      <c r="E46" s="467"/>
      <c r="F46" s="82"/>
      <c r="G46" s="82"/>
      <c r="H46" s="82"/>
      <c r="I46" s="82"/>
      <c r="J46" s="82"/>
      <c r="K46" s="82"/>
      <c r="L46" s="224"/>
      <c r="M46" s="82"/>
      <c r="N46" s="82"/>
      <c r="O46" s="82"/>
      <c r="P46" s="82"/>
      <c r="Q46" s="82"/>
      <c r="R46" s="82"/>
      <c r="S46" s="82"/>
      <c r="T46" s="82"/>
      <c r="U46" s="82"/>
      <c r="V46" s="82"/>
      <c r="W46" s="115"/>
      <c r="X46" s="211"/>
      <c r="Y46" s="211"/>
      <c r="Z46" s="211"/>
      <c r="AA46" s="211"/>
      <c r="AB46" s="446"/>
      <c r="AC46" s="211"/>
      <c r="AD46" s="211"/>
      <c r="AE46" s="211"/>
      <c r="AF46" s="211"/>
      <c r="AG46" s="446"/>
      <c r="AH46" s="995"/>
      <c r="AI46" s="988">
        <f>AI45/AD45-1</f>
        <v>0.33399999999999985</v>
      </c>
      <c r="AJ46" s="988">
        <f>AJ45/AE45-1</f>
        <v>0.2407999999999999</v>
      </c>
      <c r="AK46" s="989">
        <f>AK45/AF45-1</f>
        <v>1.7599999999999838E-2</v>
      </c>
      <c r="AL46" s="988">
        <f t="shared" ref="AL46:AS46" si="37">AL45/AH45-1</f>
        <v>4.7599999999999865E-2</v>
      </c>
      <c r="AM46" s="988">
        <f t="shared" si="37"/>
        <v>3.0200000000000005E-2</v>
      </c>
      <c r="AN46" s="988">
        <f t="shared" si="37"/>
        <v>1.9200000000000106E-2</v>
      </c>
      <c r="AO46" s="989">
        <f t="shared" si="37"/>
        <v>4.0300000000000002E-2</v>
      </c>
      <c r="AP46" s="988">
        <f t="shared" si="37"/>
        <v>4.0300000000000225E-2</v>
      </c>
      <c r="AQ46" s="988">
        <f t="shared" si="37"/>
        <v>7.0600000000000218E-2</v>
      </c>
      <c r="AR46" s="988">
        <f t="shared" si="37"/>
        <v>8.1599999999999895E-2</v>
      </c>
      <c r="AS46" s="988">
        <f t="shared" si="37"/>
        <v>0.12200000000000011</v>
      </c>
      <c r="AT46" s="2829">
        <f>AT45/AP45-1</f>
        <v>9.8902207592244329E-2</v>
      </c>
      <c r="AU46" s="988">
        <f>AU45/AQ45-1</f>
        <v>0.11099620437483915</v>
      </c>
      <c r="AV46" s="988">
        <f>AV45/AR45-1</f>
        <v>7.9996355333617819E-2</v>
      </c>
      <c r="AW46" s="989">
        <f>AW45/AS45-1</f>
        <v>9.9966309273937792E-3</v>
      </c>
      <c r="AX46" s="2829">
        <f>AX45/AT45-1</f>
        <v>-0.46000108480973434</v>
      </c>
      <c r="AY46" s="988"/>
      <c r="AZ46" s="988"/>
      <c r="BA46" s="988"/>
      <c r="BB46" s="2829"/>
      <c r="BC46" s="988"/>
      <c r="BD46" s="988"/>
      <c r="BE46" s="989"/>
      <c r="BF46" s="988"/>
      <c r="BG46" s="988"/>
      <c r="BH46" s="988"/>
      <c r="BI46" s="989"/>
      <c r="BJ46" s="988"/>
      <c r="BK46" s="988"/>
      <c r="BL46" s="988"/>
      <c r="BM46" s="989"/>
      <c r="BN46" s="988"/>
      <c r="BO46" s="989"/>
      <c r="BP46" s="989"/>
      <c r="BQ46" s="3335"/>
      <c r="BR46" s="988"/>
      <c r="BS46" s="988"/>
      <c r="BT46" s="988"/>
      <c r="BU46" s="988"/>
      <c r="BV46" s="988"/>
      <c r="BW46" s="988"/>
      <c r="BX46" s="988"/>
      <c r="BY46" s="1009" t="e">
        <f>BY45/AG45-1</f>
        <v>#DIV/0!</v>
      </c>
      <c r="BZ46" s="1009">
        <f>BZ45/BY45-1</f>
        <v>3.4588265942812502E-2</v>
      </c>
      <c r="CA46" s="2829">
        <f>CA45/BZ45-1</f>
        <v>7.5560761831168888E-2</v>
      </c>
      <c r="CB46" s="2829">
        <f>CB45/CA45-1</f>
        <v>7.8074821123742311E-2</v>
      </c>
      <c r="CC46" s="2829"/>
      <c r="CD46" s="98"/>
      <c r="CE46" s="98"/>
      <c r="CF46" s="98"/>
      <c r="CG46" s="98"/>
      <c r="CH46" s="98"/>
      <c r="CI46" s="27"/>
      <c r="CJ46" s="27"/>
      <c r="CK46" s="27"/>
      <c r="CL46" s="27"/>
      <c r="CM46" s="27"/>
      <c r="CN46" s="27"/>
      <c r="CO46" s="27"/>
      <c r="CP46" s="27"/>
      <c r="CQ46" s="27"/>
      <c r="CR46" s="27"/>
      <c r="CS46" s="27"/>
      <c r="CT46" s="27"/>
      <c r="CU46" s="27"/>
      <c r="CV46" s="27"/>
      <c r="CW46" s="27"/>
      <c r="CX46" s="27"/>
      <c r="CY46" s="27"/>
      <c r="CZ46" s="27"/>
      <c r="DA46" s="27"/>
      <c r="DB46" s="27"/>
      <c r="DC46" s="27"/>
      <c r="DD46" s="27"/>
      <c r="DE46" s="27"/>
      <c r="DF46" s="27"/>
      <c r="DG46" s="27"/>
      <c r="DH46" s="27"/>
      <c r="DI46" s="27"/>
      <c r="DJ46" s="27"/>
      <c r="DK46" s="27"/>
      <c r="DL46" s="27"/>
      <c r="DM46" s="27"/>
      <c r="DN46" s="27"/>
      <c r="DO46" s="27"/>
      <c r="DP46" s="27"/>
      <c r="DQ46" s="27"/>
      <c r="DR46" s="27"/>
      <c r="DS46" s="27"/>
      <c r="DT46" s="27"/>
      <c r="DU46" s="27"/>
      <c r="DV46" s="27"/>
      <c r="DW46" s="27"/>
      <c r="DX46" s="27"/>
      <c r="DY46" s="27"/>
    </row>
    <row r="47" spans="1:129" s="473" customFormat="1" ht="11.5" hidden="1" outlineLevel="1">
      <c r="A47" s="1459" t="s">
        <v>1338</v>
      </c>
      <c r="B47" s="466"/>
      <c r="C47" s="466"/>
      <c r="D47" s="466"/>
      <c r="E47" s="467"/>
      <c r="F47" s="82"/>
      <c r="G47" s="82"/>
      <c r="H47" s="82"/>
      <c r="I47" s="82"/>
      <c r="J47" s="82"/>
      <c r="K47" s="82"/>
      <c r="L47" s="224"/>
      <c r="M47" s="82"/>
      <c r="N47" s="82"/>
      <c r="O47" s="82"/>
      <c r="P47" s="82"/>
      <c r="Q47" s="82"/>
      <c r="R47" s="82"/>
      <c r="S47" s="82"/>
      <c r="T47" s="82"/>
      <c r="U47" s="82"/>
      <c r="V47" s="82"/>
      <c r="W47" s="115"/>
      <c r="X47" s="211"/>
      <c r="Y47" s="211"/>
      <c r="Z47" s="211"/>
      <c r="AA47" s="211"/>
      <c r="AB47" s="446"/>
      <c r="AC47" s="211"/>
      <c r="AD47" s="211"/>
      <c r="AE47" s="211"/>
      <c r="AF47" s="211"/>
      <c r="AG47" s="446"/>
      <c r="AH47" s="211">
        <f t="shared" ref="AH47:AX47" si="38">AH45/AH$5</f>
        <v>0.48385556156417781</v>
      </c>
      <c r="AI47" s="211">
        <f t="shared" si="38"/>
        <v>0.48086755604116654</v>
      </c>
      <c r="AJ47" s="211">
        <f t="shared" si="38"/>
        <v>0.41553058725274089</v>
      </c>
      <c r="AK47" s="486">
        <f t="shared" si="38"/>
        <v>0.43226247854893202</v>
      </c>
      <c r="AL47" s="473">
        <f t="shared" si="38"/>
        <v>0.40537570312174148</v>
      </c>
      <c r="AM47" s="473">
        <f t="shared" si="38"/>
        <v>0.40912382220498855</v>
      </c>
      <c r="AN47" s="473">
        <f t="shared" si="38"/>
        <v>0.35460142700888697</v>
      </c>
      <c r="AO47" s="486">
        <f t="shared" si="38"/>
        <v>0.36637286939731795</v>
      </c>
      <c r="AP47" s="473">
        <f t="shared" si="38"/>
        <v>0.36611100730037099</v>
      </c>
      <c r="AQ47" s="473">
        <f t="shared" si="38"/>
        <v>0.38624969034849993</v>
      </c>
      <c r="AR47" s="473">
        <f t="shared" si="38"/>
        <v>0.34499825245138371</v>
      </c>
      <c r="AS47" s="473">
        <f t="shared" si="38"/>
        <v>0.37004944291685304</v>
      </c>
      <c r="AT47" s="2819">
        <f t="shared" si="38"/>
        <v>0.37204597232139819</v>
      </c>
      <c r="AU47" s="473">
        <f t="shared" si="38"/>
        <v>0.39281068853386114</v>
      </c>
      <c r="AV47" s="473">
        <f t="shared" si="38"/>
        <v>0.34144910313068672</v>
      </c>
      <c r="AW47" s="486">
        <f t="shared" si="38"/>
        <v>0.35303936330393632</v>
      </c>
      <c r="AX47" s="2819">
        <f t="shared" si="38"/>
        <v>0.33035494160214102</v>
      </c>
      <c r="BB47" s="2819"/>
      <c r="BE47" s="486"/>
      <c r="BI47" s="486"/>
      <c r="BM47" s="486"/>
      <c r="BO47" s="486"/>
      <c r="BP47" s="486"/>
      <c r="BQ47" s="3334"/>
      <c r="BY47" s="451">
        <f>BY45/BY$5</f>
        <v>0.45408041353950979</v>
      </c>
      <c r="BZ47" s="489">
        <f>BZ45/BZ$5</f>
        <v>0.38487610805966854</v>
      </c>
      <c r="CA47" s="98">
        <f>CA45/CA$5</f>
        <v>0.36698388531493009</v>
      </c>
      <c r="CB47" s="98">
        <f>CB45/CB$5</f>
        <v>0.36575973598583517</v>
      </c>
      <c r="CC47" s="98"/>
      <c r="CD47" s="98"/>
      <c r="CE47" s="98"/>
      <c r="CF47" s="98"/>
      <c r="CG47" s="98"/>
      <c r="CH47" s="98"/>
      <c r="CI47" s="27"/>
      <c r="CJ47" s="27"/>
      <c r="CK47" s="27"/>
      <c r="CL47" s="27"/>
      <c r="CM47" s="27"/>
      <c r="CN47" s="27"/>
      <c r="CO47" s="27"/>
      <c r="CP47" s="27"/>
      <c r="CQ47" s="27"/>
      <c r="CR47" s="27"/>
      <c r="CS47" s="27"/>
      <c r="CT47" s="27"/>
      <c r="CU47" s="27"/>
      <c r="CV47" s="27"/>
      <c r="CW47" s="27"/>
      <c r="CX47" s="27"/>
      <c r="CY47" s="27"/>
      <c r="CZ47" s="27"/>
      <c r="DA47" s="27"/>
      <c r="DB47" s="27"/>
      <c r="DC47" s="27"/>
      <c r="DD47" s="27"/>
      <c r="DE47" s="27"/>
      <c r="DF47" s="27"/>
      <c r="DG47" s="27"/>
      <c r="DH47" s="27"/>
      <c r="DI47" s="27"/>
      <c r="DJ47" s="27"/>
      <c r="DK47" s="27"/>
      <c r="DL47" s="27"/>
      <c r="DM47" s="27"/>
      <c r="DN47" s="27"/>
      <c r="DO47" s="27"/>
      <c r="DP47" s="27"/>
      <c r="DQ47" s="27"/>
      <c r="DR47" s="27"/>
      <c r="DS47" s="27"/>
      <c r="DT47" s="27"/>
      <c r="DU47" s="27"/>
      <c r="DV47" s="27"/>
      <c r="DW47" s="27"/>
      <c r="DX47" s="27"/>
      <c r="DY47" s="27"/>
    </row>
    <row r="48" spans="1:129" s="1795" customFormat="1" ht="11.5" hidden="1" outlineLevel="1">
      <c r="A48" s="991" t="s">
        <v>1362</v>
      </c>
      <c r="B48" s="1853"/>
      <c r="C48" s="1853"/>
      <c r="D48" s="1853"/>
      <c r="E48" s="1854"/>
      <c r="F48" s="1855"/>
      <c r="G48" s="1855"/>
      <c r="H48" s="1855"/>
      <c r="I48" s="1855"/>
      <c r="J48" s="1855"/>
      <c r="K48" s="1855"/>
      <c r="L48" s="1856"/>
      <c r="M48" s="1855"/>
      <c r="N48" s="1855"/>
      <c r="O48" s="1855"/>
      <c r="P48" s="1855"/>
      <c r="Q48" s="1855"/>
      <c r="R48" s="1855"/>
      <c r="S48" s="1855"/>
      <c r="T48" s="1855"/>
      <c r="U48" s="1855"/>
      <c r="V48" s="1855"/>
      <c r="W48" s="1857"/>
      <c r="X48" s="1793"/>
      <c r="Y48" s="1793"/>
      <c r="Z48" s="1793"/>
      <c r="AA48" s="1793"/>
      <c r="AB48" s="1858"/>
      <c r="AC48" s="1859"/>
      <c r="AD48" s="1859">
        <v>1786.4075236516501</v>
      </c>
      <c r="AE48" s="1859">
        <v>820.28542151406509</v>
      </c>
      <c r="AF48" s="1859">
        <v>1856.9187294346793</v>
      </c>
      <c r="AG48" s="1860"/>
      <c r="AH48" s="1859">
        <v>3975.3136366813378</v>
      </c>
      <c r="AI48" s="1859">
        <v>2886.6008880454374</v>
      </c>
      <c r="AJ48" s="1859">
        <v>1269.1149669499973</v>
      </c>
      <c r="AK48" s="1860">
        <v>2756.6972254929387</v>
      </c>
      <c r="AL48" s="1859">
        <v>5409.662663359788</v>
      </c>
      <c r="AM48" s="1859">
        <v>3164.4811638154297</v>
      </c>
      <c r="AN48" s="1859">
        <v>993.48020512968469</v>
      </c>
      <c r="AO48" s="1860">
        <v>3312.5536562503694</v>
      </c>
      <c r="AP48" s="1859">
        <v>7632.2450454591108</v>
      </c>
      <c r="AQ48" s="1859">
        <v>3978.105519354549</v>
      </c>
      <c r="AR48" s="1859">
        <v>2157.9231225096555</v>
      </c>
      <c r="AS48" s="1859">
        <v>3067.8243818746578</v>
      </c>
      <c r="AT48" s="2835">
        <v>8068.561980455017</v>
      </c>
      <c r="AU48" s="1859">
        <v>3865.2620320029018</v>
      </c>
      <c r="AV48" s="1859">
        <v>2393.2139723104283</v>
      </c>
      <c r="AW48" s="1860">
        <v>3130.5726256934049</v>
      </c>
      <c r="AX48" s="2835">
        <v>6049.1946694457065</v>
      </c>
      <c r="AY48" s="1859"/>
      <c r="AZ48" s="1859"/>
      <c r="BA48" s="1859"/>
      <c r="BB48" s="2835"/>
      <c r="BC48" s="1859"/>
      <c r="BD48" s="1859"/>
      <c r="BE48" s="1860"/>
      <c r="BF48" s="1859"/>
      <c r="BG48" s="1859"/>
      <c r="BH48" s="1859"/>
      <c r="BI48" s="1860"/>
      <c r="BJ48" s="1859"/>
      <c r="BK48" s="1859"/>
      <c r="BL48" s="1859"/>
      <c r="BM48" s="1860"/>
      <c r="BN48" s="1859"/>
      <c r="BO48" s="1860"/>
      <c r="BP48" s="1860"/>
      <c r="BQ48" s="1794"/>
      <c r="BR48" s="1859"/>
      <c r="BS48" s="1859"/>
      <c r="BT48" s="1859"/>
      <c r="BU48" s="1859"/>
      <c r="BV48" s="1859"/>
      <c r="BW48" s="1859"/>
      <c r="BX48" s="1859"/>
      <c r="BY48" s="1861">
        <f>SUM(AH48:AK48)</f>
        <v>10887.726717169711</v>
      </c>
      <c r="BZ48" s="1861">
        <f>SUM(AL48:AO48)</f>
        <v>12880.177688555272</v>
      </c>
      <c r="CA48" s="1837">
        <f>SUM(AP48:AS48)</f>
        <v>16836.098069197971</v>
      </c>
      <c r="CB48" s="1837">
        <f>SUM(AT48:AW48)</f>
        <v>17457.61061046175</v>
      </c>
      <c r="CC48" s="1837"/>
      <c r="CD48" s="1941"/>
      <c r="CE48" s="1941"/>
      <c r="CF48" s="1941"/>
      <c r="CG48" s="1941"/>
      <c r="CH48" s="1941"/>
      <c r="CI48" s="1839"/>
      <c r="CJ48" s="1839"/>
      <c r="CK48" s="1839"/>
      <c r="CL48" s="1839"/>
      <c r="CM48" s="1839"/>
      <c r="CN48" s="1839"/>
      <c r="CO48" s="1839"/>
      <c r="CP48" s="1839"/>
      <c r="CQ48" s="1839"/>
      <c r="CR48" s="1839"/>
      <c r="CS48" s="1839"/>
      <c r="CT48" s="1839"/>
      <c r="CU48" s="1839"/>
      <c r="CV48" s="1839"/>
      <c r="CW48" s="1839"/>
      <c r="CX48" s="1839"/>
      <c r="CY48" s="1839"/>
      <c r="CZ48" s="1839"/>
      <c r="DA48" s="1839"/>
      <c r="DB48" s="1839"/>
      <c r="DC48" s="1839"/>
      <c r="DD48" s="1839"/>
      <c r="DE48" s="1839"/>
      <c r="DF48" s="1839"/>
      <c r="DG48" s="1839"/>
      <c r="DH48" s="1839"/>
      <c r="DI48" s="1839"/>
      <c r="DJ48" s="1839"/>
      <c r="DK48" s="1839"/>
      <c r="DL48" s="1839"/>
      <c r="DM48" s="1839"/>
      <c r="DN48" s="1839"/>
      <c r="DO48" s="1839"/>
      <c r="DP48" s="1839"/>
      <c r="DQ48" s="1839"/>
      <c r="DR48" s="1839"/>
      <c r="DS48" s="1839"/>
      <c r="DT48" s="1839"/>
      <c r="DU48" s="1839"/>
      <c r="DV48" s="1839"/>
      <c r="DW48" s="1839"/>
      <c r="DX48" s="1839"/>
      <c r="DY48" s="1839"/>
    </row>
    <row r="49" spans="1:129" s="473" customFormat="1" hidden="1" outlineLevel="1">
      <c r="A49" s="1459" t="s">
        <v>1339</v>
      </c>
      <c r="B49" s="466"/>
      <c r="C49" s="466"/>
      <c r="D49" s="466"/>
      <c r="E49" s="467"/>
      <c r="F49" s="82"/>
      <c r="G49" s="82"/>
      <c r="H49" s="82"/>
      <c r="I49" s="82"/>
      <c r="J49" s="82"/>
      <c r="K49" s="82"/>
      <c r="L49" s="224"/>
      <c r="M49" s="82"/>
      <c r="N49" s="82"/>
      <c r="O49" s="82"/>
      <c r="P49" s="82"/>
      <c r="Q49" s="82"/>
      <c r="R49" s="82"/>
      <c r="S49" s="82"/>
      <c r="T49" s="82"/>
      <c r="U49" s="82"/>
      <c r="V49" s="82"/>
      <c r="W49" s="115"/>
      <c r="X49" s="211"/>
      <c r="Y49" s="211"/>
      <c r="Z49" s="211"/>
      <c r="AA49" s="211"/>
      <c r="AB49" s="446"/>
      <c r="AC49" s="211"/>
      <c r="AD49" s="211"/>
      <c r="AE49" s="211"/>
      <c r="AF49" s="211"/>
      <c r="AG49" s="446"/>
      <c r="AH49" s="995"/>
      <c r="AI49" s="988">
        <f>AI48/AD48-1</f>
        <v>0.61586919548169416</v>
      </c>
      <c r="AJ49" s="988">
        <f>AJ48/AE48-1</f>
        <v>0.54716265054118884</v>
      </c>
      <c r="AK49" s="989">
        <f>AK48/AF48-1</f>
        <v>0.484554591321392</v>
      </c>
      <c r="AL49" s="988">
        <f t="shared" ref="AL49:AS49" si="39">AL48/AH48-1</f>
        <v>0.3608140533726214</v>
      </c>
      <c r="AM49" s="988">
        <f t="shared" si="39"/>
        <v>9.6265568586500816E-2</v>
      </c>
      <c r="AN49" s="988">
        <f t="shared" si="39"/>
        <v>-0.21718659774593341</v>
      </c>
      <c r="AO49" s="989">
        <f t="shared" si="39"/>
        <v>0.20163854978960738</v>
      </c>
      <c r="AP49" s="988">
        <f t="shared" si="39"/>
        <v>0.41085415494631605</v>
      </c>
      <c r="AQ49" s="988">
        <f t="shared" si="39"/>
        <v>0.25711145474417307</v>
      </c>
      <c r="AR49" s="988">
        <f t="shared" si="39"/>
        <v>1.1720846689924431</v>
      </c>
      <c r="AS49" s="988">
        <f t="shared" si="39"/>
        <v>-7.3879338954687901E-2</v>
      </c>
      <c r="AT49" s="2829">
        <f>AT48/AP48-1</f>
        <v>5.7167574206163252E-2</v>
      </c>
      <c r="AU49" s="988">
        <f>AU48/AQ48-1</f>
        <v>-2.8366137298931227E-2</v>
      </c>
      <c r="AV49" s="988">
        <f>AV48/AR48-1</f>
        <v>0.10903578878525133</v>
      </c>
      <c r="AW49" s="989">
        <f>AW48/AS48-1</f>
        <v>2.0453662272676532E-2</v>
      </c>
      <c r="AX49" s="2829">
        <f>AX48/AT48-1</f>
        <v>-0.25027598671249607</v>
      </c>
      <c r="AY49" s="988"/>
      <c r="AZ49" s="988"/>
      <c r="BA49" s="988"/>
      <c r="BB49" s="2829"/>
      <c r="BC49" s="988"/>
      <c r="BD49" s="988"/>
      <c r="BE49" s="989"/>
      <c r="BF49" s="988"/>
      <c r="BG49" s="988"/>
      <c r="BH49" s="988"/>
      <c r="BI49" s="989"/>
      <c r="BJ49" s="988"/>
      <c r="BK49" s="988"/>
      <c r="BL49" s="988"/>
      <c r="BM49" s="989"/>
      <c r="BN49" s="988"/>
      <c r="BO49" s="989"/>
      <c r="BP49" s="989"/>
      <c r="BQ49" s="3335"/>
      <c r="BR49" s="988"/>
      <c r="BS49" s="988"/>
      <c r="BT49" s="988"/>
      <c r="BU49" s="988"/>
      <c r="BV49" s="988"/>
      <c r="BW49" s="988"/>
      <c r="BX49" s="988"/>
      <c r="BY49" s="1009" t="e">
        <f>BY48/AG48-1</f>
        <v>#DIV/0!</v>
      </c>
      <c r="BZ49" s="1009">
        <f>BZ48/BY48-1</f>
        <v>0.18299972282033017</v>
      </c>
      <c r="CA49" s="2829">
        <f>CA48/BZ48-1</f>
        <v>0.30713243841020499</v>
      </c>
      <c r="CB49" s="2829">
        <f>CB48/CA48-1</f>
        <v>3.6915474043290875E-2</v>
      </c>
      <c r="CC49" s="2829"/>
      <c r="CD49" s="98"/>
      <c r="CE49" s="98"/>
      <c r="CF49" s="98"/>
      <c r="CG49" s="98"/>
      <c r="CH49" s="98"/>
      <c r="CI49" s="27"/>
      <c r="CJ49" s="27"/>
      <c r="CK49" s="27"/>
      <c r="CL49" s="27"/>
      <c r="CM49" s="27"/>
      <c r="CN49" s="27"/>
      <c r="CO49" s="27"/>
      <c r="CP49" s="27"/>
      <c r="CQ49" s="27"/>
      <c r="CR49" s="27"/>
      <c r="CS49" s="27"/>
      <c r="CT49" s="27"/>
      <c r="CU49" s="27"/>
      <c r="CV49" s="27"/>
      <c r="CW49" s="27"/>
      <c r="CX49" s="27"/>
      <c r="CY49" s="27"/>
      <c r="CZ49" s="27"/>
      <c r="DA49" s="27"/>
      <c r="DB49" s="27"/>
      <c r="DC49" s="27"/>
      <c r="DD49" s="27"/>
      <c r="DE49" s="27"/>
      <c r="DF49" s="27"/>
      <c r="DG49" s="27"/>
      <c r="DH49" s="27"/>
      <c r="DI49" s="27"/>
      <c r="DJ49" s="27"/>
      <c r="DK49" s="27"/>
      <c r="DL49" s="27"/>
      <c r="DM49" s="27"/>
      <c r="DN49" s="27"/>
      <c r="DO49" s="27"/>
      <c r="DP49" s="27"/>
      <c r="DQ49" s="27"/>
      <c r="DR49" s="27"/>
      <c r="DS49" s="27"/>
      <c r="DT49" s="27"/>
      <c r="DU49" s="27"/>
      <c r="DV49" s="27"/>
      <c r="DW49" s="27"/>
      <c r="DX49" s="27"/>
      <c r="DY49" s="27"/>
    </row>
    <row r="50" spans="1:129" s="473" customFormat="1" ht="11.5" hidden="1" outlineLevel="1">
      <c r="A50" s="1459" t="s">
        <v>1340</v>
      </c>
      <c r="B50" s="466"/>
      <c r="C50" s="466"/>
      <c r="D50" s="466"/>
      <c r="E50" s="467"/>
      <c r="F50" s="82"/>
      <c r="G50" s="82"/>
      <c r="H50" s="82"/>
      <c r="I50" s="82"/>
      <c r="J50" s="82"/>
      <c r="K50" s="82"/>
      <c r="L50" s="224"/>
      <c r="M50" s="82"/>
      <c r="N50" s="82"/>
      <c r="O50" s="82"/>
      <c r="P50" s="82"/>
      <c r="Q50" s="82"/>
      <c r="R50" s="82"/>
      <c r="S50" s="82"/>
      <c r="T50" s="82"/>
      <c r="U50" s="82"/>
      <c r="V50" s="82"/>
      <c r="W50" s="115"/>
      <c r="X50" s="211"/>
      <c r="Y50" s="211"/>
      <c r="Z50" s="211"/>
      <c r="AA50" s="211"/>
      <c r="AB50" s="446"/>
      <c r="AC50" s="211"/>
      <c r="AD50" s="211"/>
      <c r="AE50" s="211"/>
      <c r="AF50" s="211"/>
      <c r="AG50" s="446"/>
      <c r="AH50" s="211">
        <f t="shared" ref="AH50:AX50" si="40">AH48/AH$5</f>
        <v>0.21053456395939718</v>
      </c>
      <c r="AI50" s="211">
        <f t="shared" si="40"/>
        <v>0.15304763785446204</v>
      </c>
      <c r="AJ50" s="211">
        <f t="shared" si="40"/>
        <v>6.8287057678234994E-2</v>
      </c>
      <c r="AK50" s="486">
        <f t="shared" si="40"/>
        <v>0.17118090073850836</v>
      </c>
      <c r="AL50" s="473">
        <f t="shared" si="40"/>
        <v>0.22912299561461685</v>
      </c>
      <c r="AM50" s="473">
        <f t="shared" si="40"/>
        <v>0.13856391684869446</v>
      </c>
      <c r="AN50" s="473">
        <f t="shared" si="40"/>
        <v>4.4758417098627469E-2</v>
      </c>
      <c r="AO50" s="486">
        <f t="shared" si="40"/>
        <v>0.16758931575341215</v>
      </c>
      <c r="AP50" s="473">
        <f t="shared" si="40"/>
        <v>0.28063851468815676</v>
      </c>
      <c r="AQ50" s="473">
        <f t="shared" si="40"/>
        <v>0.15360666921594521</v>
      </c>
      <c r="AR50" s="473">
        <f t="shared" si="40"/>
        <v>8.7450280536134531E-2</v>
      </c>
      <c r="AS50" s="473">
        <f t="shared" si="40"/>
        <v>0.13971965122169047</v>
      </c>
      <c r="AT50" s="2819">
        <f t="shared" si="40"/>
        <v>0.27435689688377768</v>
      </c>
      <c r="AU50" s="473">
        <f t="shared" si="40"/>
        <v>0.13662031782846396</v>
      </c>
      <c r="AV50" s="473">
        <f t="shared" si="40"/>
        <v>8.887785391281719E-2</v>
      </c>
      <c r="AW50" s="486">
        <f t="shared" si="40"/>
        <v>0.13467724782505505</v>
      </c>
      <c r="AX50" s="2819">
        <f t="shared" si="40"/>
        <v>0.33822726695251365</v>
      </c>
      <c r="BB50" s="2819"/>
      <c r="BE50" s="486"/>
      <c r="BI50" s="486"/>
      <c r="BM50" s="486"/>
      <c r="BO50" s="486"/>
      <c r="BP50" s="486"/>
      <c r="BQ50" s="3334"/>
      <c r="BY50" s="451">
        <f>BY48/BY$5</f>
        <v>0.15031860276911421</v>
      </c>
      <c r="BZ50" s="489">
        <f>BZ48/BZ$5</f>
        <v>0.14568606317751026</v>
      </c>
      <c r="CA50" s="98">
        <f>CA48/CA$5</f>
        <v>0.16882186438174188</v>
      </c>
      <c r="CB50" s="98">
        <f>CB48/CB$5</f>
        <v>0.16183484848351071</v>
      </c>
      <c r="CC50" s="98"/>
      <c r="CD50" s="98"/>
      <c r="CE50" s="98"/>
      <c r="CF50" s="98"/>
      <c r="CG50" s="98"/>
      <c r="CH50" s="98"/>
      <c r="CI50" s="27"/>
      <c r="CJ50" s="27"/>
      <c r="CK50" s="27"/>
      <c r="CL50" s="27"/>
      <c r="CM50" s="27"/>
      <c r="CN50" s="27"/>
      <c r="CO50" s="27"/>
      <c r="CP50" s="27"/>
      <c r="CQ50" s="27"/>
      <c r="CR50" s="27"/>
      <c r="CS50" s="27"/>
      <c r="CT50" s="27"/>
      <c r="CU50" s="27"/>
      <c r="CV50" s="27"/>
      <c r="CW50" s="27"/>
      <c r="CX50" s="27"/>
      <c r="CY50" s="27"/>
      <c r="CZ50" s="27"/>
      <c r="DA50" s="27"/>
      <c r="DB50" s="27"/>
      <c r="DC50" s="27"/>
      <c r="DD50" s="27"/>
      <c r="DE50" s="27"/>
      <c r="DF50" s="27"/>
      <c r="DG50" s="27"/>
      <c r="DH50" s="27"/>
      <c r="DI50" s="27"/>
      <c r="DJ50" s="27"/>
      <c r="DK50" s="27"/>
      <c r="DL50" s="27"/>
      <c r="DM50" s="27"/>
      <c r="DN50" s="27"/>
      <c r="DO50" s="27"/>
      <c r="DP50" s="27"/>
      <c r="DQ50" s="27"/>
      <c r="DR50" s="27"/>
      <c r="DS50" s="27"/>
      <c r="DT50" s="27"/>
      <c r="DU50" s="27"/>
      <c r="DV50" s="27"/>
      <c r="DW50" s="27"/>
      <c r="DX50" s="27"/>
      <c r="DY50" s="27"/>
    </row>
    <row r="51" spans="1:129" collapsed="1">
      <c r="A51" s="64"/>
      <c r="B51" s="6"/>
      <c r="E51" s="111"/>
      <c r="H51" s="6"/>
      <c r="I51" s="6"/>
      <c r="J51" s="6"/>
      <c r="K51" s="6"/>
      <c r="Q51" s="6"/>
      <c r="R51" s="6"/>
      <c r="S51" s="6"/>
      <c r="T51" s="6"/>
      <c r="U51" s="6"/>
      <c r="X51" s="6"/>
      <c r="Y51" s="6"/>
      <c r="Z51" s="6"/>
      <c r="AA51" s="6"/>
      <c r="AB51" s="111"/>
      <c r="AC51" s="6"/>
      <c r="AD51" s="6"/>
      <c r="AE51" s="6"/>
      <c r="AF51" s="6"/>
      <c r="AG51" s="111"/>
      <c r="BY51" s="64"/>
      <c r="CB51" s="1837"/>
      <c r="CC51" s="1837"/>
      <c r="CD51" s="98"/>
      <c r="CE51" s="98"/>
      <c r="CF51" s="98"/>
      <c r="CG51" s="98"/>
      <c r="CH51" s="98"/>
      <c r="CI51" s="27"/>
      <c r="CJ51" s="27"/>
      <c r="CK51" s="27"/>
      <c r="CL51" s="27"/>
      <c r="CM51" s="27"/>
      <c r="CN51" s="27"/>
      <c r="CO51" s="27"/>
      <c r="CP51" s="27"/>
      <c r="CQ51" s="27"/>
      <c r="CR51" s="27"/>
      <c r="CS51" s="27"/>
      <c r="CT51" s="27"/>
      <c r="CU51" s="27"/>
      <c r="CV51" s="27"/>
      <c r="CW51" s="27"/>
      <c r="CX51" s="27"/>
      <c r="CY51" s="27"/>
      <c r="CZ51" s="27"/>
      <c r="DA51" s="27"/>
      <c r="DB51" s="27"/>
      <c r="DC51" s="27"/>
      <c r="DD51" s="27"/>
      <c r="DE51" s="27"/>
      <c r="DF51" s="27"/>
      <c r="DG51" s="27"/>
      <c r="DH51" s="27"/>
      <c r="DI51" s="27"/>
      <c r="DJ51" s="27"/>
      <c r="DK51" s="27"/>
      <c r="DL51" s="27"/>
      <c r="DM51" s="27"/>
      <c r="DN51" s="27"/>
      <c r="DO51" s="27"/>
      <c r="DP51" s="27"/>
      <c r="DQ51" s="27"/>
      <c r="DR51" s="27"/>
      <c r="DS51" s="27"/>
      <c r="DT51" s="27"/>
      <c r="DU51" s="27"/>
      <c r="DV51" s="27"/>
      <c r="DW51" s="27"/>
      <c r="DX51" s="27"/>
      <c r="DY51" s="27"/>
    </row>
    <row r="52" spans="1:129" s="1418" customFormat="1">
      <c r="A52" s="1447" t="s">
        <v>1056</v>
      </c>
      <c r="B52" s="1417"/>
      <c r="E52" s="1419"/>
      <c r="H52" s="1420"/>
      <c r="I52" s="1420"/>
      <c r="J52" s="1420"/>
      <c r="K52" s="1420"/>
      <c r="L52" s="1421"/>
      <c r="M52" s="1422"/>
      <c r="N52" s="1422"/>
      <c r="O52" s="1422"/>
      <c r="P52" s="1422"/>
      <c r="Q52" s="1420"/>
      <c r="R52" s="1420"/>
      <c r="S52" s="1420"/>
      <c r="T52" s="1420"/>
      <c r="U52" s="1420"/>
      <c r="V52" s="1422"/>
      <c r="W52" s="1423"/>
      <c r="X52" s="1420"/>
      <c r="Y52" s="1420"/>
      <c r="Z52" s="1420"/>
      <c r="AA52" s="1420"/>
      <c r="AB52" s="1424"/>
      <c r="AC52" s="1420"/>
      <c r="AD52" s="1420"/>
      <c r="AE52" s="1420"/>
      <c r="AF52" s="1420"/>
      <c r="AG52" s="1424"/>
      <c r="AK52" s="1425"/>
      <c r="AM52" s="1416"/>
      <c r="AO52" s="1425"/>
      <c r="AS52" s="414"/>
      <c r="AT52" s="1425"/>
      <c r="AU52" s="1425"/>
      <c r="AV52" s="1425"/>
      <c r="AW52" s="1425"/>
      <c r="AX52" s="2855"/>
      <c r="BB52" s="2855"/>
      <c r="BE52" s="1425"/>
      <c r="BQ52" s="3337"/>
      <c r="BX52" s="414"/>
      <c r="BY52" s="2888"/>
      <c r="BZ52" s="1426"/>
      <c r="CA52" s="2855"/>
      <c r="CB52" s="2918"/>
      <c r="CC52" s="2918"/>
      <c r="CD52" s="2918"/>
      <c r="CE52" s="2918"/>
      <c r="CF52" s="2918"/>
      <c r="CG52" s="2918"/>
      <c r="CH52" s="2918"/>
      <c r="CI52" s="1416"/>
      <c r="CJ52" s="1416"/>
      <c r="CK52" s="1416"/>
      <c r="CL52" s="1416"/>
      <c r="CM52" s="1416"/>
      <c r="CN52" s="1416"/>
      <c r="CO52" s="1416"/>
      <c r="CP52" s="1416"/>
      <c r="CQ52" s="1416"/>
      <c r="CR52" s="1416"/>
      <c r="CS52" s="1416"/>
      <c r="CT52" s="1416"/>
      <c r="CU52" s="1416"/>
      <c r="CV52" s="1416"/>
      <c r="CW52" s="1416"/>
      <c r="CX52" s="1416"/>
      <c r="CY52" s="1416"/>
      <c r="CZ52" s="1416"/>
      <c r="DA52" s="1416"/>
      <c r="DB52" s="1416"/>
      <c r="DC52" s="1416"/>
      <c r="DD52" s="1416"/>
      <c r="DE52" s="1416"/>
      <c r="DF52" s="1416"/>
      <c r="DG52" s="1416"/>
      <c r="DH52" s="1416"/>
      <c r="DI52" s="1416"/>
      <c r="DJ52" s="1416"/>
      <c r="DK52" s="1416"/>
      <c r="DL52" s="1416"/>
      <c r="DM52" s="1416"/>
      <c r="DN52" s="1416"/>
      <c r="DO52" s="1416"/>
      <c r="DP52" s="1416"/>
      <c r="DQ52" s="1416"/>
      <c r="DR52" s="1416"/>
      <c r="DS52" s="1416"/>
      <c r="DT52" s="1416"/>
      <c r="DU52" s="1416"/>
      <c r="DV52" s="1416"/>
      <c r="DW52" s="1416"/>
      <c r="DX52" s="1416"/>
      <c r="DY52" s="1416"/>
    </row>
    <row r="53" spans="1:129" s="424" customFormat="1" hidden="1">
      <c r="A53" s="422" t="s">
        <v>1057</v>
      </c>
      <c r="B53" s="424">
        <v>37.6</v>
      </c>
      <c r="C53" s="424">
        <v>52.492252999999998</v>
      </c>
      <c r="D53" s="424">
        <v>71</v>
      </c>
      <c r="E53" s="425">
        <v>97.641999999999996</v>
      </c>
      <c r="F53" s="426" t="s">
        <v>985</v>
      </c>
      <c r="G53" s="426" t="s">
        <v>985</v>
      </c>
      <c r="H53" s="427" t="s">
        <v>985</v>
      </c>
      <c r="I53" s="427"/>
      <c r="J53" s="427"/>
      <c r="K53" s="427"/>
      <c r="L53" s="429"/>
      <c r="M53" s="427"/>
      <c r="N53" s="427"/>
      <c r="O53" s="427"/>
      <c r="P53" s="427"/>
      <c r="Q53" s="427"/>
      <c r="R53" s="427"/>
      <c r="S53" s="427"/>
      <c r="T53" s="427"/>
      <c r="U53" s="427"/>
      <c r="V53" s="427"/>
      <c r="W53" s="428">
        <f>X53/1.11</f>
        <v>1721.7985135135134</v>
      </c>
      <c r="X53" s="427">
        <f>X59*63%</f>
        <v>1911.1963499999999</v>
      </c>
      <c r="Y53" s="427">
        <f>Y59*72%</f>
        <v>2483.2864799999998</v>
      </c>
      <c r="Z53" s="427">
        <f>X53*1.2</f>
        <v>2293.4356199999997</v>
      </c>
      <c r="AA53" s="427">
        <f>AA59*72%</f>
        <v>3435.12</v>
      </c>
      <c r="AB53" s="430">
        <f>AB59*70%</f>
        <v>4034.4394999999995</v>
      </c>
      <c r="AC53" s="427"/>
      <c r="AD53" s="427">
        <f>AD59*70%</f>
        <v>1163.82</v>
      </c>
      <c r="AE53" s="427">
        <f>AE59*72%</f>
        <v>1395.1821599999998</v>
      </c>
      <c r="AF53" s="427">
        <f>AF59*67%</f>
        <v>1138.03989</v>
      </c>
      <c r="AG53" s="430">
        <f>6631*69%</f>
        <v>4575.3899999999994</v>
      </c>
      <c r="AH53" s="424">
        <f>AH59*58%</f>
        <v>1104.29738</v>
      </c>
      <c r="AI53" s="424">
        <f>AI59*61%</f>
        <v>1339.48009</v>
      </c>
      <c r="AJ53" s="424">
        <f>AJ59*63%</f>
        <v>1625.9701500000001</v>
      </c>
      <c r="AK53" s="425">
        <f>AK59*61%</f>
        <v>1276.73</v>
      </c>
      <c r="AL53" s="424">
        <f>AL59*64%-AL58</f>
        <v>1215.96</v>
      </c>
      <c r="AM53" s="424">
        <f>AM59*67%-AM58</f>
        <v>1508.6200000000001</v>
      </c>
      <c r="AN53" s="424">
        <f>AN59*71%-AN58</f>
        <v>1800.8599999999997</v>
      </c>
      <c r="AO53" s="425">
        <f>AO59*68%-AO58</f>
        <v>1383.92</v>
      </c>
      <c r="AP53" s="424">
        <f>AP59*64%-AP58</f>
        <v>1371.1200000000001</v>
      </c>
      <c r="AQ53" s="424">
        <f>AQ59*69%-AQ58</f>
        <v>1690.1999999999998</v>
      </c>
      <c r="AR53" s="424">
        <f>AR62*72%-AR58</f>
        <v>1948.7199999999998</v>
      </c>
      <c r="AT53" s="423"/>
      <c r="AW53" s="425"/>
      <c r="AX53" s="423"/>
      <c r="BB53" s="423"/>
      <c r="BE53" s="425"/>
      <c r="BI53" s="425"/>
      <c r="BM53" s="425"/>
      <c r="BO53" s="425"/>
      <c r="BP53" s="425"/>
      <c r="BQ53" s="3338"/>
      <c r="BS53" s="2059"/>
      <c r="BT53" s="2059"/>
      <c r="BU53" s="2059"/>
      <c r="BV53" s="2059"/>
      <c r="BW53" s="2059"/>
      <c r="BX53" s="2059"/>
      <c r="BY53" s="2889">
        <f>SUM(AH53:AK53)</f>
        <v>5346.4776199999997</v>
      </c>
      <c r="BZ53" s="442">
        <f>SUM(AL53:AO53)</f>
        <v>5909.36</v>
      </c>
      <c r="CA53" s="423"/>
      <c r="CB53" s="98"/>
      <c r="CC53" s="98"/>
      <c r="CD53" s="98"/>
      <c r="CE53" s="98"/>
      <c r="CF53" s="98"/>
      <c r="CG53" s="98"/>
      <c r="CH53" s="98"/>
      <c r="CI53" s="27"/>
      <c r="CJ53" s="27"/>
      <c r="CK53" s="27"/>
      <c r="CL53" s="27"/>
      <c r="CM53" s="27"/>
      <c r="CN53" s="27"/>
      <c r="CO53" s="27"/>
      <c r="CP53" s="27"/>
      <c r="CQ53" s="27"/>
      <c r="CR53" s="27"/>
      <c r="CS53" s="27"/>
      <c r="CT53" s="27"/>
      <c r="CU53" s="27"/>
      <c r="CV53" s="27"/>
      <c r="CW53" s="27"/>
      <c r="CX53" s="27"/>
      <c r="CY53" s="27"/>
      <c r="CZ53" s="27"/>
      <c r="DA53" s="27"/>
      <c r="DB53" s="27"/>
      <c r="DC53" s="27"/>
      <c r="DD53" s="27"/>
      <c r="DE53" s="27"/>
      <c r="DF53" s="27"/>
      <c r="DG53" s="27"/>
      <c r="DH53" s="27"/>
      <c r="DI53" s="27"/>
      <c r="DJ53" s="27"/>
      <c r="DK53" s="27"/>
      <c r="DL53" s="27"/>
      <c r="DM53" s="27"/>
      <c r="DN53" s="27"/>
      <c r="DO53" s="27"/>
      <c r="DP53" s="27"/>
      <c r="DQ53" s="27"/>
      <c r="DR53" s="27"/>
      <c r="DS53" s="27"/>
      <c r="DT53" s="27"/>
      <c r="DU53" s="27"/>
      <c r="DV53" s="27"/>
      <c r="DW53" s="27"/>
      <c r="DX53" s="27"/>
      <c r="DY53" s="27"/>
    </row>
    <row r="54" spans="1:129" s="424" customFormat="1" hidden="1">
      <c r="A54" s="422" t="s">
        <v>48</v>
      </c>
      <c r="B54" s="424">
        <v>14.06</v>
      </c>
      <c r="C54" s="424">
        <v>18.650310000000001</v>
      </c>
      <c r="D54" s="424">
        <v>20</v>
      </c>
      <c r="E54" s="425">
        <v>19.864000000000001</v>
      </c>
      <c r="F54" s="424">
        <v>19.225095</v>
      </c>
      <c r="G54" s="424">
        <v>32.119487999999997</v>
      </c>
      <c r="H54" s="427">
        <v>47.622718999999996</v>
      </c>
      <c r="I54" s="427">
        <v>76.190303</v>
      </c>
      <c r="J54" s="427"/>
      <c r="K54" s="427"/>
      <c r="L54" s="433"/>
      <c r="M54" s="427"/>
      <c r="N54" s="427"/>
      <c r="O54" s="427"/>
      <c r="P54" s="427"/>
      <c r="Q54" s="427"/>
      <c r="R54" s="427"/>
      <c r="S54" s="427"/>
      <c r="T54" s="427"/>
      <c r="U54" s="427"/>
      <c r="V54" s="427"/>
      <c r="W54" s="428">
        <f>X54/1.12</f>
        <v>325.03339285714281</v>
      </c>
      <c r="X54" s="427">
        <f>X59*12%</f>
        <v>364.03739999999999</v>
      </c>
      <c r="Y54" s="427">
        <f>Y59*11%</f>
        <v>379.39098999999999</v>
      </c>
      <c r="Z54" s="427">
        <f>X54*0.92</f>
        <v>334.91440799999998</v>
      </c>
      <c r="AA54" s="427">
        <f>AA59*8%</f>
        <v>381.68</v>
      </c>
      <c r="AB54" s="430">
        <f>AB59*8%</f>
        <v>461.0788</v>
      </c>
      <c r="AC54" s="427"/>
      <c r="AD54" s="427">
        <f>AD59*8%</f>
        <v>133.00799999999998</v>
      </c>
      <c r="AE54" s="427">
        <f>AE59*7%</f>
        <v>135.64270999999999</v>
      </c>
      <c r="AF54" s="427">
        <f>AF59*10%</f>
        <v>169.85670000000002</v>
      </c>
      <c r="AG54" s="430">
        <f>6631*0.08</f>
        <v>530.48</v>
      </c>
      <c r="AH54" s="424">
        <f>AH59*11%</f>
        <v>209.43571</v>
      </c>
      <c r="AI54" s="424">
        <f>AI59*9%</f>
        <v>197.62821</v>
      </c>
      <c r="AJ54" s="424">
        <f>AJ59*8%</f>
        <v>206.47240000000002</v>
      </c>
      <c r="AK54" s="425">
        <f>AK59*0.08</f>
        <v>167.44</v>
      </c>
      <c r="AL54" s="424">
        <f>AL59*0.1</f>
        <v>218.9</v>
      </c>
      <c r="AM54" s="424">
        <f>AM59*8%</f>
        <v>206.88</v>
      </c>
      <c r="AN54" s="424">
        <f>AN59*6%</f>
        <v>177.95999999999998</v>
      </c>
      <c r="AO54" s="425">
        <f>AO59*8%</f>
        <v>185.52</v>
      </c>
      <c r="AP54" s="424">
        <f>AP59*0.1</f>
        <v>250.8</v>
      </c>
      <c r="AQ54" s="424">
        <f>AQ59*0.08</f>
        <v>230.4</v>
      </c>
      <c r="AR54" s="424">
        <f>AR59*6%</f>
        <v>196.56</v>
      </c>
      <c r="AT54" s="423"/>
      <c r="AW54" s="425"/>
      <c r="AX54" s="423"/>
      <c r="BB54" s="423"/>
      <c r="BE54" s="425"/>
      <c r="BI54" s="425"/>
      <c r="BM54" s="425"/>
      <c r="BO54" s="425"/>
      <c r="BP54" s="425"/>
      <c r="BQ54" s="3338"/>
      <c r="BS54" s="2059"/>
      <c r="BT54" s="2059"/>
      <c r="BU54" s="2059"/>
      <c r="BV54" s="2059"/>
      <c r="BW54" s="2059"/>
      <c r="BX54" s="2059"/>
      <c r="BY54" s="2889">
        <f>SUM(AH54:AK54)</f>
        <v>780.97631999999999</v>
      </c>
      <c r="BZ54" s="442">
        <f>SUM(AL54:AO54)</f>
        <v>789.26</v>
      </c>
      <c r="CA54" s="423"/>
      <c r="CB54" s="98"/>
      <c r="CC54" s="98"/>
      <c r="CD54" s="98"/>
      <c r="CE54" s="98"/>
      <c r="CF54" s="98"/>
      <c r="CG54" s="98"/>
      <c r="CH54" s="98"/>
      <c r="CI54" s="27"/>
      <c r="CJ54" s="27"/>
      <c r="CK54" s="27"/>
      <c r="CL54" s="27"/>
      <c r="CM54" s="27"/>
      <c r="CN54" s="27"/>
      <c r="CO54" s="27"/>
      <c r="CP54" s="27"/>
      <c r="CQ54" s="27"/>
      <c r="CR54" s="27"/>
      <c r="CS54" s="27"/>
      <c r="CT54" s="27"/>
      <c r="CU54" s="27"/>
      <c r="CV54" s="27"/>
      <c r="CW54" s="27"/>
      <c r="CX54" s="27"/>
      <c r="CY54" s="27"/>
      <c r="CZ54" s="27"/>
      <c r="DA54" s="27"/>
      <c r="DB54" s="27"/>
      <c r="DC54" s="27"/>
      <c r="DD54" s="27"/>
      <c r="DE54" s="27"/>
      <c r="DF54" s="27"/>
      <c r="DG54" s="27"/>
      <c r="DH54" s="27"/>
      <c r="DI54" s="27"/>
      <c r="DJ54" s="27"/>
      <c r="DK54" s="27"/>
      <c r="DL54" s="27"/>
      <c r="DM54" s="27"/>
      <c r="DN54" s="27"/>
      <c r="DO54" s="27"/>
      <c r="DP54" s="27"/>
      <c r="DQ54" s="27"/>
      <c r="DR54" s="27"/>
      <c r="DS54" s="27"/>
      <c r="DT54" s="27"/>
      <c r="DU54" s="27"/>
      <c r="DV54" s="27"/>
      <c r="DW54" s="27"/>
      <c r="DX54" s="27"/>
      <c r="DY54" s="27"/>
    </row>
    <row r="55" spans="1:129" s="424" customFormat="1" hidden="1">
      <c r="A55" s="422" t="s">
        <v>1012</v>
      </c>
      <c r="B55" s="426" t="s">
        <v>156</v>
      </c>
      <c r="C55" s="426" t="s">
        <v>156</v>
      </c>
      <c r="D55" s="426" t="s">
        <v>156</v>
      </c>
      <c r="E55" s="432"/>
      <c r="F55" s="424">
        <v>48.622765000000001</v>
      </c>
      <c r="G55" s="424">
        <v>50.287896000000003</v>
      </c>
      <c r="H55" s="427">
        <v>74.557975999999996</v>
      </c>
      <c r="I55" s="427">
        <v>116.701137</v>
      </c>
      <c r="J55" s="427"/>
      <c r="K55" s="427"/>
      <c r="L55" s="433"/>
      <c r="M55" s="427"/>
      <c r="N55" s="427"/>
      <c r="O55" s="427"/>
      <c r="P55" s="427"/>
      <c r="Q55" s="427"/>
      <c r="R55" s="427"/>
      <c r="S55" s="427"/>
      <c r="T55" s="427"/>
      <c r="U55" s="427"/>
      <c r="V55" s="427"/>
      <c r="W55" s="428" t="s">
        <v>156</v>
      </c>
      <c r="X55" s="426" t="s">
        <v>156</v>
      </c>
      <c r="Y55" s="426" t="s">
        <v>156</v>
      </c>
      <c r="Z55" s="426" t="s">
        <v>156</v>
      </c>
      <c r="AA55" s="426" t="s">
        <v>156</v>
      </c>
      <c r="AB55" s="432" t="s">
        <v>156</v>
      </c>
      <c r="AC55" s="426"/>
      <c r="AD55" s="426" t="s">
        <v>156</v>
      </c>
      <c r="AE55" s="426" t="s">
        <v>156</v>
      </c>
      <c r="AF55" s="426" t="s">
        <v>156</v>
      </c>
      <c r="AG55" s="432" t="s">
        <v>156</v>
      </c>
      <c r="AH55" s="426" t="s">
        <v>156</v>
      </c>
      <c r="AK55" s="425"/>
      <c r="AO55" s="425"/>
      <c r="AT55" s="423"/>
      <c r="AW55" s="425"/>
      <c r="AX55" s="423"/>
      <c r="BB55" s="423"/>
      <c r="BE55" s="425"/>
      <c r="BI55" s="425"/>
      <c r="BM55" s="425"/>
      <c r="BO55" s="425"/>
      <c r="BP55" s="425"/>
      <c r="BQ55" s="3338"/>
      <c r="BS55" s="2059"/>
      <c r="BT55" s="2059"/>
      <c r="BU55" s="2059"/>
      <c r="BV55" s="2059"/>
      <c r="BW55" s="2059"/>
      <c r="BX55" s="2059"/>
      <c r="BY55" s="453"/>
      <c r="BZ55" s="442"/>
      <c r="CA55" s="423"/>
      <c r="CB55" s="98"/>
      <c r="CC55" s="98"/>
      <c r="CD55" s="98"/>
      <c r="CE55" s="98"/>
      <c r="CF55" s="98"/>
      <c r="CG55" s="98"/>
      <c r="CH55" s="98"/>
      <c r="CI55" s="27"/>
      <c r="CJ55" s="27"/>
      <c r="CK55" s="27"/>
      <c r="CL55" s="27"/>
      <c r="CM55" s="27"/>
      <c r="CN55" s="27"/>
      <c r="CO55" s="27"/>
      <c r="CP55" s="27"/>
      <c r="CQ55" s="27"/>
      <c r="CR55" s="27"/>
      <c r="CS55" s="27"/>
      <c r="CT55" s="27"/>
      <c r="CU55" s="27"/>
      <c r="CV55" s="27"/>
      <c r="CW55" s="27"/>
      <c r="CX55" s="27"/>
      <c r="CY55" s="27"/>
      <c r="CZ55" s="27"/>
      <c r="DA55" s="27"/>
      <c r="DB55" s="27"/>
      <c r="DC55" s="27"/>
      <c r="DD55" s="27"/>
      <c r="DE55" s="27"/>
      <c r="DF55" s="27"/>
      <c r="DG55" s="27"/>
      <c r="DH55" s="27"/>
      <c r="DI55" s="27"/>
      <c r="DJ55" s="27"/>
      <c r="DK55" s="27"/>
      <c r="DL55" s="27"/>
      <c r="DM55" s="27"/>
      <c r="DN55" s="27"/>
      <c r="DO55" s="27"/>
      <c r="DP55" s="27"/>
      <c r="DQ55" s="27"/>
      <c r="DR55" s="27"/>
      <c r="DS55" s="27"/>
      <c r="DT55" s="27"/>
      <c r="DU55" s="27"/>
      <c r="DV55" s="27"/>
      <c r="DW55" s="27"/>
      <c r="DX55" s="27"/>
      <c r="DY55" s="27"/>
    </row>
    <row r="56" spans="1:129" s="424" customFormat="1" hidden="1">
      <c r="A56" s="422" t="s">
        <v>1013</v>
      </c>
      <c r="B56" s="426" t="s">
        <v>156</v>
      </c>
      <c r="C56" s="426" t="s">
        <v>156</v>
      </c>
      <c r="D56" s="426" t="s">
        <v>156</v>
      </c>
      <c r="E56" s="432"/>
      <c r="F56" s="426" t="s">
        <v>156</v>
      </c>
      <c r="G56" s="426" t="s">
        <v>156</v>
      </c>
      <c r="H56" s="427" t="s">
        <v>156</v>
      </c>
      <c r="I56" s="427"/>
      <c r="J56" s="427"/>
      <c r="K56" s="427"/>
      <c r="L56" s="429"/>
      <c r="M56" s="427"/>
      <c r="N56" s="427"/>
      <c r="O56" s="427"/>
      <c r="P56" s="427"/>
      <c r="Q56" s="427"/>
      <c r="R56" s="427"/>
      <c r="S56" s="427"/>
      <c r="T56" s="427"/>
      <c r="U56" s="427"/>
      <c r="V56" s="427"/>
      <c r="W56" s="428" t="s">
        <v>156</v>
      </c>
      <c r="X56" s="426" t="s">
        <v>156</v>
      </c>
      <c r="Y56" s="426" t="s">
        <v>156</v>
      </c>
      <c r="Z56" s="426" t="s">
        <v>156</v>
      </c>
      <c r="AA56" s="426" t="s">
        <v>156</v>
      </c>
      <c r="AB56" s="432" t="s">
        <v>156</v>
      </c>
      <c r="AC56" s="426"/>
      <c r="AD56" s="426" t="s">
        <v>156</v>
      </c>
      <c r="AE56" s="426" t="s">
        <v>156</v>
      </c>
      <c r="AF56" s="426" t="s">
        <v>156</v>
      </c>
      <c r="AG56" s="432" t="s">
        <v>156</v>
      </c>
      <c r="AH56" s="426" t="s">
        <v>156</v>
      </c>
      <c r="AK56" s="425"/>
      <c r="AO56" s="425"/>
      <c r="AT56" s="423"/>
      <c r="AW56" s="425"/>
      <c r="AX56" s="423"/>
      <c r="BB56" s="423"/>
      <c r="BE56" s="425"/>
      <c r="BI56" s="425"/>
      <c r="BM56" s="425"/>
      <c r="BO56" s="425"/>
      <c r="BP56" s="425"/>
      <c r="BQ56" s="3338"/>
      <c r="BS56" s="2059"/>
      <c r="BT56" s="2059"/>
      <c r="BU56" s="2059"/>
      <c r="BV56" s="2059"/>
      <c r="BW56" s="2059"/>
      <c r="BX56" s="2059"/>
      <c r="BY56" s="453"/>
      <c r="BZ56" s="442"/>
      <c r="CA56" s="423"/>
      <c r="CB56" s="98"/>
      <c r="CC56" s="98"/>
      <c r="CD56" s="98"/>
      <c r="CE56" s="98"/>
      <c r="CF56" s="98"/>
      <c r="CG56" s="98"/>
      <c r="CH56" s="98"/>
      <c r="CI56" s="27"/>
      <c r="CJ56" s="27"/>
      <c r="CK56" s="27"/>
      <c r="CL56" s="27"/>
      <c r="CM56" s="27"/>
      <c r="CN56" s="27"/>
      <c r="CO56" s="27"/>
      <c r="CP56" s="27"/>
      <c r="CQ56" s="27"/>
      <c r="CR56" s="27"/>
      <c r="CS56" s="27"/>
      <c r="CT56" s="27"/>
      <c r="CU56" s="27"/>
      <c r="CV56" s="27"/>
      <c r="CW56" s="27"/>
      <c r="CX56" s="27"/>
      <c r="CY56" s="27"/>
      <c r="CZ56" s="27"/>
      <c r="DA56" s="27"/>
      <c r="DB56" s="27"/>
      <c r="DC56" s="27"/>
      <c r="DD56" s="27"/>
      <c r="DE56" s="27"/>
      <c r="DF56" s="27"/>
      <c r="DG56" s="27"/>
      <c r="DH56" s="27"/>
      <c r="DI56" s="27"/>
      <c r="DJ56" s="27"/>
      <c r="DK56" s="27"/>
      <c r="DL56" s="27"/>
      <c r="DM56" s="27"/>
      <c r="DN56" s="27"/>
      <c r="DO56" s="27"/>
      <c r="DP56" s="27"/>
      <c r="DQ56" s="27"/>
      <c r="DR56" s="27"/>
      <c r="DS56" s="27"/>
      <c r="DT56" s="27"/>
      <c r="DU56" s="27"/>
      <c r="DV56" s="27"/>
      <c r="DW56" s="27"/>
      <c r="DX56" s="27"/>
      <c r="DY56" s="27"/>
    </row>
    <row r="57" spans="1:129" s="424" customFormat="1" hidden="1">
      <c r="A57" s="422" t="s">
        <v>669</v>
      </c>
      <c r="B57" s="424">
        <v>3.9</v>
      </c>
      <c r="C57" s="424">
        <v>6.4360099999999996</v>
      </c>
      <c r="D57" s="424">
        <v>8</v>
      </c>
      <c r="E57" s="425">
        <v>10.455</v>
      </c>
      <c r="F57" s="424">
        <v>0.70384100000000005</v>
      </c>
      <c r="G57" s="424">
        <v>1.152822</v>
      </c>
      <c r="H57" s="427">
        <v>2.540692</v>
      </c>
      <c r="I57" s="427">
        <v>3.7078180000000001</v>
      </c>
      <c r="J57" s="427"/>
      <c r="K57" s="427"/>
      <c r="L57" s="433"/>
      <c r="M57" s="427"/>
      <c r="N57" s="427"/>
      <c r="O57" s="427"/>
      <c r="P57" s="427"/>
      <c r="Q57" s="427"/>
      <c r="R57" s="427"/>
      <c r="S57" s="427"/>
      <c r="T57" s="427"/>
      <c r="U57" s="427"/>
      <c r="V57" s="427"/>
      <c r="W57" s="428">
        <f>X57/1.36</f>
        <v>579.96154411764701</v>
      </c>
      <c r="X57" s="427">
        <f>X59*26%</f>
        <v>788.74770000000001</v>
      </c>
      <c r="Y57" s="427">
        <f>Y59*17%</f>
        <v>586.33153000000004</v>
      </c>
      <c r="Z57" s="427">
        <f>X57*1.2</f>
        <v>946.49723999999992</v>
      </c>
      <c r="AA57" s="427">
        <f>AA59*20%</f>
        <v>954.2</v>
      </c>
      <c r="AB57" s="430">
        <f>AB59*22%</f>
        <v>1267.9666999999999</v>
      </c>
      <c r="AC57" s="427"/>
      <c r="AD57" s="427">
        <f>AD59*22%</f>
        <v>365.77199999999999</v>
      </c>
      <c r="AE57" s="427">
        <f>AE59*21%</f>
        <v>406.92812999999995</v>
      </c>
      <c r="AF57" s="427">
        <f>AF59*23%</f>
        <v>390.67041</v>
      </c>
      <c r="AG57" s="430">
        <f>6631*23%</f>
        <v>1525.13</v>
      </c>
      <c r="AH57" s="424">
        <f>AH59-SUM(AH53:AH54)</f>
        <v>590.22791000000007</v>
      </c>
      <c r="AI57" s="424">
        <f>AI59-SUM(AI53:AI54)</f>
        <v>658.76070000000004</v>
      </c>
      <c r="AJ57" s="424">
        <f>AJ59*21%</f>
        <v>541.99005</v>
      </c>
      <c r="AK57" s="425">
        <f>AK59*0.23</f>
        <v>481.39000000000004</v>
      </c>
      <c r="AL57" s="424">
        <f>AL59*0.26</f>
        <v>569.14</v>
      </c>
      <c r="AM57" s="424">
        <f>AM59*13%</f>
        <v>336.18</v>
      </c>
      <c r="AN57" s="424">
        <f>AN59*13%</f>
        <v>385.58000000000004</v>
      </c>
      <c r="AO57" s="425">
        <f>AO59*13%</f>
        <v>301.47000000000003</v>
      </c>
      <c r="AP57" s="424">
        <f>AP59*0.15</f>
        <v>376.2</v>
      </c>
      <c r="AQ57" s="424">
        <f>AQ59*0.13</f>
        <v>374.40000000000003</v>
      </c>
      <c r="AR57" s="424">
        <f>AR59*13%</f>
        <v>425.88</v>
      </c>
      <c r="AT57" s="423"/>
      <c r="AW57" s="425"/>
      <c r="AX57" s="423"/>
      <c r="BB57" s="423"/>
      <c r="BE57" s="425"/>
      <c r="BI57" s="425"/>
      <c r="BM57" s="425"/>
      <c r="BO57" s="425"/>
      <c r="BP57" s="425"/>
      <c r="BQ57" s="3338"/>
      <c r="BS57" s="2059"/>
      <c r="BT57" s="2059"/>
      <c r="BU57" s="2059"/>
      <c r="BV57" s="2059"/>
      <c r="BW57" s="2059"/>
      <c r="BX57" s="2059"/>
      <c r="BY57" s="2889">
        <f>SUM(AH57:AK57)</f>
        <v>2272.3686600000001</v>
      </c>
      <c r="BZ57" s="442">
        <f>SUM(AL57:AO57)</f>
        <v>1592.3700000000001</v>
      </c>
      <c r="CA57" s="423"/>
      <c r="CB57" s="98"/>
      <c r="CC57" s="98"/>
      <c r="CD57" s="98"/>
      <c r="CE57" s="98"/>
      <c r="CF57" s="98"/>
      <c r="CG57" s="98"/>
      <c r="CH57" s="98"/>
      <c r="CI57" s="27"/>
      <c r="CJ57" s="27"/>
      <c r="CK57" s="27"/>
      <c r="CL57" s="27"/>
      <c r="CM57" s="27"/>
      <c r="CN57" s="27"/>
      <c r="CO57" s="27"/>
      <c r="CP57" s="27"/>
      <c r="CQ57" s="27"/>
      <c r="CR57" s="27"/>
      <c r="CS57" s="27"/>
      <c r="CT57" s="27"/>
      <c r="CU57" s="27"/>
      <c r="CV57" s="27"/>
      <c r="CW57" s="27"/>
      <c r="CX57" s="27"/>
      <c r="CY57" s="27"/>
      <c r="CZ57" s="27"/>
      <c r="DA57" s="27"/>
      <c r="DB57" s="27"/>
      <c r="DC57" s="27"/>
      <c r="DD57" s="27"/>
      <c r="DE57" s="27"/>
      <c r="DF57" s="27"/>
      <c r="DG57" s="27"/>
      <c r="DH57" s="27"/>
      <c r="DI57" s="27"/>
      <c r="DJ57" s="27"/>
      <c r="DK57" s="27"/>
      <c r="DL57" s="27"/>
      <c r="DM57" s="27"/>
      <c r="DN57" s="27"/>
      <c r="DO57" s="27"/>
      <c r="DP57" s="27"/>
      <c r="DQ57" s="27"/>
      <c r="DR57" s="27"/>
      <c r="DS57" s="27"/>
      <c r="DT57" s="27"/>
      <c r="DU57" s="27"/>
      <c r="DV57" s="27"/>
      <c r="DW57" s="27"/>
      <c r="DX57" s="27"/>
      <c r="DY57" s="27"/>
    </row>
    <row r="58" spans="1:129" s="424" customFormat="1" hidden="1">
      <c r="A58" s="422" t="s">
        <v>1058</v>
      </c>
      <c r="E58" s="425"/>
      <c r="H58" s="427"/>
      <c r="I58" s="427"/>
      <c r="J58" s="427"/>
      <c r="K58" s="427"/>
      <c r="L58" s="433"/>
      <c r="M58" s="427"/>
      <c r="N58" s="427"/>
      <c r="O58" s="427"/>
      <c r="P58" s="427"/>
      <c r="Q58" s="427"/>
      <c r="R58" s="427"/>
      <c r="S58" s="427"/>
      <c r="T58" s="427"/>
      <c r="U58" s="427"/>
      <c r="V58" s="427"/>
      <c r="W58" s="428"/>
      <c r="X58" s="427"/>
      <c r="Y58" s="427"/>
      <c r="Z58" s="427"/>
      <c r="AA58" s="427"/>
      <c r="AB58" s="430"/>
      <c r="AC58" s="427"/>
      <c r="AD58" s="427"/>
      <c r="AE58" s="427"/>
      <c r="AF58" s="427"/>
      <c r="AG58" s="430"/>
      <c r="AJ58" s="424">
        <f>AJ59*8%</f>
        <v>206.47240000000002</v>
      </c>
      <c r="AK58" s="425">
        <f>AK59*0.08</f>
        <v>167.44</v>
      </c>
      <c r="AL58" s="424">
        <v>185</v>
      </c>
      <c r="AM58" s="424">
        <v>224</v>
      </c>
      <c r="AN58" s="424">
        <v>305</v>
      </c>
      <c r="AO58" s="425">
        <v>193</v>
      </c>
      <c r="AP58" s="424">
        <v>234</v>
      </c>
      <c r="AQ58" s="424">
        <v>297</v>
      </c>
      <c r="AR58" s="424">
        <v>410</v>
      </c>
      <c r="AT58" s="423"/>
      <c r="AW58" s="425"/>
      <c r="AX58" s="423"/>
      <c r="BB58" s="423"/>
      <c r="BE58" s="425"/>
      <c r="BI58" s="425"/>
      <c r="BM58" s="425"/>
      <c r="BO58" s="425"/>
      <c r="BP58" s="425"/>
      <c r="BQ58" s="3338"/>
      <c r="BS58" s="2059"/>
      <c r="BT58" s="2059"/>
      <c r="BU58" s="2059"/>
      <c r="BV58" s="2059"/>
      <c r="BW58" s="2059"/>
      <c r="BX58" s="2059"/>
      <c r="BY58" s="2889">
        <f>SUM(AH58:AK58)</f>
        <v>373.91240000000005</v>
      </c>
      <c r="BZ58" s="442">
        <f>SUM(AL58:AO58)</f>
        <v>907</v>
      </c>
      <c r="CA58" s="423"/>
      <c r="CB58" s="98"/>
      <c r="CC58" s="98"/>
      <c r="CD58" s="98"/>
      <c r="CE58" s="98"/>
      <c r="CF58" s="98"/>
      <c r="CG58" s="98"/>
      <c r="CH58" s="98"/>
      <c r="CI58" s="27"/>
      <c r="CJ58" s="27"/>
      <c r="CK58" s="27"/>
      <c r="CL58" s="27"/>
      <c r="CM58" s="27"/>
      <c r="CN58" s="27"/>
      <c r="CO58" s="27"/>
      <c r="CP58" s="27"/>
      <c r="CQ58" s="27"/>
      <c r="CR58" s="27"/>
      <c r="CS58" s="27"/>
      <c r="CT58" s="27"/>
      <c r="CU58" s="27"/>
      <c r="CV58" s="27"/>
      <c r="CW58" s="27"/>
      <c r="CX58" s="27"/>
      <c r="CY58" s="27"/>
      <c r="CZ58" s="27"/>
      <c r="DA58" s="27"/>
      <c r="DB58" s="27"/>
      <c r="DC58" s="27"/>
      <c r="DD58" s="27"/>
      <c r="DE58" s="27"/>
      <c r="DF58" s="27"/>
      <c r="DG58" s="27"/>
      <c r="DH58" s="27"/>
      <c r="DI58" s="27"/>
      <c r="DJ58" s="27"/>
      <c r="DK58" s="27"/>
      <c r="DL58" s="27"/>
      <c r="DM58" s="27"/>
      <c r="DN58" s="27"/>
      <c r="DO58" s="27"/>
      <c r="DP58" s="27"/>
      <c r="DQ58" s="27"/>
      <c r="DR58" s="27"/>
      <c r="DS58" s="27"/>
      <c r="DT58" s="27"/>
      <c r="DU58" s="27"/>
      <c r="DV58" s="27"/>
      <c r="DW58" s="27"/>
      <c r="DX58" s="27"/>
      <c r="DY58" s="27"/>
    </row>
    <row r="59" spans="1:129" s="1787" customFormat="1">
      <c r="A59" s="435" t="s">
        <v>1390</v>
      </c>
      <c r="B59" s="1787">
        <f t="shared" ref="B59:H59" si="41">SUM(B53:B57)</f>
        <v>55.56</v>
      </c>
      <c r="C59" s="1787">
        <f t="shared" si="41"/>
        <v>77.578572999999992</v>
      </c>
      <c r="D59" s="1787">
        <f t="shared" si="41"/>
        <v>99</v>
      </c>
      <c r="E59" s="1788">
        <v>127.961</v>
      </c>
      <c r="F59" s="1787">
        <f t="shared" si="41"/>
        <v>68.551700999999994</v>
      </c>
      <c r="G59" s="1787">
        <f t="shared" si="41"/>
        <v>83.560206000000008</v>
      </c>
      <c r="H59" s="1786">
        <f t="shared" si="41"/>
        <v>124.72138699999999</v>
      </c>
      <c r="I59" s="1786">
        <f>SUM(I54:I57)</f>
        <v>196.59925799999999</v>
      </c>
      <c r="J59" s="1786">
        <v>228.8219</v>
      </c>
      <c r="K59" s="1786"/>
      <c r="L59" s="1869"/>
      <c r="M59" s="1786"/>
      <c r="N59" s="1786"/>
      <c r="O59" s="1786"/>
      <c r="P59" s="1786"/>
      <c r="Q59" s="1786">
        <v>2339.8130000000001</v>
      </c>
      <c r="R59" s="1786">
        <v>1843.0129999999999</v>
      </c>
      <c r="S59" s="1786">
        <v>2119.4549999999999</v>
      </c>
      <c r="T59" s="1786">
        <v>2237.5859999999998</v>
      </c>
      <c r="U59" s="1786">
        <v>2665.3319999999999</v>
      </c>
      <c r="V59" s="1786">
        <v>2937.0129999999999</v>
      </c>
      <c r="W59" s="1870">
        <v>2955.4259999999999</v>
      </c>
      <c r="X59" s="1786">
        <v>3033.645</v>
      </c>
      <c r="Y59" s="1786">
        <v>3449.009</v>
      </c>
      <c r="Z59" s="1786">
        <v>4030.3470000000002</v>
      </c>
      <c r="AA59" s="1786">
        <v>4771</v>
      </c>
      <c r="AB59" s="1871">
        <v>5763.4849999999997</v>
      </c>
      <c r="AC59" s="1786">
        <v>1373.3969999999999</v>
      </c>
      <c r="AD59" s="1786">
        <v>1662.6</v>
      </c>
      <c r="AE59" s="1786">
        <v>1937.7529999999999</v>
      </c>
      <c r="AF59" s="1786">
        <v>1698.567</v>
      </c>
      <c r="AG59" s="1871">
        <v>6631</v>
      </c>
      <c r="AH59" s="1787">
        <v>1903.961</v>
      </c>
      <c r="AI59" s="1787">
        <v>2195.8690000000001</v>
      </c>
      <c r="AJ59" s="1787">
        <v>2580.9050000000002</v>
      </c>
      <c r="AK59" s="1788">
        <v>2093</v>
      </c>
      <c r="AL59" s="1787">
        <v>2189</v>
      </c>
      <c r="AM59" s="1787">
        <v>2586</v>
      </c>
      <c r="AN59" s="1787">
        <v>2966</v>
      </c>
      <c r="AO59" s="1788">
        <v>2319</v>
      </c>
      <c r="AP59" s="1787">
        <v>2508</v>
      </c>
      <c r="AQ59" s="1787">
        <v>2880</v>
      </c>
      <c r="AR59" s="1787">
        <v>3276</v>
      </c>
      <c r="AS59" s="1921">
        <v>2559</v>
      </c>
      <c r="AT59" s="2839">
        <v>2609</v>
      </c>
      <c r="AU59" s="1921">
        <v>3153</v>
      </c>
      <c r="AV59" s="1921">
        <v>3558</v>
      </c>
      <c r="AW59" s="1788">
        <v>2747</v>
      </c>
      <c r="AX59" s="2839">
        <v>2209</v>
      </c>
      <c r="AY59" s="1921">
        <v>566</v>
      </c>
      <c r="AZ59" s="1921">
        <v>1504</v>
      </c>
      <c r="BA59" s="1921">
        <v>920</v>
      </c>
      <c r="BB59" s="2839">
        <v>1246</v>
      </c>
      <c r="BC59" s="1921">
        <v>2111</v>
      </c>
      <c r="BD59" s="1921">
        <v>2962</v>
      </c>
      <c r="BE59" s="1788">
        <v>2279</v>
      </c>
      <c r="BF59" s="1921">
        <v>2249</v>
      </c>
      <c r="BG59" s="1921">
        <v>3181</v>
      </c>
      <c r="BH59" s="1921">
        <v>3619</v>
      </c>
      <c r="BI59" s="1788">
        <v>2618</v>
      </c>
      <c r="BJ59" s="1921">
        <v>2665</v>
      </c>
      <c r="BK59" s="1921">
        <v>3358</v>
      </c>
      <c r="BL59" s="1921">
        <v>3929</v>
      </c>
      <c r="BM59" s="1788">
        <v>2887</v>
      </c>
      <c r="BN59" s="1921">
        <v>2889</v>
      </c>
      <c r="BO59" s="1788">
        <v>3558</v>
      </c>
      <c r="BP59" s="1788">
        <v>4060</v>
      </c>
      <c r="BQ59" s="3339">
        <v>3184</v>
      </c>
      <c r="BR59" s="1921">
        <v>2988</v>
      </c>
      <c r="BS59" s="2060">
        <v>3786</v>
      </c>
      <c r="BT59" s="2060">
        <v>4412</v>
      </c>
      <c r="BU59" s="2060">
        <v>3547</v>
      </c>
      <c r="BV59" s="2060">
        <v>3426</v>
      </c>
      <c r="BW59" s="2060">
        <v>4315</v>
      </c>
      <c r="BX59" s="2060"/>
      <c r="BY59" s="2881">
        <f>SUM(AH59:AK59)</f>
        <v>8773.7350000000006</v>
      </c>
      <c r="BZ59" s="1789">
        <f>SUM(AL59:AO59)</f>
        <v>10060</v>
      </c>
      <c r="CA59" s="1837">
        <f>SUM(AP59:AS59)</f>
        <v>11223</v>
      </c>
      <c r="CB59" s="2919">
        <v>12067</v>
      </c>
      <c r="CC59" s="2919">
        <v>5199</v>
      </c>
      <c r="CD59" s="2919">
        <v>8598</v>
      </c>
      <c r="CE59" s="2934">
        <f>SUM(BF59:BI59)</f>
        <v>11667</v>
      </c>
      <c r="CF59" s="2934">
        <v>12839</v>
      </c>
      <c r="CG59" s="2934">
        <v>13691</v>
      </c>
      <c r="CH59" s="2934">
        <v>14733</v>
      </c>
      <c r="CI59" s="1839"/>
      <c r="CJ59" s="1839"/>
      <c r="CK59" s="1839"/>
      <c r="CL59" s="1839"/>
      <c r="CM59" s="1839"/>
      <c r="CN59" s="1839"/>
      <c r="CO59" s="1839"/>
      <c r="CP59" s="1839"/>
      <c r="CQ59" s="1839"/>
      <c r="CR59" s="1839"/>
      <c r="CS59" s="1839"/>
      <c r="CT59" s="1839"/>
      <c r="CU59" s="1839"/>
      <c r="CV59" s="1839"/>
      <c r="CW59" s="1839"/>
      <c r="CX59" s="1839"/>
      <c r="CY59" s="1839"/>
      <c r="CZ59" s="1839"/>
      <c r="DA59" s="1839"/>
      <c r="DB59" s="1839"/>
      <c r="DC59" s="1839"/>
      <c r="DD59" s="1839"/>
      <c r="DE59" s="1839"/>
      <c r="DF59" s="1839"/>
      <c r="DG59" s="1839"/>
      <c r="DH59" s="1839"/>
      <c r="DI59" s="1839"/>
      <c r="DJ59" s="1839"/>
      <c r="DK59" s="1839"/>
      <c r="DL59" s="1839"/>
      <c r="DM59" s="1839"/>
      <c r="DN59" s="1839"/>
      <c r="DO59" s="1839"/>
      <c r="DP59" s="1839"/>
      <c r="DQ59" s="1839"/>
      <c r="DR59" s="1839"/>
      <c r="DS59" s="1839"/>
      <c r="DT59" s="1839"/>
      <c r="DU59" s="1839"/>
      <c r="DV59" s="1839"/>
      <c r="DW59" s="1839"/>
      <c r="DX59" s="1839"/>
      <c r="DY59" s="1839"/>
    </row>
    <row r="60" spans="1:129" s="2060" customFormat="1">
      <c r="A60" s="1503" t="s">
        <v>2847</v>
      </c>
      <c r="E60" s="2061"/>
      <c r="H60" s="1786"/>
      <c r="I60" s="1786"/>
      <c r="J60" s="1786"/>
      <c r="K60" s="1786"/>
      <c r="L60" s="1869"/>
      <c r="M60" s="1786"/>
      <c r="N60" s="1786"/>
      <c r="O60" s="1786"/>
      <c r="P60" s="1786"/>
      <c r="Q60" s="1786"/>
      <c r="R60" s="1786"/>
      <c r="S60" s="1786"/>
      <c r="T60" s="1786"/>
      <c r="U60" s="1786"/>
      <c r="V60" s="1786"/>
      <c r="W60" s="1870"/>
      <c r="X60" s="1786"/>
      <c r="Y60" s="1786"/>
      <c r="Z60" s="1786"/>
      <c r="AA60" s="1786"/>
      <c r="AB60" s="1871"/>
      <c r="AC60" s="1786"/>
      <c r="AD60" s="1786"/>
      <c r="AE60" s="1786"/>
      <c r="AF60" s="1786"/>
      <c r="AG60" s="1871"/>
      <c r="AK60" s="2061"/>
      <c r="AO60" s="2061"/>
      <c r="AT60" s="2839"/>
      <c r="AW60" s="2061"/>
      <c r="AX60" s="2839"/>
      <c r="BB60" s="2839"/>
      <c r="BE60" s="2061"/>
      <c r="BI60" s="2061"/>
      <c r="BM60" s="2061"/>
      <c r="BO60" s="2061"/>
      <c r="BP60" s="2061"/>
      <c r="BQ60" s="3339"/>
      <c r="BR60" s="1839">
        <f t="shared" ref="BR60:BW60" si="42">(BR59-BN59)/BN59</f>
        <v>3.4267912772585667E-2</v>
      </c>
      <c r="BS60" s="1839">
        <f t="shared" si="42"/>
        <v>6.4080944350758853E-2</v>
      </c>
      <c r="BT60" s="2938">
        <f t="shared" si="42"/>
        <v>8.6699507389162558E-2</v>
      </c>
      <c r="BU60" s="2938">
        <f t="shared" si="42"/>
        <v>0.11400753768844221</v>
      </c>
      <c r="BV60" s="2938">
        <f t="shared" si="42"/>
        <v>0.1465863453815261</v>
      </c>
      <c r="BW60" s="2938">
        <f t="shared" si="42"/>
        <v>0.13972530375066033</v>
      </c>
      <c r="BX60" s="2938"/>
      <c r="BY60" s="2881"/>
      <c r="BZ60" s="1789"/>
      <c r="CA60" s="1837"/>
      <c r="CB60" s="2919"/>
      <c r="CC60" s="2919"/>
      <c r="CD60" s="2919"/>
      <c r="CE60" s="2934"/>
      <c r="CF60" s="2934"/>
      <c r="CG60" s="2934"/>
      <c r="CH60" s="2934"/>
      <c r="CI60" s="1839"/>
      <c r="CJ60" s="1839"/>
      <c r="CK60" s="1839"/>
      <c r="CL60" s="1839"/>
      <c r="CM60" s="1839"/>
      <c r="CN60" s="1839"/>
      <c r="CO60" s="1839"/>
      <c r="CP60" s="1839"/>
      <c r="CQ60" s="1839"/>
      <c r="CR60" s="1839"/>
      <c r="CS60" s="1839"/>
      <c r="CT60" s="1839"/>
      <c r="CU60" s="1839"/>
      <c r="CV60" s="1839"/>
      <c r="CW60" s="1839"/>
      <c r="CX60" s="1839"/>
      <c r="CY60" s="1839"/>
      <c r="CZ60" s="1839"/>
      <c r="DA60" s="1839"/>
      <c r="DB60" s="1839"/>
      <c r="DC60" s="1839"/>
      <c r="DD60" s="1839"/>
      <c r="DE60" s="1839"/>
      <c r="DF60" s="1839"/>
      <c r="DG60" s="1839"/>
      <c r="DH60" s="1839"/>
      <c r="DI60" s="1839"/>
      <c r="DJ60" s="1839"/>
      <c r="DK60" s="1839"/>
      <c r="DL60" s="1839"/>
      <c r="DM60" s="1839"/>
      <c r="DN60" s="1839"/>
      <c r="DO60" s="1839"/>
      <c r="DP60" s="1839"/>
      <c r="DQ60" s="1839"/>
      <c r="DR60" s="1839"/>
      <c r="DS60" s="1839"/>
      <c r="DT60" s="1839"/>
      <c r="DU60" s="1839"/>
      <c r="DV60" s="1839"/>
      <c r="DW60" s="1839"/>
      <c r="DX60" s="1839"/>
      <c r="DY60" s="1839"/>
    </row>
    <row r="61" spans="1:129" s="424" customFormat="1">
      <c r="A61" s="434" t="s">
        <v>53</v>
      </c>
      <c r="B61" s="424">
        <v>-3.17</v>
      </c>
      <c r="C61" s="424">
        <v>-4.5609010000000003</v>
      </c>
      <c r="D61" s="424">
        <v>-6</v>
      </c>
      <c r="E61" s="425">
        <v>-8.5009999999999994</v>
      </c>
      <c r="F61" s="426"/>
      <c r="G61" s="426"/>
      <c r="H61" s="426"/>
      <c r="I61" s="426"/>
      <c r="J61" s="426"/>
      <c r="K61" s="426"/>
      <c r="L61" s="429"/>
      <c r="M61" s="426"/>
      <c r="N61" s="426"/>
      <c r="O61" s="426"/>
      <c r="P61" s="426"/>
      <c r="Q61" s="426"/>
      <c r="R61" s="426"/>
      <c r="S61" s="426"/>
      <c r="V61" s="426"/>
      <c r="W61" s="431"/>
      <c r="X61" s="426"/>
      <c r="Y61" s="426"/>
      <c r="Z61" s="426"/>
      <c r="AA61" s="426"/>
      <c r="AB61" s="432"/>
      <c r="AC61" s="426"/>
      <c r="AD61" s="426"/>
      <c r="AE61" s="426"/>
      <c r="AF61" s="426"/>
      <c r="AG61" s="432"/>
      <c r="AK61" s="425"/>
      <c r="AO61" s="425"/>
      <c r="AT61" s="98"/>
      <c r="AU61" s="27"/>
      <c r="AV61" s="27"/>
      <c r="AW61" s="425"/>
      <c r="AX61" s="423"/>
      <c r="BB61" s="447"/>
      <c r="BC61" s="211"/>
      <c r="BD61" s="211"/>
      <c r="BE61" s="446"/>
      <c r="BF61" s="211"/>
      <c r="BG61" s="211"/>
      <c r="BH61" s="211"/>
      <c r="BI61" s="446"/>
      <c r="BJ61" s="211"/>
      <c r="BK61" s="211"/>
      <c r="BL61" s="211"/>
      <c r="BM61" s="446"/>
      <c r="BN61" s="211"/>
      <c r="BO61" s="446"/>
      <c r="BP61" s="446"/>
      <c r="BQ61" s="446"/>
      <c r="BR61" s="211"/>
      <c r="BS61" s="211"/>
      <c r="BT61" s="211"/>
      <c r="BU61" s="211"/>
      <c r="BV61" s="211"/>
      <c r="BW61" s="211"/>
      <c r="BX61" s="211"/>
      <c r="BY61" s="453"/>
      <c r="BZ61" s="442"/>
      <c r="CA61" s="423"/>
      <c r="CB61" s="98"/>
      <c r="CC61" s="98"/>
      <c r="CD61" s="98"/>
      <c r="CE61" s="98"/>
      <c r="CF61" s="98"/>
      <c r="CG61" s="98"/>
      <c r="CH61" s="98"/>
      <c r="CI61" s="27"/>
      <c r="CJ61" s="27"/>
      <c r="CK61" s="27"/>
      <c r="CL61" s="27"/>
      <c r="CM61" s="27"/>
      <c r="CN61" s="27"/>
      <c r="CO61" s="27"/>
      <c r="CP61" s="27"/>
      <c r="CQ61" s="27"/>
      <c r="CR61" s="27"/>
      <c r="CS61" s="27"/>
      <c r="CT61" s="27"/>
      <c r="CU61" s="27"/>
      <c r="CV61" s="27"/>
      <c r="CW61" s="27"/>
      <c r="CX61" s="27"/>
      <c r="CY61" s="27"/>
      <c r="CZ61" s="27"/>
      <c r="DA61" s="27"/>
      <c r="DB61" s="27"/>
      <c r="DC61" s="27"/>
      <c r="DD61" s="27"/>
      <c r="DE61" s="27"/>
      <c r="DF61" s="27"/>
      <c r="DG61" s="27"/>
      <c r="DH61" s="27"/>
      <c r="DI61" s="27"/>
      <c r="DJ61" s="27"/>
      <c r="DK61" s="27"/>
      <c r="DL61" s="27"/>
      <c r="DM61" s="27"/>
      <c r="DN61" s="27"/>
      <c r="DO61" s="27"/>
      <c r="DP61" s="27"/>
      <c r="DQ61" s="27"/>
      <c r="DR61" s="27"/>
      <c r="DS61" s="27"/>
      <c r="DT61" s="27"/>
      <c r="DU61" s="27"/>
      <c r="DV61" s="27"/>
      <c r="DW61" s="27"/>
      <c r="DX61" s="27"/>
      <c r="DY61" s="27"/>
    </row>
    <row r="62" spans="1:129" s="424" customFormat="1">
      <c r="A62" s="435" t="s">
        <v>1015</v>
      </c>
      <c r="B62" s="424">
        <f t="shared" ref="B62:H62" si="43">SUM(B59:B61)</f>
        <v>52.39</v>
      </c>
      <c r="C62" s="424">
        <f t="shared" si="43"/>
        <v>73.01767199999999</v>
      </c>
      <c r="D62" s="424">
        <f t="shared" si="43"/>
        <v>93</v>
      </c>
      <c r="E62" s="425">
        <v>119.46</v>
      </c>
      <c r="F62" s="424">
        <f t="shared" si="43"/>
        <v>68.551700999999994</v>
      </c>
      <c r="G62" s="424">
        <f t="shared" si="43"/>
        <v>83.560206000000008</v>
      </c>
      <c r="H62" s="427">
        <f t="shared" si="43"/>
        <v>124.72138699999999</v>
      </c>
      <c r="I62" s="427">
        <f>I59+I61</f>
        <v>196.59925799999999</v>
      </c>
      <c r="J62" s="427">
        <v>228.8219</v>
      </c>
      <c r="K62" s="427"/>
      <c r="L62" s="433"/>
      <c r="M62" s="426"/>
      <c r="N62" s="426"/>
      <c r="O62" s="426"/>
      <c r="P62" s="426"/>
      <c r="Q62" s="427">
        <f t="shared" ref="Q62:X62" si="44">Q59+Q61</f>
        <v>2339.8130000000001</v>
      </c>
      <c r="R62" s="427">
        <f t="shared" si="44"/>
        <v>1843.0129999999999</v>
      </c>
      <c r="S62" s="427">
        <f t="shared" si="44"/>
        <v>2119.4549999999999</v>
      </c>
      <c r="T62" s="426">
        <f t="shared" si="44"/>
        <v>2237.5859999999998</v>
      </c>
      <c r="U62" s="426">
        <f t="shared" si="44"/>
        <v>2665.3319999999999</v>
      </c>
      <c r="V62" s="427">
        <f t="shared" si="44"/>
        <v>2937.0129999999999</v>
      </c>
      <c r="W62" s="428">
        <f t="shared" si="44"/>
        <v>2955.4259999999999</v>
      </c>
      <c r="X62" s="427">
        <f t="shared" si="44"/>
        <v>3033.645</v>
      </c>
      <c r="Y62" s="427">
        <f>Y59+Y61</f>
        <v>3449.009</v>
      </c>
      <c r="Z62" s="427">
        <v>4030.3470000000002</v>
      </c>
      <c r="AA62" s="427">
        <v>4771</v>
      </c>
      <c r="AB62" s="430">
        <v>5763.4849999999997</v>
      </c>
      <c r="AC62" s="427"/>
      <c r="AD62" s="427">
        <v>1662.6</v>
      </c>
      <c r="AE62" s="427">
        <v>1937.7529999999999</v>
      </c>
      <c r="AF62" s="427">
        <v>1698.567</v>
      </c>
      <c r="AG62" s="430">
        <v>6672.317</v>
      </c>
      <c r="AH62" s="424">
        <v>1903.961</v>
      </c>
      <c r="AI62" s="424">
        <f t="shared" ref="AI62:AN62" si="45">AI59</f>
        <v>2195.8690000000001</v>
      </c>
      <c r="AJ62" s="424">
        <f t="shared" si="45"/>
        <v>2580.9050000000002</v>
      </c>
      <c r="AK62" s="425">
        <f t="shared" si="45"/>
        <v>2093</v>
      </c>
      <c r="AL62" s="424">
        <f t="shared" si="45"/>
        <v>2189</v>
      </c>
      <c r="AM62" s="424">
        <f t="shared" si="45"/>
        <v>2586</v>
      </c>
      <c r="AN62" s="424">
        <f t="shared" si="45"/>
        <v>2966</v>
      </c>
      <c r="AO62" s="425">
        <v>2319</v>
      </c>
      <c r="AP62" s="424">
        <f t="shared" ref="AP62:BB62" si="46">AP59</f>
        <v>2508</v>
      </c>
      <c r="AQ62" s="424">
        <f t="shared" si="46"/>
        <v>2880</v>
      </c>
      <c r="AR62" s="424">
        <f t="shared" si="46"/>
        <v>3276</v>
      </c>
      <c r="AS62" s="424">
        <f t="shared" si="46"/>
        <v>2559</v>
      </c>
      <c r="AT62" s="423">
        <f t="shared" si="46"/>
        <v>2609</v>
      </c>
      <c r="AU62" s="424">
        <f t="shared" si="46"/>
        <v>3153</v>
      </c>
      <c r="AV62" s="424">
        <f t="shared" si="46"/>
        <v>3558</v>
      </c>
      <c r="AW62" s="425">
        <f t="shared" si="46"/>
        <v>2747</v>
      </c>
      <c r="AX62" s="423">
        <f t="shared" si="46"/>
        <v>2209</v>
      </c>
      <c r="AY62" s="424">
        <f t="shared" si="46"/>
        <v>566</v>
      </c>
      <c r="AZ62" s="424">
        <f t="shared" si="46"/>
        <v>1504</v>
      </c>
      <c r="BA62" s="424">
        <f t="shared" si="46"/>
        <v>920</v>
      </c>
      <c r="BB62" s="423">
        <f t="shared" si="46"/>
        <v>1246</v>
      </c>
      <c r="BC62" s="424">
        <f t="shared" ref="BC62:BH62" si="47">BC59</f>
        <v>2111</v>
      </c>
      <c r="BD62" s="424">
        <f t="shared" si="47"/>
        <v>2962</v>
      </c>
      <c r="BE62" s="425">
        <f t="shared" si="47"/>
        <v>2279</v>
      </c>
      <c r="BF62" s="424">
        <f t="shared" si="47"/>
        <v>2249</v>
      </c>
      <c r="BG62" s="424">
        <f t="shared" si="47"/>
        <v>3181</v>
      </c>
      <c r="BH62" s="424">
        <f t="shared" si="47"/>
        <v>3619</v>
      </c>
      <c r="BI62" s="425">
        <f t="shared" ref="BI62:BN62" si="48">BI59</f>
        <v>2618</v>
      </c>
      <c r="BJ62" s="424">
        <f t="shared" si="48"/>
        <v>2665</v>
      </c>
      <c r="BK62" s="424">
        <f t="shared" si="48"/>
        <v>3358</v>
      </c>
      <c r="BL62" s="424">
        <f t="shared" si="48"/>
        <v>3929</v>
      </c>
      <c r="BM62" s="424">
        <f t="shared" si="48"/>
        <v>2887</v>
      </c>
      <c r="BN62" s="424">
        <f t="shared" si="48"/>
        <v>2889</v>
      </c>
      <c r="BO62" s="424">
        <f t="shared" ref="BO62:BY62" si="49">BO59</f>
        <v>3558</v>
      </c>
      <c r="BP62" s="424">
        <f t="shared" si="49"/>
        <v>4060</v>
      </c>
      <c r="BQ62" s="3340">
        <f t="shared" si="49"/>
        <v>3184</v>
      </c>
      <c r="BR62" s="424">
        <f t="shared" si="49"/>
        <v>2988</v>
      </c>
      <c r="BS62" s="2059">
        <f t="shared" si="49"/>
        <v>3786</v>
      </c>
      <c r="BT62" s="2059">
        <f t="shared" si="49"/>
        <v>4412</v>
      </c>
      <c r="BU62" s="2059">
        <f>BU59</f>
        <v>3547</v>
      </c>
      <c r="BV62" s="2059">
        <f>BV59</f>
        <v>3426</v>
      </c>
      <c r="BW62" s="2059">
        <f>BW59</f>
        <v>4315</v>
      </c>
      <c r="BX62" s="2059"/>
      <c r="BY62" s="455">
        <f t="shared" si="49"/>
        <v>8773.7350000000006</v>
      </c>
      <c r="BZ62" s="442">
        <v>10059.799999999999</v>
      </c>
      <c r="CA62" s="423">
        <f t="shared" ref="CA62:CG62" si="50">CA59</f>
        <v>11223</v>
      </c>
      <c r="CB62" s="423">
        <f t="shared" si="50"/>
        <v>12067</v>
      </c>
      <c r="CC62" s="423">
        <f t="shared" si="50"/>
        <v>5199</v>
      </c>
      <c r="CD62" s="423">
        <f t="shared" si="50"/>
        <v>8598</v>
      </c>
      <c r="CE62" s="423">
        <f t="shared" si="50"/>
        <v>11667</v>
      </c>
      <c r="CF62" s="423">
        <f t="shared" si="50"/>
        <v>12839</v>
      </c>
      <c r="CG62" s="3373">
        <f t="shared" si="50"/>
        <v>13691</v>
      </c>
      <c r="CH62" s="3373">
        <v>14733</v>
      </c>
      <c r="CI62" s="27"/>
      <c r="CJ62" s="27"/>
      <c r="CK62" s="27"/>
      <c r="CL62" s="27"/>
      <c r="CM62" s="27"/>
      <c r="CN62" s="27"/>
      <c r="CO62" s="27"/>
      <c r="CP62" s="27"/>
      <c r="CQ62" s="27"/>
      <c r="CR62" s="27"/>
      <c r="CS62" s="27"/>
      <c r="CT62" s="27"/>
      <c r="CU62" s="27"/>
      <c r="CV62" s="27"/>
      <c r="CW62" s="27"/>
      <c r="CX62" s="27"/>
      <c r="CY62" s="27"/>
      <c r="CZ62" s="27"/>
      <c r="DA62" s="27"/>
      <c r="DB62" s="27"/>
      <c r="DC62" s="27"/>
      <c r="DD62" s="27"/>
      <c r="DE62" s="27"/>
      <c r="DF62" s="27"/>
      <c r="DG62" s="27"/>
      <c r="DH62" s="27"/>
      <c r="DI62" s="27"/>
      <c r="DJ62" s="27"/>
      <c r="DK62" s="27"/>
      <c r="DL62" s="27"/>
      <c r="DM62" s="27"/>
      <c r="DN62" s="27"/>
      <c r="DO62" s="27"/>
      <c r="DP62" s="27"/>
      <c r="DQ62" s="27"/>
      <c r="DR62" s="27"/>
      <c r="DS62" s="27"/>
      <c r="DT62" s="27"/>
      <c r="DU62" s="27"/>
      <c r="DV62" s="27"/>
      <c r="DW62" s="27"/>
      <c r="DX62" s="27"/>
      <c r="DY62" s="27"/>
    </row>
    <row r="63" spans="1:129" s="424" customFormat="1" hidden="1">
      <c r="A63" s="422" t="s">
        <v>1368</v>
      </c>
      <c r="E63" s="425"/>
      <c r="H63" s="427"/>
      <c r="I63" s="427"/>
      <c r="J63" s="427"/>
      <c r="K63" s="427"/>
      <c r="L63" s="433"/>
      <c r="M63" s="426"/>
      <c r="N63" s="426"/>
      <c r="O63" s="426"/>
      <c r="P63" s="426"/>
      <c r="Q63" s="427"/>
      <c r="R63" s="427"/>
      <c r="S63" s="427"/>
      <c r="T63" s="426"/>
      <c r="U63" s="426"/>
      <c r="V63" s="427"/>
      <c r="W63" s="428"/>
      <c r="X63" s="427"/>
      <c r="Y63" s="427"/>
      <c r="Z63" s="427"/>
      <c r="AA63" s="427"/>
      <c r="AB63" s="430"/>
      <c r="AC63" s="427">
        <v>1339.8</v>
      </c>
      <c r="AD63" s="427">
        <v>1654.4</v>
      </c>
      <c r="AE63" s="427"/>
      <c r="AF63" s="427"/>
      <c r="AG63" s="430"/>
      <c r="AK63" s="425"/>
      <c r="AO63" s="425"/>
      <c r="AT63" s="423"/>
      <c r="AW63" s="425"/>
      <c r="AX63" s="423"/>
      <c r="BB63" s="423"/>
      <c r="BE63" s="425"/>
      <c r="BI63" s="425"/>
      <c r="BM63" s="425"/>
      <c r="BO63" s="425"/>
      <c r="BP63" s="425"/>
      <c r="BQ63" s="3338"/>
      <c r="BS63" s="2059"/>
      <c r="BT63" s="2059"/>
      <c r="BU63" s="2059"/>
      <c r="BV63" s="2059"/>
      <c r="BW63" s="2059"/>
      <c r="BX63" s="2059"/>
      <c r="BY63" s="455"/>
      <c r="BZ63" s="442"/>
      <c r="CA63" s="423"/>
      <c r="CB63" s="98"/>
      <c r="CC63" s="98"/>
      <c r="CD63" s="98"/>
      <c r="CE63" s="98"/>
      <c r="CF63" s="98"/>
      <c r="CG63" s="98"/>
      <c r="CH63" s="98"/>
      <c r="CI63" s="27"/>
      <c r="CJ63" s="27"/>
      <c r="CK63" s="27"/>
      <c r="CL63" s="27"/>
      <c r="CM63" s="27"/>
      <c r="CN63" s="27"/>
      <c r="CO63" s="27"/>
      <c r="CP63" s="27"/>
      <c r="CQ63" s="27"/>
      <c r="CR63" s="27"/>
      <c r="CS63" s="27"/>
      <c r="CT63" s="27"/>
      <c r="CU63" s="27"/>
      <c r="CV63" s="27"/>
      <c r="CW63" s="27"/>
      <c r="CX63" s="27"/>
      <c r="CY63" s="27"/>
      <c r="CZ63" s="27"/>
      <c r="DA63" s="27"/>
      <c r="DB63" s="27"/>
      <c r="DC63" s="27"/>
      <c r="DD63" s="27"/>
      <c r="DE63" s="27"/>
      <c r="DF63" s="27"/>
      <c r="DG63" s="27"/>
      <c r="DH63" s="27"/>
      <c r="DI63" s="27"/>
      <c r="DJ63" s="27"/>
      <c r="DK63" s="27"/>
      <c r="DL63" s="27"/>
      <c r="DM63" s="27"/>
      <c r="DN63" s="27"/>
      <c r="DO63" s="27"/>
      <c r="DP63" s="27"/>
      <c r="DQ63" s="27"/>
      <c r="DR63" s="27"/>
      <c r="DS63" s="27"/>
      <c r="DT63" s="27"/>
      <c r="DU63" s="27"/>
      <c r="DV63" s="27"/>
      <c r="DW63" s="27"/>
      <c r="DX63" s="27"/>
      <c r="DY63" s="27"/>
    </row>
    <row r="64" spans="1:129" s="3045" customFormat="1">
      <c r="A64" s="2956" t="s">
        <v>2715</v>
      </c>
      <c r="E64" s="3046"/>
      <c r="H64" s="3047"/>
      <c r="I64" s="3047"/>
      <c r="J64" s="3047"/>
      <c r="K64" s="3047"/>
      <c r="L64" s="3048"/>
      <c r="M64" s="3049"/>
      <c r="N64" s="3049"/>
      <c r="O64" s="3049"/>
      <c r="P64" s="3049"/>
      <c r="Q64" s="3047"/>
      <c r="R64" s="3047"/>
      <c r="S64" s="3047"/>
      <c r="T64" s="3049"/>
      <c r="U64" s="3049"/>
      <c r="V64" s="3047"/>
      <c r="W64" s="3050"/>
      <c r="X64" s="3047"/>
      <c r="Y64" s="3047"/>
      <c r="Z64" s="3047"/>
      <c r="AA64" s="3047"/>
      <c r="AB64" s="3051"/>
      <c r="AC64" s="3047"/>
      <c r="AD64" s="3047"/>
      <c r="AE64" s="3047"/>
      <c r="AF64" s="3047"/>
      <c r="AG64" s="3051"/>
      <c r="AK64" s="3046"/>
      <c r="AO64" s="3046"/>
      <c r="AT64" s="3053"/>
      <c r="AW64" s="3046"/>
      <c r="AX64" s="3053"/>
      <c r="BB64" s="3056">
        <f>BB59/AT59-1</f>
        <v>-0.52242238405519359</v>
      </c>
      <c r="BC64" s="3056">
        <f>BC59/AU59-1</f>
        <v>-0.33047890897557886</v>
      </c>
      <c r="BD64" s="3056">
        <f>BD59/AV59-1</f>
        <v>-0.16750983698707134</v>
      </c>
      <c r="BE64" s="3056">
        <f>BE59/AW59-1</f>
        <v>-0.17036767382599194</v>
      </c>
      <c r="BF64" s="3055"/>
      <c r="BG64" s="3055">
        <f>BG59/AU59-1</f>
        <v>8.8804313352361941E-3</v>
      </c>
      <c r="BH64" s="3055">
        <f>BH59/AV59-1</f>
        <v>1.7144463181562708E-2</v>
      </c>
      <c r="BI64" s="3056">
        <f>BI59/AW59-1</f>
        <v>-4.6960320349472173E-2</v>
      </c>
      <c r="BJ64" s="3055">
        <f>BJ59/AT59-1</f>
        <v>2.146416251437322E-2</v>
      </c>
      <c r="BK64" s="3055">
        <f>BK59/AU59-1</f>
        <v>6.5017443704408429E-2</v>
      </c>
      <c r="BL64" s="3055">
        <f>BL59/AV59-1</f>
        <v>0.10427206295671732</v>
      </c>
      <c r="BM64" s="3055">
        <f>BM59/AW59-1</f>
        <v>5.0964688751365061E-2</v>
      </c>
      <c r="BN64" s="3055">
        <f>BN59/AT59-1</f>
        <v>0.10732081257186654</v>
      </c>
      <c r="BO64" s="3055">
        <f>BO59/AU59-1</f>
        <v>0.12844909609895327</v>
      </c>
      <c r="BP64" s="3055">
        <f>BP59/AV59-1</f>
        <v>0.14109050028105674</v>
      </c>
      <c r="BQ64" s="3055">
        <f>BQ59/AW59-1</f>
        <v>0.15908263560247549</v>
      </c>
      <c r="BR64" s="3055">
        <f>BR59/AT59-1</f>
        <v>0.14526638558834803</v>
      </c>
      <c r="BS64" s="3055">
        <f>BS59/AU59-1</f>
        <v>0.20076117982873454</v>
      </c>
      <c r="BT64" s="3055">
        <f>BT59/AV59-1</f>
        <v>0.24002248454187747</v>
      </c>
      <c r="BU64" s="3055">
        <f>BU59/AW59-1</f>
        <v>0.29122679286494368</v>
      </c>
      <c r="BV64" s="3055">
        <f>BV59/AT59-1</f>
        <v>0.31314679954005364</v>
      </c>
      <c r="BW64" s="3055">
        <f>BW59/AU59-1</f>
        <v>0.36853790041230572</v>
      </c>
      <c r="BX64" s="27"/>
      <c r="BY64" s="3057"/>
      <c r="BZ64" s="3058"/>
      <c r="CA64" s="3053"/>
      <c r="CB64" s="3054"/>
      <c r="CC64" s="3054"/>
      <c r="CD64" s="3054"/>
      <c r="CE64" s="3054"/>
      <c r="CF64" s="3054"/>
      <c r="CG64" s="3054"/>
      <c r="CH64" s="3054"/>
      <c r="CI64" s="3055"/>
      <c r="CJ64" s="3055"/>
      <c r="CK64" s="3055"/>
      <c r="CL64" s="3055"/>
      <c r="CM64" s="3055"/>
      <c r="CN64" s="3055"/>
      <c r="CO64" s="3055"/>
      <c r="CP64" s="3055"/>
      <c r="CQ64" s="3055"/>
      <c r="CR64" s="3055"/>
      <c r="CS64" s="3055"/>
      <c r="CT64" s="3055"/>
      <c r="CU64" s="3055"/>
      <c r="CV64" s="3055"/>
      <c r="CW64" s="3055"/>
      <c r="CX64" s="3055"/>
      <c r="CY64" s="3055"/>
      <c r="CZ64" s="3055"/>
      <c r="DA64" s="3055"/>
      <c r="DB64" s="3055"/>
      <c r="DC64" s="3055"/>
      <c r="DD64" s="3055"/>
      <c r="DE64" s="3055"/>
      <c r="DF64" s="3055"/>
      <c r="DG64" s="3055"/>
      <c r="DH64" s="3055"/>
      <c r="DI64" s="3055"/>
      <c r="DJ64" s="3055"/>
      <c r="DK64" s="3055"/>
      <c r="DL64" s="3055"/>
      <c r="DM64" s="3055"/>
      <c r="DN64" s="3055"/>
      <c r="DO64" s="3055"/>
      <c r="DP64" s="3055"/>
      <c r="DQ64" s="3055"/>
      <c r="DR64" s="3055"/>
      <c r="DS64" s="3055"/>
      <c r="DT64" s="3055"/>
      <c r="DU64" s="3055"/>
      <c r="DV64" s="3055"/>
      <c r="DW64" s="3055"/>
      <c r="DX64" s="3055"/>
      <c r="DY64" s="3055"/>
    </row>
    <row r="65" spans="1:129" s="424" customFormat="1">
      <c r="A65" s="464" t="s">
        <v>1341</v>
      </c>
      <c r="E65" s="425"/>
      <c r="H65" s="427"/>
      <c r="I65" s="427"/>
      <c r="J65" s="427"/>
      <c r="K65" s="427"/>
      <c r="L65" s="433"/>
      <c r="M65" s="426"/>
      <c r="N65" s="426"/>
      <c r="O65" s="426"/>
      <c r="P65" s="426"/>
      <c r="Q65" s="427"/>
      <c r="R65" s="427"/>
      <c r="S65" s="427"/>
      <c r="T65" s="426"/>
      <c r="U65" s="426"/>
      <c r="V65" s="427"/>
      <c r="W65" s="428"/>
      <c r="X65" s="427"/>
      <c r="Y65" s="427"/>
      <c r="Z65" s="427"/>
      <c r="AA65" s="427"/>
      <c r="AB65" s="430"/>
      <c r="AC65" s="427"/>
      <c r="AD65" s="427"/>
      <c r="AE65" s="427"/>
      <c r="AF65" s="427"/>
      <c r="AG65" s="430"/>
      <c r="AH65" s="27"/>
      <c r="AI65" s="27"/>
      <c r="AJ65" s="27"/>
      <c r="AK65" s="97"/>
      <c r="AL65" s="27"/>
      <c r="AM65" s="27"/>
      <c r="AN65" s="27"/>
      <c r="AO65" s="97"/>
      <c r="AP65" s="27"/>
      <c r="AQ65" s="27"/>
      <c r="AR65" s="27"/>
      <c r="AS65" s="27"/>
      <c r="AT65" s="423"/>
      <c r="AW65" s="425"/>
      <c r="AX65" s="423"/>
      <c r="BB65" s="98"/>
      <c r="BC65" s="27"/>
      <c r="BD65" s="27"/>
      <c r="BE65" s="97"/>
      <c r="BF65" s="27">
        <f>BF66/AT66-1</f>
        <v>0.12195121951219523</v>
      </c>
      <c r="BG65" s="27">
        <f>BG66/AU66-1</f>
        <v>0.2013057671381937</v>
      </c>
      <c r="BH65" s="27">
        <f>BH66/AV66-1</f>
        <v>0.18970736629666995</v>
      </c>
      <c r="BI65" s="97">
        <f>BI66/AW66-1</f>
        <v>9.1544818817546059E-2</v>
      </c>
      <c r="BJ65" s="27"/>
      <c r="BK65" s="27"/>
      <c r="BL65" s="27"/>
      <c r="BM65" s="97"/>
      <c r="BN65" s="27"/>
      <c r="BO65" s="97"/>
      <c r="BP65" s="97"/>
      <c r="BQ65" s="97"/>
      <c r="BR65" s="27"/>
      <c r="BS65" s="27"/>
      <c r="BT65" s="27"/>
      <c r="BU65" s="27"/>
      <c r="BV65" s="27"/>
      <c r="BW65" s="27"/>
      <c r="BX65" s="27"/>
      <c r="BY65" s="455"/>
      <c r="BZ65" s="442"/>
      <c r="CA65" s="423"/>
      <c r="CB65" s="98"/>
      <c r="CC65" s="98"/>
      <c r="CD65" s="98"/>
      <c r="CE65" s="98"/>
      <c r="CF65" s="98"/>
      <c r="CG65" s="98"/>
      <c r="CH65" s="98"/>
      <c r="CI65" s="27"/>
      <c r="CJ65" s="27"/>
      <c r="CK65" s="27"/>
      <c r="CL65" s="27"/>
      <c r="CM65" s="27"/>
      <c r="CN65" s="27"/>
      <c r="CO65" s="27"/>
      <c r="CP65" s="27"/>
      <c r="CQ65" s="27"/>
      <c r="CR65" s="27"/>
      <c r="CS65" s="27"/>
      <c r="CT65" s="27"/>
      <c r="CU65" s="27"/>
      <c r="CV65" s="27"/>
      <c r="CW65" s="27"/>
      <c r="CX65" s="27"/>
      <c r="CY65" s="27"/>
      <c r="CZ65" s="27"/>
      <c r="DA65" s="27"/>
      <c r="DB65" s="27"/>
      <c r="DC65" s="27"/>
      <c r="DD65" s="27"/>
      <c r="DE65" s="27"/>
      <c r="DF65" s="27"/>
      <c r="DG65" s="27"/>
      <c r="DH65" s="27"/>
      <c r="DI65" s="27"/>
      <c r="DJ65" s="27"/>
      <c r="DK65" s="27"/>
      <c r="DL65" s="27"/>
      <c r="DM65" s="27"/>
      <c r="DN65" s="27"/>
      <c r="DO65" s="27"/>
      <c r="DP65" s="27"/>
      <c r="DQ65" s="27"/>
      <c r="DR65" s="27"/>
      <c r="DS65" s="27"/>
      <c r="DT65" s="27"/>
      <c r="DU65" s="27"/>
      <c r="DV65" s="27"/>
      <c r="DW65" s="27"/>
      <c r="DX65" s="27"/>
      <c r="DY65" s="27"/>
    </row>
    <row r="66" spans="1:129" s="1795" customFormat="1" ht="11.5">
      <c r="A66" s="1505" t="s">
        <v>1364</v>
      </c>
      <c r="B66" s="1853"/>
      <c r="C66" s="1853"/>
      <c r="D66" s="1853"/>
      <c r="E66" s="1854"/>
      <c r="F66" s="1855"/>
      <c r="G66" s="1855"/>
      <c r="H66" s="1855"/>
      <c r="I66" s="1855"/>
      <c r="J66" s="1855"/>
      <c r="K66" s="1855"/>
      <c r="L66" s="1856"/>
      <c r="M66" s="1855"/>
      <c r="N66" s="1855"/>
      <c r="O66" s="1855"/>
      <c r="P66" s="1855"/>
      <c r="Q66" s="1855"/>
      <c r="R66" s="1855"/>
      <c r="S66" s="1855"/>
      <c r="T66" s="1855"/>
      <c r="U66" s="1855"/>
      <c r="V66" s="1855"/>
      <c r="W66" s="1857"/>
      <c r="Y66" s="1793"/>
      <c r="Z66" s="1793"/>
      <c r="AA66" s="1793"/>
      <c r="AB66" s="1858"/>
      <c r="AC66" s="1859">
        <v>768</v>
      </c>
      <c r="AD66" s="1859">
        <v>910</v>
      </c>
      <c r="AE66" s="1859">
        <v>1047</v>
      </c>
      <c r="AF66" s="1859">
        <v>978</v>
      </c>
      <c r="AG66" s="1860">
        <v>3703</v>
      </c>
      <c r="AH66" s="1859">
        <v>1115</v>
      </c>
      <c r="AI66" s="1859">
        <v>1271</v>
      </c>
      <c r="AJ66" s="1859">
        <v>1451</v>
      </c>
      <c r="AK66" s="1860">
        <v>1199</v>
      </c>
      <c r="AL66" s="1859">
        <v>1249</v>
      </c>
      <c r="AM66" s="1859">
        <v>1457</v>
      </c>
      <c r="AN66" s="1859">
        <v>1576</v>
      </c>
      <c r="AO66" s="1860">
        <v>1255</v>
      </c>
      <c r="AP66" s="1859">
        <v>1351</v>
      </c>
      <c r="AQ66" s="1859">
        <v>1632</v>
      </c>
      <c r="AR66" s="1859">
        <v>1792</v>
      </c>
      <c r="AS66" s="1859">
        <v>1426</v>
      </c>
      <c r="AT66" s="2835">
        <v>1476</v>
      </c>
      <c r="AU66" s="1859">
        <v>1838</v>
      </c>
      <c r="AV66" s="1859">
        <v>1982</v>
      </c>
      <c r="AW66" s="1860">
        <v>1573</v>
      </c>
      <c r="AX66" s="2835">
        <v>1317</v>
      </c>
      <c r="AY66" s="1859">
        <v>463</v>
      </c>
      <c r="AZ66" s="1859">
        <v>1033</v>
      </c>
      <c r="BA66" s="1859">
        <v>698</v>
      </c>
      <c r="BB66" s="2835">
        <v>1001</v>
      </c>
      <c r="BC66" s="1859">
        <v>1736</v>
      </c>
      <c r="BD66" s="1859">
        <v>2177</v>
      </c>
      <c r="BE66" s="1860">
        <v>1655</v>
      </c>
      <c r="BF66" s="1859">
        <v>1656</v>
      </c>
      <c r="BG66" s="1859">
        <v>2208</v>
      </c>
      <c r="BH66" s="1859">
        <v>2358</v>
      </c>
      <c r="BI66" s="1860">
        <v>1717</v>
      </c>
      <c r="BJ66" s="1859">
        <v>1748</v>
      </c>
      <c r="BK66" s="1859">
        <v>2172</v>
      </c>
      <c r="BL66" s="1859">
        <v>2440</v>
      </c>
      <c r="BM66" s="1860">
        <v>1787</v>
      </c>
      <c r="BN66" s="1859">
        <v>1793</v>
      </c>
      <c r="BO66" s="1860">
        <v>2246</v>
      </c>
      <c r="BP66" s="1860">
        <v>2435</v>
      </c>
      <c r="BQ66" s="1794">
        <v>1898</v>
      </c>
      <c r="BR66" s="1859">
        <v>1831</v>
      </c>
      <c r="BS66" s="1859">
        <v>2303</v>
      </c>
      <c r="BT66" s="1859">
        <v>2537</v>
      </c>
      <c r="BU66" s="1859">
        <v>2039</v>
      </c>
      <c r="BV66" s="1859">
        <v>1990</v>
      </c>
      <c r="BW66" s="1859">
        <v>2570</v>
      </c>
      <c r="BX66" s="1859"/>
      <c r="BY66" s="1861">
        <v>5036</v>
      </c>
      <c r="BZ66" s="1861">
        <v>5537</v>
      </c>
      <c r="CA66" s="1837">
        <f>SUM(AP66:AS66)</f>
        <v>6201</v>
      </c>
      <c r="CB66" s="1837">
        <v>6869</v>
      </c>
      <c r="CC66" s="1837">
        <v>3511</v>
      </c>
      <c r="CD66" s="1837">
        <v>6569</v>
      </c>
      <c r="CE66" s="2934">
        <f>SUM(BF66:BI66)</f>
        <v>7939</v>
      </c>
      <c r="CF66" s="2934">
        <v>8147</v>
      </c>
      <c r="CG66" s="2934">
        <v>8372</v>
      </c>
      <c r="CH66" s="2934">
        <v>8710</v>
      </c>
      <c r="CI66" s="1839"/>
      <c r="CJ66" s="1839"/>
      <c r="CK66" s="1839"/>
      <c r="CL66" s="1839"/>
      <c r="CM66" s="1839"/>
      <c r="CN66" s="1839"/>
      <c r="CO66" s="1839"/>
      <c r="CP66" s="1839"/>
      <c r="CQ66" s="1839"/>
      <c r="CR66" s="1839"/>
      <c r="CS66" s="1839"/>
      <c r="CT66" s="1839"/>
      <c r="CU66" s="1839"/>
      <c r="CV66" s="1839"/>
      <c r="CW66" s="1839"/>
      <c r="CX66" s="1839"/>
      <c r="CY66" s="1839"/>
      <c r="CZ66" s="1839"/>
      <c r="DA66" s="1839"/>
      <c r="DB66" s="1839"/>
      <c r="DC66" s="1839"/>
      <c r="DD66" s="1839"/>
      <c r="DE66" s="1839"/>
      <c r="DF66" s="1839"/>
      <c r="DG66" s="1839"/>
      <c r="DH66" s="1839"/>
      <c r="DI66" s="1839"/>
      <c r="DJ66" s="1839"/>
      <c r="DK66" s="1839"/>
      <c r="DL66" s="1839"/>
      <c r="DM66" s="1839"/>
      <c r="DN66" s="1839"/>
      <c r="DO66" s="1839"/>
      <c r="DP66" s="1839"/>
      <c r="DQ66" s="1839"/>
      <c r="DR66" s="1839"/>
      <c r="DS66" s="1839"/>
      <c r="DT66" s="1839"/>
      <c r="DU66" s="1839"/>
      <c r="DV66" s="1839"/>
      <c r="DW66" s="1839"/>
      <c r="DX66" s="1839"/>
      <c r="DY66" s="1839"/>
    </row>
    <row r="67" spans="1:129" s="424" customFormat="1">
      <c r="A67" s="1503" t="s">
        <v>1325</v>
      </c>
      <c r="E67" s="425"/>
      <c r="H67" s="427"/>
      <c r="I67" s="427"/>
      <c r="J67" s="427"/>
      <c r="K67" s="427"/>
      <c r="L67" s="433"/>
      <c r="M67" s="426"/>
      <c r="N67" s="426"/>
      <c r="O67" s="426"/>
      <c r="P67" s="426"/>
      <c r="Q67" s="427"/>
      <c r="R67" s="427"/>
      <c r="S67" s="427"/>
      <c r="T67" s="426"/>
      <c r="U67" s="426"/>
      <c r="V67" s="427"/>
      <c r="W67" s="428"/>
      <c r="X67" s="427"/>
      <c r="Y67" s="427"/>
      <c r="Z67" s="427"/>
      <c r="AA67" s="427"/>
      <c r="AB67" s="430"/>
      <c r="AC67" s="427"/>
      <c r="AD67" s="427"/>
      <c r="AE67" s="427"/>
      <c r="AF67" s="427"/>
      <c r="AG67" s="430"/>
      <c r="AH67" s="988">
        <f>AH66/AC66-1</f>
        <v>0.45182291666666674</v>
      </c>
      <c r="AI67" s="988">
        <f>AI66/AD66-1</f>
        <v>0.39670329670329663</v>
      </c>
      <c r="AJ67" s="988">
        <f>AJ66/AE66-1</f>
        <v>0.38586437440305632</v>
      </c>
      <c r="AK67" s="989">
        <f>AK66/AF66-1</f>
        <v>0.22597137014314939</v>
      </c>
      <c r="AL67" s="988">
        <f t="shared" ref="AL67:AS67" si="51">AL66/AH66-1</f>
        <v>0.12017937219730945</v>
      </c>
      <c r="AM67" s="988">
        <f t="shared" si="51"/>
        <v>0.14634146341463405</v>
      </c>
      <c r="AN67" s="988">
        <f t="shared" si="51"/>
        <v>8.6147484493452886E-2</v>
      </c>
      <c r="AO67" s="989">
        <f t="shared" si="51"/>
        <v>4.6705587989991582E-2</v>
      </c>
      <c r="AP67" s="988">
        <f t="shared" si="51"/>
        <v>8.166533226581274E-2</v>
      </c>
      <c r="AQ67" s="988">
        <f t="shared" si="51"/>
        <v>0.12010981468771442</v>
      </c>
      <c r="AR67" s="988">
        <f t="shared" si="51"/>
        <v>0.13705583756345185</v>
      </c>
      <c r="AS67" s="988">
        <f t="shared" si="51"/>
        <v>0.13625498007968129</v>
      </c>
      <c r="AT67" s="2829">
        <f t="shared" ref="AT67:BC67" si="52">AT66/AP66-1</f>
        <v>9.2524056254626119E-2</v>
      </c>
      <c r="AU67" s="988">
        <f t="shared" si="52"/>
        <v>0.12622549019607843</v>
      </c>
      <c r="AV67" s="988">
        <f t="shared" si="52"/>
        <v>0.10602678571428581</v>
      </c>
      <c r="AW67" s="989">
        <f t="shared" si="52"/>
        <v>0.10308555399719488</v>
      </c>
      <c r="AX67" s="2829">
        <f t="shared" si="52"/>
        <v>-0.10772357723577231</v>
      </c>
      <c r="AY67" s="988">
        <f t="shared" si="52"/>
        <v>-0.74809575625680091</v>
      </c>
      <c r="AZ67" s="988">
        <f t="shared" si="52"/>
        <v>-0.47880928355196772</v>
      </c>
      <c r="BA67" s="988">
        <f t="shared" si="52"/>
        <v>-0.55626191989828355</v>
      </c>
      <c r="BB67" s="2829">
        <f t="shared" si="52"/>
        <v>-0.2399392558845862</v>
      </c>
      <c r="BC67" s="988">
        <f t="shared" si="52"/>
        <v>2.7494600431965441</v>
      </c>
      <c r="BD67" s="988">
        <v>1.1100000000000001</v>
      </c>
      <c r="BE67" s="989">
        <v>1.37</v>
      </c>
      <c r="BF67" s="988">
        <v>0.65</v>
      </c>
      <c r="BG67" s="988">
        <v>0.27</v>
      </c>
      <c r="BH67" s="988">
        <v>1.27</v>
      </c>
      <c r="BI67" s="989">
        <f t="shared" ref="BI67:BW67" si="53">BI66/BE66-1</f>
        <v>3.7462235649546871E-2</v>
      </c>
      <c r="BJ67" s="988">
        <f t="shared" si="53"/>
        <v>5.555555555555558E-2</v>
      </c>
      <c r="BK67" s="989">
        <f t="shared" si="53"/>
        <v>-1.6304347826086918E-2</v>
      </c>
      <c r="BL67" s="989">
        <f t="shared" si="53"/>
        <v>3.4775233248515613E-2</v>
      </c>
      <c r="BM67" s="989">
        <f t="shared" si="53"/>
        <v>4.0768782760628897E-2</v>
      </c>
      <c r="BN67" s="989">
        <f t="shared" si="53"/>
        <v>2.5743707093821566E-2</v>
      </c>
      <c r="BO67" s="989">
        <f t="shared" si="53"/>
        <v>3.4069981583793707E-2</v>
      </c>
      <c r="BP67" s="989">
        <f t="shared" si="53"/>
        <v>-2.049180327868827E-3</v>
      </c>
      <c r="BQ67" s="3335">
        <f t="shared" si="53"/>
        <v>6.2115277000559521E-2</v>
      </c>
      <c r="BR67" s="3028">
        <f t="shared" si="53"/>
        <v>2.1193530395984483E-2</v>
      </c>
      <c r="BS67" s="3028">
        <f t="shared" si="53"/>
        <v>2.5378450578806833E-2</v>
      </c>
      <c r="BT67" s="3028">
        <f t="shared" si="53"/>
        <v>4.188911704312126E-2</v>
      </c>
      <c r="BU67" s="3028">
        <f t="shared" si="53"/>
        <v>7.4288724973656572E-2</v>
      </c>
      <c r="BV67" s="3028">
        <f t="shared" si="53"/>
        <v>8.6837793555434084E-2</v>
      </c>
      <c r="BW67" s="3028">
        <f t="shared" si="53"/>
        <v>0.11593573599652629</v>
      </c>
      <c r="BX67" s="3028"/>
      <c r="BY67" s="1009">
        <f>BY66/AG66-1</f>
        <v>0.35997839589522007</v>
      </c>
      <c r="BZ67" s="1009">
        <f t="shared" ref="BZ67:CH67" si="54">BZ66/BY66-1</f>
        <v>9.9483717235901548E-2</v>
      </c>
      <c r="CA67" s="2829">
        <f t="shared" si="54"/>
        <v>0.11992053458551566</v>
      </c>
      <c r="CB67" s="2829">
        <f t="shared" si="54"/>
        <v>0.10772456055474922</v>
      </c>
      <c r="CC67" s="2829">
        <f t="shared" si="54"/>
        <v>-0.48886300771582469</v>
      </c>
      <c r="CD67" s="2829">
        <f t="shared" si="54"/>
        <v>0.87097692964967255</v>
      </c>
      <c r="CE67" s="2829">
        <f t="shared" si="54"/>
        <v>0.20855533566752937</v>
      </c>
      <c r="CF67" s="2829">
        <f t="shared" si="54"/>
        <v>2.6199773271192939E-2</v>
      </c>
      <c r="CG67" s="3372">
        <f t="shared" si="54"/>
        <v>2.7617527924389318E-2</v>
      </c>
      <c r="CH67" s="3372">
        <f t="shared" si="54"/>
        <v>4.0372670807453437E-2</v>
      </c>
      <c r="CI67" s="27"/>
      <c r="CJ67" s="27"/>
      <c r="CK67" s="27"/>
      <c r="CL67" s="27"/>
      <c r="CM67" s="27"/>
      <c r="CN67" s="27"/>
      <c r="CO67" s="27"/>
      <c r="CP67" s="27"/>
      <c r="CQ67" s="27"/>
      <c r="CR67" s="27"/>
      <c r="CS67" s="27"/>
      <c r="CT67" s="27"/>
      <c r="CU67" s="27"/>
      <c r="CV67" s="27"/>
      <c r="CW67" s="27"/>
      <c r="CX67" s="27"/>
      <c r="CY67" s="27"/>
      <c r="CZ67" s="27"/>
      <c r="DA67" s="27"/>
      <c r="DB67" s="27"/>
      <c r="DC67" s="27"/>
      <c r="DD67" s="27"/>
      <c r="DE67" s="27"/>
      <c r="DF67" s="27"/>
      <c r="DG67" s="27"/>
      <c r="DH67" s="27"/>
      <c r="DI67" s="27"/>
      <c r="DJ67" s="27"/>
      <c r="DK67" s="27"/>
      <c r="DL67" s="27"/>
      <c r="DM67" s="27"/>
      <c r="DN67" s="27"/>
      <c r="DO67" s="27"/>
      <c r="DP67" s="27"/>
      <c r="DQ67" s="27"/>
      <c r="DR67" s="27"/>
      <c r="DS67" s="27"/>
      <c r="DT67" s="27"/>
      <c r="DU67" s="27"/>
      <c r="DV67" s="27"/>
      <c r="DW67" s="27"/>
      <c r="DX67" s="27"/>
      <c r="DY67" s="27"/>
    </row>
    <row r="68" spans="1:129" s="654" customFormat="1" ht="11.5">
      <c r="A68" s="3439" t="s">
        <v>1369</v>
      </c>
      <c r="E68" s="3441"/>
      <c r="H68" s="705"/>
      <c r="I68" s="705"/>
      <c r="J68" s="705"/>
      <c r="K68" s="705"/>
      <c r="L68" s="3441"/>
      <c r="M68" s="658"/>
      <c r="N68" s="658"/>
      <c r="O68" s="658"/>
      <c r="P68" s="658"/>
      <c r="Q68" s="705"/>
      <c r="R68" s="705"/>
      <c r="S68" s="705"/>
      <c r="T68" s="658"/>
      <c r="U68" s="658"/>
      <c r="V68" s="705"/>
      <c r="W68" s="3448"/>
      <c r="X68" s="705"/>
      <c r="Y68" s="705"/>
      <c r="Z68" s="705"/>
      <c r="AA68" s="705"/>
      <c r="AB68" s="706"/>
      <c r="AC68" s="705"/>
      <c r="AD68" s="705"/>
      <c r="AE68" s="705"/>
      <c r="AF68" s="705"/>
      <c r="AG68" s="706"/>
      <c r="AH68" s="654">
        <f t="shared" ref="AH68:BI68" si="55">AH66/AH59</f>
        <v>0.58562123909050656</v>
      </c>
      <c r="AI68" s="654">
        <f t="shared" si="55"/>
        <v>0.57881412780088426</v>
      </c>
      <c r="AJ68" s="654">
        <f t="shared" si="55"/>
        <v>0.56220589289415912</v>
      </c>
      <c r="AK68" s="3441">
        <f t="shared" si="55"/>
        <v>0.57286192068800768</v>
      </c>
      <c r="AL68" s="654">
        <f t="shared" si="55"/>
        <v>0.57058017359524893</v>
      </c>
      <c r="AM68" s="654">
        <f t="shared" si="55"/>
        <v>0.56341840680587785</v>
      </c>
      <c r="AN68" s="654">
        <f t="shared" si="55"/>
        <v>0.53135536075522594</v>
      </c>
      <c r="AO68" s="3441">
        <f t="shared" si="55"/>
        <v>0.54118154376886585</v>
      </c>
      <c r="AP68" s="654">
        <f t="shared" si="55"/>
        <v>0.53867623604465709</v>
      </c>
      <c r="AQ68" s="654">
        <f t="shared" si="55"/>
        <v>0.56666666666666665</v>
      </c>
      <c r="AR68" s="654">
        <f t="shared" si="55"/>
        <v>0.54700854700854706</v>
      </c>
      <c r="AS68" s="654">
        <f t="shared" si="55"/>
        <v>0.5572489253614693</v>
      </c>
      <c r="AT68" s="2921">
        <f t="shared" si="55"/>
        <v>0.56573399770026833</v>
      </c>
      <c r="AU68" s="654">
        <f t="shared" si="55"/>
        <v>0.58293688550586742</v>
      </c>
      <c r="AV68" s="654">
        <f t="shared" si="55"/>
        <v>0.55705452501405284</v>
      </c>
      <c r="AW68" s="3441">
        <f t="shared" si="55"/>
        <v>0.57262468147069534</v>
      </c>
      <c r="AX68" s="2921">
        <f t="shared" si="55"/>
        <v>0.59619737437754639</v>
      </c>
      <c r="AY68" s="654">
        <f t="shared" si="55"/>
        <v>0.8180212014134276</v>
      </c>
      <c r="AZ68" s="654">
        <f t="shared" si="55"/>
        <v>0.68683510638297873</v>
      </c>
      <c r="BA68" s="654">
        <f t="shared" si="55"/>
        <v>0.75869565217391299</v>
      </c>
      <c r="BB68" s="2921">
        <f t="shared" si="55"/>
        <v>0.8033707865168539</v>
      </c>
      <c r="BC68" s="654">
        <f t="shared" si="55"/>
        <v>0.82235907153008048</v>
      </c>
      <c r="BD68" s="654">
        <f t="shared" si="55"/>
        <v>0.73497636731937876</v>
      </c>
      <c r="BE68" s="3441">
        <f t="shared" si="55"/>
        <v>0.7261956998683633</v>
      </c>
      <c r="BF68" s="654">
        <f t="shared" si="55"/>
        <v>0.73632725655847042</v>
      </c>
      <c r="BG68" s="654">
        <f t="shared" si="55"/>
        <v>0.69412134548883997</v>
      </c>
      <c r="BH68" s="654">
        <f t="shared" si="55"/>
        <v>0.65156120475269408</v>
      </c>
      <c r="BI68" s="3441">
        <f t="shared" si="55"/>
        <v>0.6558441558441559</v>
      </c>
      <c r="BJ68" s="654">
        <f t="shared" ref="BJ68:BO68" si="56">BJ66/BJ59</f>
        <v>0.65590994371482181</v>
      </c>
      <c r="BK68" s="3441">
        <f t="shared" si="56"/>
        <v>0.646813579511614</v>
      </c>
      <c r="BL68" s="3441">
        <f t="shared" si="56"/>
        <v>0.62102316110969713</v>
      </c>
      <c r="BM68" s="3441">
        <f t="shared" si="56"/>
        <v>0.61898164184274329</v>
      </c>
      <c r="BN68" s="3441">
        <f t="shared" si="56"/>
        <v>0.62062997577016266</v>
      </c>
      <c r="BO68" s="3441">
        <f t="shared" si="56"/>
        <v>0.63125351320966838</v>
      </c>
      <c r="BP68" s="3441">
        <f t="shared" ref="BP68:BV68" si="57">BP66/BP59</f>
        <v>0.59975369458128081</v>
      </c>
      <c r="BQ68" s="3446">
        <f t="shared" si="57"/>
        <v>0.59610552763819091</v>
      </c>
      <c r="BR68" s="3441">
        <f t="shared" si="57"/>
        <v>0.61278447121820612</v>
      </c>
      <c r="BS68" s="3441">
        <f t="shared" si="57"/>
        <v>0.60829371368198626</v>
      </c>
      <c r="BT68" s="3441">
        <f t="shared" si="57"/>
        <v>0.5750226654578422</v>
      </c>
      <c r="BU68" s="3441">
        <f t="shared" si="57"/>
        <v>0.57485198759515088</v>
      </c>
      <c r="BV68" s="3441">
        <f t="shared" si="57"/>
        <v>0.58085230589608872</v>
      </c>
      <c r="BW68" s="3441">
        <f t="shared" ref="BW68" si="58">BW66/BW59</f>
        <v>0.59559675550405566</v>
      </c>
      <c r="BX68" s="3441"/>
      <c r="BY68" s="3443">
        <f t="shared" ref="BY68:CE68" si="59">BY66/BY59</f>
        <v>0.57398587944586876</v>
      </c>
      <c r="BZ68" s="3443">
        <f t="shared" si="59"/>
        <v>0.55039761431411527</v>
      </c>
      <c r="CA68" s="2921">
        <f t="shared" si="59"/>
        <v>0.55252606255012027</v>
      </c>
      <c r="CB68" s="2921">
        <f t="shared" si="59"/>
        <v>0.56923841882820914</v>
      </c>
      <c r="CC68" s="2921">
        <f t="shared" si="59"/>
        <v>0.67532217734179645</v>
      </c>
      <c r="CD68" s="2921">
        <f t="shared" si="59"/>
        <v>0.76401488718306587</v>
      </c>
      <c r="CE68" s="2921">
        <f t="shared" si="59"/>
        <v>0.68046627239221735</v>
      </c>
      <c r="CF68" s="2921">
        <f>CF66/CF59</f>
        <v>0.63455097749045875</v>
      </c>
      <c r="CG68" s="3386">
        <f>CG66/CG59</f>
        <v>0.61149660360820979</v>
      </c>
      <c r="CH68" s="3386">
        <f>CH66/CH59</f>
        <v>0.59118984592411594</v>
      </c>
      <c r="CI68" s="38"/>
      <c r="CJ68" s="38"/>
      <c r="CK68" s="38"/>
      <c r="CL68" s="38"/>
      <c r="CM68" s="38"/>
      <c r="CN68" s="38"/>
      <c r="CO68" s="38"/>
      <c r="CP68" s="38"/>
      <c r="CQ68" s="38"/>
      <c r="CR68" s="38"/>
      <c r="CS68" s="38"/>
      <c r="CT68" s="38"/>
      <c r="CU68" s="38"/>
      <c r="CV68" s="38"/>
      <c r="CW68" s="38"/>
      <c r="CX68" s="38"/>
      <c r="CY68" s="38"/>
      <c r="CZ68" s="38"/>
      <c r="DA68" s="38"/>
      <c r="DB68" s="38"/>
      <c r="DC68" s="38"/>
      <c r="DD68" s="38"/>
      <c r="DE68" s="38"/>
      <c r="DF68" s="38"/>
      <c r="DG68" s="38"/>
      <c r="DH68" s="38"/>
      <c r="DI68" s="38"/>
      <c r="DJ68" s="38"/>
      <c r="DK68" s="38"/>
      <c r="DL68" s="38"/>
      <c r="DM68" s="38"/>
      <c r="DN68" s="38"/>
      <c r="DO68" s="38"/>
      <c r="DP68" s="38"/>
      <c r="DQ68" s="38"/>
      <c r="DR68" s="38"/>
      <c r="DS68" s="38"/>
      <c r="DT68" s="38"/>
      <c r="DU68" s="38"/>
      <c r="DV68" s="38"/>
      <c r="DW68" s="38"/>
      <c r="DX68" s="38"/>
      <c r="DY68" s="38"/>
    </row>
    <row r="69" spans="1:129" s="424" customFormat="1" ht="11.5">
      <c r="A69" s="1503" t="s">
        <v>1924</v>
      </c>
      <c r="E69" s="425"/>
      <c r="H69" s="427"/>
      <c r="I69" s="427"/>
      <c r="J69" s="427"/>
      <c r="K69" s="427"/>
      <c r="L69" s="425"/>
      <c r="M69" s="426"/>
      <c r="N69" s="426"/>
      <c r="O69" s="426"/>
      <c r="P69" s="426"/>
      <c r="Q69" s="427"/>
      <c r="R69" s="427"/>
      <c r="S69" s="427"/>
      <c r="T69" s="426"/>
      <c r="U69" s="426"/>
      <c r="V69" s="427"/>
      <c r="W69" s="428"/>
      <c r="X69" s="427"/>
      <c r="Y69" s="427"/>
      <c r="Z69" s="427"/>
      <c r="AA69" s="427"/>
      <c r="AB69" s="430"/>
      <c r="AC69" s="427"/>
      <c r="AD69" s="427"/>
      <c r="AE69" s="427"/>
      <c r="AF69" s="427"/>
      <c r="AG69" s="430"/>
      <c r="AH69" s="473">
        <f t="shared" ref="AH69:AW69" si="60">AH66/AH14</f>
        <v>9.0738932291666671E-2</v>
      </c>
      <c r="AI69" s="473">
        <f t="shared" si="60"/>
        <v>0.1043599638722391</v>
      </c>
      <c r="AJ69" s="473">
        <f t="shared" si="60"/>
        <v>0.12303909098617824</v>
      </c>
      <c r="AK69" s="486">
        <f t="shared" si="60"/>
        <v>0.11930348258706468</v>
      </c>
      <c r="AL69" s="473">
        <f t="shared" si="60"/>
        <v>8.2562136435748279E-2</v>
      </c>
      <c r="AM69" s="473">
        <f t="shared" si="60"/>
        <v>9.8913781398506456E-2</v>
      </c>
      <c r="AN69" s="473">
        <f t="shared" si="60"/>
        <v>0.11639586410635155</v>
      </c>
      <c r="AO69" s="486">
        <f t="shared" si="60"/>
        <v>0.10635593220338983</v>
      </c>
      <c r="AP69" s="473">
        <f t="shared" si="60"/>
        <v>8.1473887347726454E-2</v>
      </c>
      <c r="AQ69" s="473">
        <f t="shared" si="60"/>
        <v>0.1006599642262382</v>
      </c>
      <c r="AR69" s="473">
        <f t="shared" si="60"/>
        <v>0.11764705882352941</v>
      </c>
      <c r="AS69" s="473">
        <f t="shared" si="60"/>
        <v>0.10672055081574615</v>
      </c>
      <c r="AT69" s="2819">
        <f t="shared" si="60"/>
        <v>8.0379023035451719E-2</v>
      </c>
      <c r="AU69" s="473">
        <f t="shared" si="60"/>
        <v>0.10232713506291059</v>
      </c>
      <c r="AV69" s="473">
        <f t="shared" si="60"/>
        <v>0.11802536771273744</v>
      </c>
      <c r="AW69" s="486">
        <f t="shared" si="60"/>
        <v>0.10988473629060426</v>
      </c>
      <c r="AX69" s="2819"/>
      <c r="AY69" s="473"/>
      <c r="AZ69" s="473"/>
      <c r="BA69" s="473"/>
      <c r="BB69" s="2819"/>
      <c r="BC69" s="473"/>
      <c r="BD69" s="473"/>
      <c r="BE69" s="486"/>
      <c r="BF69" s="473"/>
      <c r="BG69" s="473"/>
      <c r="BH69" s="473"/>
      <c r="BI69" s="486"/>
      <c r="BJ69" s="473"/>
      <c r="BK69" s="473"/>
      <c r="BL69" s="473"/>
      <c r="BM69" s="486"/>
      <c r="BN69" s="473"/>
      <c r="BO69" s="486"/>
      <c r="BP69" s="486"/>
      <c r="BQ69" s="3334"/>
      <c r="BR69" s="473"/>
      <c r="BS69" s="473"/>
      <c r="BT69" s="473"/>
      <c r="BU69" s="473"/>
      <c r="BV69" s="473"/>
      <c r="BW69" s="473"/>
      <c r="BX69" s="473"/>
      <c r="BY69" s="489">
        <f>BY66/BY14</f>
        <v>9.8642587115350719E-2</v>
      </c>
      <c r="BZ69" s="489">
        <f>BZ66/BZ14</f>
        <v>0.10031160549295265</v>
      </c>
      <c r="CA69" s="2819">
        <f>CA66/CA14</f>
        <v>0.10101158187948982</v>
      </c>
      <c r="CB69" s="2819">
        <f>CB66/CB14</f>
        <v>0.10186407248676464</v>
      </c>
      <c r="CC69" s="2819"/>
      <c r="CD69" s="2819"/>
      <c r="CE69" s="98"/>
      <c r="CF69" s="98"/>
      <c r="CG69" s="98"/>
      <c r="CH69" s="98"/>
      <c r="CI69" s="27"/>
      <c r="CJ69" s="27"/>
      <c r="CK69" s="27"/>
      <c r="CL69" s="27"/>
      <c r="CM69" s="27"/>
      <c r="CN69" s="27"/>
      <c r="CO69" s="27"/>
      <c r="CP69" s="27"/>
      <c r="CQ69" s="27"/>
      <c r="CR69" s="27"/>
      <c r="CS69" s="27"/>
      <c r="CT69" s="27"/>
      <c r="CU69" s="27"/>
      <c r="CV69" s="27"/>
      <c r="CW69" s="27"/>
      <c r="CX69" s="27"/>
      <c r="CY69" s="27"/>
      <c r="CZ69" s="27"/>
      <c r="DA69" s="27"/>
      <c r="DB69" s="27"/>
      <c r="DC69" s="27"/>
      <c r="DD69" s="27"/>
      <c r="DE69" s="27"/>
      <c r="DF69" s="27"/>
      <c r="DG69" s="27"/>
      <c r="DH69" s="27"/>
      <c r="DI69" s="27"/>
      <c r="DJ69" s="27"/>
      <c r="DK69" s="27"/>
      <c r="DL69" s="27"/>
      <c r="DM69" s="27"/>
      <c r="DN69" s="27"/>
      <c r="DO69" s="27"/>
      <c r="DP69" s="27"/>
      <c r="DQ69" s="27"/>
      <c r="DR69" s="27"/>
      <c r="DS69" s="27"/>
      <c r="DT69" s="27"/>
      <c r="DU69" s="27"/>
      <c r="DV69" s="27"/>
      <c r="DW69" s="27"/>
      <c r="DX69" s="27"/>
      <c r="DY69" s="27"/>
    </row>
    <row r="70" spans="1:129" s="3045" customFormat="1" ht="11.5">
      <c r="A70" s="2956" t="s">
        <v>2715</v>
      </c>
      <c r="E70" s="3046"/>
      <c r="H70" s="3047"/>
      <c r="I70" s="3047"/>
      <c r="J70" s="3047"/>
      <c r="K70" s="3047"/>
      <c r="L70" s="3046"/>
      <c r="M70" s="3049"/>
      <c r="N70" s="3049"/>
      <c r="O70" s="3049"/>
      <c r="P70" s="3049"/>
      <c r="Q70" s="3047"/>
      <c r="R70" s="3047"/>
      <c r="S70" s="3047"/>
      <c r="T70" s="3049"/>
      <c r="U70" s="3049"/>
      <c r="V70" s="3047"/>
      <c r="W70" s="3050"/>
      <c r="X70" s="3047"/>
      <c r="Y70" s="3047"/>
      <c r="Z70" s="3047"/>
      <c r="AA70" s="3047"/>
      <c r="AB70" s="3051"/>
      <c r="AC70" s="3047"/>
      <c r="AD70" s="3047"/>
      <c r="AE70" s="3047"/>
      <c r="AF70" s="3047"/>
      <c r="AG70" s="3051"/>
      <c r="AH70" s="3059"/>
      <c r="AI70" s="3059"/>
      <c r="AJ70" s="3059"/>
      <c r="AK70" s="3060"/>
      <c r="AL70" s="3059"/>
      <c r="AM70" s="3059"/>
      <c r="AN70" s="3059"/>
      <c r="AO70" s="3060"/>
      <c r="AP70" s="3059"/>
      <c r="AQ70" s="3059"/>
      <c r="AR70" s="3059"/>
      <c r="AS70" s="3059"/>
      <c r="AT70" s="3061"/>
      <c r="AU70" s="3059"/>
      <c r="AV70" s="3059"/>
      <c r="AW70" s="3060"/>
      <c r="AX70" s="3061"/>
      <c r="AY70" s="3059"/>
      <c r="AZ70" s="3059"/>
      <c r="BA70" s="3059"/>
      <c r="BB70" s="3061"/>
      <c r="BC70" s="3059"/>
      <c r="BD70" s="3059"/>
      <c r="BE70" s="3060"/>
      <c r="BF70" s="3059"/>
      <c r="BG70" s="3059"/>
      <c r="BH70" s="3059"/>
      <c r="BI70" s="3056">
        <f>BI66/AW66-1</f>
        <v>9.1544818817546059E-2</v>
      </c>
      <c r="BJ70" s="3055">
        <f>BJ66/AT66-1</f>
        <v>0.18428184281842808</v>
      </c>
      <c r="BK70" s="3056">
        <f>BK66/AU66-1</f>
        <v>0.18171926006528838</v>
      </c>
      <c r="BL70" s="3056">
        <f>BL66/AV66-1</f>
        <v>0.23107971745711398</v>
      </c>
      <c r="BM70" s="3056">
        <f>BM66/AW66-1</f>
        <v>0.13604577240940885</v>
      </c>
      <c r="BN70" s="3055"/>
      <c r="BO70" s="3056">
        <f>BO66/AU66-1</f>
        <v>0.22198041349292708</v>
      </c>
      <c r="BP70" s="3056">
        <f>BP66/AV66-1</f>
        <v>0.22855701311806254</v>
      </c>
      <c r="BQ70" s="3056">
        <f>BQ66/AW66-1</f>
        <v>0.20661157024793386</v>
      </c>
      <c r="BR70" s="3056">
        <f>BR66/AT66-1</f>
        <v>0.24051490514905138</v>
      </c>
      <c r="BS70" s="3056">
        <f>BS66/AU66-1</f>
        <v>0.25299238302502713</v>
      </c>
      <c r="BT70" s="3056">
        <f>BT66/AV66-1</f>
        <v>0.28002018163471232</v>
      </c>
      <c r="BU70" s="3056">
        <f>BU66/AW66-1</f>
        <v>0.29624920534011445</v>
      </c>
      <c r="BV70" s="3056">
        <f>BV66/AT66-1</f>
        <v>0.34823848238482391</v>
      </c>
      <c r="BW70" s="3056">
        <f>BW66/AU66-1</f>
        <v>0.39825897714907499</v>
      </c>
      <c r="BX70" s="97"/>
      <c r="BY70" s="3062"/>
      <c r="BZ70" s="3062"/>
      <c r="CA70" s="3061"/>
      <c r="CB70" s="3061"/>
      <c r="CC70" s="3061"/>
      <c r="CD70" s="3061"/>
      <c r="CE70" s="3054"/>
      <c r="CF70" s="3054"/>
      <c r="CG70" s="3054"/>
      <c r="CH70" s="3054"/>
      <c r="CI70" s="3055"/>
      <c r="CJ70" s="3055"/>
      <c r="CK70" s="3055"/>
      <c r="CL70" s="3055"/>
      <c r="CM70" s="3055"/>
      <c r="CN70" s="3055"/>
      <c r="CO70" s="3055"/>
      <c r="CP70" s="3055"/>
      <c r="CQ70" s="3055"/>
      <c r="CR70" s="3055"/>
      <c r="CS70" s="3055"/>
      <c r="CT70" s="3055"/>
      <c r="CU70" s="3055"/>
      <c r="CV70" s="3055"/>
      <c r="CW70" s="3055"/>
      <c r="CX70" s="3055"/>
      <c r="CY70" s="3055"/>
      <c r="CZ70" s="3055"/>
      <c r="DA70" s="3055"/>
      <c r="DB70" s="3055"/>
      <c r="DC70" s="3055"/>
      <c r="DD70" s="3055"/>
      <c r="DE70" s="3055"/>
      <c r="DF70" s="3055"/>
      <c r="DG70" s="3055"/>
      <c r="DH70" s="3055"/>
      <c r="DI70" s="3055"/>
      <c r="DJ70" s="3055"/>
      <c r="DK70" s="3055"/>
      <c r="DL70" s="3055"/>
      <c r="DM70" s="3055"/>
      <c r="DN70" s="3055"/>
      <c r="DO70" s="3055"/>
      <c r="DP70" s="3055"/>
      <c r="DQ70" s="3055"/>
      <c r="DR70" s="3055"/>
      <c r="DS70" s="3055"/>
      <c r="DT70" s="3055"/>
      <c r="DU70" s="3055"/>
      <c r="DV70" s="3055"/>
      <c r="DW70" s="3055"/>
      <c r="DX70" s="3055"/>
      <c r="DY70" s="3055"/>
    </row>
    <row r="71" spans="1:129" s="1795" customFormat="1" ht="11.5">
      <c r="A71" s="1505" t="s">
        <v>1365</v>
      </c>
      <c r="B71" s="1853"/>
      <c r="C71" s="1853"/>
      <c r="D71" s="1853"/>
      <c r="E71" s="1854"/>
      <c r="F71" s="1855"/>
      <c r="G71" s="1855"/>
      <c r="H71" s="1855"/>
      <c r="I71" s="1855"/>
      <c r="J71" s="1855"/>
      <c r="K71" s="1855"/>
      <c r="L71" s="1856"/>
      <c r="M71" s="1855"/>
      <c r="N71" s="1855"/>
      <c r="O71" s="1855"/>
      <c r="P71" s="1855"/>
      <c r="Q71" s="1855"/>
      <c r="R71" s="1855"/>
      <c r="S71" s="1855"/>
      <c r="T71" s="1855"/>
      <c r="U71" s="1855"/>
      <c r="V71" s="1855"/>
      <c r="W71" s="1857"/>
      <c r="Y71" s="1793"/>
      <c r="Z71" s="1793"/>
      <c r="AA71" s="1793"/>
      <c r="AB71" s="1858"/>
      <c r="AC71" s="1859">
        <v>605</v>
      </c>
      <c r="AD71" s="1859">
        <v>745</v>
      </c>
      <c r="AE71" s="1859">
        <v>890</v>
      </c>
      <c r="AF71" s="1859">
        <v>721</v>
      </c>
      <c r="AG71" s="1860">
        <v>2928</v>
      </c>
      <c r="AH71" s="1859">
        <v>789</v>
      </c>
      <c r="AI71" s="1859">
        <v>924</v>
      </c>
      <c r="AJ71" s="1859">
        <v>1130</v>
      </c>
      <c r="AK71" s="1860">
        <v>893</v>
      </c>
      <c r="AL71" s="1859">
        <v>940</v>
      </c>
      <c r="AM71" s="1859">
        <v>1129</v>
      </c>
      <c r="AN71" s="1859">
        <v>1390</v>
      </c>
      <c r="AO71" s="1860">
        <v>1065</v>
      </c>
      <c r="AP71" s="1859">
        <v>1157</v>
      </c>
      <c r="AQ71" s="1859">
        <v>1248</v>
      </c>
      <c r="AR71" s="1859">
        <v>1484</v>
      </c>
      <c r="AS71" s="1859">
        <v>1133</v>
      </c>
      <c r="AT71" s="2835">
        <v>1133</v>
      </c>
      <c r="AU71" s="1859">
        <v>1315</v>
      </c>
      <c r="AV71" s="1859">
        <v>1576</v>
      </c>
      <c r="AW71" s="1860">
        <v>1174</v>
      </c>
      <c r="AX71" s="2835">
        <v>892</v>
      </c>
      <c r="AY71" s="1859">
        <v>103</v>
      </c>
      <c r="AZ71" s="1859">
        <v>471</v>
      </c>
      <c r="BA71" s="1859">
        <v>222</v>
      </c>
      <c r="BB71" s="2835">
        <v>245</v>
      </c>
      <c r="BC71" s="1859">
        <v>375</v>
      </c>
      <c r="BD71" s="1859">
        <v>785</v>
      </c>
      <c r="BE71" s="1860">
        <v>624</v>
      </c>
      <c r="BF71" s="1859">
        <v>593</v>
      </c>
      <c r="BG71" s="1859">
        <v>973</v>
      </c>
      <c r="BH71" s="1859">
        <v>1261</v>
      </c>
      <c r="BI71" s="1860">
        <v>901</v>
      </c>
      <c r="BJ71" s="1859">
        <v>917</v>
      </c>
      <c r="BK71" s="1859">
        <v>1186</v>
      </c>
      <c r="BL71" s="1859">
        <v>1489</v>
      </c>
      <c r="BM71" s="1860">
        <v>1100</v>
      </c>
      <c r="BN71" s="1859">
        <v>1096</v>
      </c>
      <c r="BO71" s="1860">
        <v>1312</v>
      </c>
      <c r="BP71" s="1860">
        <v>1625</v>
      </c>
      <c r="BQ71" s="1794">
        <v>1286</v>
      </c>
      <c r="BR71" s="1859">
        <v>1157</v>
      </c>
      <c r="BS71" s="1859">
        <v>1483</v>
      </c>
      <c r="BT71" s="1859">
        <v>1875</v>
      </c>
      <c r="BU71" s="1859">
        <v>1508</v>
      </c>
      <c r="BV71" s="1859">
        <v>1436</v>
      </c>
      <c r="BW71" s="1859">
        <v>1745</v>
      </c>
      <c r="BX71" s="1859"/>
      <c r="BY71" s="1861">
        <v>3736</v>
      </c>
      <c r="BZ71" s="1861">
        <v>4524</v>
      </c>
      <c r="CA71" s="1837">
        <f>SUM(AP71:AS71)</f>
        <v>5022</v>
      </c>
      <c r="CB71" s="1837">
        <v>5198</v>
      </c>
      <c r="CC71" s="1837">
        <v>1688</v>
      </c>
      <c r="CD71" s="1837">
        <v>2029</v>
      </c>
      <c r="CE71" s="2934">
        <f>SUM(BF71:BI71)</f>
        <v>3728</v>
      </c>
      <c r="CF71" s="2934">
        <v>4692</v>
      </c>
      <c r="CG71" s="2934">
        <v>5319</v>
      </c>
      <c r="CH71" s="2934">
        <v>6023</v>
      </c>
      <c r="CI71" s="1839"/>
      <c r="CJ71" s="1839"/>
      <c r="CK71" s="1839"/>
      <c r="CL71" s="1839"/>
      <c r="CM71" s="1839"/>
      <c r="CN71" s="1839"/>
      <c r="CO71" s="1839"/>
      <c r="CP71" s="1839"/>
      <c r="CQ71" s="1839"/>
      <c r="CR71" s="1839"/>
      <c r="CS71" s="1839"/>
      <c r="CT71" s="1839"/>
      <c r="CU71" s="1839"/>
      <c r="CV71" s="1839"/>
      <c r="CW71" s="1839"/>
      <c r="CX71" s="1839"/>
      <c r="CY71" s="1839"/>
      <c r="CZ71" s="1839"/>
      <c r="DA71" s="1839"/>
      <c r="DB71" s="1839"/>
      <c r="DC71" s="1839"/>
      <c r="DD71" s="1839"/>
      <c r="DE71" s="1839"/>
      <c r="DF71" s="1839"/>
      <c r="DG71" s="1839"/>
      <c r="DH71" s="1839"/>
      <c r="DI71" s="1839"/>
      <c r="DJ71" s="1839"/>
      <c r="DK71" s="1839"/>
      <c r="DL71" s="1839"/>
      <c r="DM71" s="1839"/>
      <c r="DN71" s="1839"/>
      <c r="DO71" s="1839"/>
      <c r="DP71" s="1839"/>
      <c r="DQ71" s="1839"/>
      <c r="DR71" s="1839"/>
      <c r="DS71" s="1839"/>
      <c r="DT71" s="1839"/>
      <c r="DU71" s="1839"/>
      <c r="DV71" s="1839"/>
      <c r="DW71" s="1839"/>
      <c r="DX71" s="1839"/>
      <c r="DY71" s="1839"/>
    </row>
    <row r="72" spans="1:129" s="987" customFormat="1">
      <c r="A72" s="1504" t="s">
        <v>1326</v>
      </c>
      <c r="E72" s="468"/>
      <c r="H72" s="1474"/>
      <c r="I72" s="1474"/>
      <c r="J72" s="1474"/>
      <c r="K72" s="1474"/>
      <c r="L72" s="468"/>
      <c r="M72" s="998"/>
      <c r="N72" s="998"/>
      <c r="O72" s="998"/>
      <c r="P72" s="998"/>
      <c r="Q72" s="1474"/>
      <c r="R72" s="1474"/>
      <c r="S72" s="1474"/>
      <c r="T72" s="998"/>
      <c r="U72" s="998"/>
      <c r="V72" s="1474"/>
      <c r="W72" s="1515"/>
      <c r="X72" s="1474"/>
      <c r="Y72" s="1474"/>
      <c r="Z72" s="1474"/>
      <c r="AA72" s="1474"/>
      <c r="AB72" s="478"/>
      <c r="AC72" s="1474"/>
      <c r="AD72" s="1474"/>
      <c r="AE72" s="1474"/>
      <c r="AF72" s="1474"/>
      <c r="AG72" s="478"/>
      <c r="AH72" s="988">
        <f>AH71/AC71-1</f>
        <v>0.3041322314049586</v>
      </c>
      <c r="AI72" s="988">
        <f>AI71/AD71-1</f>
        <v>0.24026845637583882</v>
      </c>
      <c r="AJ72" s="988">
        <f>AJ71/AE71-1</f>
        <v>0.2696629213483146</v>
      </c>
      <c r="AK72" s="989">
        <f>AK71/AF71-1</f>
        <v>0.23855755894590835</v>
      </c>
      <c r="AL72" s="988">
        <f t="shared" ref="AL72:AS72" si="61">AL71/AH71-1</f>
        <v>0.19138149556400497</v>
      </c>
      <c r="AM72" s="988">
        <f t="shared" si="61"/>
        <v>0.22186147186147176</v>
      </c>
      <c r="AN72" s="988">
        <f t="shared" si="61"/>
        <v>0.23008849557522115</v>
      </c>
      <c r="AO72" s="989">
        <f t="shared" si="61"/>
        <v>0.19260918253079518</v>
      </c>
      <c r="AP72" s="988">
        <f t="shared" si="61"/>
        <v>0.23085106382978715</v>
      </c>
      <c r="AQ72" s="988">
        <f t="shared" si="61"/>
        <v>0.10540301151461473</v>
      </c>
      <c r="AR72" s="988">
        <f t="shared" si="61"/>
        <v>6.7625899280575608E-2</v>
      </c>
      <c r="AS72" s="988">
        <f t="shared" si="61"/>
        <v>6.3849765258215951E-2</v>
      </c>
      <c r="AT72" s="2829">
        <f t="shared" ref="AT72:AY72" si="62">AT71/AP71-1</f>
        <v>-2.074330164217808E-2</v>
      </c>
      <c r="AU72" s="988">
        <f t="shared" si="62"/>
        <v>5.3685897435897356E-2</v>
      </c>
      <c r="AV72" s="988">
        <f t="shared" si="62"/>
        <v>6.1994609164420567E-2</v>
      </c>
      <c r="AW72" s="989">
        <f t="shared" si="62"/>
        <v>3.6187113857016673E-2</v>
      </c>
      <c r="AX72" s="2829">
        <f t="shared" si="62"/>
        <v>-0.21270962047661079</v>
      </c>
      <c r="AY72" s="988">
        <f t="shared" si="62"/>
        <v>-0.92167300380228134</v>
      </c>
      <c r="AZ72" s="988">
        <f>AZ71/AV71-1</f>
        <v>-0.70114213197969544</v>
      </c>
      <c r="BA72" s="988">
        <f>BA71/AW71-1</f>
        <v>-0.81090289608177168</v>
      </c>
      <c r="BB72" s="2829">
        <f>BB71/AX71-1</f>
        <v>-0.7253363228699552</v>
      </c>
      <c r="BC72" s="988">
        <f>BC71/AY71-1</f>
        <v>2.6407766990291264</v>
      </c>
      <c r="BD72" s="988">
        <v>0.67</v>
      </c>
      <c r="BE72" s="989">
        <v>1.82</v>
      </c>
      <c r="BF72" s="988">
        <v>1.42</v>
      </c>
      <c r="BG72" s="988">
        <f t="shared" ref="BG72:BW72" si="63">BG71/BC71-1</f>
        <v>1.5946666666666665</v>
      </c>
      <c r="BH72" s="988">
        <f t="shared" si="63"/>
        <v>0.60636942675159244</v>
      </c>
      <c r="BI72" s="989">
        <f t="shared" si="63"/>
        <v>0.44391025641025639</v>
      </c>
      <c r="BJ72" s="988">
        <f t="shared" si="63"/>
        <v>0.54637436762225966</v>
      </c>
      <c r="BK72" s="989">
        <f t="shared" si="63"/>
        <v>0.21891058581706058</v>
      </c>
      <c r="BL72" s="989">
        <f t="shared" si="63"/>
        <v>0.1808088818398097</v>
      </c>
      <c r="BM72" s="989">
        <f t="shared" si="63"/>
        <v>0.22086570477247514</v>
      </c>
      <c r="BN72" s="989">
        <f t="shared" si="63"/>
        <v>0.19520174482006536</v>
      </c>
      <c r="BO72" s="989">
        <f t="shared" si="63"/>
        <v>0.10623946037099485</v>
      </c>
      <c r="BP72" s="989">
        <f t="shared" si="63"/>
        <v>9.133646742780388E-2</v>
      </c>
      <c r="BQ72" s="3335">
        <f t="shared" si="63"/>
        <v>0.16909090909090918</v>
      </c>
      <c r="BR72" s="3028">
        <f t="shared" si="63"/>
        <v>5.5656934306569372E-2</v>
      </c>
      <c r="BS72" s="3028">
        <f t="shared" si="63"/>
        <v>0.13033536585365857</v>
      </c>
      <c r="BT72" s="3028">
        <f t="shared" si="63"/>
        <v>0.15384615384615374</v>
      </c>
      <c r="BU72" s="3028">
        <f t="shared" si="63"/>
        <v>0.17262830482115077</v>
      </c>
      <c r="BV72" s="3028">
        <f t="shared" si="63"/>
        <v>0.24114088159031977</v>
      </c>
      <c r="BW72" s="3028">
        <f t="shared" si="63"/>
        <v>0.17666891436277821</v>
      </c>
      <c r="BX72" s="3028"/>
      <c r="BY72" s="1009">
        <f>BY71/AG71-1</f>
        <v>0.27595628415300544</v>
      </c>
      <c r="BZ72" s="1009">
        <f t="shared" ref="BZ72:CH72" si="64">BZ71/BY71-1</f>
        <v>0.21092077087794436</v>
      </c>
      <c r="CA72" s="2829">
        <f t="shared" si="64"/>
        <v>0.11007957559681691</v>
      </c>
      <c r="CB72" s="2829">
        <f t="shared" si="64"/>
        <v>3.5045798486658786E-2</v>
      </c>
      <c r="CC72" s="2829">
        <f t="shared" si="64"/>
        <v>-0.67525971527510587</v>
      </c>
      <c r="CD72" s="2829">
        <f t="shared" si="64"/>
        <v>0.20201421800947861</v>
      </c>
      <c r="CE72" s="2829">
        <f t="shared" si="64"/>
        <v>0.83735830458353866</v>
      </c>
      <c r="CF72" s="2829">
        <f t="shared" si="64"/>
        <v>0.25858369098712441</v>
      </c>
      <c r="CG72" s="3372">
        <f t="shared" si="64"/>
        <v>0.13363171355498715</v>
      </c>
      <c r="CH72" s="3372">
        <f t="shared" si="64"/>
        <v>0.13235570595976687</v>
      </c>
      <c r="CI72" s="27"/>
      <c r="CJ72" s="27"/>
      <c r="CK72" s="27"/>
      <c r="CL72" s="27"/>
      <c r="CM72" s="27"/>
      <c r="CN72" s="27"/>
      <c r="CO72" s="27"/>
      <c r="CP72" s="27"/>
      <c r="CQ72" s="27"/>
      <c r="CR72" s="27"/>
      <c r="CS72" s="27"/>
      <c r="CT72" s="27"/>
      <c r="CU72" s="27"/>
      <c r="CV72" s="27"/>
      <c r="CW72" s="27"/>
      <c r="CX72" s="27"/>
      <c r="CY72" s="27"/>
      <c r="CZ72" s="27"/>
      <c r="DA72" s="27"/>
      <c r="DB72" s="27"/>
      <c r="DC72" s="27"/>
      <c r="DD72" s="27"/>
      <c r="DE72" s="27"/>
      <c r="DF72" s="27"/>
      <c r="DG72" s="27"/>
      <c r="DH72" s="27"/>
      <c r="DI72" s="27"/>
      <c r="DJ72" s="27"/>
      <c r="DK72" s="27"/>
      <c r="DL72" s="27"/>
      <c r="DM72" s="27"/>
      <c r="DN72" s="27"/>
      <c r="DO72" s="27"/>
      <c r="DP72" s="27"/>
      <c r="DQ72" s="27"/>
      <c r="DR72" s="27"/>
      <c r="DS72" s="27"/>
      <c r="DT72" s="27"/>
      <c r="DU72" s="27"/>
      <c r="DV72" s="27"/>
      <c r="DW72" s="27"/>
      <c r="DX72" s="27"/>
      <c r="DY72" s="27"/>
    </row>
    <row r="73" spans="1:129" s="38" customFormat="1" ht="11.5">
      <c r="A73" s="3449" t="s">
        <v>1328</v>
      </c>
      <c r="E73" s="1548"/>
      <c r="H73" s="666"/>
      <c r="I73" s="666"/>
      <c r="J73" s="666"/>
      <c r="K73" s="666"/>
      <c r="L73" s="1548"/>
      <c r="M73" s="3450"/>
      <c r="N73" s="3450"/>
      <c r="O73" s="3450"/>
      <c r="P73" s="3450"/>
      <c r="Q73" s="666"/>
      <c r="R73" s="666"/>
      <c r="S73" s="666"/>
      <c r="T73" s="3450"/>
      <c r="U73" s="3450"/>
      <c r="V73" s="666"/>
      <c r="W73" s="3451"/>
      <c r="X73" s="666"/>
      <c r="Y73" s="666"/>
      <c r="Z73" s="666"/>
      <c r="AA73" s="666"/>
      <c r="AB73" s="1007"/>
      <c r="AC73" s="666"/>
      <c r="AD73" s="666"/>
      <c r="AE73" s="666"/>
      <c r="AF73" s="666"/>
      <c r="AG73" s="1007"/>
      <c r="AH73" s="38">
        <f t="shared" ref="AH73:AT73" si="65">AH71/AH59</f>
        <v>0.4143992445223405</v>
      </c>
      <c r="AI73" s="38">
        <f t="shared" si="65"/>
        <v>0.42079012910150831</v>
      </c>
      <c r="AJ73" s="38">
        <f t="shared" si="65"/>
        <v>0.43783091589965534</v>
      </c>
      <c r="AK73" s="1548">
        <f t="shared" si="65"/>
        <v>0.4266602962255136</v>
      </c>
      <c r="AL73" s="38">
        <f t="shared" si="65"/>
        <v>0.42941982640475101</v>
      </c>
      <c r="AM73" s="38">
        <f t="shared" si="65"/>
        <v>0.43658159319412221</v>
      </c>
      <c r="AN73" s="38">
        <f t="shared" si="65"/>
        <v>0.46864463924477412</v>
      </c>
      <c r="AO73" s="1548">
        <f t="shared" si="65"/>
        <v>0.45924967658473481</v>
      </c>
      <c r="AP73" s="38">
        <f t="shared" si="65"/>
        <v>0.46132376395534291</v>
      </c>
      <c r="AQ73" s="38">
        <f t="shared" si="65"/>
        <v>0.43333333333333335</v>
      </c>
      <c r="AR73" s="38">
        <f t="shared" si="65"/>
        <v>0.45299145299145299</v>
      </c>
      <c r="AS73" s="38">
        <f t="shared" si="65"/>
        <v>0.4427510746385307</v>
      </c>
      <c r="AT73" s="3413">
        <f t="shared" si="65"/>
        <v>0.43426600229973172</v>
      </c>
      <c r="AU73" s="38">
        <f>AU71/AU59</f>
        <v>0.41706311449413258</v>
      </c>
      <c r="AV73" s="38">
        <f>AV71/AV59</f>
        <v>0.44294547498594716</v>
      </c>
      <c r="AW73" s="1548">
        <f>AW71/AW59</f>
        <v>0.42737531852930472</v>
      </c>
      <c r="AX73" s="3413">
        <f>AX71/AX59</f>
        <v>0.40380262562245361</v>
      </c>
      <c r="AY73" s="38">
        <f>AY71/AY59</f>
        <v>0.18197879858657243</v>
      </c>
      <c r="AZ73" s="38">
        <f t="shared" ref="AZ73:BF73" si="66">AZ71/AZ59</f>
        <v>0.31316489361702127</v>
      </c>
      <c r="BA73" s="38">
        <f t="shared" si="66"/>
        <v>0.24130434782608695</v>
      </c>
      <c r="BB73" s="3413">
        <f t="shared" si="66"/>
        <v>0.19662921348314608</v>
      </c>
      <c r="BC73" s="38">
        <f t="shared" si="66"/>
        <v>0.17764092846991947</v>
      </c>
      <c r="BD73" s="38">
        <f t="shared" si="66"/>
        <v>0.26502363268062118</v>
      </c>
      <c r="BE73" s="1548">
        <f t="shared" si="66"/>
        <v>0.2738043001316367</v>
      </c>
      <c r="BF73" s="38">
        <f t="shared" si="66"/>
        <v>0.26367274344152958</v>
      </c>
      <c r="BG73" s="38">
        <f t="shared" ref="BG73:BL73" si="67">BG71/BG59</f>
        <v>0.30587865451116003</v>
      </c>
      <c r="BH73" s="38">
        <f t="shared" si="67"/>
        <v>0.34843879524730587</v>
      </c>
      <c r="BI73" s="1548">
        <f t="shared" si="67"/>
        <v>0.34415584415584416</v>
      </c>
      <c r="BJ73" s="38">
        <f t="shared" si="67"/>
        <v>0.34409005628517825</v>
      </c>
      <c r="BK73" s="1548">
        <f t="shared" si="67"/>
        <v>0.35318642048838594</v>
      </c>
      <c r="BL73" s="1548">
        <f t="shared" si="67"/>
        <v>0.37897683889030287</v>
      </c>
      <c r="BM73" s="1548">
        <f t="shared" ref="BM73:BR73" si="68">BM71/BM59</f>
        <v>0.38101835815725665</v>
      </c>
      <c r="BN73" s="1548">
        <f t="shared" si="68"/>
        <v>0.37937002422983729</v>
      </c>
      <c r="BO73" s="1548">
        <f t="shared" si="68"/>
        <v>0.36874648679033167</v>
      </c>
      <c r="BP73" s="1548">
        <f t="shared" si="68"/>
        <v>0.40024630541871919</v>
      </c>
      <c r="BQ73" s="1548">
        <f t="shared" si="68"/>
        <v>0.40389447236180903</v>
      </c>
      <c r="BR73" s="1548">
        <f t="shared" si="68"/>
        <v>0.38721552878179383</v>
      </c>
      <c r="BS73" s="1548">
        <f>BS71/BS59</f>
        <v>0.39170628631801374</v>
      </c>
      <c r="BT73" s="1548">
        <f>BT71/BT59</f>
        <v>0.42497733454215775</v>
      </c>
      <c r="BU73" s="1548">
        <f>BU71/BU59</f>
        <v>0.42514801240484917</v>
      </c>
      <c r="BV73" s="1548">
        <f>BV71/BV59</f>
        <v>0.41914769410391128</v>
      </c>
      <c r="BW73" s="1548">
        <f>BW71/BW59</f>
        <v>0.40440324449594439</v>
      </c>
      <c r="BX73" s="1548"/>
      <c r="BY73" s="3452">
        <f t="shared" ref="BY73:CE73" si="69">BY71/BY59</f>
        <v>0.42581637124896066</v>
      </c>
      <c r="BZ73" s="3442">
        <f t="shared" si="69"/>
        <v>0.44970178926441351</v>
      </c>
      <c r="CA73" s="3413">
        <f t="shared" si="69"/>
        <v>0.44747393744987973</v>
      </c>
      <c r="CB73" s="3413">
        <f t="shared" si="69"/>
        <v>0.43076158117179081</v>
      </c>
      <c r="CC73" s="3413">
        <f t="shared" si="69"/>
        <v>0.3246778226582035</v>
      </c>
      <c r="CD73" s="3413">
        <f t="shared" si="69"/>
        <v>0.23598511281693418</v>
      </c>
      <c r="CE73" s="3413">
        <f t="shared" si="69"/>
        <v>0.31953372760778265</v>
      </c>
      <c r="CF73" s="3413">
        <f>CF71/CF59</f>
        <v>0.36544902250954125</v>
      </c>
      <c r="CG73" s="3413">
        <f>CG71/CG59</f>
        <v>0.38850339639179021</v>
      </c>
      <c r="CH73" s="3413">
        <f>CH71/CH59</f>
        <v>0.40881015407588406</v>
      </c>
    </row>
    <row r="74" spans="1:129" s="424" customFormat="1" ht="11.5">
      <c r="A74" s="1503" t="s">
        <v>1923</v>
      </c>
      <c r="E74" s="425"/>
      <c r="H74" s="427"/>
      <c r="I74" s="427"/>
      <c r="J74" s="427"/>
      <c r="K74" s="427"/>
      <c r="L74" s="425"/>
      <c r="M74" s="426"/>
      <c r="N74" s="426"/>
      <c r="O74" s="426"/>
      <c r="P74" s="426"/>
      <c r="Q74" s="427"/>
      <c r="R74" s="427"/>
      <c r="S74" s="427"/>
      <c r="T74" s="426"/>
      <c r="U74" s="426"/>
      <c r="V74" s="427"/>
      <c r="W74" s="428"/>
      <c r="X74" s="427"/>
      <c r="Y74" s="427"/>
      <c r="Z74" s="427"/>
      <c r="AA74" s="427"/>
      <c r="AB74" s="430"/>
      <c r="AC74" s="427"/>
      <c r="AD74" s="427"/>
      <c r="AE74" s="427"/>
      <c r="AF74" s="427"/>
      <c r="AG74" s="430"/>
      <c r="AH74" s="211">
        <f t="shared" ref="AH74:AS74" si="70">AH71/AH17</f>
        <v>0.11965423111919928</v>
      </c>
      <c r="AI74" s="211">
        <f t="shared" si="70"/>
        <v>0.1382819515115235</v>
      </c>
      <c r="AJ74" s="211">
        <f t="shared" si="70"/>
        <v>0.16634771087884587</v>
      </c>
      <c r="AK74" s="446">
        <f t="shared" si="70"/>
        <v>0.14750578130161876</v>
      </c>
      <c r="AL74" s="211">
        <f t="shared" si="70"/>
        <v>0.11080985500412589</v>
      </c>
      <c r="AM74" s="211">
        <f t="shared" si="70"/>
        <v>0.13924518993586582</v>
      </c>
      <c r="AN74" s="211">
        <f t="shared" si="70"/>
        <v>0.16056370567171074</v>
      </c>
      <c r="AO74" s="446">
        <f t="shared" si="70"/>
        <v>0.13369319608335425</v>
      </c>
      <c r="AP74" s="211">
        <f t="shared" si="70"/>
        <v>0.10900697192387412</v>
      </c>
      <c r="AQ74" s="211">
        <f t="shared" si="70"/>
        <v>0.12885906040268458</v>
      </c>
      <c r="AR74" s="211">
        <f t="shared" si="70"/>
        <v>0.15713680643795003</v>
      </c>
      <c r="AS74" s="211">
        <f t="shared" si="70"/>
        <v>0.13182082606166376</v>
      </c>
      <c r="AT74" s="447">
        <f>AT71/AT17</f>
        <v>0.10257106644939344</v>
      </c>
      <c r="AU74" s="211">
        <f>AU71/AU17</f>
        <v>0.12729912875121008</v>
      </c>
      <c r="AV74" s="211">
        <f>AV71/AV17</f>
        <v>0.15551608446812709</v>
      </c>
      <c r="AW74" s="446">
        <f>AW71/AW17</f>
        <v>0.13146696528555432</v>
      </c>
      <c r="AX74" s="447"/>
      <c r="AY74" s="211"/>
      <c r="AZ74" s="211"/>
      <c r="BA74" s="211"/>
      <c r="BB74" s="447"/>
      <c r="BC74" s="211"/>
      <c r="BD74" s="211"/>
      <c r="BE74" s="446"/>
      <c r="BF74" s="211"/>
      <c r="BG74" s="211"/>
      <c r="BH74" s="211"/>
      <c r="BI74" s="446"/>
      <c r="BJ74" s="211"/>
      <c r="BK74" s="211"/>
      <c r="BL74" s="211"/>
      <c r="BM74" s="446"/>
      <c r="BN74" s="211"/>
      <c r="BO74" s="446"/>
      <c r="BP74" s="446"/>
      <c r="BQ74" s="446"/>
      <c r="BR74" s="211"/>
      <c r="BS74" s="211"/>
      <c r="BT74" s="211"/>
      <c r="BU74" s="211"/>
      <c r="BV74" s="211"/>
      <c r="BW74" s="211"/>
      <c r="BX74" s="211"/>
      <c r="BY74" s="451">
        <f>BY71/BY17</f>
        <v>0.13655969003582133</v>
      </c>
      <c r="BZ74" s="451">
        <f>BZ71/BZ17</f>
        <v>0.56791363293999497</v>
      </c>
      <c r="CA74" s="447">
        <f>CA71/CA17</f>
        <v>0.13099274870885283</v>
      </c>
      <c r="CB74" s="447">
        <f>CB71/CB17</f>
        <v>0.12853610286844708</v>
      </c>
      <c r="CC74" s="447"/>
      <c r="CD74" s="447"/>
      <c r="CE74" s="98"/>
      <c r="CF74" s="98"/>
      <c r="CG74" s="98"/>
      <c r="CH74" s="98"/>
      <c r="CI74" s="27"/>
      <c r="CJ74" s="27"/>
      <c r="CK74" s="27"/>
      <c r="CL74" s="27"/>
      <c r="CM74" s="27"/>
      <c r="CN74" s="27"/>
      <c r="CO74" s="27"/>
      <c r="CP74" s="27"/>
      <c r="CQ74" s="27"/>
      <c r="CR74" s="27"/>
      <c r="CS74" s="27"/>
      <c r="CT74" s="27"/>
      <c r="CU74" s="27"/>
      <c r="CV74" s="27"/>
      <c r="CW74" s="27"/>
      <c r="CX74" s="27"/>
      <c r="CY74" s="27"/>
      <c r="CZ74" s="27"/>
      <c r="DA74" s="27"/>
      <c r="DB74" s="27"/>
      <c r="DC74" s="27"/>
      <c r="DD74" s="27"/>
      <c r="DE74" s="27"/>
      <c r="DF74" s="27"/>
      <c r="DG74" s="27"/>
      <c r="DH74" s="27"/>
      <c r="DI74" s="27"/>
      <c r="DJ74" s="27"/>
      <c r="DK74" s="27"/>
      <c r="DL74" s="27"/>
      <c r="DM74" s="27"/>
      <c r="DN74" s="27"/>
      <c r="DO74" s="27"/>
      <c r="DP74" s="27"/>
      <c r="DQ74" s="27"/>
      <c r="DR74" s="27"/>
      <c r="DS74" s="27"/>
      <c r="DT74" s="27"/>
      <c r="DU74" s="27"/>
      <c r="DV74" s="27"/>
      <c r="DW74" s="27"/>
      <c r="DX74" s="27"/>
      <c r="DY74" s="27"/>
    </row>
    <row r="75" spans="1:129" s="3045" customFormat="1">
      <c r="A75" s="2956" t="s">
        <v>2715</v>
      </c>
      <c r="E75" s="3046"/>
      <c r="H75" s="3047"/>
      <c r="I75" s="3047"/>
      <c r="J75" s="3047"/>
      <c r="K75" s="3047"/>
      <c r="L75" s="3048"/>
      <c r="M75" s="3049"/>
      <c r="N75" s="3049"/>
      <c r="O75" s="3049"/>
      <c r="P75" s="3049"/>
      <c r="Q75" s="3047"/>
      <c r="R75" s="3047"/>
      <c r="S75" s="3047"/>
      <c r="T75" s="3049"/>
      <c r="U75" s="3049"/>
      <c r="V75" s="3047"/>
      <c r="W75" s="3050"/>
      <c r="X75" s="3047"/>
      <c r="Y75" s="3047"/>
      <c r="Z75" s="3047"/>
      <c r="AA75" s="3047"/>
      <c r="AB75" s="3051"/>
      <c r="AC75" s="3047"/>
      <c r="AD75" s="3047"/>
      <c r="AE75" s="3047"/>
      <c r="AF75" s="3047"/>
      <c r="AG75" s="3051"/>
      <c r="AH75" s="3018"/>
      <c r="AI75" s="3018"/>
      <c r="AJ75" s="3018"/>
      <c r="AK75" s="3019"/>
      <c r="AL75" s="3018"/>
      <c r="AM75" s="3018"/>
      <c r="AN75" s="3018"/>
      <c r="AO75" s="3019"/>
      <c r="AP75" s="3018"/>
      <c r="AQ75" s="3018"/>
      <c r="AR75" s="3018"/>
      <c r="AS75" s="3018"/>
      <c r="AT75" s="3052"/>
      <c r="AU75" s="3018"/>
      <c r="AV75" s="3018"/>
      <c r="AW75" s="3046"/>
      <c r="AX75" s="3053"/>
      <c r="BB75" s="3054"/>
      <c r="BC75" s="3055"/>
      <c r="BD75" s="3055"/>
      <c r="BE75" s="3056"/>
      <c r="BF75" s="3055"/>
      <c r="BG75" s="3055"/>
      <c r="BH75" s="3055"/>
      <c r="BI75" s="3056">
        <f>BI71/AW71-1</f>
        <v>-0.23253833049403749</v>
      </c>
      <c r="BJ75" s="3055">
        <f>BJ71/AT71-1</f>
        <v>-0.19064430714916147</v>
      </c>
      <c r="BK75" s="3056">
        <f>BK71/AU71-1</f>
        <v>-9.8098859315589371E-2</v>
      </c>
      <c r="BL75" s="3056">
        <f>BL71/AV71-1</f>
        <v>-5.5203045685279228E-2</v>
      </c>
      <c r="BM75" s="3056">
        <f>BM71/AW71-1</f>
        <v>-6.3032367972742809E-2</v>
      </c>
      <c r="BN75" s="3055"/>
      <c r="BO75" s="3056">
        <f>BO71/AU71-1</f>
        <v>-2.2813688212928174E-3</v>
      </c>
      <c r="BP75" s="3056">
        <f>BP71/AV71-1</f>
        <v>3.1091370558375742E-2</v>
      </c>
      <c r="BQ75" s="3056">
        <f>BQ71/AW71-1</f>
        <v>9.540034071550263E-2</v>
      </c>
      <c r="BR75" s="3056">
        <f>BR71/AT71-1</f>
        <v>2.118270079435125E-2</v>
      </c>
      <c r="BS75" s="3056">
        <f>BS71/AU71-1</f>
        <v>0.12775665399239533</v>
      </c>
      <c r="BT75" s="3056">
        <f>BT71/AV71-1</f>
        <v>0.18972081218274117</v>
      </c>
      <c r="BU75" s="3056">
        <f>BU71/AW71-1</f>
        <v>0.28449744463373094</v>
      </c>
      <c r="BV75" s="3056">
        <f>BV71/AT71-1</f>
        <v>0.26743159752868495</v>
      </c>
      <c r="BW75" s="3056">
        <f>BW71/AU71-1</f>
        <v>0.32699619771863109</v>
      </c>
      <c r="BX75" s="97"/>
      <c r="BY75" s="3057"/>
      <c r="BZ75" s="3058"/>
      <c r="CA75" s="3053"/>
      <c r="CB75" s="3054"/>
      <c r="CC75" s="3054"/>
      <c r="CD75" s="3054"/>
      <c r="CE75" s="3054"/>
      <c r="CF75" s="3054"/>
      <c r="CG75" s="3054"/>
      <c r="CH75" s="3054"/>
      <c r="CI75" s="3055"/>
      <c r="CJ75" s="3055"/>
      <c r="CK75" s="3055"/>
      <c r="CL75" s="3055"/>
      <c r="CM75" s="3055"/>
      <c r="CN75" s="3055"/>
      <c r="CO75" s="3055"/>
      <c r="CP75" s="3055"/>
      <c r="CQ75" s="3055"/>
      <c r="CR75" s="3055"/>
      <c r="CS75" s="3055"/>
      <c r="CT75" s="3055"/>
      <c r="CU75" s="3055"/>
      <c r="CV75" s="3055"/>
      <c r="CW75" s="3055"/>
      <c r="CX75" s="3055"/>
      <c r="CY75" s="3055"/>
      <c r="CZ75" s="3055"/>
      <c r="DA75" s="3055"/>
      <c r="DB75" s="3055"/>
      <c r="DC75" s="3055"/>
      <c r="DD75" s="3055"/>
      <c r="DE75" s="3055"/>
      <c r="DF75" s="3055"/>
      <c r="DG75" s="3055"/>
      <c r="DH75" s="3055"/>
      <c r="DI75" s="3055"/>
      <c r="DJ75" s="3055"/>
      <c r="DK75" s="3055"/>
      <c r="DL75" s="3055"/>
      <c r="DM75" s="3055"/>
      <c r="DN75" s="3055"/>
      <c r="DO75" s="3055"/>
      <c r="DP75" s="3055"/>
      <c r="DQ75" s="3055"/>
      <c r="DR75" s="3055"/>
      <c r="DS75" s="3055"/>
      <c r="DT75" s="3055"/>
      <c r="DU75" s="3055"/>
      <c r="DV75" s="3055"/>
      <c r="DW75" s="3055"/>
      <c r="DX75" s="3055"/>
      <c r="DY75" s="3055"/>
    </row>
    <row r="76" spans="1:129" s="424" customFormat="1" outlineLevel="1">
      <c r="A76" s="464" t="s">
        <v>1342</v>
      </c>
      <c r="E76" s="425"/>
      <c r="H76" s="427"/>
      <c r="I76" s="427"/>
      <c r="J76" s="427"/>
      <c r="K76" s="427"/>
      <c r="L76" s="433"/>
      <c r="M76" s="426"/>
      <c r="N76" s="426"/>
      <c r="O76" s="426"/>
      <c r="P76" s="426"/>
      <c r="Q76" s="427"/>
      <c r="R76" s="427"/>
      <c r="S76" s="427"/>
      <c r="T76" s="426"/>
      <c r="U76" s="426"/>
      <c r="V76" s="427"/>
      <c r="W76" s="428"/>
      <c r="X76" s="427"/>
      <c r="Y76" s="427"/>
      <c r="Z76" s="427"/>
      <c r="AA76" s="427"/>
      <c r="AB76" s="430"/>
      <c r="AC76" s="427"/>
      <c r="AD76" s="427"/>
      <c r="AE76" s="427"/>
      <c r="AF76" s="427"/>
      <c r="AG76" s="430"/>
      <c r="AH76" s="27"/>
      <c r="AK76" s="425"/>
      <c r="AO76" s="425"/>
      <c r="AT76" s="423"/>
      <c r="AW76" s="425"/>
      <c r="AX76" s="423"/>
      <c r="BB76" s="423"/>
      <c r="BE76" s="425"/>
      <c r="BI76" s="425"/>
      <c r="BM76" s="425"/>
      <c r="BO76" s="425"/>
      <c r="BP76" s="425"/>
      <c r="BQ76" s="3338"/>
      <c r="BS76" s="2059"/>
      <c r="BT76" s="2059"/>
      <c r="BU76" s="2059"/>
      <c r="BV76" s="2059"/>
      <c r="BW76" s="2059"/>
      <c r="BX76" s="2059"/>
      <c r="BY76" s="455"/>
      <c r="BZ76" s="442"/>
      <c r="CA76" s="423"/>
      <c r="CB76" s="98"/>
      <c r="CC76" s="98"/>
      <c r="CD76" s="98"/>
      <c r="CE76" s="98"/>
      <c r="CF76" s="98"/>
      <c r="CG76" s="98"/>
      <c r="CH76" s="98"/>
      <c r="CI76" s="27"/>
      <c r="CJ76" s="27"/>
      <c r="CK76" s="27"/>
      <c r="CL76" s="27"/>
      <c r="CM76" s="27"/>
      <c r="CN76" s="27"/>
      <c r="CO76" s="27"/>
      <c r="CP76" s="27"/>
      <c r="CQ76" s="27"/>
      <c r="CR76" s="27"/>
      <c r="CS76" s="27"/>
      <c r="CT76" s="27"/>
      <c r="CU76" s="27"/>
      <c r="CV76" s="27"/>
      <c r="CW76" s="27"/>
      <c r="CX76" s="27"/>
      <c r="CY76" s="27"/>
      <c r="CZ76" s="27"/>
      <c r="DA76" s="27"/>
      <c r="DB76" s="27"/>
      <c r="DC76" s="27"/>
      <c r="DD76" s="27"/>
      <c r="DE76" s="27"/>
      <c r="DF76" s="27"/>
      <c r="DG76" s="27"/>
      <c r="DH76" s="27"/>
      <c r="DI76" s="27"/>
      <c r="DJ76" s="27"/>
      <c r="DK76" s="27"/>
      <c r="DL76" s="27"/>
      <c r="DM76" s="27"/>
      <c r="DN76" s="27"/>
      <c r="DO76" s="27"/>
      <c r="DP76" s="27"/>
      <c r="DQ76" s="27"/>
      <c r="DR76" s="27"/>
      <c r="DS76" s="27"/>
      <c r="DT76" s="27"/>
      <c r="DU76" s="27"/>
      <c r="DV76" s="27"/>
      <c r="DW76" s="27"/>
      <c r="DX76" s="27"/>
      <c r="DY76" s="27"/>
    </row>
    <row r="77" spans="1:129" s="1795" customFormat="1" ht="11.5" outlineLevel="1">
      <c r="A77" s="1505" t="s">
        <v>1366</v>
      </c>
      <c r="B77" s="1853"/>
      <c r="C77" s="1853"/>
      <c r="D77" s="1853"/>
      <c r="E77" s="1854"/>
      <c r="F77" s="1855"/>
      <c r="G77" s="1855"/>
      <c r="H77" s="1855"/>
      <c r="I77" s="1855"/>
      <c r="J77" s="1855"/>
      <c r="K77" s="1855"/>
      <c r="L77" s="1856"/>
      <c r="M77" s="1855"/>
      <c r="N77" s="1855"/>
      <c r="O77" s="1855"/>
      <c r="P77" s="1855"/>
      <c r="Q77" s="1855"/>
      <c r="R77" s="1855"/>
      <c r="S77" s="1855"/>
      <c r="T77" s="1855"/>
      <c r="U77" s="1855"/>
      <c r="V77" s="1855"/>
      <c r="W77" s="1857"/>
      <c r="Y77" s="1793"/>
      <c r="Z77" s="1793"/>
      <c r="AA77" s="1793"/>
      <c r="AB77" s="1858"/>
      <c r="AC77" s="1859">
        <v>360</v>
      </c>
      <c r="AD77" s="1859">
        <v>452</v>
      </c>
      <c r="AE77" s="1859">
        <v>555</v>
      </c>
      <c r="AF77" s="1859">
        <v>495</v>
      </c>
      <c r="AG77" s="1860">
        <v>1862</v>
      </c>
      <c r="AH77" s="1859">
        <v>523</v>
      </c>
      <c r="AI77" s="1859">
        <v>612</v>
      </c>
      <c r="AJ77" s="1859">
        <v>723</v>
      </c>
      <c r="AK77" s="1860">
        <v>567</v>
      </c>
      <c r="AL77" s="1859">
        <v>571</v>
      </c>
      <c r="AM77" s="1859">
        <v>684</v>
      </c>
      <c r="AN77" s="1859">
        <v>803</v>
      </c>
      <c r="AO77" s="1860">
        <v>629</v>
      </c>
      <c r="AP77" s="1859">
        <v>658</v>
      </c>
      <c r="AQ77" s="1859">
        <v>777</v>
      </c>
      <c r="AR77" s="1859">
        <v>876</v>
      </c>
      <c r="AS77" s="1859">
        <v>699</v>
      </c>
      <c r="AT77" s="2835">
        <v>686</v>
      </c>
      <c r="AU77" s="1859">
        <v>841</v>
      </c>
      <c r="AV77" s="1859">
        <v>917</v>
      </c>
      <c r="AW77" s="1860">
        <v>721</v>
      </c>
      <c r="AX77" s="2835"/>
      <c r="AY77" s="1859"/>
      <c r="AZ77" s="1859"/>
      <c r="BA77" s="1859"/>
      <c r="BB77" s="2835"/>
      <c r="BC77" s="1859"/>
      <c r="BD77" s="1859"/>
      <c r="BE77" s="1860"/>
      <c r="BF77" s="1859"/>
      <c r="BG77" s="1859"/>
      <c r="BH77" s="1859"/>
      <c r="BI77" s="1860"/>
      <c r="BJ77" s="1859"/>
      <c r="BK77" s="1859"/>
      <c r="BL77" s="1859"/>
      <c r="BM77" s="1860"/>
      <c r="BN77" s="1859"/>
      <c r="BO77" s="1860"/>
      <c r="BP77" s="1860"/>
      <c r="BQ77" s="1794"/>
      <c r="BR77" s="1859"/>
      <c r="BS77" s="1859"/>
      <c r="BT77" s="1859"/>
      <c r="BU77" s="1859"/>
      <c r="BV77" s="1859"/>
      <c r="BW77" s="1859"/>
      <c r="BX77" s="1859"/>
      <c r="BY77" s="1861">
        <v>2425</v>
      </c>
      <c r="BZ77" s="1861">
        <v>2687</v>
      </c>
      <c r="CA77" s="1837">
        <f>SUM(AP77:AS77)</f>
        <v>3010</v>
      </c>
      <c r="CB77" s="1837">
        <v>3165</v>
      </c>
      <c r="CC77" s="1837"/>
      <c r="CD77" s="1941"/>
      <c r="CE77" s="1941"/>
      <c r="CF77" s="1941"/>
      <c r="CG77" s="1941"/>
      <c r="CH77" s="1941"/>
      <c r="CI77" s="1839"/>
      <c r="CJ77" s="1839"/>
      <c r="CK77" s="1839"/>
      <c r="CL77" s="1839"/>
      <c r="CM77" s="1839"/>
      <c r="CN77" s="1839"/>
      <c r="CO77" s="1839"/>
      <c r="CP77" s="1839"/>
      <c r="CQ77" s="1839"/>
      <c r="CR77" s="1839"/>
      <c r="CS77" s="1839"/>
      <c r="CT77" s="1839"/>
      <c r="CU77" s="1839"/>
      <c r="CV77" s="1839"/>
      <c r="CW77" s="1839"/>
      <c r="CX77" s="1839"/>
      <c r="CY77" s="1839"/>
      <c r="CZ77" s="1839"/>
      <c r="DA77" s="1839"/>
      <c r="DB77" s="1839"/>
      <c r="DC77" s="1839"/>
      <c r="DD77" s="1839"/>
      <c r="DE77" s="1839"/>
      <c r="DF77" s="1839"/>
      <c r="DG77" s="1839"/>
      <c r="DH77" s="1839"/>
      <c r="DI77" s="1839"/>
      <c r="DJ77" s="1839"/>
      <c r="DK77" s="1839"/>
      <c r="DL77" s="1839"/>
      <c r="DM77" s="1839"/>
      <c r="DN77" s="1839"/>
      <c r="DO77" s="1839"/>
      <c r="DP77" s="1839"/>
      <c r="DQ77" s="1839"/>
      <c r="DR77" s="1839"/>
      <c r="DS77" s="1839"/>
      <c r="DT77" s="1839"/>
      <c r="DU77" s="1839"/>
      <c r="DV77" s="1839"/>
      <c r="DW77" s="1839"/>
      <c r="DX77" s="1839"/>
      <c r="DY77" s="1839"/>
    </row>
    <row r="78" spans="1:129" s="424" customFormat="1" outlineLevel="1">
      <c r="A78" s="1503" t="s">
        <v>1332</v>
      </c>
      <c r="E78" s="425"/>
      <c r="H78" s="427"/>
      <c r="I78" s="427"/>
      <c r="J78" s="427"/>
      <c r="K78" s="427"/>
      <c r="L78" s="433"/>
      <c r="M78" s="426"/>
      <c r="N78" s="426"/>
      <c r="O78" s="426"/>
      <c r="P78" s="426"/>
      <c r="Q78" s="427"/>
      <c r="R78" s="427"/>
      <c r="S78" s="427"/>
      <c r="T78" s="426"/>
      <c r="U78" s="426"/>
      <c r="V78" s="427"/>
      <c r="W78" s="428"/>
      <c r="X78" s="427"/>
      <c r="Y78" s="427"/>
      <c r="Z78" s="427"/>
      <c r="AA78" s="427"/>
      <c r="AB78" s="430"/>
      <c r="AC78" s="427"/>
      <c r="AD78" s="427"/>
      <c r="AE78" s="427"/>
      <c r="AF78" s="427"/>
      <c r="AG78" s="430"/>
      <c r="AH78" s="988">
        <f>AH77/AC77-1</f>
        <v>0.45277777777777772</v>
      </c>
      <c r="AI78" s="988">
        <f>AI77/AD77-1</f>
        <v>0.35398230088495586</v>
      </c>
      <c r="AJ78" s="988">
        <f>AJ77/AE77-1</f>
        <v>0.30270270270270272</v>
      </c>
      <c r="AK78" s="989">
        <f>AK77/AF77-1</f>
        <v>0.1454545454545455</v>
      </c>
      <c r="AL78" s="988">
        <f t="shared" ref="AL78:AS78" si="71">AL77/AH77-1</f>
        <v>9.1778202676864318E-2</v>
      </c>
      <c r="AM78" s="988">
        <f t="shared" si="71"/>
        <v>0.11764705882352944</v>
      </c>
      <c r="AN78" s="988">
        <f t="shared" si="71"/>
        <v>0.11065006915629327</v>
      </c>
      <c r="AO78" s="989">
        <f t="shared" si="71"/>
        <v>0.10934744268077612</v>
      </c>
      <c r="AP78" s="988">
        <f t="shared" si="71"/>
        <v>0.15236427320490376</v>
      </c>
      <c r="AQ78" s="988">
        <f t="shared" si="71"/>
        <v>0.13596491228070184</v>
      </c>
      <c r="AR78" s="988">
        <f t="shared" si="71"/>
        <v>9.0909090909090828E-2</v>
      </c>
      <c r="AS78" s="988">
        <f t="shared" si="71"/>
        <v>0.11128775834658189</v>
      </c>
      <c r="AT78" s="2829">
        <f>AT77/AP77-1</f>
        <v>4.2553191489361764E-2</v>
      </c>
      <c r="AU78" s="988">
        <f>AU77/AQ77-1</f>
        <v>8.2368082368082352E-2</v>
      </c>
      <c r="AV78" s="988">
        <f>AV77/AR77-1</f>
        <v>4.6803652968036458E-2</v>
      </c>
      <c r="AW78" s="989">
        <f>AW77/AS77-1</f>
        <v>3.1473533619456262E-2</v>
      </c>
      <c r="AX78" s="2829"/>
      <c r="AY78" s="988"/>
      <c r="AZ78" s="988"/>
      <c r="BA78" s="988"/>
      <c r="BB78" s="2829"/>
      <c r="BC78" s="988"/>
      <c r="BD78" s="988"/>
      <c r="BE78" s="989"/>
      <c r="BF78" s="988"/>
      <c r="BG78" s="988"/>
      <c r="BH78" s="988"/>
      <c r="BI78" s="989"/>
      <c r="BJ78" s="988"/>
      <c r="BK78" s="988"/>
      <c r="BL78" s="988"/>
      <c r="BM78" s="989"/>
      <c r="BN78" s="988"/>
      <c r="BO78" s="989"/>
      <c r="BP78" s="989"/>
      <c r="BQ78" s="3335"/>
      <c r="BR78" s="988"/>
      <c r="BS78" s="988"/>
      <c r="BT78" s="988"/>
      <c r="BU78" s="988"/>
      <c r="BV78" s="988"/>
      <c r="BW78" s="988"/>
      <c r="BX78" s="988"/>
      <c r="BY78" s="1009">
        <f>BY77/AG77-1</f>
        <v>0.30236305048335121</v>
      </c>
      <c r="BZ78" s="1009">
        <f>BZ77/BY77-1</f>
        <v>0.10804123711340208</v>
      </c>
      <c r="CA78" s="2829">
        <f>CA77/BZ77-1</f>
        <v>0.12020841086713818</v>
      </c>
      <c r="CB78" s="2829">
        <f>CB77/CA77-1</f>
        <v>5.1495016611295741E-2</v>
      </c>
      <c r="CC78" s="2829"/>
      <c r="CD78" s="98"/>
      <c r="CE78" s="98"/>
      <c r="CF78" s="98"/>
      <c r="CG78" s="98"/>
      <c r="CH78" s="98"/>
      <c r="CI78" s="27"/>
      <c r="CJ78" s="27"/>
      <c r="CK78" s="27"/>
      <c r="CL78" s="27"/>
      <c r="CM78" s="27"/>
      <c r="CN78" s="27"/>
      <c r="CO78" s="27"/>
      <c r="CP78" s="27"/>
      <c r="CQ78" s="27"/>
      <c r="CR78" s="27"/>
      <c r="CS78" s="27"/>
      <c r="CT78" s="27"/>
      <c r="CU78" s="27"/>
      <c r="CV78" s="27"/>
      <c r="CW78" s="27"/>
      <c r="CX78" s="27"/>
      <c r="CY78" s="27"/>
      <c r="CZ78" s="27"/>
      <c r="DA78" s="27"/>
      <c r="DB78" s="27"/>
      <c r="DC78" s="27"/>
      <c r="DD78" s="27"/>
      <c r="DE78" s="27"/>
      <c r="DF78" s="27"/>
      <c r="DG78" s="27"/>
      <c r="DH78" s="27"/>
      <c r="DI78" s="27"/>
      <c r="DJ78" s="27"/>
      <c r="DK78" s="27"/>
      <c r="DL78" s="27"/>
      <c r="DM78" s="27"/>
      <c r="DN78" s="27"/>
      <c r="DO78" s="27"/>
      <c r="DP78" s="27"/>
      <c r="DQ78" s="27"/>
      <c r="DR78" s="27"/>
      <c r="DS78" s="27"/>
      <c r="DT78" s="27"/>
      <c r="DU78" s="27"/>
      <c r="DV78" s="27"/>
      <c r="DW78" s="27"/>
      <c r="DX78" s="27"/>
      <c r="DY78" s="27"/>
    </row>
    <row r="79" spans="1:129" s="211" customFormat="1" outlineLevel="1">
      <c r="A79" s="1504" t="s">
        <v>1333</v>
      </c>
      <c r="E79" s="446"/>
      <c r="H79" s="444"/>
      <c r="I79" s="444"/>
      <c r="J79" s="444"/>
      <c r="K79" s="444"/>
      <c r="L79" s="468"/>
      <c r="M79" s="479"/>
      <c r="N79" s="479"/>
      <c r="O79" s="479"/>
      <c r="P79" s="479"/>
      <c r="Q79" s="444"/>
      <c r="R79" s="444"/>
      <c r="S79" s="444"/>
      <c r="T79" s="479"/>
      <c r="U79" s="479"/>
      <c r="V79" s="444"/>
      <c r="W79" s="475"/>
      <c r="X79" s="444"/>
      <c r="Y79" s="444"/>
      <c r="Z79" s="444"/>
      <c r="AA79" s="444"/>
      <c r="AB79" s="445"/>
      <c r="AC79" s="444"/>
      <c r="AD79" s="444"/>
      <c r="AE79" s="444"/>
      <c r="AF79" s="444"/>
      <c r="AG79" s="445"/>
      <c r="AH79" s="211">
        <f t="shared" ref="AH79:AW79" si="72">AH77/AH$59</f>
        <v>0.27469050048819277</v>
      </c>
      <c r="AI79" s="211">
        <f t="shared" si="72"/>
        <v>0.27870515044385613</v>
      </c>
      <c r="AJ79" s="211">
        <f t="shared" si="72"/>
        <v>0.28013429397827505</v>
      </c>
      <c r="AK79" s="446">
        <f t="shared" si="72"/>
        <v>0.2709030100334448</v>
      </c>
      <c r="AL79" s="211">
        <f t="shared" si="72"/>
        <v>0.26084970306075833</v>
      </c>
      <c r="AM79" s="211">
        <f t="shared" si="72"/>
        <v>0.26450116009280744</v>
      </c>
      <c r="AN79" s="211">
        <f t="shared" si="72"/>
        <v>0.27073499662845585</v>
      </c>
      <c r="AO79" s="446">
        <f t="shared" si="72"/>
        <v>0.27123760241483397</v>
      </c>
      <c r="AP79" s="211">
        <f t="shared" si="72"/>
        <v>0.26236044657097291</v>
      </c>
      <c r="AQ79" s="211">
        <f t="shared" si="72"/>
        <v>0.26979166666666665</v>
      </c>
      <c r="AR79" s="211">
        <f t="shared" si="72"/>
        <v>0.26739926739926739</v>
      </c>
      <c r="AS79" s="211">
        <f t="shared" si="72"/>
        <v>0.27315357561547482</v>
      </c>
      <c r="AT79" s="447">
        <f t="shared" si="72"/>
        <v>0.26293599080107322</v>
      </c>
      <c r="AU79" s="211">
        <f t="shared" si="72"/>
        <v>0.26673009831906119</v>
      </c>
      <c r="AV79" s="211">
        <f t="shared" si="72"/>
        <v>0.25772906127037659</v>
      </c>
      <c r="AW79" s="446">
        <f t="shared" si="72"/>
        <v>0.26246814706953042</v>
      </c>
      <c r="AX79" s="447"/>
      <c r="BB79" s="447"/>
      <c r="BE79" s="446"/>
      <c r="BI79" s="446"/>
      <c r="BM79" s="446"/>
      <c r="BO79" s="446"/>
      <c r="BP79" s="446"/>
      <c r="BQ79" s="446"/>
      <c r="BY79" s="450">
        <f>BY77/BY$59</f>
        <v>0.27639312105961711</v>
      </c>
      <c r="BZ79" s="451">
        <f>BZ77/BZ$59</f>
        <v>0.26709741550695826</v>
      </c>
      <c r="CA79" s="447">
        <f>CA77/CA$59</f>
        <v>0.26819923371647508</v>
      </c>
      <c r="CB79" s="447">
        <f>CB77/CB$59</f>
        <v>0.26228557222176185</v>
      </c>
      <c r="CC79" s="447"/>
      <c r="CD79" s="98"/>
      <c r="CE79" s="98"/>
      <c r="CF79" s="98"/>
      <c r="CG79" s="98"/>
      <c r="CH79" s="98"/>
      <c r="CI79" s="27"/>
      <c r="CJ79" s="27"/>
      <c r="CK79" s="27"/>
      <c r="CL79" s="27"/>
      <c r="CM79" s="27"/>
      <c r="CN79" s="27"/>
      <c r="CO79" s="27"/>
      <c r="CP79" s="27"/>
      <c r="CQ79" s="27"/>
      <c r="CR79" s="27"/>
      <c r="CS79" s="27"/>
      <c r="CT79" s="27"/>
      <c r="CU79" s="27"/>
      <c r="CV79" s="27"/>
      <c r="CW79" s="27"/>
      <c r="CX79" s="27"/>
      <c r="CY79" s="27"/>
      <c r="CZ79" s="27"/>
      <c r="DA79" s="27"/>
      <c r="DB79" s="27"/>
      <c r="DC79" s="27"/>
      <c r="DD79" s="27"/>
      <c r="DE79" s="27"/>
      <c r="DF79" s="27"/>
      <c r="DG79" s="27"/>
      <c r="DH79" s="27"/>
      <c r="DI79" s="27"/>
      <c r="DJ79" s="27"/>
      <c r="DK79" s="27"/>
      <c r="DL79" s="27"/>
      <c r="DM79" s="27"/>
      <c r="DN79" s="27"/>
      <c r="DO79" s="27"/>
      <c r="DP79" s="27"/>
      <c r="DQ79" s="27"/>
      <c r="DR79" s="27"/>
      <c r="DS79" s="27"/>
      <c r="DT79" s="27"/>
      <c r="DU79" s="27"/>
      <c r="DV79" s="27"/>
      <c r="DW79" s="27"/>
      <c r="DX79" s="27"/>
      <c r="DY79" s="27"/>
    </row>
    <row r="80" spans="1:129" s="1795" customFormat="1" ht="11.5" outlineLevel="1">
      <c r="A80" s="1505" t="s">
        <v>1329</v>
      </c>
      <c r="B80" s="1853"/>
      <c r="C80" s="1853"/>
      <c r="D80" s="1853"/>
      <c r="E80" s="1854"/>
      <c r="F80" s="1855"/>
      <c r="G80" s="1855"/>
      <c r="H80" s="1855"/>
      <c r="I80" s="1855"/>
      <c r="J80" s="1855"/>
      <c r="K80" s="1855"/>
      <c r="L80" s="1856"/>
      <c r="M80" s="1855"/>
      <c r="N80" s="1855"/>
      <c r="O80" s="1855"/>
      <c r="P80" s="1855"/>
      <c r="Q80" s="1855"/>
      <c r="R80" s="1855"/>
      <c r="S80" s="1855"/>
      <c r="T80" s="1855"/>
      <c r="U80" s="1855"/>
      <c r="V80" s="1855"/>
      <c r="W80" s="1857"/>
      <c r="Y80" s="1793"/>
      <c r="Z80" s="1793"/>
      <c r="AA80" s="1793"/>
      <c r="AB80" s="1858"/>
      <c r="AC80" s="1859">
        <v>858</v>
      </c>
      <c r="AD80" s="1859">
        <v>1060</v>
      </c>
      <c r="AE80" s="1859">
        <v>1222</v>
      </c>
      <c r="AF80" s="1859">
        <v>1044</v>
      </c>
      <c r="AG80" s="1860">
        <v>4184</v>
      </c>
      <c r="AH80" s="1859">
        <v>1065</v>
      </c>
      <c r="AI80" s="1859">
        <v>1210</v>
      </c>
      <c r="AJ80" s="1859">
        <v>1407</v>
      </c>
      <c r="AK80" s="1860">
        <v>1170</v>
      </c>
      <c r="AL80" s="1859">
        <v>1176</v>
      </c>
      <c r="AM80" s="1859">
        <v>1376</v>
      </c>
      <c r="AN80" s="1859">
        <v>1559</v>
      </c>
      <c r="AO80" s="1860">
        <v>1283</v>
      </c>
      <c r="AP80" s="1859">
        <v>1334</v>
      </c>
      <c r="AQ80" s="1859">
        <v>1532</v>
      </c>
      <c r="AR80" s="1859">
        <v>1688</v>
      </c>
      <c r="AS80" s="1859">
        <v>1396</v>
      </c>
      <c r="AT80" s="2835">
        <v>1392</v>
      </c>
      <c r="AU80" s="1859">
        <v>1680</v>
      </c>
      <c r="AV80" s="1859">
        <v>1863</v>
      </c>
      <c r="AW80" s="1860">
        <v>1524</v>
      </c>
      <c r="AX80" s="2835"/>
      <c r="AY80" s="1859"/>
      <c r="AZ80" s="1859"/>
      <c r="BA80" s="1859"/>
      <c r="BB80" s="2835"/>
      <c r="BC80" s="1859"/>
      <c r="BD80" s="1859"/>
      <c r="BE80" s="1860"/>
      <c r="BF80" s="1859"/>
      <c r="BG80" s="1859"/>
      <c r="BH80" s="1859"/>
      <c r="BI80" s="1860"/>
      <c r="BJ80" s="1859"/>
      <c r="BK80" s="1859"/>
      <c r="BL80" s="1859"/>
      <c r="BM80" s="1860"/>
      <c r="BN80" s="1859"/>
      <c r="BO80" s="1860"/>
      <c r="BP80" s="1860"/>
      <c r="BQ80" s="1794"/>
      <c r="BR80" s="1859"/>
      <c r="BS80" s="1859"/>
      <c r="BT80" s="1859"/>
      <c r="BU80" s="1859"/>
      <c r="BV80" s="1859"/>
      <c r="BW80" s="1859"/>
      <c r="BX80" s="1859"/>
      <c r="BY80" s="1861">
        <v>4852</v>
      </c>
      <c r="BZ80" s="1861">
        <v>5394</v>
      </c>
      <c r="CA80" s="1837">
        <f>SUM(AP80:AS80)</f>
        <v>5950</v>
      </c>
      <c r="CB80" s="1837">
        <v>6459</v>
      </c>
      <c r="CC80" s="1837"/>
      <c r="CD80" s="1941"/>
      <c r="CE80" s="1941"/>
      <c r="CF80" s="1941"/>
      <c r="CG80" s="1941"/>
      <c r="CH80" s="1941"/>
      <c r="CI80" s="1839"/>
      <c r="CJ80" s="1839"/>
      <c r="CK80" s="1839"/>
      <c r="CL80" s="1839"/>
      <c r="CM80" s="1839"/>
      <c r="CN80" s="1839"/>
      <c r="CO80" s="1839"/>
      <c r="CP80" s="1839"/>
      <c r="CQ80" s="1839"/>
      <c r="CR80" s="1839"/>
      <c r="CS80" s="1839"/>
      <c r="CT80" s="1839"/>
      <c r="CU80" s="1839"/>
      <c r="CV80" s="1839"/>
      <c r="CW80" s="1839"/>
      <c r="CX80" s="1839"/>
      <c r="CY80" s="1839"/>
      <c r="CZ80" s="1839"/>
      <c r="DA80" s="1839"/>
      <c r="DB80" s="1839"/>
      <c r="DC80" s="1839"/>
      <c r="DD80" s="1839"/>
      <c r="DE80" s="1839"/>
      <c r="DF80" s="1839"/>
      <c r="DG80" s="1839"/>
      <c r="DH80" s="1839"/>
      <c r="DI80" s="1839"/>
      <c r="DJ80" s="1839"/>
      <c r="DK80" s="1839"/>
      <c r="DL80" s="1839"/>
      <c r="DM80" s="1839"/>
      <c r="DN80" s="1839"/>
      <c r="DO80" s="1839"/>
      <c r="DP80" s="1839"/>
      <c r="DQ80" s="1839"/>
      <c r="DR80" s="1839"/>
      <c r="DS80" s="1839"/>
      <c r="DT80" s="1839"/>
      <c r="DU80" s="1839"/>
      <c r="DV80" s="1839"/>
      <c r="DW80" s="1839"/>
      <c r="DX80" s="1839"/>
      <c r="DY80" s="1839"/>
    </row>
    <row r="81" spans="1:129" s="424" customFormat="1" outlineLevel="1">
      <c r="A81" s="1503" t="s">
        <v>1330</v>
      </c>
      <c r="E81" s="425"/>
      <c r="H81" s="427"/>
      <c r="I81" s="427"/>
      <c r="J81" s="427"/>
      <c r="K81" s="427"/>
      <c r="L81" s="433"/>
      <c r="M81" s="426"/>
      <c r="N81" s="426"/>
      <c r="O81" s="426"/>
      <c r="P81" s="426"/>
      <c r="Q81" s="427"/>
      <c r="R81" s="427"/>
      <c r="S81" s="427"/>
      <c r="T81" s="426"/>
      <c r="U81" s="426"/>
      <c r="V81" s="427"/>
      <c r="W81" s="428"/>
      <c r="X81" s="427"/>
      <c r="Y81" s="427"/>
      <c r="Z81" s="427"/>
      <c r="AA81" s="427"/>
      <c r="AB81" s="430"/>
      <c r="AD81" s="427"/>
      <c r="AE81" s="427"/>
      <c r="AF81" s="427"/>
      <c r="AG81" s="430"/>
      <c r="AH81" s="988">
        <f>AH80/AC80-1</f>
        <v>0.24125874125874125</v>
      </c>
      <c r="AI81" s="988">
        <f>AI80/AD80-1</f>
        <v>0.14150943396226423</v>
      </c>
      <c r="AJ81" s="988">
        <f>AJ80/AE80-1</f>
        <v>0.1513911620294599</v>
      </c>
      <c r="AK81" s="989">
        <f>AK80/AF80-1</f>
        <v>0.1206896551724137</v>
      </c>
      <c r="AL81" s="988">
        <f t="shared" ref="AL81:AS81" si="73">AL80/AH80-1</f>
        <v>0.10422535211267614</v>
      </c>
      <c r="AM81" s="988">
        <f t="shared" si="73"/>
        <v>0.13719008264462818</v>
      </c>
      <c r="AN81" s="988">
        <f t="shared" si="73"/>
        <v>0.10803127221037667</v>
      </c>
      <c r="AO81" s="989">
        <f t="shared" si="73"/>
        <v>9.6581196581196682E-2</v>
      </c>
      <c r="AP81" s="988">
        <f t="shared" si="73"/>
        <v>0.13435374149659873</v>
      </c>
      <c r="AQ81" s="988">
        <f t="shared" si="73"/>
        <v>0.11337209302325579</v>
      </c>
      <c r="AR81" s="988">
        <f t="shared" si="73"/>
        <v>8.2745349583066119E-2</v>
      </c>
      <c r="AS81" s="988">
        <f t="shared" si="73"/>
        <v>8.8074824629774007E-2</v>
      </c>
      <c r="AT81" s="2829">
        <f>AT80/AP80-1</f>
        <v>4.3478260869565188E-2</v>
      </c>
      <c r="AU81" s="988">
        <f>AU80/AQ80-1</f>
        <v>9.6605744125326298E-2</v>
      </c>
      <c r="AV81" s="988">
        <f>AV80/AR80-1</f>
        <v>0.10367298578199047</v>
      </c>
      <c r="AW81" s="989">
        <f>AW80/AS80-1</f>
        <v>9.1690544412607489E-2</v>
      </c>
      <c r="AX81" s="2829"/>
      <c r="AY81" s="988"/>
      <c r="AZ81" s="988"/>
      <c r="BA81" s="988"/>
      <c r="BB81" s="2829"/>
      <c r="BC81" s="988"/>
      <c r="BD81" s="988"/>
      <c r="BE81" s="989"/>
      <c r="BF81" s="988"/>
      <c r="BG81" s="988"/>
      <c r="BH81" s="988"/>
      <c r="BI81" s="989"/>
      <c r="BJ81" s="988"/>
      <c r="BK81" s="988"/>
      <c r="BL81" s="988"/>
      <c r="BM81" s="989"/>
      <c r="BN81" s="988"/>
      <c r="BO81" s="989"/>
      <c r="BP81" s="989"/>
      <c r="BQ81" s="3335"/>
      <c r="BR81" s="988"/>
      <c r="BS81" s="988"/>
      <c r="BT81" s="988"/>
      <c r="BU81" s="988"/>
      <c r="BV81" s="988"/>
      <c r="BW81" s="988"/>
      <c r="BX81" s="988"/>
      <c r="BY81" s="1009">
        <f>BY80/AG80-1</f>
        <v>0.15965583173996167</v>
      </c>
      <c r="BZ81" s="1009">
        <f>BZ80/BY80-1</f>
        <v>0.11170651277823573</v>
      </c>
      <c r="CA81" s="2829">
        <f>CA80/BZ80-1</f>
        <v>0.10307749351130879</v>
      </c>
      <c r="CB81" s="2829">
        <f>CB80/CA80-1</f>
        <v>8.5546218487394965E-2</v>
      </c>
      <c r="CC81" s="2829"/>
      <c r="CD81" s="98"/>
      <c r="CE81" s="98"/>
      <c r="CF81" s="98"/>
      <c r="CG81" s="98"/>
      <c r="CH81" s="98"/>
      <c r="CI81" s="27"/>
      <c r="CJ81" s="27"/>
      <c r="CK81" s="27"/>
      <c r="CL81" s="27"/>
      <c r="CM81" s="27"/>
      <c r="CN81" s="27"/>
      <c r="CO81" s="27"/>
      <c r="CP81" s="27"/>
      <c r="CQ81" s="27"/>
      <c r="CR81" s="27"/>
      <c r="CS81" s="27"/>
      <c r="CT81" s="27"/>
      <c r="CU81" s="27"/>
      <c r="CV81" s="27"/>
      <c r="CW81" s="27"/>
      <c r="CX81" s="27"/>
      <c r="CY81" s="27"/>
      <c r="CZ81" s="27"/>
      <c r="DA81" s="27"/>
      <c r="DB81" s="27"/>
      <c r="DC81" s="27"/>
      <c r="DD81" s="27"/>
      <c r="DE81" s="27"/>
      <c r="DF81" s="27"/>
      <c r="DG81" s="27"/>
      <c r="DH81" s="27"/>
      <c r="DI81" s="27"/>
      <c r="DJ81" s="27"/>
      <c r="DK81" s="27"/>
      <c r="DL81" s="27"/>
      <c r="DM81" s="27"/>
      <c r="DN81" s="27"/>
      <c r="DO81" s="27"/>
      <c r="DP81" s="27"/>
      <c r="DQ81" s="27"/>
      <c r="DR81" s="27"/>
      <c r="DS81" s="27"/>
      <c r="DT81" s="27"/>
      <c r="DU81" s="27"/>
      <c r="DV81" s="27"/>
      <c r="DW81" s="27"/>
      <c r="DX81" s="27"/>
      <c r="DY81" s="27"/>
    </row>
    <row r="82" spans="1:129" s="211" customFormat="1" outlineLevel="1">
      <c r="A82" s="1504" t="s">
        <v>1370</v>
      </c>
      <c r="E82" s="446"/>
      <c r="H82" s="444"/>
      <c r="I82" s="444"/>
      <c r="J82" s="444"/>
      <c r="K82" s="444"/>
      <c r="L82" s="468"/>
      <c r="M82" s="479"/>
      <c r="N82" s="479"/>
      <c r="O82" s="479"/>
      <c r="P82" s="479"/>
      <c r="Q82" s="444"/>
      <c r="R82" s="444"/>
      <c r="S82" s="444"/>
      <c r="T82" s="479"/>
      <c r="U82" s="479"/>
      <c r="V82" s="444"/>
      <c r="W82" s="475"/>
      <c r="X82" s="444"/>
      <c r="Y82" s="444"/>
      <c r="Z82" s="444"/>
      <c r="AA82" s="444"/>
      <c r="AB82" s="445"/>
      <c r="AC82" s="444"/>
      <c r="AD82" s="444"/>
      <c r="AE82" s="444"/>
      <c r="AF82" s="444"/>
      <c r="AG82" s="445"/>
      <c r="AH82" s="211">
        <f t="shared" ref="AH82:AW82" si="74">AH80/AH$59</f>
        <v>0.55936019697882466</v>
      </c>
      <c r="AI82" s="211">
        <f t="shared" si="74"/>
        <v>0.5510346928710228</v>
      </c>
      <c r="AJ82" s="211">
        <f t="shared" si="74"/>
        <v>0.54515760944319913</v>
      </c>
      <c r="AK82" s="446">
        <f t="shared" si="74"/>
        <v>0.55900621118012417</v>
      </c>
      <c r="AL82" s="211">
        <f t="shared" si="74"/>
        <v>0.53723161260849706</v>
      </c>
      <c r="AM82" s="211">
        <f t="shared" si="74"/>
        <v>0.53209590100541382</v>
      </c>
      <c r="AN82" s="211">
        <f t="shared" si="74"/>
        <v>0.52562373567093734</v>
      </c>
      <c r="AO82" s="446">
        <f t="shared" si="74"/>
        <v>0.55325571366968518</v>
      </c>
      <c r="AP82" s="211">
        <f t="shared" si="74"/>
        <v>0.53189792663476876</v>
      </c>
      <c r="AQ82" s="211">
        <f t="shared" si="74"/>
        <v>0.53194444444444444</v>
      </c>
      <c r="AR82" s="211">
        <f t="shared" si="74"/>
        <v>0.51526251526251521</v>
      </c>
      <c r="AS82" s="211">
        <f t="shared" si="74"/>
        <v>0.54552559593591243</v>
      </c>
      <c r="AT82" s="447">
        <f t="shared" si="74"/>
        <v>0.53353775392870828</v>
      </c>
      <c r="AU82" s="211">
        <f t="shared" si="74"/>
        <v>0.53282588011417698</v>
      </c>
      <c r="AV82" s="211">
        <f t="shared" si="74"/>
        <v>0.52360876897133224</v>
      </c>
      <c r="AW82" s="446">
        <f t="shared" si="74"/>
        <v>0.55478704040771754</v>
      </c>
      <c r="AX82" s="447"/>
      <c r="BB82" s="447"/>
      <c r="BE82" s="446"/>
      <c r="BI82" s="446"/>
      <c r="BM82" s="446"/>
      <c r="BO82" s="446"/>
      <c r="BP82" s="446"/>
      <c r="BQ82" s="446"/>
      <c r="BY82" s="450">
        <f>BY80/BY$59</f>
        <v>0.55301419520876793</v>
      </c>
      <c r="BZ82" s="451">
        <f>BZ80/BZ$59</f>
        <v>0.53618290258449308</v>
      </c>
      <c r="CA82" s="447">
        <f>CA80/CA$59</f>
        <v>0.53016127595117168</v>
      </c>
      <c r="CB82" s="447">
        <f>CB80/CB$59</f>
        <v>0.53526145686583249</v>
      </c>
      <c r="CC82" s="447"/>
      <c r="CD82" s="98"/>
      <c r="CE82" s="98"/>
      <c r="CF82" s="98"/>
      <c r="CG82" s="98"/>
      <c r="CH82" s="98"/>
      <c r="CI82" s="27"/>
      <c r="CJ82" s="27"/>
      <c r="CK82" s="27"/>
      <c r="CL82" s="27"/>
      <c r="CM82" s="27"/>
      <c r="CN82" s="27"/>
      <c r="CO82" s="27"/>
      <c r="CP82" s="27"/>
      <c r="CQ82" s="27"/>
      <c r="CR82" s="27"/>
      <c r="CS82" s="27"/>
      <c r="CT82" s="27"/>
      <c r="CU82" s="27"/>
      <c r="CV82" s="27"/>
      <c r="CW82" s="27"/>
      <c r="CX82" s="27"/>
      <c r="CY82" s="27"/>
      <c r="CZ82" s="27"/>
      <c r="DA82" s="27"/>
      <c r="DB82" s="27"/>
      <c r="DC82" s="27"/>
      <c r="DD82" s="27"/>
      <c r="DE82" s="27"/>
      <c r="DF82" s="27"/>
      <c r="DG82" s="27"/>
      <c r="DH82" s="27"/>
      <c r="DI82" s="27"/>
      <c r="DJ82" s="27"/>
      <c r="DK82" s="27"/>
      <c r="DL82" s="27"/>
      <c r="DM82" s="27"/>
      <c r="DN82" s="27"/>
      <c r="DO82" s="27"/>
      <c r="DP82" s="27"/>
      <c r="DQ82" s="27"/>
      <c r="DR82" s="27"/>
      <c r="DS82" s="27"/>
      <c r="DT82" s="27"/>
      <c r="DU82" s="27"/>
      <c r="DV82" s="27"/>
      <c r="DW82" s="27"/>
      <c r="DX82" s="27"/>
      <c r="DY82" s="27"/>
    </row>
    <row r="83" spans="1:129" s="1795" customFormat="1" ht="11.5" outlineLevel="1">
      <c r="A83" s="1505" t="s">
        <v>1367</v>
      </c>
      <c r="B83" s="1853"/>
      <c r="C83" s="1853"/>
      <c r="D83" s="1853"/>
      <c r="E83" s="1854"/>
      <c r="F83" s="1855"/>
      <c r="G83" s="1855"/>
      <c r="H83" s="1855"/>
      <c r="I83" s="1855"/>
      <c r="J83" s="1855"/>
      <c r="K83" s="1855"/>
      <c r="L83" s="1856"/>
      <c r="M83" s="1855"/>
      <c r="N83" s="1855"/>
      <c r="O83" s="1855"/>
      <c r="P83" s="1855"/>
      <c r="Q83" s="1855"/>
      <c r="R83" s="1855"/>
      <c r="S83" s="1855"/>
      <c r="T83" s="1855"/>
      <c r="U83" s="1855"/>
      <c r="V83" s="1855"/>
      <c r="W83" s="1857"/>
      <c r="Y83" s="1793"/>
      <c r="Z83" s="1793"/>
      <c r="AA83" s="1793"/>
      <c r="AB83" s="1858"/>
      <c r="AC83" s="1859">
        <v>121</v>
      </c>
      <c r="AD83" s="1859">
        <v>143</v>
      </c>
      <c r="AE83" s="1859">
        <v>161</v>
      </c>
      <c r="AF83" s="1859">
        <v>139</v>
      </c>
      <c r="AG83" s="1860">
        <v>564</v>
      </c>
      <c r="AH83" s="1859">
        <v>174</v>
      </c>
      <c r="AI83" s="1859">
        <v>202</v>
      </c>
      <c r="AJ83" s="1859">
        <v>241</v>
      </c>
      <c r="AK83" s="1860">
        <v>190</v>
      </c>
      <c r="AL83" s="1859">
        <v>257</v>
      </c>
      <c r="AM83" s="1859">
        <v>302</v>
      </c>
      <c r="AN83" s="1859">
        <v>299</v>
      </c>
      <c r="AO83" s="1860">
        <v>214</v>
      </c>
      <c r="AP83" s="1859">
        <v>282</v>
      </c>
      <c r="AQ83" s="1859">
        <v>274</v>
      </c>
      <c r="AR83" s="1859">
        <v>302</v>
      </c>
      <c r="AS83" s="1859">
        <v>233</v>
      </c>
      <c r="AT83" s="2835">
        <v>264</v>
      </c>
      <c r="AU83" s="1859">
        <v>285</v>
      </c>
      <c r="AV83" s="1859">
        <v>311</v>
      </c>
      <c r="AW83" s="1860">
        <v>243</v>
      </c>
      <c r="AX83" s="2835"/>
      <c r="AY83" s="1859"/>
      <c r="AZ83" s="1859"/>
      <c r="BA83" s="1859"/>
      <c r="BB83" s="2835"/>
      <c r="BC83" s="1859"/>
      <c r="BD83" s="1859"/>
      <c r="BE83" s="1860"/>
      <c r="BF83" s="1859"/>
      <c r="BG83" s="1859"/>
      <c r="BH83" s="1859"/>
      <c r="BI83" s="1860"/>
      <c r="BJ83" s="1859"/>
      <c r="BK83" s="1859"/>
      <c r="BL83" s="1859"/>
      <c r="BM83" s="1860"/>
      <c r="BN83" s="1859"/>
      <c r="BO83" s="1860"/>
      <c r="BP83" s="1860"/>
      <c r="BQ83" s="1794"/>
      <c r="BR83" s="1859"/>
      <c r="BS83" s="1859"/>
      <c r="BT83" s="1859"/>
      <c r="BU83" s="1859"/>
      <c r="BV83" s="1859"/>
      <c r="BW83" s="1859"/>
      <c r="BX83" s="1859"/>
      <c r="BY83" s="1861">
        <v>807</v>
      </c>
      <c r="BZ83" s="1861">
        <v>1072</v>
      </c>
      <c r="CA83" s="1837">
        <f>SUM(AP83:AS83)</f>
        <v>1091</v>
      </c>
      <c r="CB83" s="1837">
        <v>1103</v>
      </c>
      <c r="CC83" s="1837"/>
      <c r="CD83" s="1941"/>
      <c r="CE83" s="1941"/>
      <c r="CF83" s="1941"/>
      <c r="CG83" s="1941"/>
      <c r="CH83" s="1941"/>
      <c r="CI83" s="1839"/>
      <c r="CJ83" s="1839"/>
      <c r="CK83" s="1839"/>
      <c r="CL83" s="1839"/>
      <c r="CM83" s="1839"/>
      <c r="CN83" s="1839"/>
      <c r="CO83" s="1839"/>
      <c r="CP83" s="1839"/>
      <c r="CQ83" s="1839"/>
      <c r="CR83" s="1839"/>
      <c r="CS83" s="1839"/>
      <c r="CT83" s="1839"/>
      <c r="CU83" s="1839"/>
      <c r="CV83" s="1839"/>
      <c r="CW83" s="1839"/>
      <c r="CX83" s="1839"/>
      <c r="CY83" s="1839"/>
      <c r="CZ83" s="1839"/>
      <c r="DA83" s="1839"/>
      <c r="DB83" s="1839"/>
      <c r="DC83" s="1839"/>
      <c r="DD83" s="1839"/>
      <c r="DE83" s="1839"/>
      <c r="DF83" s="1839"/>
      <c r="DG83" s="1839"/>
      <c r="DH83" s="1839"/>
      <c r="DI83" s="1839"/>
      <c r="DJ83" s="1839"/>
      <c r="DK83" s="1839"/>
      <c r="DL83" s="1839"/>
      <c r="DM83" s="1839"/>
      <c r="DN83" s="1839"/>
      <c r="DO83" s="1839"/>
      <c r="DP83" s="1839"/>
      <c r="DQ83" s="1839"/>
      <c r="DR83" s="1839"/>
      <c r="DS83" s="1839"/>
      <c r="DT83" s="1839"/>
      <c r="DU83" s="1839"/>
      <c r="DV83" s="1839"/>
      <c r="DW83" s="1839"/>
      <c r="DX83" s="1839"/>
      <c r="DY83" s="1839"/>
    </row>
    <row r="84" spans="1:129" s="424" customFormat="1" outlineLevel="1">
      <c r="A84" s="1503" t="s">
        <v>1344</v>
      </c>
      <c r="E84" s="425"/>
      <c r="H84" s="427"/>
      <c r="I84" s="427"/>
      <c r="J84" s="427"/>
      <c r="K84" s="427"/>
      <c r="L84" s="433"/>
      <c r="M84" s="426"/>
      <c r="N84" s="426"/>
      <c r="O84" s="426"/>
      <c r="P84" s="426"/>
      <c r="Q84" s="427"/>
      <c r="R84" s="427"/>
      <c r="S84" s="427"/>
      <c r="T84" s="426"/>
      <c r="U84" s="426"/>
      <c r="V84" s="427"/>
      <c r="W84" s="428"/>
      <c r="X84" s="427"/>
      <c r="Y84" s="427"/>
      <c r="Z84" s="427"/>
      <c r="AA84" s="427"/>
      <c r="AB84" s="430"/>
      <c r="AC84" s="427"/>
      <c r="AD84" s="427"/>
      <c r="AE84" s="427"/>
      <c r="AF84" s="427"/>
      <c r="AG84" s="430"/>
      <c r="AH84" s="988">
        <f>AH83/AC83-1</f>
        <v>0.43801652892561993</v>
      </c>
      <c r="AI84" s="988">
        <f>AI83/AD83-1</f>
        <v>0.41258741258741249</v>
      </c>
      <c r="AJ84" s="988">
        <f>AJ83/AE83-1</f>
        <v>0.49689440993788825</v>
      </c>
      <c r="AK84" s="989">
        <f>AK83/AF83-1</f>
        <v>0.36690647482014382</v>
      </c>
      <c r="AL84" s="988">
        <f t="shared" ref="AL84:AS84" si="75">AL83/AH83-1</f>
        <v>0.47701149425287359</v>
      </c>
      <c r="AM84" s="988">
        <f t="shared" si="75"/>
        <v>0.49504950495049505</v>
      </c>
      <c r="AN84" s="988">
        <f t="shared" si="75"/>
        <v>0.24066390041493779</v>
      </c>
      <c r="AO84" s="989">
        <f t="shared" si="75"/>
        <v>0.12631578947368416</v>
      </c>
      <c r="AP84" s="988">
        <f t="shared" si="75"/>
        <v>9.7276264591439787E-2</v>
      </c>
      <c r="AQ84" s="988">
        <f t="shared" si="75"/>
        <v>-9.27152317880795E-2</v>
      </c>
      <c r="AR84" s="988">
        <f t="shared" si="75"/>
        <v>1.0033444816053505E-2</v>
      </c>
      <c r="AS84" s="988">
        <f t="shared" si="75"/>
        <v>8.8785046728971917E-2</v>
      </c>
      <c r="AT84" s="2829">
        <f>AT83/AP83-1</f>
        <v>-6.3829787234042534E-2</v>
      </c>
      <c r="AU84" s="988">
        <f>AU83/AQ83-1</f>
        <v>4.014598540145986E-2</v>
      </c>
      <c r="AV84" s="988">
        <f>AV83/AR83-1</f>
        <v>2.9801324503311299E-2</v>
      </c>
      <c r="AW84" s="989">
        <f>AW83/AS83-1</f>
        <v>4.2918454935622297E-2</v>
      </c>
      <c r="AX84" s="2829"/>
      <c r="AY84" s="988"/>
      <c r="AZ84" s="988"/>
      <c r="BA84" s="988"/>
      <c r="BB84" s="2829"/>
      <c r="BC84" s="988"/>
      <c r="BD84" s="988"/>
      <c r="BE84" s="989"/>
      <c r="BF84" s="988"/>
      <c r="BG84" s="988"/>
      <c r="BH84" s="988"/>
      <c r="BI84" s="989"/>
      <c r="BJ84" s="988"/>
      <c r="BK84" s="988"/>
      <c r="BL84" s="988"/>
      <c r="BM84" s="989"/>
      <c r="BN84" s="988"/>
      <c r="BO84" s="989"/>
      <c r="BP84" s="989"/>
      <c r="BQ84" s="3335"/>
      <c r="BR84" s="988"/>
      <c r="BS84" s="988"/>
      <c r="BT84" s="988"/>
      <c r="BU84" s="988"/>
      <c r="BV84" s="988"/>
      <c r="BW84" s="988"/>
      <c r="BX84" s="988"/>
      <c r="BY84" s="1009">
        <f>BY83/AG83-1</f>
        <v>0.43085106382978733</v>
      </c>
      <c r="BZ84" s="1009">
        <f>BZ83/BY83-1</f>
        <v>0.32837670384138784</v>
      </c>
      <c r="CA84" s="2829">
        <f>CA83/BZ83-1</f>
        <v>1.7723880597015018E-2</v>
      </c>
      <c r="CB84" s="2829">
        <f>CB83/CA83-1</f>
        <v>1.0999083409715782E-2</v>
      </c>
      <c r="CC84" s="2829"/>
      <c r="CD84" s="98"/>
      <c r="CE84" s="98"/>
      <c r="CF84" s="98"/>
      <c r="CG84" s="98"/>
      <c r="CH84" s="98"/>
      <c r="CI84" s="27"/>
      <c r="CJ84" s="27"/>
      <c r="CK84" s="27"/>
      <c r="CL84" s="27"/>
      <c r="CM84" s="27"/>
      <c r="CN84" s="27"/>
      <c r="CO84" s="27"/>
      <c r="CP84" s="27"/>
      <c r="CQ84" s="27"/>
      <c r="CR84" s="27"/>
      <c r="CS84" s="27"/>
      <c r="CT84" s="27"/>
      <c r="CU84" s="27"/>
      <c r="CV84" s="27"/>
      <c r="CW84" s="27"/>
      <c r="CX84" s="27"/>
      <c r="CY84" s="27"/>
      <c r="CZ84" s="27"/>
      <c r="DA84" s="27"/>
      <c r="DB84" s="27"/>
      <c r="DC84" s="27"/>
      <c r="DD84" s="27"/>
      <c r="DE84" s="27"/>
      <c r="DF84" s="27"/>
      <c r="DG84" s="27"/>
      <c r="DH84" s="27"/>
      <c r="DI84" s="27"/>
      <c r="DJ84" s="27"/>
      <c r="DK84" s="27"/>
      <c r="DL84" s="27"/>
      <c r="DM84" s="27"/>
      <c r="DN84" s="27"/>
      <c r="DO84" s="27"/>
      <c r="DP84" s="27"/>
      <c r="DQ84" s="27"/>
      <c r="DR84" s="27"/>
      <c r="DS84" s="27"/>
      <c r="DT84" s="27"/>
      <c r="DU84" s="27"/>
      <c r="DV84" s="27"/>
      <c r="DW84" s="27"/>
      <c r="DX84" s="27"/>
      <c r="DY84" s="27"/>
    </row>
    <row r="85" spans="1:129" s="211" customFormat="1" outlineLevel="1">
      <c r="A85" s="1504" t="s">
        <v>1371</v>
      </c>
      <c r="E85" s="446"/>
      <c r="H85" s="444"/>
      <c r="I85" s="444"/>
      <c r="J85" s="444"/>
      <c r="K85" s="444"/>
      <c r="L85" s="468"/>
      <c r="M85" s="479"/>
      <c r="N85" s="479"/>
      <c r="O85" s="479"/>
      <c r="P85" s="479"/>
      <c r="Q85" s="444"/>
      <c r="R85" s="444"/>
      <c r="S85" s="444"/>
      <c r="T85" s="479"/>
      <c r="U85" s="479"/>
      <c r="V85" s="444"/>
      <c r="W85" s="475"/>
      <c r="X85" s="444"/>
      <c r="Y85" s="444"/>
      <c r="Z85" s="444"/>
      <c r="AA85" s="444"/>
      <c r="AB85" s="445"/>
      <c r="AC85" s="444"/>
      <c r="AD85" s="444"/>
      <c r="AE85" s="444"/>
      <c r="AF85" s="444"/>
      <c r="AG85" s="445"/>
      <c r="AH85" s="211">
        <f t="shared" ref="AH85:AW85" si="76">AH83/AH$59</f>
        <v>9.1388426548653048E-2</v>
      </c>
      <c r="AI85" s="211">
        <f t="shared" si="76"/>
        <v>9.1990915669377352E-2</v>
      </c>
      <c r="AJ85" s="211">
        <f t="shared" si="76"/>
        <v>9.3378097992758341E-2</v>
      </c>
      <c r="AK85" s="446">
        <f t="shared" si="76"/>
        <v>9.0778786430960351E-2</v>
      </c>
      <c r="AL85" s="211">
        <f t="shared" si="76"/>
        <v>0.11740520785746916</v>
      </c>
      <c r="AM85" s="211">
        <f t="shared" si="76"/>
        <v>0.11678267594740913</v>
      </c>
      <c r="AN85" s="211">
        <f t="shared" si="76"/>
        <v>0.10080917060013486</v>
      </c>
      <c r="AO85" s="446">
        <f t="shared" si="76"/>
        <v>9.2281155670547649E-2</v>
      </c>
      <c r="AP85" s="211">
        <f t="shared" si="76"/>
        <v>0.11244019138755981</v>
      </c>
      <c r="AQ85" s="211">
        <f t="shared" si="76"/>
        <v>9.5138888888888884E-2</v>
      </c>
      <c r="AR85" s="211">
        <f t="shared" si="76"/>
        <v>9.2185592185592191E-2</v>
      </c>
      <c r="AS85" s="211">
        <f t="shared" si="76"/>
        <v>9.1051191871824935E-2</v>
      </c>
      <c r="AT85" s="447">
        <f t="shared" si="76"/>
        <v>0.10118819471061709</v>
      </c>
      <c r="AU85" s="211">
        <f t="shared" si="76"/>
        <v>9.0390104662226453E-2</v>
      </c>
      <c r="AV85" s="211">
        <f t="shared" si="76"/>
        <v>8.7408656548622815E-2</v>
      </c>
      <c r="AW85" s="446">
        <f t="shared" si="76"/>
        <v>8.8460138332726618E-2</v>
      </c>
      <c r="AX85" s="447"/>
      <c r="BB85" s="447"/>
      <c r="BE85" s="446"/>
      <c r="BI85" s="446"/>
      <c r="BM85" s="446"/>
      <c r="BO85" s="446"/>
      <c r="BP85" s="446"/>
      <c r="BQ85" s="446"/>
      <c r="BY85" s="450">
        <f>BY83/BY$59</f>
        <v>9.1979071626849901E-2</v>
      </c>
      <c r="BZ85" s="451">
        <f>BZ83/BZ$59</f>
        <v>0.10656063618290258</v>
      </c>
      <c r="CA85" s="447">
        <f>CA83/CA$59</f>
        <v>9.7211084380290469E-2</v>
      </c>
      <c r="CB85" s="447">
        <f>CB83/CB$59</f>
        <v>9.1406314742686665E-2</v>
      </c>
      <c r="CC85" s="447"/>
      <c r="CD85" s="447"/>
      <c r="CE85" s="447"/>
      <c r="CF85" s="447"/>
      <c r="CG85" s="447"/>
      <c r="CH85" s="447"/>
    </row>
    <row r="86" spans="1:129" s="1795" customFormat="1" ht="11.5" outlineLevel="1">
      <c r="A86" s="1505" t="s">
        <v>1963</v>
      </c>
      <c r="B86" s="1853"/>
      <c r="C86" s="1853"/>
      <c r="D86" s="1853"/>
      <c r="E86" s="1854"/>
      <c r="F86" s="1855"/>
      <c r="G86" s="1855"/>
      <c r="H86" s="1855"/>
      <c r="I86" s="1855"/>
      <c r="J86" s="1855"/>
      <c r="K86" s="1855"/>
      <c r="L86" s="1856"/>
      <c r="M86" s="1855"/>
      <c r="N86" s="1855"/>
      <c r="O86" s="1855"/>
      <c r="P86" s="1855"/>
      <c r="Q86" s="1855"/>
      <c r="R86" s="1855"/>
      <c r="S86" s="1855"/>
      <c r="T86" s="1855"/>
      <c r="U86" s="1855"/>
      <c r="V86" s="1855"/>
      <c r="W86" s="1857"/>
      <c r="Y86" s="1793"/>
      <c r="Z86" s="1793"/>
      <c r="AA86" s="1793"/>
      <c r="AB86" s="1858"/>
      <c r="AC86" s="1867"/>
      <c r="AD86" s="1867"/>
      <c r="AE86" s="1867"/>
      <c r="AF86" s="1859">
        <v>20</v>
      </c>
      <c r="AG86" s="1860">
        <v>20</v>
      </c>
      <c r="AH86" s="1859">
        <v>142</v>
      </c>
      <c r="AI86" s="1859">
        <v>172</v>
      </c>
      <c r="AJ86" s="1859">
        <v>210</v>
      </c>
      <c r="AK86" s="1860">
        <v>166</v>
      </c>
      <c r="AL86" s="1859">
        <v>185</v>
      </c>
      <c r="AM86" s="1859">
        <v>224</v>
      </c>
      <c r="AN86" s="1859">
        <v>305</v>
      </c>
      <c r="AO86" s="1860">
        <v>193</v>
      </c>
      <c r="AP86" s="1859">
        <v>234</v>
      </c>
      <c r="AQ86" s="1859">
        <v>297</v>
      </c>
      <c r="AR86" s="1859">
        <v>410</v>
      </c>
      <c r="AS86" s="1859">
        <v>230</v>
      </c>
      <c r="AT86" s="2835">
        <v>267</v>
      </c>
      <c r="AU86" s="1859">
        <v>347</v>
      </c>
      <c r="AV86" s="1859">
        <v>467</v>
      </c>
      <c r="AW86" s="1860">
        <v>259</v>
      </c>
      <c r="AX86" s="2835"/>
      <c r="AY86" s="1859"/>
      <c r="AZ86" s="1859"/>
      <c r="BA86" s="1859"/>
      <c r="BB86" s="2835"/>
      <c r="BC86" s="1859"/>
      <c r="BD86" s="1859"/>
      <c r="BE86" s="1860"/>
      <c r="BF86" s="1859"/>
      <c r="BG86" s="1859"/>
      <c r="BH86" s="1859"/>
      <c r="BI86" s="1860"/>
      <c r="BJ86" s="1859"/>
      <c r="BK86" s="1859"/>
      <c r="BL86" s="1859"/>
      <c r="BM86" s="1860"/>
      <c r="BN86" s="1859"/>
      <c r="BO86" s="1860"/>
      <c r="BP86" s="1860"/>
      <c r="BQ86" s="1794"/>
      <c r="BR86" s="1859"/>
      <c r="BS86" s="1859"/>
      <c r="BT86" s="1859"/>
      <c r="BU86" s="1859"/>
      <c r="BV86" s="1859"/>
      <c r="BW86" s="1859"/>
      <c r="BX86" s="1859"/>
      <c r="BY86" s="1861">
        <v>690</v>
      </c>
      <c r="BZ86" s="1861">
        <v>907</v>
      </c>
      <c r="CA86" s="1837">
        <f>SUM(AP86:AS86)</f>
        <v>1171</v>
      </c>
      <c r="CB86" s="1837">
        <v>1340</v>
      </c>
      <c r="CC86" s="1837"/>
      <c r="CD86" s="2922"/>
      <c r="CE86" s="2922"/>
      <c r="CF86" s="2922"/>
      <c r="CG86" s="3375"/>
      <c r="CH86" s="3375"/>
    </row>
    <row r="87" spans="1:129" s="424" customFormat="1" outlineLevel="1">
      <c r="A87" s="1503" t="s">
        <v>1964</v>
      </c>
      <c r="E87" s="425"/>
      <c r="H87" s="427"/>
      <c r="I87" s="427"/>
      <c r="J87" s="427"/>
      <c r="K87" s="427"/>
      <c r="L87" s="433"/>
      <c r="M87" s="426"/>
      <c r="N87" s="426"/>
      <c r="O87" s="426"/>
      <c r="P87" s="426"/>
      <c r="Q87" s="427"/>
      <c r="R87" s="427"/>
      <c r="S87" s="427"/>
      <c r="T87" s="426"/>
      <c r="U87" s="426"/>
      <c r="V87" s="427"/>
      <c r="W87" s="428"/>
      <c r="X87" s="427"/>
      <c r="Y87" s="427"/>
      <c r="Z87" s="427"/>
      <c r="AA87" s="427"/>
      <c r="AB87" s="430"/>
      <c r="AC87" s="427"/>
      <c r="AD87" s="427"/>
      <c r="AE87" s="427"/>
      <c r="AF87" s="427"/>
      <c r="AG87" s="430"/>
      <c r="AH87" s="995"/>
      <c r="AI87" s="995"/>
      <c r="AJ87" s="995"/>
      <c r="AK87" s="996"/>
      <c r="AL87" s="988">
        <f t="shared" ref="AL87:AS87" si="77">AL86/AH86-1</f>
        <v>0.30281690140845074</v>
      </c>
      <c r="AM87" s="988">
        <f t="shared" si="77"/>
        <v>0.30232558139534893</v>
      </c>
      <c r="AN87" s="988">
        <f t="shared" si="77"/>
        <v>0.45238095238095233</v>
      </c>
      <c r="AO87" s="989">
        <f t="shared" si="77"/>
        <v>0.16265060240963858</v>
      </c>
      <c r="AP87" s="988">
        <f t="shared" si="77"/>
        <v>0.26486486486486482</v>
      </c>
      <c r="AQ87" s="988">
        <f t="shared" si="77"/>
        <v>0.32589285714285721</v>
      </c>
      <c r="AR87" s="988">
        <f t="shared" si="77"/>
        <v>0.34426229508196715</v>
      </c>
      <c r="AS87" s="988">
        <f t="shared" si="77"/>
        <v>0.19170984455958551</v>
      </c>
      <c r="AT87" s="2829">
        <f>AT86/AP86-1</f>
        <v>0.14102564102564097</v>
      </c>
      <c r="AU87" s="988">
        <f>AU86/AQ86-1</f>
        <v>0.16835016835016825</v>
      </c>
      <c r="AV87" s="988">
        <f>AV86/AR86-1</f>
        <v>0.13902439024390234</v>
      </c>
      <c r="AW87" s="989">
        <f>AW86/AS86-1</f>
        <v>0.12608695652173907</v>
      </c>
      <c r="AX87" s="2829"/>
      <c r="AY87" s="988"/>
      <c r="AZ87" s="988"/>
      <c r="BA87" s="988"/>
      <c r="BB87" s="2829"/>
      <c r="BC87" s="988"/>
      <c r="BD87" s="988"/>
      <c r="BE87" s="989"/>
      <c r="BF87" s="988"/>
      <c r="BG87" s="988"/>
      <c r="BH87" s="988"/>
      <c r="BI87" s="989"/>
      <c r="BJ87" s="988"/>
      <c r="BK87" s="988"/>
      <c r="BL87" s="988"/>
      <c r="BM87" s="989"/>
      <c r="BN87" s="988"/>
      <c r="BO87" s="989"/>
      <c r="BP87" s="989"/>
      <c r="BQ87" s="3335"/>
      <c r="BR87" s="988"/>
      <c r="BS87" s="988"/>
      <c r="BT87" s="988"/>
      <c r="BU87" s="988"/>
      <c r="BV87" s="988"/>
      <c r="BW87" s="988"/>
      <c r="BX87" s="988"/>
      <c r="BY87" s="2887"/>
      <c r="BZ87" s="1009">
        <f>BZ86/BY86-1</f>
        <v>0.31449275362318851</v>
      </c>
      <c r="CA87" s="2829">
        <f>CA86/BZ86-1</f>
        <v>0.29106945975744214</v>
      </c>
      <c r="CB87" s="2829">
        <f>CB86/CA86-1</f>
        <v>0.14432109308283514</v>
      </c>
      <c r="CC87" s="2829"/>
      <c r="CD87" s="423"/>
      <c r="CE87" s="423"/>
      <c r="CF87" s="423"/>
      <c r="CG87" s="3373"/>
      <c r="CH87" s="3373"/>
    </row>
    <row r="88" spans="1:129" s="211" customFormat="1" outlineLevel="1">
      <c r="A88" s="1504" t="s">
        <v>1965</v>
      </c>
      <c r="E88" s="446"/>
      <c r="H88" s="444"/>
      <c r="I88" s="444"/>
      <c r="J88" s="444"/>
      <c r="K88" s="444"/>
      <c r="L88" s="468"/>
      <c r="M88" s="479"/>
      <c r="N88" s="479"/>
      <c r="O88" s="479"/>
      <c r="P88" s="479"/>
      <c r="Q88" s="444"/>
      <c r="R88" s="444"/>
      <c r="S88" s="444"/>
      <c r="T88" s="479"/>
      <c r="U88" s="479"/>
      <c r="V88" s="444"/>
      <c r="W88" s="475"/>
      <c r="X88" s="444"/>
      <c r="Y88" s="444"/>
      <c r="Z88" s="444"/>
      <c r="AA88" s="444"/>
      <c r="AB88" s="445"/>
      <c r="AC88" s="444"/>
      <c r="AD88" s="444"/>
      <c r="AE88" s="444"/>
      <c r="AF88" s="444"/>
      <c r="AG88" s="445"/>
      <c r="AH88" s="211">
        <f t="shared" ref="AH88:AW88" si="78">AH86/AH$59</f>
        <v>7.4581359597176627E-2</v>
      </c>
      <c r="AI88" s="211">
        <f t="shared" si="78"/>
        <v>7.8328898490756957E-2</v>
      </c>
      <c r="AJ88" s="211">
        <f t="shared" si="78"/>
        <v>8.1366807379581962E-2</v>
      </c>
      <c r="AK88" s="446">
        <f t="shared" si="78"/>
        <v>7.9311992355470623E-2</v>
      </c>
      <c r="AL88" s="211">
        <f t="shared" si="78"/>
        <v>8.4513476473275465E-2</v>
      </c>
      <c r="AM88" s="211">
        <f t="shared" si="78"/>
        <v>8.6620262954369684E-2</v>
      </c>
      <c r="AN88" s="211">
        <f t="shared" si="78"/>
        <v>0.10283209710047202</v>
      </c>
      <c r="AO88" s="446">
        <f t="shared" si="78"/>
        <v>8.3225528244933164E-2</v>
      </c>
      <c r="AP88" s="211">
        <f t="shared" si="78"/>
        <v>9.3301435406698566E-2</v>
      </c>
      <c r="AQ88" s="211">
        <f t="shared" si="78"/>
        <v>0.10312499999999999</v>
      </c>
      <c r="AR88" s="211">
        <f t="shared" si="78"/>
        <v>0.12515262515262515</v>
      </c>
      <c r="AS88" s="211">
        <f t="shared" si="78"/>
        <v>8.9878858929269251E-2</v>
      </c>
      <c r="AT88" s="447">
        <f t="shared" si="78"/>
        <v>0.10233806055960137</v>
      </c>
      <c r="AU88" s="211">
        <f t="shared" si="78"/>
        <v>0.11005391690453536</v>
      </c>
      <c r="AV88" s="211">
        <f t="shared" si="78"/>
        <v>0.13125351320966835</v>
      </c>
      <c r="AW88" s="446">
        <f t="shared" si="78"/>
        <v>9.428467419002548E-2</v>
      </c>
      <c r="AX88" s="447"/>
      <c r="BB88" s="447"/>
      <c r="BE88" s="446"/>
      <c r="BI88" s="446"/>
      <c r="BM88" s="446"/>
      <c r="BO88" s="446"/>
      <c r="BP88" s="446"/>
      <c r="BQ88" s="446"/>
      <c r="BY88" s="450">
        <f>BY86/BY$59</f>
        <v>7.8643815889128166E-2</v>
      </c>
      <c r="BZ88" s="451">
        <f>BZ86/BZ$59</f>
        <v>9.015904572564612E-2</v>
      </c>
      <c r="CA88" s="447">
        <f>CA86/CA$59</f>
        <v>0.10433930321660875</v>
      </c>
      <c r="CB88" s="447">
        <f>CB86/CB$59</f>
        <v>0.11104665616971907</v>
      </c>
      <c r="CC88" s="447"/>
      <c r="CD88" s="447"/>
      <c r="CE88" s="447"/>
      <c r="CF88" s="447"/>
      <c r="CG88" s="447"/>
      <c r="CH88" s="447"/>
    </row>
    <row r="89" spans="1:129" s="211" customFormat="1">
      <c r="A89" s="1504"/>
      <c r="E89" s="446"/>
      <c r="H89" s="444"/>
      <c r="I89" s="444"/>
      <c r="J89" s="444"/>
      <c r="K89" s="444"/>
      <c r="L89" s="468"/>
      <c r="M89" s="479"/>
      <c r="N89" s="479"/>
      <c r="O89" s="479"/>
      <c r="P89" s="479"/>
      <c r="Q89" s="444"/>
      <c r="R89" s="444"/>
      <c r="S89" s="444"/>
      <c r="T89" s="479"/>
      <c r="U89" s="479"/>
      <c r="V89" s="444"/>
      <c r="W89" s="475"/>
      <c r="X89" s="444"/>
      <c r="Y89" s="444"/>
      <c r="Z89" s="444"/>
      <c r="AA89" s="444"/>
      <c r="AB89" s="445"/>
      <c r="AC89" s="444"/>
      <c r="AD89" s="444"/>
      <c r="AE89" s="444"/>
      <c r="AF89" s="444"/>
      <c r="AG89" s="445"/>
      <c r="AK89" s="446"/>
      <c r="AO89" s="446"/>
      <c r="AT89" s="447"/>
      <c r="AW89" s="446"/>
      <c r="AX89" s="447"/>
      <c r="BB89" s="447"/>
      <c r="BE89" s="446"/>
      <c r="BI89" s="446"/>
      <c r="BM89" s="446"/>
      <c r="BO89" s="446"/>
      <c r="BP89" s="446"/>
      <c r="BQ89" s="446"/>
      <c r="BY89" s="450"/>
      <c r="BZ89" s="451"/>
      <c r="CA89" s="447"/>
      <c r="CB89" s="447"/>
      <c r="CC89" s="447"/>
      <c r="CD89" s="447"/>
      <c r="CE89" s="447"/>
      <c r="CF89" s="447"/>
      <c r="CG89" s="447"/>
      <c r="CH89" s="447"/>
    </row>
    <row r="90" spans="1:129" s="211" customFormat="1">
      <c r="A90" s="464" t="s">
        <v>1342</v>
      </c>
      <c r="E90" s="446"/>
      <c r="H90" s="444"/>
      <c r="I90" s="444"/>
      <c r="J90" s="444"/>
      <c r="K90" s="444"/>
      <c r="L90" s="468"/>
      <c r="M90" s="479"/>
      <c r="N90" s="479"/>
      <c r="O90" s="479"/>
      <c r="P90" s="479"/>
      <c r="Q90" s="444"/>
      <c r="R90" s="444"/>
      <c r="S90" s="444"/>
      <c r="T90" s="479"/>
      <c r="U90" s="479"/>
      <c r="V90" s="444"/>
      <c r="W90" s="475"/>
      <c r="X90" s="444"/>
      <c r="Y90" s="444"/>
      <c r="Z90" s="444"/>
      <c r="AA90" s="444"/>
      <c r="AB90" s="445"/>
      <c r="AC90" s="444"/>
      <c r="AD90" s="444"/>
      <c r="AE90" s="444"/>
      <c r="AF90" s="444"/>
      <c r="AG90" s="445"/>
      <c r="AK90" s="446"/>
      <c r="AO90" s="446"/>
      <c r="AT90" s="447"/>
      <c r="AW90" s="446"/>
      <c r="AX90" s="447"/>
      <c r="BB90" s="447"/>
      <c r="BE90" s="446"/>
      <c r="BI90" s="446"/>
      <c r="BM90" s="446"/>
      <c r="BO90" s="446"/>
      <c r="BP90" s="446"/>
      <c r="BQ90" s="446"/>
      <c r="BY90" s="450"/>
      <c r="BZ90" s="451"/>
      <c r="CA90" s="447"/>
      <c r="CB90" s="447"/>
      <c r="CC90" s="447"/>
      <c r="CD90" s="447"/>
      <c r="CE90" s="447"/>
      <c r="CF90" s="447"/>
      <c r="CG90" s="447"/>
      <c r="CH90" s="447"/>
    </row>
    <row r="91" spans="1:129" s="211" customFormat="1">
      <c r="A91" s="1505" t="s">
        <v>1366</v>
      </c>
      <c r="E91" s="446"/>
      <c r="H91" s="444"/>
      <c r="I91" s="444"/>
      <c r="J91" s="444"/>
      <c r="K91" s="444"/>
      <c r="L91" s="468"/>
      <c r="M91" s="479"/>
      <c r="N91" s="479"/>
      <c r="O91" s="479"/>
      <c r="P91" s="479"/>
      <c r="Q91" s="444"/>
      <c r="R91" s="444"/>
      <c r="S91" s="444"/>
      <c r="T91" s="479"/>
      <c r="U91" s="479"/>
      <c r="V91" s="444"/>
      <c r="W91" s="475"/>
      <c r="X91" s="444"/>
      <c r="Y91" s="444"/>
      <c r="Z91" s="444"/>
      <c r="AA91" s="444"/>
      <c r="AB91" s="445"/>
      <c r="AC91" s="444"/>
      <c r="AD91" s="444"/>
      <c r="AE91" s="444"/>
      <c r="AF91" s="444"/>
      <c r="AG91" s="445"/>
      <c r="AK91" s="446"/>
      <c r="AO91" s="446"/>
      <c r="AP91" s="1859">
        <v>793</v>
      </c>
      <c r="AQ91" s="1859">
        <v>955</v>
      </c>
      <c r="AR91" s="1859">
        <v>1128</v>
      </c>
      <c r="AS91" s="1859">
        <v>825</v>
      </c>
      <c r="AT91" s="2835">
        <v>842</v>
      </c>
      <c r="AU91" s="1859">
        <v>1047</v>
      </c>
      <c r="AV91" s="1859">
        <v>1177</v>
      </c>
      <c r="AW91" s="1860">
        <v>816</v>
      </c>
      <c r="AX91" s="2835">
        <v>562</v>
      </c>
      <c r="AY91" s="1859">
        <v>105</v>
      </c>
      <c r="AZ91" s="1859">
        <v>329</v>
      </c>
      <c r="BA91" s="1859">
        <v>271</v>
      </c>
      <c r="BB91" s="2835">
        <v>323</v>
      </c>
      <c r="BC91" s="1859">
        <v>573</v>
      </c>
      <c r="BD91" s="1859">
        <v>800</v>
      </c>
      <c r="BE91" s="1860">
        <v>611</v>
      </c>
      <c r="BF91" s="1859">
        <v>566</v>
      </c>
      <c r="BG91" s="1859">
        <v>808</v>
      </c>
      <c r="BH91" s="1859">
        <v>935</v>
      </c>
      <c r="BI91" s="1860">
        <v>685</v>
      </c>
      <c r="BJ91" s="3070"/>
      <c r="BK91" s="1859"/>
      <c r="BL91" s="1859"/>
      <c r="BM91" s="1860"/>
      <c r="BN91" s="1859"/>
      <c r="BO91" s="1860"/>
      <c r="BP91" s="1860"/>
      <c r="BQ91" s="1794"/>
      <c r="BR91" s="1859"/>
      <c r="BS91" s="1859"/>
      <c r="BT91" s="1859"/>
      <c r="BU91" s="1859"/>
      <c r="BV91" s="1859"/>
      <c r="BW91" s="1859"/>
      <c r="BX91" s="1859"/>
      <c r="BY91" s="1861"/>
      <c r="BZ91" s="1861"/>
      <c r="CA91" s="2835">
        <v>3701</v>
      </c>
      <c r="CB91" s="2835">
        <v>3882</v>
      </c>
      <c r="CC91" s="2835">
        <f>SUM(AX91:BA91)</f>
        <v>1267</v>
      </c>
      <c r="CD91" s="2835">
        <v>2307</v>
      </c>
      <c r="CE91" s="2934">
        <f>SUM(BF91:BI91)</f>
        <v>2994</v>
      </c>
      <c r="CF91" s="3155"/>
      <c r="CG91" s="3155"/>
      <c r="CH91" s="3155"/>
    </row>
    <row r="92" spans="1:129" s="211" customFormat="1">
      <c r="A92" s="1503" t="s">
        <v>1332</v>
      </c>
      <c r="E92" s="446"/>
      <c r="H92" s="444"/>
      <c r="I92" s="444"/>
      <c r="J92" s="444"/>
      <c r="K92" s="444"/>
      <c r="L92" s="468"/>
      <c r="M92" s="479"/>
      <c r="N92" s="479"/>
      <c r="O92" s="479"/>
      <c r="P92" s="479"/>
      <c r="Q92" s="444"/>
      <c r="R92" s="444"/>
      <c r="S92" s="444"/>
      <c r="T92" s="479"/>
      <c r="U92" s="479"/>
      <c r="V92" s="444"/>
      <c r="W92" s="475"/>
      <c r="X92" s="444"/>
      <c r="Y92" s="444"/>
      <c r="Z92" s="444"/>
      <c r="AA92" s="444"/>
      <c r="AB92" s="445"/>
      <c r="AC92" s="444"/>
      <c r="AD92" s="444"/>
      <c r="AE92" s="444"/>
      <c r="AF92" s="444"/>
      <c r="AG92" s="445"/>
      <c r="AK92" s="446"/>
      <c r="AO92" s="446"/>
      <c r="AP92" s="988"/>
      <c r="AQ92" s="988"/>
      <c r="AR92" s="988"/>
      <c r="AS92" s="988"/>
      <c r="AT92" s="2829">
        <f>AT91/AP91-1</f>
        <v>6.1790668348045363E-2</v>
      </c>
      <c r="AU92" s="988">
        <f>AU91/AQ91-1</f>
        <v>9.6335078534031338E-2</v>
      </c>
      <c r="AV92" s="988">
        <f>AV91/AR91-1</f>
        <v>4.3439716312056786E-2</v>
      </c>
      <c r="AW92" s="989">
        <f t="shared" ref="AW92:BC92" si="79">AW91/AS91-1</f>
        <v>-1.0909090909090868E-2</v>
      </c>
      <c r="AX92" s="2829">
        <f t="shared" si="79"/>
        <v>-0.33254156769596199</v>
      </c>
      <c r="AY92" s="988">
        <f t="shared" si="79"/>
        <v>-0.89971346704871058</v>
      </c>
      <c r="AZ92" s="988">
        <f t="shared" si="79"/>
        <v>-0.72047578589634664</v>
      </c>
      <c r="BA92" s="988">
        <f t="shared" si="79"/>
        <v>-0.66789215686274517</v>
      </c>
      <c r="BB92" s="2829">
        <f t="shared" si="79"/>
        <v>-0.42526690391459077</v>
      </c>
      <c r="BC92" s="988">
        <f t="shared" si="79"/>
        <v>4.4571428571428573</v>
      </c>
      <c r="BD92" s="988">
        <v>1.43</v>
      </c>
      <c r="BE92" s="989">
        <v>1.25</v>
      </c>
      <c r="BF92" s="988">
        <v>0.75</v>
      </c>
      <c r="BG92" s="2968">
        <v>0.41</v>
      </c>
      <c r="BH92" s="2968">
        <v>0.17</v>
      </c>
      <c r="BI92" s="3028">
        <f>BI91/BE91-1</f>
        <v>0.12111292962356801</v>
      </c>
      <c r="BJ92" s="3071">
        <f>BJ91/BF91-1</f>
        <v>-1</v>
      </c>
      <c r="BK92" s="2968"/>
      <c r="BL92" s="2968"/>
      <c r="BM92" s="3028"/>
      <c r="BN92" s="2968"/>
      <c r="BO92" s="3028"/>
      <c r="BP92" s="3028"/>
      <c r="BQ92" s="3341"/>
      <c r="BR92" s="2968"/>
      <c r="BS92" s="2968"/>
      <c r="BT92" s="2968"/>
      <c r="BU92" s="2968"/>
      <c r="BV92" s="2968"/>
      <c r="BW92" s="2968"/>
      <c r="BX92" s="2968"/>
      <c r="BY92" s="1009"/>
      <c r="BZ92" s="1009"/>
      <c r="CA92" s="2829"/>
      <c r="CB92" s="2829">
        <f>CB91/CA91-1</f>
        <v>4.8905701161848114E-2</v>
      </c>
      <c r="CC92" s="2829">
        <f>CC91/CB91-1</f>
        <v>-0.67362184441009787</v>
      </c>
      <c r="CD92" s="2829">
        <f>CD91/CC91-1</f>
        <v>0.82083662194159435</v>
      </c>
      <c r="CE92" s="2829">
        <f>CE91/CD91-1</f>
        <v>0.29778933680104025</v>
      </c>
      <c r="CF92" s="3156"/>
      <c r="CG92" s="3156"/>
      <c r="CH92" s="3156"/>
    </row>
    <row r="93" spans="1:129" s="211" customFormat="1">
      <c r="A93" s="1504" t="s">
        <v>1333</v>
      </c>
      <c r="E93" s="446"/>
      <c r="H93" s="444"/>
      <c r="I93" s="444"/>
      <c r="J93" s="444"/>
      <c r="K93" s="444"/>
      <c r="L93" s="468"/>
      <c r="M93" s="479"/>
      <c r="N93" s="479"/>
      <c r="O93" s="479"/>
      <c r="P93" s="479"/>
      <c r="Q93" s="444"/>
      <c r="R93" s="444"/>
      <c r="S93" s="444"/>
      <c r="T93" s="479"/>
      <c r="U93" s="479"/>
      <c r="V93" s="444"/>
      <c r="W93" s="475"/>
      <c r="X93" s="444"/>
      <c r="Y93" s="444"/>
      <c r="Z93" s="444"/>
      <c r="AA93" s="444"/>
      <c r="AB93" s="445"/>
      <c r="AC93" s="444"/>
      <c r="AD93" s="444"/>
      <c r="AE93" s="444"/>
      <c r="AF93" s="444"/>
      <c r="AG93" s="445"/>
      <c r="AK93" s="446"/>
      <c r="AO93" s="446"/>
      <c r="AP93" s="211">
        <f t="shared" ref="AP93:BF93" si="80">AP91/AP$59</f>
        <v>0.31618819776714513</v>
      </c>
      <c r="AQ93" s="211">
        <f t="shared" si="80"/>
        <v>0.33159722222222221</v>
      </c>
      <c r="AR93" s="211">
        <f t="shared" si="80"/>
        <v>0.34432234432234432</v>
      </c>
      <c r="AS93" s="211">
        <f t="shared" si="80"/>
        <v>0.32239155920281359</v>
      </c>
      <c r="AT93" s="447">
        <f t="shared" si="80"/>
        <v>0.32272901494825601</v>
      </c>
      <c r="AU93" s="211">
        <f t="shared" si="80"/>
        <v>0.33206470028544244</v>
      </c>
      <c r="AV93" s="211">
        <f t="shared" si="80"/>
        <v>0.33080382237211919</v>
      </c>
      <c r="AW93" s="446">
        <f t="shared" si="80"/>
        <v>0.29705132872224244</v>
      </c>
      <c r="AX93" s="447">
        <f t="shared" si="80"/>
        <v>0.25441376188320508</v>
      </c>
      <c r="AY93" s="211">
        <f t="shared" si="80"/>
        <v>0.18551236749116609</v>
      </c>
      <c r="AZ93" s="211">
        <f t="shared" si="80"/>
        <v>0.21875</v>
      </c>
      <c r="BA93" s="211">
        <f t="shared" si="80"/>
        <v>0.29456521739130437</v>
      </c>
      <c r="BB93" s="447">
        <f t="shared" si="80"/>
        <v>0.2592295345104334</v>
      </c>
      <c r="BC93" s="211">
        <f t="shared" si="80"/>
        <v>0.27143533870203695</v>
      </c>
      <c r="BD93" s="211">
        <f t="shared" si="80"/>
        <v>0.27008777852802163</v>
      </c>
      <c r="BE93" s="446">
        <f t="shared" si="80"/>
        <v>0.26810004387889425</v>
      </c>
      <c r="BF93" s="211">
        <f t="shared" si="80"/>
        <v>0.25166740773677188</v>
      </c>
      <c r="BG93" s="211">
        <f>BG91/BG59</f>
        <v>0.25400817353033639</v>
      </c>
      <c r="BH93" s="211">
        <f>BH91/BH59</f>
        <v>0.25835866261398177</v>
      </c>
      <c r="BI93" s="446">
        <f>BI91/BI59</f>
        <v>0.26165011459129106</v>
      </c>
      <c r="BJ93" s="2651">
        <f>BJ91/BJ$59</f>
        <v>0</v>
      </c>
      <c r="BM93" s="446"/>
      <c r="BO93" s="446"/>
      <c r="BP93" s="446"/>
      <c r="BQ93" s="446"/>
      <c r="BY93" s="451"/>
      <c r="BZ93" s="451"/>
      <c r="CA93" s="447">
        <f>CA91/CA$59</f>
        <v>0.32976922391517421</v>
      </c>
      <c r="CB93" s="447">
        <f>CB91/CB$59</f>
        <v>0.32170382033645478</v>
      </c>
      <c r="CC93" s="447">
        <f>CC91/CC$59</f>
        <v>0.24370071167532217</v>
      </c>
      <c r="CD93" s="447">
        <f>CD91/CD$59</f>
        <v>0.26831821353803209</v>
      </c>
      <c r="CE93" s="447">
        <f>CE91/CE$59</f>
        <v>0.25662123939316017</v>
      </c>
      <c r="CF93" s="2650"/>
      <c r="CG93" s="2650"/>
      <c r="CH93" s="2650"/>
    </row>
    <row r="94" spans="1:129" s="211" customFormat="1">
      <c r="A94" s="1505" t="s">
        <v>1329</v>
      </c>
      <c r="E94" s="446"/>
      <c r="H94" s="444"/>
      <c r="I94" s="444"/>
      <c r="J94" s="444"/>
      <c r="K94" s="444"/>
      <c r="L94" s="468"/>
      <c r="M94" s="479"/>
      <c r="N94" s="479"/>
      <c r="O94" s="479"/>
      <c r="P94" s="479"/>
      <c r="Q94" s="444"/>
      <c r="R94" s="444"/>
      <c r="S94" s="444"/>
      <c r="T94" s="479"/>
      <c r="U94" s="479"/>
      <c r="V94" s="444"/>
      <c r="W94" s="475"/>
      <c r="X94" s="444"/>
      <c r="Y94" s="444"/>
      <c r="Z94" s="444"/>
      <c r="AA94" s="444"/>
      <c r="AB94" s="445"/>
      <c r="AC94" s="444"/>
      <c r="AD94" s="444"/>
      <c r="AE94" s="444"/>
      <c r="AF94" s="444"/>
      <c r="AG94" s="445"/>
      <c r="AK94" s="446"/>
      <c r="AO94" s="446"/>
      <c r="AP94" s="1859">
        <v>1350</v>
      </c>
      <c r="AQ94" s="1859">
        <v>1576</v>
      </c>
      <c r="AR94" s="1859">
        <v>1770</v>
      </c>
      <c r="AS94" s="1859">
        <v>1429</v>
      </c>
      <c r="AT94" s="2835">
        <v>1435</v>
      </c>
      <c r="AU94" s="1859">
        <v>1758</v>
      </c>
      <c r="AV94" s="1859">
        <v>1980</v>
      </c>
      <c r="AW94" s="1860">
        <v>1590</v>
      </c>
      <c r="AX94" s="2835">
        <v>1340</v>
      </c>
      <c r="AY94" s="1859">
        <v>368</v>
      </c>
      <c r="AZ94" s="1859">
        <v>1032</v>
      </c>
      <c r="BA94" s="1859">
        <v>521</v>
      </c>
      <c r="BB94" s="2835">
        <v>796</v>
      </c>
      <c r="BC94" s="1859">
        <v>1338</v>
      </c>
      <c r="BD94" s="1859">
        <v>1923</v>
      </c>
      <c r="BE94" s="1860">
        <v>1480</v>
      </c>
      <c r="BF94" s="1859">
        <v>1485</v>
      </c>
      <c r="BG94" s="1859">
        <v>2125</v>
      </c>
      <c r="BH94" s="1859">
        <v>2427</v>
      </c>
      <c r="BI94" s="1860">
        <v>1725</v>
      </c>
      <c r="BJ94" s="3070"/>
      <c r="BK94" s="1859"/>
      <c r="BL94" s="1859"/>
      <c r="BM94" s="1860"/>
      <c r="BN94" s="1859"/>
      <c r="BO94" s="1860"/>
      <c r="BP94" s="1860"/>
      <c r="BQ94" s="1794"/>
      <c r="BR94" s="1859"/>
      <c r="BS94" s="1859"/>
      <c r="BT94" s="1859"/>
      <c r="BU94" s="1859"/>
      <c r="BV94" s="1859"/>
      <c r="BW94" s="1859"/>
      <c r="BX94" s="1859"/>
      <c r="BY94" s="1861"/>
      <c r="BZ94" s="1861"/>
      <c r="CA94" s="2835">
        <v>6125</v>
      </c>
      <c r="CB94" s="2835">
        <v>6763</v>
      </c>
      <c r="CC94" s="2835">
        <f>SUM(AX94:BA94)</f>
        <v>3261</v>
      </c>
      <c r="CD94" s="2835">
        <v>5537</v>
      </c>
      <c r="CE94" s="2934">
        <f>SUM(BF94:BI94)</f>
        <v>7762</v>
      </c>
      <c r="CF94" s="3155"/>
      <c r="CG94" s="3155"/>
      <c r="CH94" s="3155"/>
    </row>
    <row r="95" spans="1:129" s="211" customFormat="1">
      <c r="A95" s="1503" t="s">
        <v>1330</v>
      </c>
      <c r="E95" s="446"/>
      <c r="H95" s="444"/>
      <c r="I95" s="444"/>
      <c r="J95" s="444"/>
      <c r="K95" s="444"/>
      <c r="L95" s="468"/>
      <c r="M95" s="479"/>
      <c r="N95" s="479"/>
      <c r="O95" s="479"/>
      <c r="P95" s="479"/>
      <c r="Q95" s="444"/>
      <c r="R95" s="444"/>
      <c r="S95" s="444"/>
      <c r="T95" s="479"/>
      <c r="U95" s="479"/>
      <c r="V95" s="444"/>
      <c r="W95" s="475"/>
      <c r="X95" s="444"/>
      <c r="Y95" s="444"/>
      <c r="Z95" s="444"/>
      <c r="AA95" s="444"/>
      <c r="AB95" s="445"/>
      <c r="AC95" s="444"/>
      <c r="AD95" s="444"/>
      <c r="AE95" s="444"/>
      <c r="AF95" s="444"/>
      <c r="AG95" s="445"/>
      <c r="AK95" s="446"/>
      <c r="AO95" s="446"/>
      <c r="AP95" s="988"/>
      <c r="AQ95" s="988"/>
      <c r="AR95" s="988"/>
      <c r="AS95" s="988"/>
      <c r="AT95" s="2829">
        <f>AT94/AP94-1</f>
        <v>6.2962962962962887E-2</v>
      </c>
      <c r="AU95" s="988">
        <f>AU94/AQ94-1</f>
        <v>0.11548223350253806</v>
      </c>
      <c r="AV95" s="988">
        <f>AV94/AR94-1</f>
        <v>0.11864406779661008</v>
      </c>
      <c r="AW95" s="989">
        <f t="shared" ref="AW95:BC95" si="81">AW94/AS94-1</f>
        <v>0.11266620013995809</v>
      </c>
      <c r="AX95" s="2829">
        <f t="shared" si="81"/>
        <v>-6.6202090592334506E-2</v>
      </c>
      <c r="AY95" s="988">
        <f t="shared" si="81"/>
        <v>-0.79067121729237777</v>
      </c>
      <c r="AZ95" s="988">
        <f t="shared" si="81"/>
        <v>-0.47878787878787876</v>
      </c>
      <c r="BA95" s="988">
        <f t="shared" si="81"/>
        <v>-0.67232704402515719</v>
      </c>
      <c r="BB95" s="2829">
        <f t="shared" si="81"/>
        <v>-0.40597014925373132</v>
      </c>
      <c r="BC95" s="988">
        <f t="shared" si="81"/>
        <v>2.6358695652173911</v>
      </c>
      <c r="BD95" s="988">
        <v>0.86</v>
      </c>
      <c r="BE95" s="989">
        <v>1.84</v>
      </c>
      <c r="BF95" s="988">
        <v>0.86</v>
      </c>
      <c r="BG95" s="2968">
        <v>0.59</v>
      </c>
      <c r="BH95" s="2968">
        <v>0.26</v>
      </c>
      <c r="BI95" s="3028">
        <f>BI94/BE94-1</f>
        <v>0.16554054054054057</v>
      </c>
      <c r="BJ95" s="3071">
        <f>BJ94/BF94-1</f>
        <v>-1</v>
      </c>
      <c r="BK95" s="2968"/>
      <c r="BL95" s="2968"/>
      <c r="BM95" s="3028"/>
      <c r="BN95" s="2968"/>
      <c r="BO95" s="3028"/>
      <c r="BP95" s="3028"/>
      <c r="BQ95" s="3341"/>
      <c r="BR95" s="2968"/>
      <c r="BS95" s="2968"/>
      <c r="BT95" s="2968"/>
      <c r="BU95" s="2968"/>
      <c r="BV95" s="2968"/>
      <c r="BW95" s="2968"/>
      <c r="BX95" s="2968"/>
      <c r="BY95" s="1009"/>
      <c r="BZ95" s="1009"/>
      <c r="CA95" s="2829"/>
      <c r="CB95" s="2829">
        <f>CB94/CA94-1</f>
        <v>0.10416326530612241</v>
      </c>
      <c r="CC95" s="2829">
        <f>CC94/CB94-1</f>
        <v>-0.51781753659618512</v>
      </c>
      <c r="CD95" s="2829">
        <f>CD94/CC94-1</f>
        <v>0.69794541551671263</v>
      </c>
      <c r="CE95" s="2829">
        <f>CE94/CD94-1</f>
        <v>0.40184215279031976</v>
      </c>
      <c r="CF95" s="3156"/>
      <c r="CG95" s="3156"/>
      <c r="CH95" s="3156"/>
    </row>
    <row r="96" spans="1:129" s="211" customFormat="1">
      <c r="A96" s="1504" t="s">
        <v>1370</v>
      </c>
      <c r="E96" s="446"/>
      <c r="H96" s="444"/>
      <c r="I96" s="444"/>
      <c r="J96" s="444"/>
      <c r="K96" s="444"/>
      <c r="L96" s="468"/>
      <c r="M96" s="479"/>
      <c r="N96" s="479"/>
      <c r="O96" s="479"/>
      <c r="P96" s="479"/>
      <c r="Q96" s="444"/>
      <c r="R96" s="444"/>
      <c r="S96" s="444"/>
      <c r="T96" s="479"/>
      <c r="U96" s="479"/>
      <c r="V96" s="444"/>
      <c r="W96" s="475"/>
      <c r="X96" s="444"/>
      <c r="Y96" s="444"/>
      <c r="Z96" s="444"/>
      <c r="AA96" s="444"/>
      <c r="AB96" s="445"/>
      <c r="AC96" s="444"/>
      <c r="AD96" s="444"/>
      <c r="AE96" s="444"/>
      <c r="AF96" s="444"/>
      <c r="AG96" s="445"/>
      <c r="AK96" s="446"/>
      <c r="AO96" s="446"/>
      <c r="AP96" s="211">
        <f t="shared" ref="AP96:BF96" si="82">AP94/AP$59</f>
        <v>0.53827751196172247</v>
      </c>
      <c r="AQ96" s="211">
        <f t="shared" si="82"/>
        <v>0.54722222222222228</v>
      </c>
      <c r="AR96" s="211">
        <f t="shared" si="82"/>
        <v>0.54029304029304026</v>
      </c>
      <c r="AS96" s="211">
        <f t="shared" si="82"/>
        <v>0.558421258304025</v>
      </c>
      <c r="AT96" s="447">
        <f t="shared" si="82"/>
        <v>0.55001916443081644</v>
      </c>
      <c r="AU96" s="211">
        <f t="shared" si="82"/>
        <v>0.55756422454804944</v>
      </c>
      <c r="AV96" s="211">
        <f t="shared" si="82"/>
        <v>0.55649241146711637</v>
      </c>
      <c r="AW96" s="446">
        <f t="shared" si="82"/>
        <v>0.57881325081907531</v>
      </c>
      <c r="AX96" s="447">
        <f t="shared" si="82"/>
        <v>0.60660932548664559</v>
      </c>
      <c r="AY96" s="211">
        <f t="shared" si="82"/>
        <v>0.65017667844522964</v>
      </c>
      <c r="AZ96" s="211">
        <f t="shared" si="82"/>
        <v>0.68617021276595747</v>
      </c>
      <c r="BA96" s="211">
        <f t="shared" si="82"/>
        <v>0.56630434782608696</v>
      </c>
      <c r="BB96" s="447">
        <f t="shared" si="82"/>
        <v>0.6388443017656501</v>
      </c>
      <c r="BC96" s="211">
        <f t="shared" si="82"/>
        <v>0.63382283278067264</v>
      </c>
      <c r="BD96" s="211">
        <f t="shared" si="82"/>
        <v>0.64922349763673193</v>
      </c>
      <c r="BE96" s="446">
        <f t="shared" si="82"/>
        <v>0.64940763492759979</v>
      </c>
      <c r="BF96" s="211">
        <f t="shared" si="82"/>
        <v>0.66029346376167186</v>
      </c>
      <c r="BG96" s="211">
        <f>BG94/BG59</f>
        <v>0.66802892172272865</v>
      </c>
      <c r="BH96" s="211">
        <f>BH94/BH59</f>
        <v>0.67062724509533023</v>
      </c>
      <c r="BI96" s="446">
        <f>BI94/BI59</f>
        <v>0.65889992360580596</v>
      </c>
      <c r="BJ96" s="2651">
        <f>BJ94/BJ$59</f>
        <v>0</v>
      </c>
      <c r="BM96" s="446"/>
      <c r="BO96" s="446"/>
      <c r="BP96" s="446"/>
      <c r="BQ96" s="446"/>
      <c r="BY96" s="451"/>
      <c r="BZ96" s="451"/>
      <c r="CA96" s="447">
        <f>CA94/CA$59</f>
        <v>0.54575425465561789</v>
      </c>
      <c r="CB96" s="447">
        <f>CB94/CB$59</f>
        <v>0.56045413110135078</v>
      </c>
      <c r="CC96" s="447">
        <f>CC94/CC$59</f>
        <v>0.62723600692440851</v>
      </c>
      <c r="CD96" s="447">
        <f>CD94/CD$59</f>
        <v>0.64398697371481739</v>
      </c>
      <c r="CE96" s="447">
        <f>CE94/CE$59</f>
        <v>0.66529527727779203</v>
      </c>
      <c r="CF96" s="2650"/>
      <c r="CG96" s="2650"/>
      <c r="CH96" s="2650"/>
    </row>
    <row r="97" spans="1:86" s="211" customFormat="1">
      <c r="A97" s="1505" t="s">
        <v>1367</v>
      </c>
      <c r="E97" s="446"/>
      <c r="H97" s="444"/>
      <c r="I97" s="444"/>
      <c r="J97" s="444"/>
      <c r="K97" s="444"/>
      <c r="L97" s="468"/>
      <c r="M97" s="479"/>
      <c r="N97" s="479"/>
      <c r="O97" s="479"/>
      <c r="P97" s="479"/>
      <c r="Q97" s="444"/>
      <c r="R97" s="444"/>
      <c r="S97" s="444"/>
      <c r="T97" s="479"/>
      <c r="U97" s="479"/>
      <c r="V97" s="444"/>
      <c r="W97" s="475"/>
      <c r="X97" s="444"/>
      <c r="Y97" s="444"/>
      <c r="Z97" s="444"/>
      <c r="AA97" s="444"/>
      <c r="AB97" s="445"/>
      <c r="AC97" s="444"/>
      <c r="AD97" s="444"/>
      <c r="AE97" s="444"/>
      <c r="AF97" s="444"/>
      <c r="AG97" s="445"/>
      <c r="AK97" s="446"/>
      <c r="AO97" s="446"/>
      <c r="AP97" s="1859">
        <v>365</v>
      </c>
      <c r="AQ97" s="1859">
        <v>349</v>
      </c>
      <c r="AR97" s="1859">
        <v>378</v>
      </c>
      <c r="AS97" s="1859">
        <v>305</v>
      </c>
      <c r="AT97" s="2835">
        <v>332</v>
      </c>
      <c r="AU97" s="1859">
        <v>348</v>
      </c>
      <c r="AV97" s="1859">
        <v>401</v>
      </c>
      <c r="AW97" s="1860">
        <v>341</v>
      </c>
      <c r="AX97" s="2835">
        <v>307</v>
      </c>
      <c r="AY97" s="1859">
        <v>93</v>
      </c>
      <c r="AZ97" s="1859">
        <v>143</v>
      </c>
      <c r="BA97" s="1859">
        <v>128</v>
      </c>
      <c r="BB97" s="2835">
        <v>127</v>
      </c>
      <c r="BC97" s="1859">
        <v>200</v>
      </c>
      <c r="BD97" s="1859">
        <v>239</v>
      </c>
      <c r="BE97" s="1860">
        <v>188</v>
      </c>
      <c r="BF97" s="1859">
        <v>198</v>
      </c>
      <c r="BG97" s="1859">
        <v>248</v>
      </c>
      <c r="BH97" s="1859">
        <v>257</v>
      </c>
      <c r="BI97" s="1860">
        <v>208</v>
      </c>
      <c r="BJ97" s="3070"/>
      <c r="BK97" s="1859"/>
      <c r="BL97" s="1859"/>
      <c r="BM97" s="1860"/>
      <c r="BN97" s="1859"/>
      <c r="BO97" s="1860"/>
      <c r="BP97" s="1860"/>
      <c r="BQ97" s="1794"/>
      <c r="BR97" s="1859"/>
      <c r="BS97" s="1859"/>
      <c r="BT97" s="1859"/>
      <c r="BU97" s="1859"/>
      <c r="BV97" s="1859"/>
      <c r="BW97" s="1859"/>
      <c r="BX97" s="1859"/>
      <c r="BY97" s="1861"/>
      <c r="BZ97" s="1861"/>
      <c r="CA97" s="2835">
        <v>1397</v>
      </c>
      <c r="CB97" s="2835">
        <v>1422</v>
      </c>
      <c r="CC97" s="2835">
        <f>SUM(AX97:BA97)</f>
        <v>671</v>
      </c>
      <c r="CD97" s="2835">
        <v>754</v>
      </c>
      <c r="CE97" s="2934">
        <f>SUM(BF97:BI97)</f>
        <v>911</v>
      </c>
      <c r="CF97" s="3155"/>
      <c r="CG97" s="3155"/>
      <c r="CH97" s="3155"/>
    </row>
    <row r="98" spans="1:86" s="211" customFormat="1">
      <c r="A98" s="1503" t="s">
        <v>1344</v>
      </c>
      <c r="E98" s="446"/>
      <c r="H98" s="444"/>
      <c r="I98" s="444"/>
      <c r="J98" s="444"/>
      <c r="K98" s="444"/>
      <c r="L98" s="468"/>
      <c r="M98" s="479"/>
      <c r="N98" s="479"/>
      <c r="O98" s="479"/>
      <c r="P98" s="479"/>
      <c r="Q98" s="444"/>
      <c r="R98" s="444"/>
      <c r="S98" s="444"/>
      <c r="T98" s="479"/>
      <c r="U98" s="479"/>
      <c r="V98" s="444"/>
      <c r="W98" s="475"/>
      <c r="X98" s="444"/>
      <c r="Y98" s="444"/>
      <c r="Z98" s="444"/>
      <c r="AA98" s="444"/>
      <c r="AB98" s="445"/>
      <c r="AC98" s="444"/>
      <c r="AD98" s="444"/>
      <c r="AE98" s="444"/>
      <c r="AF98" s="444"/>
      <c r="AG98" s="445"/>
      <c r="AK98" s="446"/>
      <c r="AO98" s="446"/>
      <c r="AP98" s="988"/>
      <c r="AQ98" s="988"/>
      <c r="AR98" s="988"/>
      <c r="AS98" s="988"/>
      <c r="AT98" s="2829">
        <f t="shared" ref="AT98:BC98" si="83">AT97/AP97-1</f>
        <v>-9.0410958904109551E-2</v>
      </c>
      <c r="AU98" s="988">
        <f t="shared" si="83"/>
        <v>-2.8653295128939771E-3</v>
      </c>
      <c r="AV98" s="988">
        <f t="shared" si="83"/>
        <v>6.0846560846560926E-2</v>
      </c>
      <c r="AW98" s="989">
        <f t="shared" si="83"/>
        <v>0.11803278688524599</v>
      </c>
      <c r="AX98" s="2829">
        <f t="shared" si="83"/>
        <v>-7.5301204819277157E-2</v>
      </c>
      <c r="AY98" s="988">
        <f t="shared" si="83"/>
        <v>-0.73275862068965525</v>
      </c>
      <c r="AZ98" s="988">
        <f t="shared" si="83"/>
        <v>-0.64339152119700749</v>
      </c>
      <c r="BA98" s="988">
        <f t="shared" si="83"/>
        <v>-0.62463343108504399</v>
      </c>
      <c r="BB98" s="2829">
        <f t="shared" si="83"/>
        <v>-0.58631921824104238</v>
      </c>
      <c r="BC98" s="988">
        <f t="shared" si="83"/>
        <v>1.150537634408602</v>
      </c>
      <c r="BD98" s="988">
        <v>0.67</v>
      </c>
      <c r="BE98" s="989">
        <v>0.47</v>
      </c>
      <c r="BF98" s="988">
        <v>0.56999999999999995</v>
      </c>
      <c r="BG98" s="2968">
        <v>0.24</v>
      </c>
      <c r="BH98" s="2968">
        <v>7.0000000000000007E-2</v>
      </c>
      <c r="BI98" s="3028">
        <f>BI97/BE97-1</f>
        <v>0.1063829787234043</v>
      </c>
      <c r="BJ98" s="3071">
        <f>BJ97/BF97-1</f>
        <v>-1</v>
      </c>
      <c r="BK98" s="2968"/>
      <c r="BL98" s="2968"/>
      <c r="BM98" s="3028"/>
      <c r="BN98" s="2968"/>
      <c r="BO98" s="3028"/>
      <c r="BP98" s="3028"/>
      <c r="BQ98" s="3341"/>
      <c r="BR98" s="2968"/>
      <c r="BS98" s="2968"/>
      <c r="BT98" s="2968"/>
      <c r="BU98" s="2968"/>
      <c r="BV98" s="2968"/>
      <c r="BW98" s="2968"/>
      <c r="BX98" s="2968"/>
      <c r="BY98" s="1009"/>
      <c r="BZ98" s="1009"/>
      <c r="CA98" s="2829"/>
      <c r="CB98" s="2829">
        <f>CB97/CA97-1</f>
        <v>1.7895490336435227E-2</v>
      </c>
      <c r="CC98" s="2829">
        <f>CC97/CB97-1</f>
        <v>-0.52812939521800284</v>
      </c>
      <c r="CD98" s="2829">
        <f>CD97/CC97-1</f>
        <v>0.1236959761549925</v>
      </c>
      <c r="CE98" s="2829">
        <f>CE97/CD97-1</f>
        <v>0.20822281167108758</v>
      </c>
      <c r="CF98" s="3156"/>
      <c r="CG98" s="3156"/>
      <c r="CH98" s="3156"/>
    </row>
    <row r="99" spans="1:86" s="211" customFormat="1">
      <c r="A99" s="1504" t="s">
        <v>1371</v>
      </c>
      <c r="E99" s="446"/>
      <c r="H99" s="444"/>
      <c r="I99" s="444"/>
      <c r="J99" s="444"/>
      <c r="K99" s="444"/>
      <c r="L99" s="468"/>
      <c r="M99" s="479"/>
      <c r="N99" s="479"/>
      <c r="O99" s="479"/>
      <c r="P99" s="479"/>
      <c r="Q99" s="444"/>
      <c r="R99" s="444"/>
      <c r="S99" s="444"/>
      <c r="T99" s="479"/>
      <c r="U99" s="479"/>
      <c r="V99" s="444"/>
      <c r="W99" s="475"/>
      <c r="X99" s="444"/>
      <c r="Y99" s="444"/>
      <c r="Z99" s="444"/>
      <c r="AA99" s="444"/>
      <c r="AB99" s="445"/>
      <c r="AC99" s="444"/>
      <c r="AD99" s="444"/>
      <c r="AE99" s="444"/>
      <c r="AF99" s="444"/>
      <c r="AG99" s="445"/>
      <c r="AK99" s="446"/>
      <c r="AO99" s="446"/>
      <c r="AP99" s="211">
        <f t="shared" ref="AP99:BF99" si="84">AP97/AP$59</f>
        <v>0.14553429027113238</v>
      </c>
      <c r="AQ99" s="211">
        <f t="shared" si="84"/>
        <v>0.12118055555555556</v>
      </c>
      <c r="AR99" s="211">
        <f t="shared" si="84"/>
        <v>0.11538461538461539</v>
      </c>
      <c r="AS99" s="211">
        <f t="shared" si="84"/>
        <v>0.11918718249316139</v>
      </c>
      <c r="AT99" s="447">
        <f t="shared" si="84"/>
        <v>0.12725182062092755</v>
      </c>
      <c r="AU99" s="211">
        <f t="shared" si="84"/>
        <v>0.11037107516650808</v>
      </c>
      <c r="AV99" s="211">
        <f t="shared" si="84"/>
        <v>0.11270376616076447</v>
      </c>
      <c r="AW99" s="446">
        <f t="shared" si="84"/>
        <v>0.1241354204586822</v>
      </c>
      <c r="AX99" s="447">
        <f t="shared" si="84"/>
        <v>0.13897691263014939</v>
      </c>
      <c r="AY99" s="211">
        <f t="shared" si="84"/>
        <v>0.16431095406360424</v>
      </c>
      <c r="AZ99" s="211">
        <f t="shared" si="84"/>
        <v>9.5079787234042548E-2</v>
      </c>
      <c r="BA99" s="211">
        <f t="shared" si="84"/>
        <v>0.1391304347826087</v>
      </c>
      <c r="BB99" s="447">
        <f t="shared" si="84"/>
        <v>0.10192616372391654</v>
      </c>
      <c r="BC99" s="211">
        <f t="shared" si="84"/>
        <v>9.4741828517290377E-2</v>
      </c>
      <c r="BD99" s="211">
        <f t="shared" si="84"/>
        <v>8.0688723835246459E-2</v>
      </c>
      <c r="BE99" s="446">
        <f t="shared" si="84"/>
        <v>8.2492321193505927E-2</v>
      </c>
      <c r="BF99" s="211">
        <f t="shared" si="84"/>
        <v>8.8039128501556249E-2</v>
      </c>
      <c r="BG99" s="211">
        <f>BG97/BG59</f>
        <v>7.796290474693493E-2</v>
      </c>
      <c r="BH99" s="211">
        <f>BH97/BH59</f>
        <v>7.101409229068803E-2</v>
      </c>
      <c r="BI99" s="446">
        <f>BI97/BI59</f>
        <v>7.944996180290298E-2</v>
      </c>
      <c r="BJ99" s="2651">
        <f>BJ97/BJ$59</f>
        <v>0</v>
      </c>
      <c r="BM99" s="446"/>
      <c r="BO99" s="446"/>
      <c r="BP99" s="446"/>
      <c r="BQ99" s="446"/>
      <c r="BY99" s="451"/>
      <c r="BZ99" s="451"/>
      <c r="CA99" s="447">
        <f>CA97/CA$59</f>
        <v>0.12447652142920787</v>
      </c>
      <c r="CB99" s="447">
        <f>CB97/CB$59</f>
        <v>0.11784204856219442</v>
      </c>
      <c r="CC99" s="447">
        <f>CC97/CC$59</f>
        <v>0.12906328140026929</v>
      </c>
      <c r="CD99" s="447">
        <f>CD97/CD$59</f>
        <v>8.7694812747150505E-2</v>
      </c>
      <c r="CE99" s="447">
        <f>CE97/CE$59</f>
        <v>7.8083483329047743E-2</v>
      </c>
      <c r="CF99" s="2650"/>
      <c r="CG99" s="2650"/>
      <c r="CH99" s="2650"/>
    </row>
    <row r="100" spans="1:86" s="211" customFormat="1">
      <c r="A100" s="1504"/>
      <c r="E100" s="446"/>
      <c r="H100" s="444"/>
      <c r="I100" s="444"/>
      <c r="J100" s="444"/>
      <c r="K100" s="444"/>
      <c r="L100" s="468"/>
      <c r="M100" s="479"/>
      <c r="N100" s="479"/>
      <c r="O100" s="479"/>
      <c r="P100" s="479"/>
      <c r="Q100" s="444"/>
      <c r="R100" s="444"/>
      <c r="S100" s="444"/>
      <c r="T100" s="479"/>
      <c r="U100" s="479"/>
      <c r="V100" s="444"/>
      <c r="W100" s="475"/>
      <c r="X100" s="444"/>
      <c r="Y100" s="444"/>
      <c r="Z100" s="444"/>
      <c r="AA100" s="444"/>
      <c r="AB100" s="445"/>
      <c r="AC100" s="444"/>
      <c r="AD100" s="444"/>
      <c r="AE100" s="444"/>
      <c r="AF100" s="444"/>
      <c r="AG100" s="445"/>
      <c r="AK100" s="446"/>
      <c r="AO100" s="446"/>
      <c r="AT100" s="447"/>
      <c r="AW100" s="446"/>
      <c r="AX100" s="447"/>
      <c r="BB100" s="447"/>
      <c r="BE100" s="446"/>
      <c r="BI100" s="446"/>
      <c r="BM100" s="446"/>
      <c r="BO100" s="446"/>
      <c r="BP100" s="446"/>
      <c r="BQ100" s="446"/>
      <c r="BY100" s="450"/>
      <c r="BZ100" s="451"/>
      <c r="CA100" s="447"/>
      <c r="CB100" s="447"/>
      <c r="CC100" s="447"/>
      <c r="CD100" s="447"/>
      <c r="CE100" s="447"/>
      <c r="CF100" s="447"/>
      <c r="CG100" s="447"/>
      <c r="CH100" s="447"/>
    </row>
    <row r="101" spans="1:86" s="211" customFormat="1" hidden="1" outlineLevel="1">
      <c r="A101" s="464" t="s">
        <v>2604</v>
      </c>
      <c r="E101" s="446"/>
      <c r="H101" s="444"/>
      <c r="I101" s="444"/>
      <c r="J101" s="444"/>
      <c r="K101" s="444"/>
      <c r="L101" s="468"/>
      <c r="M101" s="479"/>
      <c r="N101" s="479"/>
      <c r="O101" s="479"/>
      <c r="P101" s="479"/>
      <c r="Q101" s="444"/>
      <c r="R101" s="444"/>
      <c r="S101" s="444"/>
      <c r="T101" s="479"/>
      <c r="U101" s="479"/>
      <c r="V101" s="444"/>
      <c r="W101" s="475"/>
      <c r="X101" s="444"/>
      <c r="Y101" s="444"/>
      <c r="Z101" s="444"/>
      <c r="AA101" s="444"/>
      <c r="AB101" s="445"/>
      <c r="AC101" s="444"/>
      <c r="AD101" s="444"/>
      <c r="AE101" s="444"/>
      <c r="AF101" s="444"/>
      <c r="AG101" s="445"/>
      <c r="AK101" s="446"/>
      <c r="AO101" s="446"/>
      <c r="AT101" s="447"/>
      <c r="AW101" s="446"/>
      <c r="AX101" s="447"/>
      <c r="BB101" s="447"/>
      <c r="BE101" s="446"/>
      <c r="BI101" s="446"/>
      <c r="BM101" s="446"/>
      <c r="BO101" s="446"/>
      <c r="BP101" s="446"/>
      <c r="BQ101" s="446"/>
      <c r="BY101" s="450"/>
      <c r="BZ101" s="451"/>
      <c r="CA101" s="447"/>
      <c r="CB101" s="447"/>
      <c r="CC101" s="447"/>
      <c r="CD101" s="447"/>
      <c r="CE101" s="447"/>
      <c r="CF101" s="447"/>
      <c r="CG101" s="447"/>
      <c r="CH101" s="447"/>
    </row>
    <row r="102" spans="1:86" s="211" customFormat="1" hidden="1" outlineLevel="1">
      <c r="A102" s="1505" t="s">
        <v>1334</v>
      </c>
      <c r="E102" s="446"/>
      <c r="H102" s="444"/>
      <c r="I102" s="444"/>
      <c r="J102" s="444"/>
      <c r="K102" s="444"/>
      <c r="L102" s="468"/>
      <c r="M102" s="479"/>
      <c r="N102" s="479"/>
      <c r="O102" s="479"/>
      <c r="P102" s="479"/>
      <c r="Q102" s="444"/>
      <c r="R102" s="444"/>
      <c r="S102" s="444"/>
      <c r="T102" s="479"/>
      <c r="U102" s="479"/>
      <c r="V102" s="444"/>
      <c r="W102" s="475"/>
      <c r="X102" s="444"/>
      <c r="Y102" s="444"/>
      <c r="Z102" s="444"/>
      <c r="AA102" s="444"/>
      <c r="AB102" s="445"/>
      <c r="AC102" s="444"/>
      <c r="AD102" s="444"/>
      <c r="AE102" s="444"/>
      <c r="AF102" s="444"/>
      <c r="AG102" s="445"/>
      <c r="AK102" s="446"/>
      <c r="AO102" s="446"/>
      <c r="AT102" s="447"/>
      <c r="AW102" s="446"/>
      <c r="AX102" s="447"/>
      <c r="BB102" s="447"/>
      <c r="BE102" s="446"/>
      <c r="BI102" s="446"/>
      <c r="BM102" s="446"/>
      <c r="BO102" s="446"/>
      <c r="BP102" s="446"/>
      <c r="BQ102" s="446"/>
      <c r="BY102" s="450"/>
      <c r="BZ102" s="451"/>
      <c r="CA102" s="447"/>
      <c r="CB102" s="447"/>
      <c r="CC102" s="447"/>
      <c r="CD102" s="447"/>
      <c r="CE102" s="447"/>
      <c r="CF102" s="447"/>
      <c r="CG102" s="447"/>
      <c r="CH102" s="447"/>
    </row>
    <row r="103" spans="1:86" s="211" customFormat="1" hidden="1" outlineLevel="1">
      <c r="A103" s="1503" t="s">
        <v>1373</v>
      </c>
      <c r="E103" s="446"/>
      <c r="H103" s="444"/>
      <c r="I103" s="444"/>
      <c r="J103" s="444"/>
      <c r="K103" s="444"/>
      <c r="L103" s="468"/>
      <c r="M103" s="479"/>
      <c r="N103" s="479"/>
      <c r="O103" s="479"/>
      <c r="P103" s="479"/>
      <c r="Q103" s="444"/>
      <c r="R103" s="444"/>
      <c r="S103" s="444"/>
      <c r="T103" s="479"/>
      <c r="U103" s="479"/>
      <c r="V103" s="444"/>
      <c r="W103" s="475"/>
      <c r="X103" s="444"/>
      <c r="Y103" s="444"/>
      <c r="Z103" s="444"/>
      <c r="AA103" s="444"/>
      <c r="AB103" s="445"/>
      <c r="AC103" s="444"/>
      <c r="AD103" s="444"/>
      <c r="AE103" s="444"/>
      <c r="AF103" s="444"/>
      <c r="AG103" s="445"/>
      <c r="AK103" s="446"/>
      <c r="AO103" s="446"/>
      <c r="AT103" s="447"/>
      <c r="AW103" s="446"/>
      <c r="AX103" s="447"/>
      <c r="BB103" s="447"/>
      <c r="BE103" s="446"/>
      <c r="BI103" s="446"/>
      <c r="BM103" s="446"/>
      <c r="BO103" s="446"/>
      <c r="BP103" s="446"/>
      <c r="BQ103" s="446"/>
      <c r="BY103" s="450"/>
      <c r="BZ103" s="451"/>
      <c r="CA103" s="447"/>
      <c r="CB103" s="447"/>
      <c r="CC103" s="447"/>
      <c r="CD103" s="447"/>
      <c r="CE103" s="447"/>
      <c r="CF103" s="447"/>
      <c r="CG103" s="447"/>
      <c r="CH103" s="447"/>
    </row>
    <row r="104" spans="1:86" s="211" customFormat="1" hidden="1" outlineLevel="1">
      <c r="A104" s="1504" t="s">
        <v>2046</v>
      </c>
      <c r="E104" s="446"/>
      <c r="H104" s="444"/>
      <c r="I104" s="444"/>
      <c r="J104" s="444"/>
      <c r="K104" s="444"/>
      <c r="L104" s="468"/>
      <c r="M104" s="479"/>
      <c r="N104" s="479"/>
      <c r="O104" s="479"/>
      <c r="P104" s="479"/>
      <c r="Q104" s="444"/>
      <c r="R104" s="444"/>
      <c r="S104" s="444"/>
      <c r="T104" s="479"/>
      <c r="U104" s="479"/>
      <c r="V104" s="444"/>
      <c r="W104" s="475"/>
      <c r="X104" s="444"/>
      <c r="Y104" s="444"/>
      <c r="Z104" s="444"/>
      <c r="AA104" s="444"/>
      <c r="AB104" s="445"/>
      <c r="AC104" s="444"/>
      <c r="AD104" s="444"/>
      <c r="AE104" s="444"/>
      <c r="AF104" s="444"/>
      <c r="AG104" s="445"/>
      <c r="AK104" s="446"/>
      <c r="AO104" s="446"/>
      <c r="AT104" s="447"/>
      <c r="AW104" s="446"/>
      <c r="AX104" s="447"/>
      <c r="BB104" s="447"/>
      <c r="BE104" s="446"/>
      <c r="BI104" s="446"/>
      <c r="BM104" s="446"/>
      <c r="BO104" s="446"/>
      <c r="BP104" s="446"/>
      <c r="BQ104" s="446"/>
      <c r="BY104" s="450"/>
      <c r="BZ104" s="451"/>
      <c r="CA104" s="447"/>
      <c r="CB104" s="447"/>
      <c r="CC104" s="447"/>
      <c r="CD104" s="447"/>
      <c r="CE104" s="447"/>
      <c r="CF104" s="447"/>
      <c r="CG104" s="447"/>
      <c r="CH104" s="447"/>
    </row>
    <row r="105" spans="1:86" s="211" customFormat="1" hidden="1" outlineLevel="1">
      <c r="A105" s="1505" t="s">
        <v>1361</v>
      </c>
      <c r="E105" s="446"/>
      <c r="H105" s="444"/>
      <c r="I105" s="444"/>
      <c r="J105" s="444"/>
      <c r="K105" s="444"/>
      <c r="L105" s="468"/>
      <c r="M105" s="479"/>
      <c r="N105" s="479"/>
      <c r="O105" s="479"/>
      <c r="P105" s="479"/>
      <c r="Q105" s="444"/>
      <c r="R105" s="444"/>
      <c r="S105" s="444"/>
      <c r="T105" s="479"/>
      <c r="U105" s="479"/>
      <c r="V105" s="444"/>
      <c r="W105" s="475"/>
      <c r="X105" s="444"/>
      <c r="Y105" s="444"/>
      <c r="Z105" s="444"/>
      <c r="AA105" s="444"/>
      <c r="AB105" s="445"/>
      <c r="AC105" s="444"/>
      <c r="AD105" s="444"/>
      <c r="AE105" s="444"/>
      <c r="AF105" s="444"/>
      <c r="AG105" s="445"/>
      <c r="AK105" s="446"/>
      <c r="AO105" s="446"/>
      <c r="AT105" s="447"/>
      <c r="AW105" s="446"/>
      <c r="AX105" s="447"/>
      <c r="BB105" s="447"/>
      <c r="BE105" s="446"/>
      <c r="BI105" s="446"/>
      <c r="BM105" s="446"/>
      <c r="BO105" s="446"/>
      <c r="BP105" s="446"/>
      <c r="BQ105" s="446"/>
      <c r="BY105" s="450"/>
      <c r="BZ105" s="451"/>
      <c r="CA105" s="447"/>
      <c r="CB105" s="447"/>
      <c r="CC105" s="447"/>
      <c r="CD105" s="447"/>
      <c r="CE105" s="447"/>
      <c r="CF105" s="447"/>
      <c r="CG105" s="447"/>
      <c r="CH105" s="447"/>
    </row>
    <row r="106" spans="1:86" s="211" customFormat="1" hidden="1" outlineLevel="1">
      <c r="A106" s="1503" t="s">
        <v>1330</v>
      </c>
      <c r="E106" s="446"/>
      <c r="H106" s="444"/>
      <c r="I106" s="444"/>
      <c r="J106" s="444"/>
      <c r="K106" s="444"/>
      <c r="L106" s="468"/>
      <c r="M106" s="479"/>
      <c r="N106" s="479"/>
      <c r="O106" s="479"/>
      <c r="P106" s="479"/>
      <c r="Q106" s="444"/>
      <c r="R106" s="444"/>
      <c r="S106" s="444"/>
      <c r="T106" s="479"/>
      <c r="U106" s="479"/>
      <c r="V106" s="444"/>
      <c r="W106" s="475"/>
      <c r="X106" s="444"/>
      <c r="Y106" s="444"/>
      <c r="Z106" s="444"/>
      <c r="AA106" s="444"/>
      <c r="AB106" s="445"/>
      <c r="AC106" s="444"/>
      <c r="AD106" s="444"/>
      <c r="AE106" s="444"/>
      <c r="AF106" s="444"/>
      <c r="AG106" s="445"/>
      <c r="AK106" s="446"/>
      <c r="AO106" s="446"/>
      <c r="AT106" s="447"/>
      <c r="AW106" s="446"/>
      <c r="AX106" s="447"/>
      <c r="BB106" s="447"/>
      <c r="BE106" s="446"/>
      <c r="BI106" s="446"/>
      <c r="BM106" s="446"/>
      <c r="BO106" s="446"/>
      <c r="BP106" s="446"/>
      <c r="BQ106" s="446"/>
      <c r="BY106" s="450"/>
      <c r="BZ106" s="451"/>
      <c r="CA106" s="447"/>
      <c r="CB106" s="447"/>
      <c r="CC106" s="447"/>
      <c r="CD106" s="447"/>
      <c r="CE106" s="447"/>
      <c r="CF106" s="447"/>
      <c r="CG106" s="447"/>
      <c r="CH106" s="447"/>
    </row>
    <row r="107" spans="1:86" s="211" customFormat="1" hidden="1" outlineLevel="1">
      <c r="A107" s="1504" t="s">
        <v>1370</v>
      </c>
      <c r="E107" s="446"/>
      <c r="H107" s="444"/>
      <c r="I107" s="444"/>
      <c r="J107" s="444"/>
      <c r="K107" s="444"/>
      <c r="L107" s="468"/>
      <c r="M107" s="479"/>
      <c r="N107" s="479"/>
      <c r="O107" s="479"/>
      <c r="P107" s="479"/>
      <c r="Q107" s="444"/>
      <c r="R107" s="444"/>
      <c r="S107" s="444"/>
      <c r="T107" s="479"/>
      <c r="U107" s="479"/>
      <c r="V107" s="444"/>
      <c r="W107" s="475"/>
      <c r="X107" s="444"/>
      <c r="Y107" s="444"/>
      <c r="Z107" s="444"/>
      <c r="AA107" s="444"/>
      <c r="AB107" s="445"/>
      <c r="AC107" s="444"/>
      <c r="AD107" s="444"/>
      <c r="AE107" s="444"/>
      <c r="AF107" s="444"/>
      <c r="AG107" s="445"/>
      <c r="AK107" s="446"/>
      <c r="AO107" s="446"/>
      <c r="AT107" s="447"/>
      <c r="AW107" s="446"/>
      <c r="AX107" s="447"/>
      <c r="BB107" s="447"/>
      <c r="BE107" s="446"/>
      <c r="BI107" s="446"/>
      <c r="BM107" s="446"/>
      <c r="BO107" s="446"/>
      <c r="BP107" s="446"/>
      <c r="BQ107" s="446"/>
      <c r="BY107" s="450"/>
      <c r="BZ107" s="451"/>
      <c r="CA107" s="447"/>
      <c r="CB107" s="447"/>
      <c r="CC107" s="447"/>
      <c r="CD107" s="447"/>
      <c r="CE107" s="447"/>
      <c r="CF107" s="447"/>
      <c r="CG107" s="447"/>
      <c r="CH107" s="447"/>
    </row>
    <row r="108" spans="1:86" s="211" customFormat="1" hidden="1" outlineLevel="1">
      <c r="A108" s="1505" t="s">
        <v>1367</v>
      </c>
      <c r="E108" s="446"/>
      <c r="H108" s="444"/>
      <c r="I108" s="444"/>
      <c r="J108" s="444"/>
      <c r="K108" s="444"/>
      <c r="L108" s="468"/>
      <c r="M108" s="479"/>
      <c r="N108" s="479"/>
      <c r="O108" s="479"/>
      <c r="P108" s="479"/>
      <c r="Q108" s="444"/>
      <c r="R108" s="444"/>
      <c r="S108" s="444"/>
      <c r="T108" s="479"/>
      <c r="U108" s="479"/>
      <c r="V108" s="444"/>
      <c r="W108" s="475"/>
      <c r="X108" s="444"/>
      <c r="Y108" s="444"/>
      <c r="Z108" s="444"/>
      <c r="AA108" s="444"/>
      <c r="AB108" s="445"/>
      <c r="AC108" s="444"/>
      <c r="AD108" s="444"/>
      <c r="AE108" s="444"/>
      <c r="AF108" s="444"/>
      <c r="AG108" s="445"/>
      <c r="AK108" s="446"/>
      <c r="AO108" s="446"/>
      <c r="AT108" s="447"/>
      <c r="AW108" s="446"/>
      <c r="AX108" s="447"/>
      <c r="BB108" s="447"/>
      <c r="BE108" s="446"/>
      <c r="BI108" s="446"/>
      <c r="BM108" s="446"/>
      <c r="BO108" s="446"/>
      <c r="BP108" s="446"/>
      <c r="BQ108" s="446"/>
      <c r="BY108" s="450"/>
      <c r="BZ108" s="451"/>
      <c r="CA108" s="447"/>
      <c r="CB108" s="447"/>
      <c r="CC108" s="447"/>
      <c r="CD108" s="447"/>
      <c r="CE108" s="447"/>
      <c r="CF108" s="447"/>
      <c r="CG108" s="447"/>
      <c r="CH108" s="447"/>
    </row>
    <row r="109" spans="1:86" s="211" customFormat="1" hidden="1" outlineLevel="1">
      <c r="A109" s="1503" t="s">
        <v>1344</v>
      </c>
      <c r="E109" s="446"/>
      <c r="H109" s="444"/>
      <c r="I109" s="444"/>
      <c r="J109" s="444"/>
      <c r="K109" s="444"/>
      <c r="L109" s="468"/>
      <c r="M109" s="479"/>
      <c r="N109" s="479"/>
      <c r="O109" s="479"/>
      <c r="P109" s="479"/>
      <c r="Q109" s="444"/>
      <c r="R109" s="444"/>
      <c r="S109" s="444"/>
      <c r="T109" s="479"/>
      <c r="U109" s="479"/>
      <c r="V109" s="444"/>
      <c r="W109" s="475"/>
      <c r="X109" s="444"/>
      <c r="Y109" s="444"/>
      <c r="Z109" s="444"/>
      <c r="AA109" s="444"/>
      <c r="AB109" s="445"/>
      <c r="AC109" s="444"/>
      <c r="AD109" s="444"/>
      <c r="AE109" s="444"/>
      <c r="AF109" s="444"/>
      <c r="AG109" s="445"/>
      <c r="AK109" s="446"/>
      <c r="AO109" s="446"/>
      <c r="AT109" s="447"/>
      <c r="AW109" s="446"/>
      <c r="AX109" s="447"/>
      <c r="BB109" s="447"/>
      <c r="BE109" s="446"/>
      <c r="BI109" s="446"/>
      <c r="BM109" s="446"/>
      <c r="BO109" s="446"/>
      <c r="BP109" s="446"/>
      <c r="BQ109" s="446"/>
      <c r="BY109" s="450"/>
      <c r="BZ109" s="451"/>
      <c r="CA109" s="447"/>
      <c r="CB109" s="447"/>
      <c r="CC109" s="447"/>
      <c r="CD109" s="447"/>
      <c r="CE109" s="447"/>
      <c r="CF109" s="447"/>
      <c r="CG109" s="447"/>
      <c r="CH109" s="447"/>
    </row>
    <row r="110" spans="1:86" s="424" customFormat="1" hidden="1" outlineLevel="1">
      <c r="A110" s="1504" t="s">
        <v>1371</v>
      </c>
      <c r="E110" s="425"/>
      <c r="H110" s="427"/>
      <c r="I110" s="427"/>
      <c r="J110" s="427"/>
      <c r="K110" s="427"/>
      <c r="L110" s="433"/>
      <c r="M110" s="426"/>
      <c r="N110" s="426"/>
      <c r="O110" s="426"/>
      <c r="P110" s="426"/>
      <c r="Q110" s="427"/>
      <c r="R110" s="427"/>
      <c r="S110" s="427"/>
      <c r="T110" s="426"/>
      <c r="U110" s="426"/>
      <c r="V110" s="427"/>
      <c r="W110" s="428"/>
      <c r="X110" s="427"/>
      <c r="Y110" s="427"/>
      <c r="Z110" s="427"/>
      <c r="AA110" s="427"/>
      <c r="AB110" s="430"/>
      <c r="AC110" s="427"/>
      <c r="AD110" s="427"/>
      <c r="AE110" s="427"/>
      <c r="AF110" s="427"/>
      <c r="AG110" s="430"/>
      <c r="AK110" s="425"/>
      <c r="AO110" s="425"/>
      <c r="AT110" s="423"/>
      <c r="AW110" s="425"/>
      <c r="AX110" s="423"/>
      <c r="BB110" s="423"/>
      <c r="BE110" s="425"/>
      <c r="BI110" s="425"/>
      <c r="BM110" s="425"/>
      <c r="BO110" s="425"/>
      <c r="BP110" s="425"/>
      <c r="BQ110" s="3338"/>
      <c r="BS110" s="2059"/>
      <c r="BT110" s="2059"/>
      <c r="BU110" s="2059"/>
      <c r="BV110" s="2059"/>
      <c r="BW110" s="2059"/>
      <c r="BX110" s="2059"/>
      <c r="BY110" s="455"/>
      <c r="BZ110" s="442"/>
      <c r="CA110" s="423"/>
      <c r="CB110" s="423"/>
      <c r="CC110" s="423"/>
      <c r="CD110" s="423"/>
      <c r="CE110" s="423"/>
      <c r="CF110" s="423"/>
      <c r="CG110" s="3373"/>
      <c r="CH110" s="3373"/>
    </row>
    <row r="111" spans="1:86" s="424" customFormat="1" hidden="1" outlineLevel="1">
      <c r="A111" s="1504"/>
      <c r="E111" s="425"/>
      <c r="H111" s="427"/>
      <c r="I111" s="427"/>
      <c r="J111" s="427"/>
      <c r="K111" s="427"/>
      <c r="L111" s="433"/>
      <c r="M111" s="426"/>
      <c r="N111" s="426"/>
      <c r="O111" s="426"/>
      <c r="P111" s="426"/>
      <c r="Q111" s="427"/>
      <c r="R111" s="427"/>
      <c r="S111" s="427"/>
      <c r="T111" s="426"/>
      <c r="U111" s="426"/>
      <c r="V111" s="427"/>
      <c r="W111" s="428"/>
      <c r="X111" s="427"/>
      <c r="Y111" s="427"/>
      <c r="Z111" s="427"/>
      <c r="AA111" s="427"/>
      <c r="AB111" s="518"/>
      <c r="AC111" s="427"/>
      <c r="AD111" s="427"/>
      <c r="AE111" s="427"/>
      <c r="AF111" s="427"/>
      <c r="AG111" s="518"/>
      <c r="AK111" s="425"/>
      <c r="AO111" s="425"/>
      <c r="AT111" s="423"/>
      <c r="AW111" s="425"/>
      <c r="AX111" s="423"/>
      <c r="BB111" s="423"/>
      <c r="BE111" s="425"/>
      <c r="BI111" s="425"/>
      <c r="BM111" s="425"/>
      <c r="BO111" s="425"/>
      <c r="BP111" s="425"/>
      <c r="BQ111" s="3338"/>
      <c r="BS111" s="2059"/>
      <c r="BT111" s="2059"/>
      <c r="BU111" s="2059"/>
      <c r="BV111" s="2059"/>
      <c r="BW111" s="2059"/>
      <c r="BX111" s="2059"/>
      <c r="BY111" s="455"/>
      <c r="BZ111" s="442"/>
      <c r="CA111" s="423"/>
      <c r="CB111" s="423"/>
      <c r="CC111" s="423"/>
      <c r="CD111" s="423"/>
      <c r="CE111" s="423"/>
      <c r="CF111" s="423"/>
      <c r="CG111" s="3373"/>
      <c r="CH111" s="3373"/>
    </row>
    <row r="112" spans="1:86" s="424" customFormat="1" collapsed="1">
      <c r="A112" s="464" t="s">
        <v>1343</v>
      </c>
      <c r="E112" s="425"/>
      <c r="H112" s="427"/>
      <c r="I112" s="427"/>
      <c r="J112" s="427"/>
      <c r="K112" s="427"/>
      <c r="L112" s="433"/>
      <c r="M112" s="426"/>
      <c r="N112" s="426"/>
      <c r="O112" s="426"/>
      <c r="P112" s="426"/>
      <c r="Q112" s="427"/>
      <c r="R112" s="427"/>
      <c r="S112" s="427"/>
      <c r="T112" s="426"/>
      <c r="U112" s="426"/>
      <c r="V112" s="427"/>
      <c r="W112" s="428"/>
      <c r="X112" s="427"/>
      <c r="Y112" s="427"/>
      <c r="Z112" s="427"/>
      <c r="AA112" s="427"/>
      <c r="AB112" s="430"/>
      <c r="AC112" s="427"/>
      <c r="AD112" s="427"/>
      <c r="AE112" s="427"/>
      <c r="AF112" s="427"/>
      <c r="AG112" s="430"/>
      <c r="AK112" s="425"/>
      <c r="AO112" s="425"/>
      <c r="AT112" s="423"/>
      <c r="AW112" s="425"/>
      <c r="AX112" s="423"/>
      <c r="BB112" s="98"/>
      <c r="BC112" s="27"/>
      <c r="BD112" s="27"/>
      <c r="BE112" s="97"/>
      <c r="BF112" s="27"/>
      <c r="BG112" s="27"/>
      <c r="BH112" s="27"/>
      <c r="BI112" s="97"/>
      <c r="BJ112" s="540"/>
      <c r="BK112" s="27"/>
      <c r="BL112" s="27"/>
      <c r="BM112" s="97"/>
      <c r="BN112" s="27"/>
      <c r="BO112" s="97"/>
      <c r="BP112" s="97"/>
      <c r="BQ112" s="97"/>
      <c r="BR112" s="27"/>
      <c r="BS112" s="27"/>
      <c r="BT112" s="27"/>
      <c r="BU112" s="27"/>
      <c r="BV112" s="27"/>
      <c r="BW112" s="27"/>
      <c r="BX112" s="27"/>
      <c r="BY112" s="455"/>
      <c r="BZ112" s="442"/>
      <c r="CA112" s="423"/>
      <c r="CB112" s="423"/>
      <c r="CC112" s="423"/>
      <c r="CD112" s="423"/>
      <c r="CE112" s="423"/>
      <c r="CF112" s="423"/>
      <c r="CG112" s="3373"/>
      <c r="CH112" s="3373"/>
    </row>
    <row r="113" spans="1:86" s="473" customFormat="1" ht="11.5">
      <c r="A113" s="1505" t="s">
        <v>2845</v>
      </c>
      <c r="B113" s="466"/>
      <c r="C113" s="466"/>
      <c r="D113" s="466"/>
      <c r="E113" s="467"/>
      <c r="F113" s="82"/>
      <c r="G113" s="82"/>
      <c r="H113" s="82"/>
      <c r="I113" s="82"/>
      <c r="J113" s="82"/>
      <c r="K113" s="82"/>
      <c r="L113" s="224"/>
      <c r="M113" s="82"/>
      <c r="N113" s="82"/>
      <c r="O113" s="82"/>
      <c r="P113" s="82"/>
      <c r="Q113" s="82"/>
      <c r="R113" s="82"/>
      <c r="S113" s="82"/>
      <c r="T113" s="82"/>
      <c r="U113" s="82"/>
      <c r="V113" s="82"/>
      <c r="W113" s="115"/>
      <c r="Y113" s="211"/>
      <c r="Z113" s="211"/>
      <c r="AA113" s="211"/>
      <c r="AB113" s="446"/>
      <c r="AC113" s="540">
        <f t="shared" ref="AC113:AH113" si="85">AC59*AC116</f>
        <v>906.44201999999996</v>
      </c>
      <c r="AD113" s="540">
        <f t="shared" si="85"/>
        <v>1163.82</v>
      </c>
      <c r="AE113" s="540">
        <f t="shared" si="85"/>
        <v>1395.1821599999998</v>
      </c>
      <c r="AF113" s="540">
        <f t="shared" si="85"/>
        <v>1138.03989</v>
      </c>
      <c r="AG113" s="541">
        <f t="shared" si="85"/>
        <v>4575.3899999999994</v>
      </c>
      <c r="AH113" s="540">
        <f t="shared" si="85"/>
        <v>1237.5746499999998</v>
      </c>
      <c r="AI113" s="540">
        <v>1504</v>
      </c>
      <c r="AJ113" s="540">
        <v>1826</v>
      </c>
      <c r="AK113" s="541">
        <v>1444</v>
      </c>
      <c r="AL113" s="540">
        <v>1400</v>
      </c>
      <c r="AM113" s="540">
        <v>1744</v>
      </c>
      <c r="AN113" s="540">
        <v>2102</v>
      </c>
      <c r="AO113" s="541">
        <v>1606</v>
      </c>
      <c r="AP113" s="540">
        <v>1612</v>
      </c>
      <c r="AQ113" s="540">
        <v>1992</v>
      </c>
      <c r="AR113" s="540">
        <v>2347</v>
      </c>
      <c r="AS113" s="540">
        <v>1761</v>
      </c>
      <c r="AT113" s="2931">
        <v>1687</v>
      </c>
      <c r="AU113" s="2935">
        <v>2204</v>
      </c>
      <c r="AV113" s="2935">
        <v>2575</v>
      </c>
      <c r="AW113" s="2936">
        <f>CB113-SUM(AT113:AV113)</f>
        <v>1896</v>
      </c>
      <c r="AX113" s="2931">
        <v>1542</v>
      </c>
      <c r="AY113" s="2935">
        <v>487</v>
      </c>
      <c r="AZ113" s="2935">
        <v>1229</v>
      </c>
      <c r="BA113" s="2935">
        <f>CC113-SUM(AX113:AZ113)</f>
        <v>793</v>
      </c>
      <c r="BB113" s="2931">
        <v>903</v>
      </c>
      <c r="BC113" s="2935">
        <v>1533</v>
      </c>
      <c r="BD113" s="2935">
        <v>2300</v>
      </c>
      <c r="BE113" s="2936">
        <v>1713</v>
      </c>
      <c r="BF113" s="540">
        <v>1610</v>
      </c>
      <c r="BG113" s="540">
        <v>2400</v>
      </c>
      <c r="BH113" s="540">
        <v>2881</v>
      </c>
      <c r="BI113" s="541">
        <v>2014</v>
      </c>
      <c r="BJ113" s="540">
        <v>2029</v>
      </c>
      <c r="BK113" s="540">
        <v>2698</v>
      </c>
      <c r="BL113" s="540">
        <v>3233</v>
      </c>
      <c r="BM113" s="541">
        <v>2304</v>
      </c>
      <c r="BN113" s="540">
        <v>2228</v>
      </c>
      <c r="BO113" s="541">
        <v>2862</v>
      </c>
      <c r="BP113" s="541">
        <v>3317</v>
      </c>
      <c r="BQ113" s="829">
        <v>2543</v>
      </c>
      <c r="BR113" s="540">
        <v>2289</v>
      </c>
      <c r="BS113" s="540">
        <v>3040</v>
      </c>
      <c r="BT113" s="540">
        <v>3604</v>
      </c>
      <c r="BU113" s="540">
        <v>2819</v>
      </c>
      <c r="BV113" s="540">
        <v>2610</v>
      </c>
      <c r="BW113" s="1859">
        <v>3429</v>
      </c>
      <c r="BX113" s="540"/>
      <c r="BY113" s="538">
        <f>BY59*BY116</f>
        <v>6053.8771500000003</v>
      </c>
      <c r="BZ113" s="538">
        <f>BZ59*BZ116</f>
        <v>6840.8</v>
      </c>
      <c r="CA113" s="2924">
        <v>7597</v>
      </c>
      <c r="CB113" s="2924">
        <v>8362</v>
      </c>
      <c r="CC113" s="2924">
        <v>4051</v>
      </c>
      <c r="CD113" s="47">
        <v>6449</v>
      </c>
      <c r="CE113" s="2934">
        <f>SUM(BF113:BI113)</f>
        <v>8905</v>
      </c>
      <c r="CF113" s="2934">
        <v>10264</v>
      </c>
      <c r="CG113" s="2934">
        <v>10950</v>
      </c>
      <c r="CH113" s="2934">
        <v>11752</v>
      </c>
    </row>
    <row r="114" spans="1:86" s="211" customFormat="1">
      <c r="A114" s="1504" t="s">
        <v>1373</v>
      </c>
      <c r="E114" s="446"/>
      <c r="H114" s="444"/>
      <c r="I114" s="444"/>
      <c r="J114" s="444"/>
      <c r="K114" s="444"/>
      <c r="L114" s="468"/>
      <c r="M114" s="479"/>
      <c r="N114" s="479"/>
      <c r="O114" s="479"/>
      <c r="P114" s="479"/>
      <c r="Q114" s="444"/>
      <c r="R114" s="444"/>
      <c r="S114" s="444"/>
      <c r="T114" s="479"/>
      <c r="U114" s="479"/>
      <c r="V114" s="444"/>
      <c r="W114" s="475"/>
      <c r="X114" s="444"/>
      <c r="Y114" s="444"/>
      <c r="Z114" s="444"/>
      <c r="AA114" s="444"/>
      <c r="AB114" s="445"/>
      <c r="AC114" s="444"/>
      <c r="AD114" s="444"/>
      <c r="AE114" s="444"/>
      <c r="AF114" s="444"/>
      <c r="AG114" s="445"/>
      <c r="AH114" s="988">
        <f>AH113/AC113-1</f>
        <v>0.36531032619162973</v>
      </c>
      <c r="AI114" s="988">
        <f>AI113/AD113-1</f>
        <v>0.29229605952810589</v>
      </c>
      <c r="AJ114" s="988">
        <f>AJ113/AE113-1</f>
        <v>0.30878967087709919</v>
      </c>
      <c r="AK114" s="989">
        <f>AK113/AF113-1</f>
        <v>0.26884831778611917</v>
      </c>
      <c r="AL114" s="988">
        <f t="shared" ref="AL114:AS114" si="86">AL113/AH113-1</f>
        <v>0.13124489096475944</v>
      </c>
      <c r="AM114" s="988">
        <f t="shared" si="86"/>
        <v>0.15957446808510634</v>
      </c>
      <c r="AN114" s="988">
        <f t="shared" si="86"/>
        <v>0.1511500547645126</v>
      </c>
      <c r="AO114" s="989">
        <f t="shared" si="86"/>
        <v>0.11218836565096946</v>
      </c>
      <c r="AP114" s="988">
        <f t="shared" si="86"/>
        <v>0.15142857142857147</v>
      </c>
      <c r="AQ114" s="988">
        <f t="shared" si="86"/>
        <v>0.14220183486238525</v>
      </c>
      <c r="AR114" s="988">
        <f t="shared" si="86"/>
        <v>0.1165556612749763</v>
      </c>
      <c r="AS114" s="988">
        <f t="shared" si="86"/>
        <v>9.6513075965130701E-2</v>
      </c>
      <c r="AT114" s="2829">
        <f t="shared" ref="AT114:BB114" si="87">AT113/AP113-1</f>
        <v>4.6526054590570798E-2</v>
      </c>
      <c r="AU114" s="988">
        <f t="shared" si="87"/>
        <v>0.10642570281124497</v>
      </c>
      <c r="AV114" s="988">
        <f t="shared" si="87"/>
        <v>9.7145291861951533E-2</v>
      </c>
      <c r="AW114" s="989">
        <f t="shared" si="87"/>
        <v>7.6660988074957359E-2</v>
      </c>
      <c r="AX114" s="2829">
        <f t="shared" si="87"/>
        <v>-8.5951393005334942E-2</v>
      </c>
      <c r="AY114" s="988">
        <f t="shared" si="87"/>
        <v>-0.77903811252268607</v>
      </c>
      <c r="AZ114" s="988">
        <f t="shared" si="87"/>
        <v>-0.52271844660194167</v>
      </c>
      <c r="BA114" s="988">
        <f t="shared" si="87"/>
        <v>-0.58175105485232059</v>
      </c>
      <c r="BB114" s="2829">
        <f t="shared" si="87"/>
        <v>-0.41439688715953304</v>
      </c>
      <c r="BC114" s="988">
        <f>BC113/AY113-1</f>
        <v>2.1478439425051334</v>
      </c>
      <c r="BD114" s="988">
        <v>0.87</v>
      </c>
      <c r="BE114" s="989">
        <v>1.1599999999999999</v>
      </c>
      <c r="BF114" s="988">
        <v>0.78</v>
      </c>
      <c r="BG114" s="2968">
        <v>0.56999999999999995</v>
      </c>
      <c r="BH114" s="2968">
        <v>0.25</v>
      </c>
      <c r="BI114" s="3028">
        <v>0.18</v>
      </c>
      <c r="BJ114" s="988">
        <f t="shared" ref="BJ114:BW114" si="88">BJ113/BF113-1</f>
        <v>0.26024844720496887</v>
      </c>
      <c r="BK114" s="988">
        <f t="shared" si="88"/>
        <v>0.12416666666666676</v>
      </c>
      <c r="BL114" s="988">
        <f t="shared" si="88"/>
        <v>0.12217979868101358</v>
      </c>
      <c r="BM114" s="988">
        <f t="shared" si="88"/>
        <v>0.14399205561072503</v>
      </c>
      <c r="BN114" s="988">
        <f t="shared" si="88"/>
        <v>9.807787087235087E-2</v>
      </c>
      <c r="BO114" s="988">
        <f t="shared" si="88"/>
        <v>6.0785767234988963E-2</v>
      </c>
      <c r="BP114" s="988">
        <f t="shared" si="88"/>
        <v>2.5982060006186192E-2</v>
      </c>
      <c r="BQ114" s="3336">
        <f t="shared" si="88"/>
        <v>0.10373263888888884</v>
      </c>
      <c r="BR114" s="988">
        <f t="shared" si="88"/>
        <v>2.7378815080789876E-2</v>
      </c>
      <c r="BS114" s="988">
        <f t="shared" si="88"/>
        <v>6.219426974143949E-2</v>
      </c>
      <c r="BT114" s="988">
        <f t="shared" si="88"/>
        <v>8.6523967440458316E-2</v>
      </c>
      <c r="BU114" s="988">
        <f t="shared" si="88"/>
        <v>0.10853322847031066</v>
      </c>
      <c r="BV114" s="988">
        <f t="shared" si="88"/>
        <v>0.14023591087811282</v>
      </c>
      <c r="BW114" s="988">
        <f t="shared" si="88"/>
        <v>0.12796052631578947</v>
      </c>
      <c r="BX114" s="988"/>
      <c r="BY114" s="1009">
        <f>BY113/AG113-1</f>
        <v>0.32313904388478387</v>
      </c>
      <c r="BZ114" s="1009">
        <f t="shared" ref="BZ114:CH114" si="89">BZ113/BY113-1</f>
        <v>0.12998659049432471</v>
      </c>
      <c r="CA114" s="2829">
        <f t="shared" si="89"/>
        <v>0.11054262659338088</v>
      </c>
      <c r="CB114" s="2928">
        <f t="shared" si="89"/>
        <v>0.10069764380676594</v>
      </c>
      <c r="CC114" s="2925">
        <f t="shared" si="89"/>
        <v>-0.51554651997129874</v>
      </c>
      <c r="CD114" s="2990">
        <f t="shared" si="89"/>
        <v>0.59195260429523566</v>
      </c>
      <c r="CE114" s="2990">
        <f t="shared" si="89"/>
        <v>0.38083423786633586</v>
      </c>
      <c r="CF114" s="2990">
        <f t="shared" si="89"/>
        <v>0.15261089275687811</v>
      </c>
      <c r="CG114" s="3376">
        <f t="shared" si="89"/>
        <v>6.6835541699142631E-2</v>
      </c>
      <c r="CH114" s="3376">
        <f t="shared" si="89"/>
        <v>7.3242009132420183E-2</v>
      </c>
    </row>
    <row r="115" spans="1:86" s="3031" customFormat="1">
      <c r="A115" s="2956" t="s">
        <v>2715</v>
      </c>
      <c r="E115" s="3032"/>
      <c r="H115" s="3033"/>
      <c r="I115" s="3033"/>
      <c r="J115" s="3033"/>
      <c r="K115" s="3033"/>
      <c r="L115" s="3019"/>
      <c r="M115" s="3034"/>
      <c r="N115" s="3034"/>
      <c r="O115" s="3034"/>
      <c r="P115" s="3034"/>
      <c r="Q115" s="3033"/>
      <c r="R115" s="3033"/>
      <c r="S115" s="3033"/>
      <c r="T115" s="3034"/>
      <c r="U115" s="3034"/>
      <c r="V115" s="3033"/>
      <c r="W115" s="3035"/>
      <c r="X115" s="3033"/>
      <c r="Y115" s="3033"/>
      <c r="Z115" s="3033"/>
      <c r="AA115" s="3033"/>
      <c r="AB115" s="3036"/>
      <c r="AC115" s="3033"/>
      <c r="AD115" s="3033"/>
      <c r="AE115" s="3033"/>
      <c r="AF115" s="3033"/>
      <c r="AG115" s="3036"/>
      <c r="AH115" s="3037"/>
      <c r="AI115" s="3037"/>
      <c r="AJ115" s="3037"/>
      <c r="AK115" s="3038"/>
      <c r="AL115" s="3037"/>
      <c r="AM115" s="3037"/>
      <c r="AN115" s="3037"/>
      <c r="AO115" s="3038"/>
      <c r="AP115" s="3037"/>
      <c r="AQ115" s="3037"/>
      <c r="AR115" s="3037"/>
      <c r="AS115" s="3037"/>
      <c r="AT115" s="3039"/>
      <c r="AU115" s="3037"/>
      <c r="AV115" s="3037"/>
      <c r="AW115" s="3038"/>
      <c r="AX115" s="3039"/>
      <c r="AY115" s="3037"/>
      <c r="AZ115" s="3037"/>
      <c r="BA115" s="3037"/>
      <c r="BB115" s="3039">
        <f>BB113/AT113-1</f>
        <v>-0.46473029045643155</v>
      </c>
      <c r="BC115" s="3037">
        <f>BC113/AU113-1</f>
        <v>-0.30444646098003625</v>
      </c>
      <c r="BD115" s="3037">
        <f>BD113/AV113-1</f>
        <v>-0.10679611650485432</v>
      </c>
      <c r="BE115" s="3038">
        <f>BE113/AW113-1</f>
        <v>-9.6518987341772111E-2</v>
      </c>
      <c r="BF115" s="3037">
        <f>BF113/AT113-1</f>
        <v>-4.5643153526970903E-2</v>
      </c>
      <c r="BG115" s="3040">
        <f>BG113/AU113-1</f>
        <v>8.8929219600725862E-2</v>
      </c>
      <c r="BH115" s="3040">
        <f>BH113/AV113-1</f>
        <v>0.11883495145631073</v>
      </c>
      <c r="BI115" s="3041">
        <f>BI113/AW113-1</f>
        <v>6.2236286919831185E-2</v>
      </c>
      <c r="BJ115" s="3040">
        <f>BJ113/AT113-1</f>
        <v>0.20272673384706574</v>
      </c>
      <c r="BK115" s="3041">
        <f>BK113/AU113-1</f>
        <v>0.22413793103448265</v>
      </c>
      <c r="BL115" s="3041">
        <f>BL113/AV113-1</f>
        <v>0.2555339805825243</v>
      </c>
      <c r="BM115" s="3041">
        <f>BM113/AW113-1</f>
        <v>0.21518987341772156</v>
      </c>
      <c r="BN115" s="3040"/>
      <c r="BO115" s="3041">
        <f>BO113/AU113-1</f>
        <v>0.29854809437386565</v>
      </c>
      <c r="BP115" s="3041">
        <f>BP113/AV113-1</f>
        <v>0.28815533980582519</v>
      </c>
      <c r="BQ115" s="3041">
        <f>BQ113/AW113-1</f>
        <v>0.34124472573839659</v>
      </c>
      <c r="BR115" s="3041">
        <f>BR113/AT113-1</f>
        <v>0.35684647302904571</v>
      </c>
      <c r="BS115" s="3041">
        <f>BS113/AU113-1</f>
        <v>0.3793103448275863</v>
      </c>
      <c r="BT115" s="3041">
        <f>BT113/AV113-1</f>
        <v>0.39961165048543679</v>
      </c>
      <c r="BU115" s="3041">
        <f>BU113/AW113-1</f>
        <v>0.48681434599156126</v>
      </c>
      <c r="BV115" s="3041">
        <f>BV113/AT113-1</f>
        <v>0.54712507409602851</v>
      </c>
      <c r="BW115" s="3041">
        <f>BW113/AU113-1</f>
        <v>0.55580762250453719</v>
      </c>
      <c r="BX115" s="3028"/>
      <c r="BY115" s="3042"/>
      <c r="BZ115" s="3042"/>
      <c r="CA115" s="3039"/>
      <c r="CB115" s="3039"/>
      <c r="CC115" s="3043"/>
      <c r="CD115" s="3043"/>
      <c r="CE115" s="3044"/>
      <c r="CF115" s="3044"/>
      <c r="CG115" s="3044"/>
      <c r="CH115" s="3044"/>
    </row>
    <row r="116" spans="1:86" s="1793" customFormat="1" ht="11.5">
      <c r="A116" s="1504" t="s">
        <v>2046</v>
      </c>
      <c r="E116" s="1858"/>
      <c r="H116" s="1792"/>
      <c r="I116" s="1792"/>
      <c r="J116" s="1792"/>
      <c r="K116" s="1792"/>
      <c r="L116" s="1858"/>
      <c r="M116" s="1872"/>
      <c r="N116" s="1872"/>
      <c r="O116" s="1872"/>
      <c r="P116" s="1872"/>
      <c r="Q116" s="1792"/>
      <c r="R116" s="1792"/>
      <c r="S116" s="1792"/>
      <c r="T116" s="1872"/>
      <c r="U116" s="1872"/>
      <c r="V116" s="1792"/>
      <c r="W116" s="1873"/>
      <c r="X116" s="1792"/>
      <c r="Y116" s="1792"/>
      <c r="Z116" s="1792"/>
      <c r="AA116" s="1792"/>
      <c r="AB116" s="1874"/>
      <c r="AC116" s="1792">
        <v>0.66</v>
      </c>
      <c r="AD116" s="1792">
        <v>0.7</v>
      </c>
      <c r="AE116" s="1792">
        <v>0.72</v>
      </c>
      <c r="AF116" s="1792">
        <v>0.67</v>
      </c>
      <c r="AG116" s="1874">
        <v>0.69</v>
      </c>
      <c r="AH116" s="1793">
        <f>58%+7%</f>
        <v>0.64999999999999991</v>
      </c>
      <c r="AI116" s="1793">
        <f>61%+8%</f>
        <v>0.69</v>
      </c>
      <c r="AJ116" s="1793">
        <f>63%+8%</f>
        <v>0.71</v>
      </c>
      <c r="AK116" s="1858">
        <f>61%+8%</f>
        <v>0.69</v>
      </c>
      <c r="AL116" s="1793">
        <v>0.64</v>
      </c>
      <c r="AM116" s="1793">
        <v>0.67</v>
      </c>
      <c r="AN116" s="1793">
        <v>0.71</v>
      </c>
      <c r="AO116" s="1858">
        <v>0.69</v>
      </c>
      <c r="AP116" s="1793">
        <v>0.64</v>
      </c>
      <c r="AQ116" s="1793">
        <v>0.69</v>
      </c>
      <c r="AR116" s="1793">
        <v>0.72</v>
      </c>
      <c r="AS116" s="1793">
        <v>0.69</v>
      </c>
      <c r="AT116" s="2937">
        <v>0.66</v>
      </c>
      <c r="AU116" s="2938">
        <v>0.71</v>
      </c>
      <c r="AV116" s="2938">
        <v>0.73</v>
      </c>
      <c r="AW116" s="2939">
        <v>0.7</v>
      </c>
      <c r="AX116" s="2937">
        <v>0.69</v>
      </c>
      <c r="AY116" s="2938">
        <v>0.86</v>
      </c>
      <c r="AZ116" s="2938">
        <v>0.82</v>
      </c>
      <c r="BA116" s="2938">
        <v>0.86</v>
      </c>
      <c r="BB116" s="2937">
        <f t="shared" ref="BB116:BN116" si="90">BB113/BB$59</f>
        <v>0.7247191011235955</v>
      </c>
      <c r="BC116" s="2938">
        <f t="shared" si="90"/>
        <v>0.72619611558503083</v>
      </c>
      <c r="BD116" s="2938">
        <f t="shared" si="90"/>
        <v>0.7765023632680621</v>
      </c>
      <c r="BE116" s="2939">
        <f t="shared" si="90"/>
        <v>0.75164545853444498</v>
      </c>
      <c r="BF116" s="2938">
        <f t="shared" si="90"/>
        <v>0.71587372165406848</v>
      </c>
      <c r="BG116" s="2938">
        <f t="shared" si="90"/>
        <v>0.75447972335743474</v>
      </c>
      <c r="BH116" s="2938">
        <f t="shared" si="90"/>
        <v>0.79607626416137056</v>
      </c>
      <c r="BI116" s="2939">
        <f t="shared" si="90"/>
        <v>0.76928953399541633</v>
      </c>
      <c r="BJ116" s="2938">
        <f>BJ113/BJ$59</f>
        <v>0.76135084427767352</v>
      </c>
      <c r="BK116" s="2938">
        <f t="shared" si="90"/>
        <v>0.80345443716497911</v>
      </c>
      <c r="BL116" s="2938">
        <f t="shared" si="90"/>
        <v>0.82285568847034873</v>
      </c>
      <c r="BM116" s="2938">
        <f t="shared" si="90"/>
        <v>0.79806027017665393</v>
      </c>
      <c r="BN116" s="2938">
        <f t="shared" si="90"/>
        <v>0.77120110764970573</v>
      </c>
      <c r="BO116" s="2938">
        <f t="shared" ref="BO116:BT116" si="91">BO113/BO$59</f>
        <v>0.80438448566610454</v>
      </c>
      <c r="BP116" s="2938">
        <f t="shared" si="91"/>
        <v>0.81699507389162562</v>
      </c>
      <c r="BQ116" s="1839">
        <f t="shared" si="91"/>
        <v>0.79868090452261309</v>
      </c>
      <c r="BR116" s="2938">
        <f t="shared" si="91"/>
        <v>0.76606425702811243</v>
      </c>
      <c r="BS116" s="2938">
        <f t="shared" si="91"/>
        <v>0.80295826730058106</v>
      </c>
      <c r="BT116" s="2938">
        <f t="shared" si="91"/>
        <v>0.81686310063463285</v>
      </c>
      <c r="BU116" s="2938">
        <f>BU113/BU$59</f>
        <v>0.79475613194248662</v>
      </c>
      <c r="BV116" s="2938">
        <f>BV113/BV$59</f>
        <v>0.76182136602451844</v>
      </c>
      <c r="BW116" s="2938">
        <f>BW113/BW$59</f>
        <v>0.79466975666280415</v>
      </c>
      <c r="BX116" s="2938"/>
      <c r="BY116" s="2890">
        <f>61%+8%</f>
        <v>0.69</v>
      </c>
      <c r="BZ116" s="1875">
        <v>0.68</v>
      </c>
      <c r="CA116" s="1961">
        <v>0.69</v>
      </c>
      <c r="CB116" s="1961">
        <v>0.7</v>
      </c>
      <c r="CC116" s="2926">
        <f t="shared" ref="CC116:CH116" si="92">CC113/CC$59</f>
        <v>0.77918830544335449</v>
      </c>
      <c r="CD116" s="1961">
        <f t="shared" si="92"/>
        <v>0.75005815305885093</v>
      </c>
      <c r="CE116" s="1961">
        <f t="shared" si="92"/>
        <v>0.76326390674552158</v>
      </c>
      <c r="CF116" s="1961">
        <f t="shared" si="92"/>
        <v>0.79943920866111062</v>
      </c>
      <c r="CG116" s="1961">
        <f t="shared" si="92"/>
        <v>0.7997954860857498</v>
      </c>
      <c r="CH116" s="1961">
        <f t="shared" si="92"/>
        <v>0.79766510554537429</v>
      </c>
    </row>
    <row r="117" spans="1:86" s="473" customFormat="1" ht="11.5">
      <c r="A117" s="1505" t="s">
        <v>1361</v>
      </c>
      <c r="B117" s="466"/>
      <c r="C117" s="466"/>
      <c r="D117" s="466"/>
      <c r="E117" s="467"/>
      <c r="F117" s="82"/>
      <c r="G117" s="82"/>
      <c r="H117" s="82"/>
      <c r="I117" s="82"/>
      <c r="J117" s="82"/>
      <c r="K117" s="82"/>
      <c r="L117" s="224"/>
      <c r="M117" s="82"/>
      <c r="N117" s="82"/>
      <c r="O117" s="82"/>
      <c r="P117" s="82"/>
      <c r="Q117" s="82"/>
      <c r="R117" s="82"/>
      <c r="S117" s="82"/>
      <c r="T117" s="82"/>
      <c r="U117" s="82"/>
      <c r="V117" s="82"/>
      <c r="W117" s="115"/>
      <c r="Y117" s="211"/>
      <c r="Z117" s="211"/>
      <c r="AA117" s="211"/>
      <c r="AB117" s="446"/>
      <c r="AC117" s="540">
        <f t="shared" ref="AC117:AH117" si="93">AC120*AC59</f>
        <v>137.33969999999999</v>
      </c>
      <c r="AD117" s="540">
        <f t="shared" si="93"/>
        <v>133.00799999999998</v>
      </c>
      <c r="AE117" s="540">
        <f t="shared" si="93"/>
        <v>135.64270999999999</v>
      </c>
      <c r="AF117" s="540">
        <f t="shared" si="93"/>
        <v>169.85670000000002</v>
      </c>
      <c r="AG117" s="541">
        <f t="shared" si="93"/>
        <v>530.48</v>
      </c>
      <c r="AH117" s="540">
        <f t="shared" si="93"/>
        <v>209.43571</v>
      </c>
      <c r="AI117" s="540">
        <v>190</v>
      </c>
      <c r="AJ117" s="540">
        <v>203</v>
      </c>
      <c r="AK117" s="541">
        <v>176</v>
      </c>
      <c r="AL117" s="1859">
        <v>219</v>
      </c>
      <c r="AM117" s="1859">
        <v>202</v>
      </c>
      <c r="AN117" s="1859">
        <v>189</v>
      </c>
      <c r="AO117" s="1860">
        <v>176</v>
      </c>
      <c r="AP117" s="1859">
        <v>242</v>
      </c>
      <c r="AQ117" s="1859">
        <v>223</v>
      </c>
      <c r="AR117" s="1859">
        <v>209</v>
      </c>
      <c r="AS117" s="540">
        <v>207</v>
      </c>
      <c r="AT117" s="2931">
        <v>248</v>
      </c>
      <c r="AU117" s="2935">
        <v>228</v>
      </c>
      <c r="AV117" s="2935">
        <v>202</v>
      </c>
      <c r="AW117" s="2936">
        <f>CB117-SUM(AT117:AV117)</f>
        <v>191</v>
      </c>
      <c r="AX117" s="2931">
        <v>109</v>
      </c>
      <c r="AY117" s="2935">
        <v>-70</v>
      </c>
      <c r="AZ117" s="2935">
        <v>27</v>
      </c>
      <c r="BA117" s="2935">
        <f>CC117-SUM(AX117:AZ117)</f>
        <v>39</v>
      </c>
      <c r="BB117" s="2931">
        <v>50</v>
      </c>
      <c r="BC117" s="2935">
        <v>78</v>
      </c>
      <c r="BD117" s="2935">
        <v>61</v>
      </c>
      <c r="BE117" s="2936">
        <v>65</v>
      </c>
      <c r="BF117" s="540">
        <v>74</v>
      </c>
      <c r="BG117" s="540">
        <v>95</v>
      </c>
      <c r="BH117" s="540">
        <v>100</v>
      </c>
      <c r="BI117" s="541">
        <v>93</v>
      </c>
      <c r="BJ117" s="540">
        <v>113</v>
      </c>
      <c r="BK117" s="540">
        <v>111</v>
      </c>
      <c r="BL117" s="540">
        <v>100</v>
      </c>
      <c r="BM117" s="541">
        <v>86</v>
      </c>
      <c r="BN117" s="540">
        <v>115</v>
      </c>
      <c r="BO117" s="541">
        <v>111</v>
      </c>
      <c r="BP117" s="541">
        <v>104</v>
      </c>
      <c r="BQ117" s="829">
        <v>98</v>
      </c>
      <c r="BR117" s="540">
        <v>107</v>
      </c>
      <c r="BS117" s="540">
        <v>105</v>
      </c>
      <c r="BT117" s="540">
        <v>101</v>
      </c>
      <c r="BU117" s="540">
        <v>94</v>
      </c>
      <c r="BV117" s="540">
        <v>107</v>
      </c>
      <c r="BW117" s="1859">
        <v>91</v>
      </c>
      <c r="BX117" s="540"/>
      <c r="BY117" s="538">
        <f>BY120*BY59</f>
        <v>789.63615000000004</v>
      </c>
      <c r="BZ117" s="538">
        <f>BZ120*BZ59</f>
        <v>804.80000000000007</v>
      </c>
      <c r="CA117" s="2924">
        <v>881</v>
      </c>
      <c r="CB117" s="2924">
        <v>869</v>
      </c>
      <c r="CC117" s="2924">
        <v>105</v>
      </c>
      <c r="CD117" s="47">
        <v>254</v>
      </c>
      <c r="CE117" s="2934">
        <f>SUM(BF117:BI117)</f>
        <v>362</v>
      </c>
      <c r="CF117" s="2934">
        <v>410</v>
      </c>
      <c r="CG117" s="2934">
        <v>428</v>
      </c>
      <c r="CH117" s="2934">
        <v>407</v>
      </c>
    </row>
    <row r="118" spans="1:86" s="211" customFormat="1">
      <c r="A118" s="1504" t="s">
        <v>1374</v>
      </c>
      <c r="E118" s="446"/>
      <c r="H118" s="444"/>
      <c r="I118" s="444"/>
      <c r="J118" s="444"/>
      <c r="K118" s="444"/>
      <c r="L118" s="468"/>
      <c r="M118" s="479"/>
      <c r="N118" s="479"/>
      <c r="O118" s="479"/>
      <c r="P118" s="479"/>
      <c r="Q118" s="444"/>
      <c r="R118" s="444"/>
      <c r="S118" s="444"/>
      <c r="T118" s="479"/>
      <c r="U118" s="479"/>
      <c r="V118" s="444"/>
      <c r="W118" s="475"/>
      <c r="X118" s="444"/>
      <c r="Y118" s="444"/>
      <c r="Z118" s="444"/>
      <c r="AA118" s="444"/>
      <c r="AB118" s="445"/>
      <c r="AC118" s="444"/>
      <c r="AD118" s="444"/>
      <c r="AE118" s="444"/>
      <c r="AF118" s="444"/>
      <c r="AG118" s="445"/>
      <c r="AH118" s="988">
        <f>AH117/AC117-1</f>
        <v>0.52494661048480529</v>
      </c>
      <c r="AI118" s="988">
        <f>AI117/AD117-1</f>
        <v>0.42848550463130053</v>
      </c>
      <c r="AJ118" s="988">
        <f>AJ117/AE117-1</f>
        <v>0.49657876932715372</v>
      </c>
      <c r="AK118" s="989">
        <f>AK117/AF117-1</f>
        <v>3.6167545937251688E-2</v>
      </c>
      <c r="AL118" s="988">
        <f>AL117/AH117-1</f>
        <v>4.5666949537879642E-2</v>
      </c>
      <c r="AM118" s="988">
        <f t="shared" ref="AM118:AW118" si="94">AM117/AI117-1</f>
        <v>6.315789473684208E-2</v>
      </c>
      <c r="AN118" s="988">
        <f t="shared" si="94"/>
        <v>-6.8965517241379337E-2</v>
      </c>
      <c r="AO118" s="989">
        <f t="shared" si="94"/>
        <v>0</v>
      </c>
      <c r="AP118" s="988">
        <f t="shared" si="94"/>
        <v>0.10502283105022836</v>
      </c>
      <c r="AQ118" s="988">
        <f t="shared" si="94"/>
        <v>0.10396039603960405</v>
      </c>
      <c r="AR118" s="988">
        <f t="shared" si="94"/>
        <v>0.10582010582010581</v>
      </c>
      <c r="AS118" s="988">
        <f t="shared" si="94"/>
        <v>0.17613636363636354</v>
      </c>
      <c r="AT118" s="2829">
        <f t="shared" si="94"/>
        <v>2.4793388429751984E-2</v>
      </c>
      <c r="AU118" s="988">
        <f t="shared" si="94"/>
        <v>2.2421524663677195E-2</v>
      </c>
      <c r="AV118" s="988">
        <f t="shared" si="94"/>
        <v>-3.349282296650713E-2</v>
      </c>
      <c r="AW118" s="989">
        <f t="shared" si="94"/>
        <v>-7.7294685990338174E-2</v>
      </c>
      <c r="AX118" s="2829">
        <f t="shared" ref="AX118:BC118" si="95">AX117/AT117-1</f>
        <v>-0.56048387096774199</v>
      </c>
      <c r="AY118" s="988">
        <f t="shared" si="95"/>
        <v>-1.3070175438596492</v>
      </c>
      <c r="AZ118" s="988">
        <f t="shared" si="95"/>
        <v>-0.86633663366336633</v>
      </c>
      <c r="BA118" s="988">
        <f t="shared" si="95"/>
        <v>-0.79581151832460728</v>
      </c>
      <c r="BB118" s="2829">
        <f t="shared" si="95"/>
        <v>-0.54128440366972475</v>
      </c>
      <c r="BC118" s="988">
        <f t="shared" si="95"/>
        <v>-2.1142857142857143</v>
      </c>
      <c r="BD118" s="988">
        <v>1.28</v>
      </c>
      <c r="BE118" s="989">
        <v>0.68</v>
      </c>
      <c r="BF118" s="988">
        <v>0.5</v>
      </c>
      <c r="BG118" s="2968">
        <v>0.22</v>
      </c>
      <c r="BH118" s="2968">
        <v>0.61</v>
      </c>
      <c r="BI118" s="3028">
        <v>0.44</v>
      </c>
      <c r="BJ118" s="988">
        <f t="shared" ref="BJ118:BS118" si="96">BJ117/BF117-1</f>
        <v>0.52702702702702697</v>
      </c>
      <c r="BK118" s="988">
        <f t="shared" si="96"/>
        <v>0.16842105263157903</v>
      </c>
      <c r="BL118" s="988">
        <f t="shared" si="96"/>
        <v>0</v>
      </c>
      <c r="BM118" s="988">
        <f t="shared" si="96"/>
        <v>-7.5268817204301119E-2</v>
      </c>
      <c r="BN118" s="988">
        <f t="shared" si="96"/>
        <v>1.7699115044247815E-2</v>
      </c>
      <c r="BO118" s="988">
        <f t="shared" si="96"/>
        <v>0</v>
      </c>
      <c r="BP118" s="988">
        <f t="shared" si="96"/>
        <v>4.0000000000000036E-2</v>
      </c>
      <c r="BQ118" s="3336">
        <f t="shared" si="96"/>
        <v>0.13953488372093026</v>
      </c>
      <c r="BR118" s="988">
        <f t="shared" si="96"/>
        <v>-6.956521739130439E-2</v>
      </c>
      <c r="BS118" s="988">
        <f t="shared" si="96"/>
        <v>-5.4054054054054057E-2</v>
      </c>
      <c r="BT118" s="3481">
        <v>-0.04</v>
      </c>
      <c r="BU118" s="3481">
        <v>-0.04</v>
      </c>
      <c r="BV118" s="988">
        <f t="shared" ref="BV118:BW118" si="97">BV117/BR117-1</f>
        <v>0</v>
      </c>
      <c r="BW118" s="988">
        <f t="shared" si="97"/>
        <v>-0.1333333333333333</v>
      </c>
      <c r="BX118" s="988"/>
      <c r="BY118" s="1009">
        <f>BY117/AG117-1</f>
        <v>0.48853142437038155</v>
      </c>
      <c r="BZ118" s="1009">
        <f t="shared" ref="BZ118:CH118" si="98">BZ117/BY117-1</f>
        <v>1.920359142625383E-2</v>
      </c>
      <c r="CA118" s="2829">
        <f t="shared" si="98"/>
        <v>9.4681908548707616E-2</v>
      </c>
      <c r="CB118" s="2928">
        <f t="shared" si="98"/>
        <v>-1.362088535754824E-2</v>
      </c>
      <c r="CC118" s="2928">
        <f t="shared" si="98"/>
        <v>-0.8791714614499424</v>
      </c>
      <c r="CD118" s="2829">
        <f t="shared" si="98"/>
        <v>1.4190476190476189</v>
      </c>
      <c r="CE118" s="2829">
        <f t="shared" si="98"/>
        <v>0.4251968503937007</v>
      </c>
      <c r="CF118" s="2829">
        <f t="shared" si="98"/>
        <v>0.13259668508287303</v>
      </c>
      <c r="CG118" s="3372">
        <f t="shared" si="98"/>
        <v>4.3902439024390283E-2</v>
      </c>
      <c r="CH118" s="3372">
        <f t="shared" si="98"/>
        <v>-4.9065420560747697E-2</v>
      </c>
    </row>
    <row r="119" spans="1:86" s="3031" customFormat="1">
      <c r="A119" s="2956" t="s">
        <v>2715</v>
      </c>
      <c r="E119" s="3032"/>
      <c r="H119" s="3033"/>
      <c r="I119" s="3033"/>
      <c r="J119" s="3033"/>
      <c r="K119" s="3033"/>
      <c r="L119" s="3019"/>
      <c r="M119" s="3034"/>
      <c r="N119" s="3034"/>
      <c r="O119" s="3034"/>
      <c r="P119" s="3034"/>
      <c r="Q119" s="3033"/>
      <c r="R119" s="3033"/>
      <c r="S119" s="3033"/>
      <c r="T119" s="3034"/>
      <c r="U119" s="3034"/>
      <c r="V119" s="3033"/>
      <c r="W119" s="3035"/>
      <c r="X119" s="3033"/>
      <c r="Y119" s="3033"/>
      <c r="Z119" s="3033"/>
      <c r="AA119" s="3033"/>
      <c r="AB119" s="3036"/>
      <c r="AC119" s="3033"/>
      <c r="AD119" s="3033"/>
      <c r="AE119" s="3033"/>
      <c r="AF119" s="3033"/>
      <c r="AG119" s="3036"/>
      <c r="AH119" s="3037"/>
      <c r="AI119" s="3037"/>
      <c r="AJ119" s="3037"/>
      <c r="AK119" s="3038"/>
      <c r="AL119" s="3037"/>
      <c r="AM119" s="3037"/>
      <c r="AN119" s="3037"/>
      <c r="AO119" s="3038"/>
      <c r="AP119" s="3037"/>
      <c r="AQ119" s="3037"/>
      <c r="AR119" s="3037"/>
      <c r="AS119" s="3037"/>
      <c r="AT119" s="3039"/>
      <c r="AU119" s="3037"/>
      <c r="AV119" s="3037"/>
      <c r="AW119" s="3038"/>
      <c r="AX119" s="3039"/>
      <c r="AY119" s="3037"/>
      <c r="AZ119" s="3037"/>
      <c r="BA119" s="3037"/>
      <c r="BB119" s="3039"/>
      <c r="BC119" s="3037"/>
      <c r="BD119" s="3037"/>
      <c r="BE119" s="3038"/>
      <c r="BF119" s="3037"/>
      <c r="BG119" s="3040"/>
      <c r="BH119" s="3040"/>
      <c r="BI119" s="3041">
        <f>BI117/AW117-1</f>
        <v>-0.51308900523560208</v>
      </c>
      <c r="BJ119" s="3040">
        <f>BJ117/AT117-1</f>
        <v>-0.54435483870967749</v>
      </c>
      <c r="BK119" s="3040">
        <f>BK117/AU117-1</f>
        <v>-0.51315789473684204</v>
      </c>
      <c r="BL119" s="3040">
        <f>BL117/AV117-1</f>
        <v>-0.50495049504950495</v>
      </c>
      <c r="BM119" s="3040">
        <f>BM117/AW117-1</f>
        <v>-0.54973821989528804</v>
      </c>
      <c r="BN119" s="3040"/>
      <c r="BO119" s="3040">
        <f>BO117/AU117-1</f>
        <v>-0.51315789473684204</v>
      </c>
      <c r="BP119" s="3040">
        <f>BP117/AV117-1</f>
        <v>-0.48514851485148514</v>
      </c>
      <c r="BQ119" s="3342">
        <f>BQ117/AW117-1</f>
        <v>-0.48691099476439792</v>
      </c>
      <c r="BR119" s="3342">
        <f>BR117/AT117-1</f>
        <v>-0.56854838709677424</v>
      </c>
      <c r="BS119" s="3342">
        <f>BS117/AU117-1</f>
        <v>-0.53947368421052633</v>
      </c>
      <c r="BT119" s="3342">
        <f>BT117/AV117-1</f>
        <v>-0.5</v>
      </c>
      <c r="BU119" s="3342">
        <f>BU117/AW117-1</f>
        <v>-0.50785340314136129</v>
      </c>
      <c r="BV119" s="3342">
        <f>BV117/AT117-1</f>
        <v>-0.56854838709677424</v>
      </c>
      <c r="BW119" s="3342">
        <f>BW117/AU117-1</f>
        <v>-0.60087719298245612</v>
      </c>
      <c r="BX119" s="3524"/>
      <c r="BY119" s="3042"/>
      <c r="BZ119" s="3042"/>
      <c r="CA119" s="3039"/>
      <c r="CB119" s="3039"/>
      <c r="CC119" s="3039"/>
      <c r="CD119" s="3039"/>
      <c r="CE119" s="3039"/>
      <c r="CF119" s="3039"/>
      <c r="CG119" s="3039"/>
      <c r="CH119" s="3039"/>
    </row>
    <row r="120" spans="1:86" s="1793" customFormat="1">
      <c r="A120" s="1504" t="s">
        <v>1375</v>
      </c>
      <c r="E120" s="1858"/>
      <c r="H120" s="1792"/>
      <c r="I120" s="1792"/>
      <c r="J120" s="1792"/>
      <c r="K120" s="1792"/>
      <c r="L120" s="1781"/>
      <c r="M120" s="1872"/>
      <c r="N120" s="1872"/>
      <c r="O120" s="1872"/>
      <c r="P120" s="1872"/>
      <c r="Q120" s="1792"/>
      <c r="R120" s="1792"/>
      <c r="S120" s="1792"/>
      <c r="T120" s="1872"/>
      <c r="U120" s="1872"/>
      <c r="V120" s="1792"/>
      <c r="W120" s="1873"/>
      <c r="X120" s="1792"/>
      <c r="Y120" s="1792"/>
      <c r="Z120" s="1792"/>
      <c r="AA120" s="1792"/>
      <c r="AB120" s="1874"/>
      <c r="AC120" s="1792">
        <v>0.1</v>
      </c>
      <c r="AD120" s="1792">
        <v>0.08</v>
      </c>
      <c r="AE120" s="1792">
        <v>7.0000000000000007E-2</v>
      </c>
      <c r="AF120" s="1792">
        <v>0.1</v>
      </c>
      <c r="AG120" s="1874">
        <v>0.08</v>
      </c>
      <c r="AH120" s="1793">
        <v>0.11</v>
      </c>
      <c r="AI120" s="1793">
        <v>0.09</v>
      </c>
      <c r="AJ120" s="1793">
        <v>0.08</v>
      </c>
      <c r="AK120" s="1858">
        <v>0.08</v>
      </c>
      <c r="AL120" s="1793">
        <v>0.1</v>
      </c>
      <c r="AM120" s="1793">
        <v>0.08</v>
      </c>
      <c r="AN120" s="1793">
        <v>0.06</v>
      </c>
      <c r="AO120" s="1858">
        <v>0.08</v>
      </c>
      <c r="AP120" s="1793">
        <v>0.1</v>
      </c>
      <c r="AQ120" s="1793">
        <v>0.08</v>
      </c>
      <c r="AR120" s="1793">
        <v>0.06</v>
      </c>
      <c r="AS120" s="1793">
        <v>0.08</v>
      </c>
      <c r="AT120" s="2937">
        <v>0.1</v>
      </c>
      <c r="AU120" s="2938">
        <v>7.0000000000000007E-2</v>
      </c>
      <c r="AV120" s="2938">
        <v>0.06</v>
      </c>
      <c r="AW120" s="2939">
        <v>7.0000000000000007E-2</v>
      </c>
      <c r="AX120" s="2937">
        <v>0.05</v>
      </c>
      <c r="AY120" s="2938">
        <v>-0.12</v>
      </c>
      <c r="AZ120" s="2938">
        <v>0.02</v>
      </c>
      <c r="BA120" s="2938">
        <v>0.04</v>
      </c>
      <c r="BB120" s="2937">
        <f t="shared" ref="BB120:BG120" si="99">BB117/BB$59</f>
        <v>4.0128410914927769E-2</v>
      </c>
      <c r="BC120" s="2938">
        <f t="shared" si="99"/>
        <v>3.6949313121743252E-2</v>
      </c>
      <c r="BD120" s="2938">
        <f t="shared" si="99"/>
        <v>2.0594193112761647E-2</v>
      </c>
      <c r="BE120" s="2939">
        <f t="shared" si="99"/>
        <v>2.8521281263712155E-2</v>
      </c>
      <c r="BF120" s="2938">
        <f t="shared" si="99"/>
        <v>3.2903512672298803E-2</v>
      </c>
      <c r="BG120" s="2938">
        <f t="shared" si="99"/>
        <v>2.9864822382898459E-2</v>
      </c>
      <c r="BH120" s="2938">
        <f t="shared" ref="BH120:BN120" si="100">BH117/BH$59</f>
        <v>2.7631942525559547E-2</v>
      </c>
      <c r="BI120" s="2939">
        <f t="shared" si="100"/>
        <v>3.5523300229182583E-2</v>
      </c>
      <c r="BJ120" s="2938">
        <f t="shared" si="100"/>
        <v>4.2401500938086305E-2</v>
      </c>
      <c r="BK120" s="2939">
        <f t="shared" si="100"/>
        <v>3.3055390113162594E-2</v>
      </c>
      <c r="BL120" s="2939">
        <f t="shared" si="100"/>
        <v>2.5451768897938407E-2</v>
      </c>
      <c r="BM120" s="2939">
        <f t="shared" si="100"/>
        <v>2.9788708001385521E-2</v>
      </c>
      <c r="BN120" s="2939">
        <f t="shared" si="100"/>
        <v>3.9806161301488403E-2</v>
      </c>
      <c r="BO120" s="2939">
        <f t="shared" ref="BO120:BT120" si="101">BO117/BO$59</f>
        <v>3.1197301854974706E-2</v>
      </c>
      <c r="BP120" s="2939">
        <f t="shared" si="101"/>
        <v>2.561576354679803E-2</v>
      </c>
      <c r="BQ120" s="1939">
        <f t="shared" si="101"/>
        <v>3.077889447236181E-2</v>
      </c>
      <c r="BR120" s="2939">
        <f t="shared" si="101"/>
        <v>3.5809906291834004E-2</v>
      </c>
      <c r="BS120" s="2939">
        <f t="shared" si="101"/>
        <v>2.7733755942947701E-2</v>
      </c>
      <c r="BT120" s="2939">
        <f t="shared" si="101"/>
        <v>2.2892112420670897E-2</v>
      </c>
      <c r="BU120" s="2939">
        <f>BU117/BU$59</f>
        <v>2.6501268677755849E-2</v>
      </c>
      <c r="BV120" s="2939">
        <f>BV117/BV$59</f>
        <v>3.1231757151196731E-2</v>
      </c>
      <c r="BW120" s="2939">
        <f>BW117/BW$59</f>
        <v>2.1089223638470451E-2</v>
      </c>
      <c r="BX120" s="2939"/>
      <c r="BY120" s="2890">
        <v>0.09</v>
      </c>
      <c r="BZ120" s="1875">
        <v>0.08</v>
      </c>
      <c r="CA120" s="1961">
        <v>0.08</v>
      </c>
      <c r="CB120" s="1961">
        <v>7.0000000000000007E-2</v>
      </c>
      <c r="CC120" s="2926">
        <f t="shared" ref="CC120:CH120" si="102">CC117/CC$59</f>
        <v>2.0196191575302943E-2</v>
      </c>
      <c r="CD120" s="1961">
        <f t="shared" si="102"/>
        <v>2.9541753896254942E-2</v>
      </c>
      <c r="CE120" s="1961">
        <f t="shared" si="102"/>
        <v>3.1027684923287908E-2</v>
      </c>
      <c r="CF120" s="1961">
        <f t="shared" si="102"/>
        <v>3.1933951242308592E-2</v>
      </c>
      <c r="CG120" s="1961">
        <f t="shared" si="102"/>
        <v>3.1261412606821998E-2</v>
      </c>
      <c r="CH120" s="1961">
        <f t="shared" si="102"/>
        <v>2.7625059390483948E-2</v>
      </c>
    </row>
    <row r="121" spans="1:86" s="473" customFormat="1" ht="11.5">
      <c r="A121" s="1505" t="s">
        <v>1372</v>
      </c>
      <c r="B121" s="466"/>
      <c r="C121" s="466"/>
      <c r="D121" s="466"/>
      <c r="E121" s="467"/>
      <c r="F121" s="82"/>
      <c r="G121" s="82"/>
      <c r="H121" s="82"/>
      <c r="I121" s="82"/>
      <c r="J121" s="82"/>
      <c r="K121" s="82"/>
      <c r="L121" s="224"/>
      <c r="M121" s="82"/>
      <c r="N121" s="82"/>
      <c r="O121" s="82"/>
      <c r="P121" s="82"/>
      <c r="Q121" s="82"/>
      <c r="R121" s="82"/>
      <c r="S121" s="82"/>
      <c r="T121" s="82"/>
      <c r="U121" s="82"/>
      <c r="V121" s="82"/>
      <c r="W121" s="115"/>
      <c r="Y121" s="211"/>
      <c r="Z121" s="211"/>
      <c r="AA121" s="211"/>
      <c r="AB121" s="446"/>
      <c r="AC121" s="540">
        <f>AC124*AC59</f>
        <v>123.60572999999999</v>
      </c>
      <c r="AD121" s="540">
        <f>AD124*AD59</f>
        <v>149.63399999999999</v>
      </c>
      <c r="AE121" s="540">
        <f>AE124*AE59</f>
        <v>155.02024</v>
      </c>
      <c r="AF121" s="540">
        <f>AF124*AF59</f>
        <v>135.88535999999999</v>
      </c>
      <c r="AG121" s="541">
        <f>AG124*AG59</f>
        <v>596.79</v>
      </c>
      <c r="AH121" s="540">
        <f>AH83</f>
        <v>174</v>
      </c>
      <c r="AI121" s="540">
        <f t="shared" ref="AI121:AS121" si="103">AI83</f>
        <v>202</v>
      </c>
      <c r="AJ121" s="540">
        <f t="shared" si="103"/>
        <v>241</v>
      </c>
      <c r="AK121" s="541">
        <f t="shared" si="103"/>
        <v>190</v>
      </c>
      <c r="AL121" s="540">
        <f t="shared" si="103"/>
        <v>257</v>
      </c>
      <c r="AM121" s="540">
        <f t="shared" si="103"/>
        <v>302</v>
      </c>
      <c r="AN121" s="540">
        <f t="shared" si="103"/>
        <v>299</v>
      </c>
      <c r="AO121" s="541">
        <f t="shared" si="103"/>
        <v>214</v>
      </c>
      <c r="AP121" s="540">
        <f t="shared" si="103"/>
        <v>282</v>
      </c>
      <c r="AQ121" s="540">
        <f t="shared" si="103"/>
        <v>274</v>
      </c>
      <c r="AR121" s="540">
        <f t="shared" si="103"/>
        <v>302</v>
      </c>
      <c r="AS121" s="540">
        <f t="shared" si="103"/>
        <v>233</v>
      </c>
      <c r="AT121" s="2931">
        <v>265</v>
      </c>
      <c r="AU121" s="2935">
        <v>284</v>
      </c>
      <c r="AV121" s="2935">
        <v>312</v>
      </c>
      <c r="AW121" s="2936">
        <f>CB121-SUM(AT121:AV121)</f>
        <v>243</v>
      </c>
      <c r="AX121" s="2931">
        <v>203</v>
      </c>
      <c r="AY121" s="2935">
        <v>25</v>
      </c>
      <c r="AZ121" s="2935">
        <v>94</v>
      </c>
      <c r="BA121" s="2935">
        <f>CC121-SUM(AX121:AZ121)</f>
        <v>83</v>
      </c>
      <c r="BB121" s="2931">
        <v>88</v>
      </c>
      <c r="BC121" s="2935">
        <v>161</v>
      </c>
      <c r="BD121" s="2935">
        <v>202</v>
      </c>
      <c r="BE121" s="2936">
        <v>152</v>
      </c>
      <c r="BF121" s="540">
        <v>166</v>
      </c>
      <c r="BG121" s="540">
        <v>213</v>
      </c>
      <c r="BH121" s="540">
        <v>222</v>
      </c>
      <c r="BI121" s="541">
        <v>176</v>
      </c>
      <c r="BJ121" s="540">
        <v>175</v>
      </c>
      <c r="BK121" s="540">
        <v>201</v>
      </c>
      <c r="BL121" s="540">
        <v>240</v>
      </c>
      <c r="BM121" s="541">
        <v>205</v>
      </c>
      <c r="BN121" s="540">
        <f>145+70</f>
        <v>215</v>
      </c>
      <c r="BO121" s="541">
        <v>229</v>
      </c>
      <c r="BP121" s="541">
        <f>167+102</f>
        <v>269</v>
      </c>
      <c r="BQ121" s="829">
        <f>175+66</f>
        <v>241</v>
      </c>
      <c r="BR121" s="540">
        <f>174+85</f>
        <v>259</v>
      </c>
      <c r="BS121" s="540">
        <f>182+98</f>
        <v>280</v>
      </c>
      <c r="BT121" s="540">
        <f>194+137</f>
        <v>331</v>
      </c>
      <c r="BU121" s="540">
        <v>305</v>
      </c>
      <c r="BV121" s="540">
        <f>197+125</f>
        <v>322</v>
      </c>
      <c r="BW121" s="1859">
        <f>206+145</f>
        <v>351</v>
      </c>
      <c r="BX121" s="540"/>
      <c r="BY121" s="538">
        <f>BY124*BY59</f>
        <v>789.63615000000004</v>
      </c>
      <c r="BZ121" s="538">
        <f>BZ124*BZ59</f>
        <v>1106.5999999999999</v>
      </c>
      <c r="CA121" s="2924">
        <v>1103</v>
      </c>
      <c r="CB121" s="2924">
        <v>1104</v>
      </c>
      <c r="CC121" s="2924">
        <v>405</v>
      </c>
      <c r="CD121" s="47">
        <v>603</v>
      </c>
      <c r="CE121" s="2934">
        <f>SUM(BF121:BI121)</f>
        <v>777</v>
      </c>
      <c r="CF121" s="2934">
        <v>821</v>
      </c>
      <c r="CG121" s="2934">
        <f>639+315</f>
        <v>954</v>
      </c>
      <c r="CH121" s="2934">
        <f>758+417</f>
        <v>1175</v>
      </c>
    </row>
    <row r="122" spans="1:86" s="211" customFormat="1">
      <c r="A122" s="1504" t="s">
        <v>1376</v>
      </c>
      <c r="E122" s="446"/>
      <c r="H122" s="444"/>
      <c r="I122" s="444"/>
      <c r="J122" s="444"/>
      <c r="K122" s="444"/>
      <c r="L122" s="468"/>
      <c r="M122" s="479"/>
      <c r="N122" s="479"/>
      <c r="O122" s="479"/>
      <c r="P122" s="479"/>
      <c r="Q122" s="444"/>
      <c r="R122" s="444"/>
      <c r="S122" s="444"/>
      <c r="T122" s="479"/>
      <c r="U122" s="479"/>
      <c r="V122" s="444"/>
      <c r="W122" s="475"/>
      <c r="X122" s="444"/>
      <c r="Y122" s="444"/>
      <c r="Z122" s="444"/>
      <c r="AA122" s="444"/>
      <c r="AB122" s="445"/>
      <c r="AC122" s="444"/>
      <c r="AD122" s="444"/>
      <c r="AE122" s="444"/>
      <c r="AF122" s="444"/>
      <c r="AG122" s="445"/>
      <c r="AH122" s="988">
        <f>AH121/AC121-1</f>
        <v>0.40770173033240464</v>
      </c>
      <c r="AI122" s="988">
        <f>AI121/AD121-1</f>
        <v>0.34996057045858575</v>
      </c>
      <c r="AJ122" s="988">
        <f>AJ121/AE121-1</f>
        <v>0.55463570434415521</v>
      </c>
      <c r="AK122" s="989">
        <f>AK121/AF121-1</f>
        <v>0.39823745545509848</v>
      </c>
      <c r="AL122" s="988">
        <f t="shared" ref="AL122:AS122" si="104">AL121/AH121-1</f>
        <v>0.47701149425287359</v>
      </c>
      <c r="AM122" s="988">
        <f t="shared" si="104"/>
        <v>0.49504950495049505</v>
      </c>
      <c r="AN122" s="988">
        <f t="shared" si="104"/>
        <v>0.24066390041493779</v>
      </c>
      <c r="AO122" s="989">
        <f t="shared" si="104"/>
        <v>0.12631578947368416</v>
      </c>
      <c r="AP122" s="988">
        <f t="shared" si="104"/>
        <v>9.7276264591439787E-2</v>
      </c>
      <c r="AQ122" s="988">
        <f t="shared" si="104"/>
        <v>-9.27152317880795E-2</v>
      </c>
      <c r="AR122" s="988">
        <f t="shared" si="104"/>
        <v>1.0033444816053505E-2</v>
      </c>
      <c r="AS122" s="988">
        <f t="shared" si="104"/>
        <v>8.8785046728971917E-2</v>
      </c>
      <c r="AT122" s="2829">
        <f t="shared" ref="AT122:BC122" si="105">AT121/AP121-1</f>
        <v>-6.0283687943262443E-2</v>
      </c>
      <c r="AU122" s="988">
        <f t="shared" si="105"/>
        <v>3.649635036496357E-2</v>
      </c>
      <c r="AV122" s="988">
        <f t="shared" si="105"/>
        <v>3.3112582781456901E-2</v>
      </c>
      <c r="AW122" s="989">
        <f t="shared" si="105"/>
        <v>4.2918454935622297E-2</v>
      </c>
      <c r="AX122" s="2829">
        <f t="shared" si="105"/>
        <v>-0.23396226415094334</v>
      </c>
      <c r="AY122" s="988">
        <f t="shared" si="105"/>
        <v>-0.9119718309859155</v>
      </c>
      <c r="AZ122" s="988">
        <f t="shared" si="105"/>
        <v>-0.69871794871794868</v>
      </c>
      <c r="BA122" s="988">
        <f t="shared" si="105"/>
        <v>-0.65843621399176955</v>
      </c>
      <c r="BB122" s="2829">
        <f t="shared" si="105"/>
        <v>-0.56650246305418717</v>
      </c>
      <c r="BC122" s="988">
        <f t="shared" si="105"/>
        <v>5.44</v>
      </c>
      <c r="BD122" s="988">
        <v>1.1599999999999999</v>
      </c>
      <c r="BE122" s="989">
        <v>0.85</v>
      </c>
      <c r="BF122" s="988">
        <v>0.88</v>
      </c>
      <c r="BG122" s="2968">
        <v>0.33</v>
      </c>
      <c r="BH122" s="2968">
        <v>0.1</v>
      </c>
      <c r="BI122" s="3028">
        <v>0.15</v>
      </c>
      <c r="BJ122" s="988">
        <f t="shared" ref="BJ122:BW122" si="106">BJ121/BF121-1</f>
        <v>5.4216867469879526E-2</v>
      </c>
      <c r="BK122" s="988">
        <f t="shared" si="106"/>
        <v>-5.633802816901412E-2</v>
      </c>
      <c r="BL122" s="988">
        <f t="shared" si="106"/>
        <v>8.1081081081081141E-2</v>
      </c>
      <c r="BM122" s="988">
        <f t="shared" si="106"/>
        <v>0.16477272727272729</v>
      </c>
      <c r="BN122" s="988">
        <f t="shared" si="106"/>
        <v>0.22857142857142865</v>
      </c>
      <c r="BO122" s="988">
        <f t="shared" si="106"/>
        <v>0.13930348258706471</v>
      </c>
      <c r="BP122" s="988">
        <f t="shared" si="106"/>
        <v>0.12083333333333335</v>
      </c>
      <c r="BQ122" s="3336">
        <f t="shared" si="106"/>
        <v>0.17560975609756091</v>
      </c>
      <c r="BR122" s="988">
        <f t="shared" si="106"/>
        <v>0.20465116279069773</v>
      </c>
      <c r="BS122" s="988">
        <f t="shared" si="106"/>
        <v>0.22270742358078599</v>
      </c>
      <c r="BT122" s="988">
        <f t="shared" si="106"/>
        <v>0.23048327137546476</v>
      </c>
      <c r="BU122" s="988">
        <f t="shared" si="106"/>
        <v>0.26556016597510368</v>
      </c>
      <c r="BV122" s="988">
        <f t="shared" si="106"/>
        <v>0.2432432432432432</v>
      </c>
      <c r="BW122" s="988">
        <f t="shared" si="106"/>
        <v>0.25357142857142856</v>
      </c>
      <c r="BX122" s="988"/>
      <c r="BY122" s="1009">
        <f>BY121/AG121-1</f>
        <v>0.32313904388478365</v>
      </c>
      <c r="BZ122" s="1009">
        <f t="shared" ref="BZ122:CH122" si="107">BZ121/BY121-1</f>
        <v>0.40140493821109868</v>
      </c>
      <c r="CA122" s="2829">
        <f t="shared" si="107"/>
        <v>-3.2532080245797346E-3</v>
      </c>
      <c r="CB122" s="2928">
        <f t="shared" si="107"/>
        <v>9.0661831368987755E-4</v>
      </c>
      <c r="CC122" s="2928">
        <f t="shared" si="107"/>
        <v>-0.63315217391304346</v>
      </c>
      <c r="CD122" s="2829">
        <f t="shared" si="107"/>
        <v>0.48888888888888893</v>
      </c>
      <c r="CE122" s="2829">
        <f t="shared" si="107"/>
        <v>0.28855721393034828</v>
      </c>
      <c r="CF122" s="2829">
        <f t="shared" si="107"/>
        <v>5.6628056628056589E-2</v>
      </c>
      <c r="CG122" s="3372">
        <f t="shared" si="107"/>
        <v>0.16199756394640685</v>
      </c>
      <c r="CH122" s="3372">
        <f t="shared" si="107"/>
        <v>0.23165618448637315</v>
      </c>
    </row>
    <row r="123" spans="1:86" s="3031" customFormat="1">
      <c r="A123" s="2956" t="s">
        <v>2715</v>
      </c>
      <c r="E123" s="3032"/>
      <c r="H123" s="3033"/>
      <c r="I123" s="3033"/>
      <c r="J123" s="3033"/>
      <c r="K123" s="3033"/>
      <c r="L123" s="3019"/>
      <c r="M123" s="3034"/>
      <c r="N123" s="3034"/>
      <c r="O123" s="3034"/>
      <c r="P123" s="3034"/>
      <c r="Q123" s="3033"/>
      <c r="R123" s="3033"/>
      <c r="S123" s="3033"/>
      <c r="T123" s="3034"/>
      <c r="U123" s="3034"/>
      <c r="V123" s="3033"/>
      <c r="W123" s="3035"/>
      <c r="X123" s="3033"/>
      <c r="Y123" s="3033"/>
      <c r="Z123" s="3033"/>
      <c r="AA123" s="3033"/>
      <c r="AB123" s="3036"/>
      <c r="AC123" s="3033"/>
      <c r="AD123" s="3033"/>
      <c r="AE123" s="3033"/>
      <c r="AF123" s="3033"/>
      <c r="AG123" s="3036"/>
      <c r="AH123" s="3037"/>
      <c r="AI123" s="3037"/>
      <c r="AJ123" s="3037"/>
      <c r="AK123" s="3038"/>
      <c r="AL123" s="3037"/>
      <c r="AM123" s="3037"/>
      <c r="AN123" s="3037"/>
      <c r="AO123" s="3038"/>
      <c r="AP123" s="3037"/>
      <c r="AQ123" s="3037"/>
      <c r="AR123" s="3037"/>
      <c r="AS123" s="3037"/>
      <c r="AT123" s="3039"/>
      <c r="AU123" s="3037"/>
      <c r="AV123" s="3037"/>
      <c r="AW123" s="3038"/>
      <c r="AX123" s="3039"/>
      <c r="AY123" s="3037"/>
      <c r="AZ123" s="3037"/>
      <c r="BA123" s="3037"/>
      <c r="BB123" s="3039"/>
      <c r="BC123" s="3037"/>
      <c r="BD123" s="3037"/>
      <c r="BE123" s="3038"/>
      <c r="BF123" s="3037"/>
      <c r="BG123" s="3040"/>
      <c r="BH123" s="3040"/>
      <c r="BI123" s="3041">
        <f>BI121/AW121-1</f>
        <v>-0.27572016460905346</v>
      </c>
      <c r="BJ123" s="3040">
        <f>BJ121/AT121-1</f>
        <v>-0.339622641509434</v>
      </c>
      <c r="BK123" s="3040">
        <f>BK121/AU121-1</f>
        <v>-0.29225352112676062</v>
      </c>
      <c r="BL123" s="3040">
        <f>BL121/AV121-1</f>
        <v>-0.23076923076923073</v>
      </c>
      <c r="BM123" s="3040">
        <f>BM121/AW121-1</f>
        <v>-0.15637860082304522</v>
      </c>
      <c r="BN123" s="3040"/>
      <c r="BO123" s="3040">
        <f>BO121/AU121-1</f>
        <v>-0.19366197183098588</v>
      </c>
      <c r="BP123" s="3040">
        <f>BP121/AV121-1</f>
        <v>-0.13782051282051277</v>
      </c>
      <c r="BQ123" s="3342">
        <f>BQ121/AW121-1</f>
        <v>-8.2304526748970819E-3</v>
      </c>
      <c r="BR123" s="3342">
        <f>BR121/AT121-1</f>
        <v>-2.2641509433962259E-2</v>
      </c>
      <c r="BS123" s="3342">
        <f>BS121/AU121-1</f>
        <v>-1.4084507042253502E-2</v>
      </c>
      <c r="BT123" s="3342">
        <f>BT121/AV121-1</f>
        <v>6.0897435897435903E-2</v>
      </c>
      <c r="BU123" s="3342">
        <f>BU121/AW121-1</f>
        <v>0.25514403292181065</v>
      </c>
      <c r="BV123" s="3342">
        <f>BV121/AT121-1</f>
        <v>0.21509433962264146</v>
      </c>
      <c r="BW123" s="3342">
        <f>BW121/AU121-1</f>
        <v>0.2359154929577465</v>
      </c>
      <c r="BX123" s="3524"/>
      <c r="BY123" s="3042"/>
      <c r="BZ123" s="3042"/>
      <c r="CA123" s="3039"/>
      <c r="CB123" s="3039"/>
      <c r="CC123" s="3039"/>
      <c r="CD123" s="3039"/>
      <c r="CE123" s="3039"/>
      <c r="CF123" s="3039"/>
      <c r="CG123" s="3039"/>
      <c r="CH123" s="3039"/>
    </row>
    <row r="124" spans="1:86" s="1793" customFormat="1">
      <c r="A124" s="1504" t="s">
        <v>1371</v>
      </c>
      <c r="E124" s="1858"/>
      <c r="H124" s="1792"/>
      <c r="I124" s="1792"/>
      <c r="J124" s="1792"/>
      <c r="K124" s="1792"/>
      <c r="L124" s="1781"/>
      <c r="M124" s="1872"/>
      <c r="N124" s="1872"/>
      <c r="O124" s="1872"/>
      <c r="P124" s="1872"/>
      <c r="Q124" s="1792"/>
      <c r="R124" s="1792"/>
      <c r="S124" s="1792"/>
      <c r="T124" s="1872"/>
      <c r="U124" s="1872"/>
      <c r="V124" s="1792"/>
      <c r="W124" s="1873"/>
      <c r="X124" s="1792"/>
      <c r="Y124" s="1792"/>
      <c r="Z124" s="1792"/>
      <c r="AA124" s="1792"/>
      <c r="AB124" s="1874"/>
      <c r="AC124" s="1792">
        <v>0.09</v>
      </c>
      <c r="AD124" s="1792">
        <v>0.09</v>
      </c>
      <c r="AE124" s="1792">
        <v>0.08</v>
      </c>
      <c r="AF124" s="1792">
        <v>0.08</v>
      </c>
      <c r="AG124" s="1874">
        <v>0.09</v>
      </c>
      <c r="AH124" s="1793">
        <v>0.09</v>
      </c>
      <c r="AI124" s="1793">
        <v>0.09</v>
      </c>
      <c r="AJ124" s="1793">
        <v>0.09</v>
      </c>
      <c r="AK124" s="1858">
        <v>0.09</v>
      </c>
      <c r="AL124" s="1793">
        <v>0.12</v>
      </c>
      <c r="AM124" s="1793">
        <v>0.12</v>
      </c>
      <c r="AN124" s="1793">
        <v>0.1</v>
      </c>
      <c r="AO124" s="1858">
        <v>0.09</v>
      </c>
      <c r="AP124" s="1793">
        <v>0.11</v>
      </c>
      <c r="AQ124" s="1793">
        <v>0.1</v>
      </c>
      <c r="AR124" s="1793">
        <v>0.09</v>
      </c>
      <c r="AS124" s="1793">
        <v>0.09</v>
      </c>
      <c r="AT124" s="2937">
        <v>0.1</v>
      </c>
      <c r="AU124" s="2938">
        <v>0.09</v>
      </c>
      <c r="AV124" s="2938">
        <v>0.09</v>
      </c>
      <c r="AW124" s="2939">
        <v>0.09</v>
      </c>
      <c r="AX124" s="2937">
        <v>0.09</v>
      </c>
      <c r="AY124" s="2938">
        <v>0.04</v>
      </c>
      <c r="AZ124" s="2938">
        <v>0.06</v>
      </c>
      <c r="BA124" s="2938">
        <v>0.09</v>
      </c>
      <c r="BB124" s="2937">
        <f t="shared" ref="BB124:BG124" si="108">BB121/BB$59</f>
        <v>7.0626003210272875E-2</v>
      </c>
      <c r="BC124" s="2938">
        <f t="shared" si="108"/>
        <v>7.6267171956418758E-2</v>
      </c>
      <c r="BD124" s="2938">
        <f t="shared" si="108"/>
        <v>6.8197164078325462E-2</v>
      </c>
      <c r="BE124" s="2939">
        <f t="shared" si="108"/>
        <v>6.669591926283458E-2</v>
      </c>
      <c r="BF124" s="2938">
        <f t="shared" si="108"/>
        <v>7.3810582481102713E-2</v>
      </c>
      <c r="BG124" s="2938">
        <f t="shared" si="108"/>
        <v>6.6960075447972334E-2</v>
      </c>
      <c r="BH124" s="2938">
        <f t="shared" ref="BH124:BN124" si="109">BH121/BH$59</f>
        <v>6.1342912406742195E-2</v>
      </c>
      <c r="BI124" s="2939">
        <f t="shared" si="109"/>
        <v>6.7226890756302518E-2</v>
      </c>
      <c r="BJ124" s="2938">
        <f t="shared" si="109"/>
        <v>6.5666041275797379E-2</v>
      </c>
      <c r="BK124" s="2938">
        <f t="shared" si="109"/>
        <v>5.9857057772483624E-2</v>
      </c>
      <c r="BL124" s="2938">
        <f t="shared" si="109"/>
        <v>6.1084245355052177E-2</v>
      </c>
      <c r="BM124" s="2938">
        <f t="shared" si="109"/>
        <v>7.1007966747488743E-2</v>
      </c>
      <c r="BN124" s="2938">
        <f t="shared" si="109"/>
        <v>7.4420214607130497E-2</v>
      </c>
      <c r="BO124" s="2938">
        <f t="shared" ref="BO124:BT124" si="110">BO121/BO$59</f>
        <v>6.4362001124227089E-2</v>
      </c>
      <c r="BP124" s="2938">
        <f t="shared" si="110"/>
        <v>6.625615763546798E-2</v>
      </c>
      <c r="BQ124" s="1839">
        <f t="shared" si="110"/>
        <v>7.5690954773869348E-2</v>
      </c>
      <c r="BR124" s="2938">
        <f t="shared" si="110"/>
        <v>8.6680053547523422E-2</v>
      </c>
      <c r="BS124" s="2938">
        <f t="shared" si="110"/>
        <v>7.3956682514527208E-2</v>
      </c>
      <c r="BT124" s="2938">
        <f t="shared" si="110"/>
        <v>7.5022665457842252E-2</v>
      </c>
      <c r="BU124" s="2938">
        <f>BU121/BU$59</f>
        <v>8.5988159007612072E-2</v>
      </c>
      <c r="BV124" s="2938">
        <f>BV121/BV$59</f>
        <v>9.3987157034442492E-2</v>
      </c>
      <c r="BW124" s="2938">
        <f>BW121/BW$59</f>
        <v>8.1344148319814596E-2</v>
      </c>
      <c r="BX124" s="2938"/>
      <c r="BY124" s="2890">
        <v>0.09</v>
      </c>
      <c r="BZ124" s="1875">
        <v>0.11</v>
      </c>
      <c r="CA124" s="1961">
        <v>0.1</v>
      </c>
      <c r="CB124" s="1961">
        <v>0.09</v>
      </c>
      <c r="CC124" s="2926">
        <f t="shared" ref="CC124:CH124" si="111">CC121/CC$59</f>
        <v>7.789959607616849E-2</v>
      </c>
      <c r="CD124" s="1961">
        <f t="shared" si="111"/>
        <v>7.0132588974180038E-2</v>
      </c>
      <c r="CE124" s="1961">
        <f t="shared" si="111"/>
        <v>6.6598097197222941E-2</v>
      </c>
      <c r="CF124" s="1961">
        <f t="shared" si="111"/>
        <v>6.3945790170574029E-2</v>
      </c>
      <c r="CG124" s="1961">
        <f t="shared" si="111"/>
        <v>6.9680812212402313E-2</v>
      </c>
      <c r="CH124" s="1961">
        <f t="shared" si="111"/>
        <v>7.9752935586777984E-2</v>
      </c>
    </row>
    <row r="125" spans="1:86" s="473" customFormat="1" ht="11.5">
      <c r="A125" s="1505" t="s">
        <v>1362</v>
      </c>
      <c r="B125" s="466"/>
      <c r="C125" s="466"/>
      <c r="D125" s="466"/>
      <c r="E125" s="467"/>
      <c r="F125" s="82"/>
      <c r="G125" s="82"/>
      <c r="H125" s="82"/>
      <c r="I125" s="82"/>
      <c r="J125" s="82"/>
      <c r="K125" s="82"/>
      <c r="L125" s="224"/>
      <c r="M125" s="82"/>
      <c r="N125" s="82"/>
      <c r="O125" s="82"/>
      <c r="P125" s="82"/>
      <c r="Q125" s="82"/>
      <c r="R125" s="82"/>
      <c r="S125" s="82"/>
      <c r="T125" s="82"/>
      <c r="U125" s="82"/>
      <c r="V125" s="82"/>
      <c r="W125" s="115"/>
      <c r="Y125" s="211"/>
      <c r="Z125" s="211"/>
      <c r="AA125" s="211"/>
      <c r="AB125" s="446"/>
      <c r="AC125" s="540">
        <f t="shared" ref="AC125:AS125" si="112">AC127*AC59</f>
        <v>206.00954999999999</v>
      </c>
      <c r="AD125" s="540">
        <f t="shared" si="112"/>
        <v>216.13800000000001</v>
      </c>
      <c r="AE125" s="540">
        <f t="shared" si="112"/>
        <v>251.90789000000001</v>
      </c>
      <c r="AF125" s="540">
        <f t="shared" si="112"/>
        <v>254.78504999999998</v>
      </c>
      <c r="AG125" s="541">
        <f t="shared" si="112"/>
        <v>928.34</v>
      </c>
      <c r="AH125" s="540">
        <f t="shared" si="112"/>
        <v>285.59415000000001</v>
      </c>
      <c r="AI125" s="540">
        <f t="shared" si="112"/>
        <v>285.46297000000004</v>
      </c>
      <c r="AJ125" s="540">
        <f t="shared" si="112"/>
        <v>309.70859999999999</v>
      </c>
      <c r="AK125" s="541">
        <f t="shared" si="112"/>
        <v>293.02000000000004</v>
      </c>
      <c r="AL125" s="540">
        <f t="shared" si="112"/>
        <v>306.46000000000004</v>
      </c>
      <c r="AM125" s="540">
        <f t="shared" si="112"/>
        <v>336.18</v>
      </c>
      <c r="AN125" s="540">
        <f t="shared" si="112"/>
        <v>385.58000000000004</v>
      </c>
      <c r="AO125" s="541">
        <f t="shared" si="112"/>
        <v>324.66000000000003</v>
      </c>
      <c r="AP125" s="540">
        <f t="shared" si="112"/>
        <v>376.2</v>
      </c>
      <c r="AQ125" s="540">
        <f t="shared" si="112"/>
        <v>374.40000000000003</v>
      </c>
      <c r="AR125" s="540">
        <f t="shared" si="112"/>
        <v>425.88</v>
      </c>
      <c r="AS125" s="540">
        <f t="shared" si="112"/>
        <v>358.26000000000005</v>
      </c>
      <c r="AT125" s="2931">
        <v>409</v>
      </c>
      <c r="AU125" s="2935">
        <v>437</v>
      </c>
      <c r="AV125" s="2935">
        <v>469</v>
      </c>
      <c r="AW125" s="2936">
        <f>CB125-SUM(AT125:AV125)</f>
        <v>417</v>
      </c>
      <c r="AX125" s="2931">
        <v>355</v>
      </c>
      <c r="AY125" s="2935">
        <v>124</v>
      </c>
      <c r="AZ125" s="2935">
        <v>154</v>
      </c>
      <c r="BA125" s="2935">
        <v>6</v>
      </c>
      <c r="BB125" s="2931">
        <v>205</v>
      </c>
      <c r="BC125" s="2935">
        <v>339</v>
      </c>
      <c r="BD125" s="2935">
        <v>399</v>
      </c>
      <c r="BE125" s="2936">
        <v>349</v>
      </c>
      <c r="BF125" s="540">
        <v>399</v>
      </c>
      <c r="BG125" s="540">
        <v>473</v>
      </c>
      <c r="BH125" s="540">
        <v>416</v>
      </c>
      <c r="BI125" s="541">
        <v>335</v>
      </c>
      <c r="BJ125" s="540">
        <v>348</v>
      </c>
      <c r="BK125" s="540">
        <v>348</v>
      </c>
      <c r="BL125" s="540">
        <v>356</v>
      </c>
      <c r="BM125" s="541">
        <v>292</v>
      </c>
      <c r="BN125" s="540">
        <v>331</v>
      </c>
      <c r="BO125" s="541">
        <v>356</v>
      </c>
      <c r="BP125" s="541">
        <v>370</v>
      </c>
      <c r="BQ125" s="829">
        <v>302</v>
      </c>
      <c r="BR125" s="540">
        <v>333</v>
      </c>
      <c r="BS125" s="540">
        <v>361</v>
      </c>
      <c r="BT125" s="540">
        <v>376</v>
      </c>
      <c r="BU125" s="540">
        <v>376</v>
      </c>
      <c r="BV125" s="540">
        <v>387</v>
      </c>
      <c r="BW125" s="1859">
        <v>444</v>
      </c>
      <c r="BX125" s="540"/>
      <c r="BY125" s="538">
        <f>BY127*BY59</f>
        <v>1140.58555</v>
      </c>
      <c r="BZ125" s="538">
        <f>BZ127*BZ59</f>
        <v>1307.8</v>
      </c>
      <c r="CA125" s="2924">
        <v>1642</v>
      </c>
      <c r="CB125" s="2924">
        <v>1732</v>
      </c>
      <c r="CC125" s="2924">
        <v>638</v>
      </c>
      <c r="CD125" s="47">
        <v>1292</v>
      </c>
      <c r="CE125" s="2934">
        <f>SUM(BF125:BI125)</f>
        <v>1623</v>
      </c>
      <c r="CF125" s="2934">
        <v>1344</v>
      </c>
      <c r="CG125" s="2934">
        <v>1359</v>
      </c>
      <c r="CH125" s="2934">
        <v>1399</v>
      </c>
    </row>
    <row r="126" spans="1:86" s="211" customFormat="1">
      <c r="A126" s="1504" t="s">
        <v>1377</v>
      </c>
      <c r="E126" s="446"/>
      <c r="H126" s="444"/>
      <c r="I126" s="444"/>
      <c r="J126" s="444"/>
      <c r="K126" s="444"/>
      <c r="L126" s="468"/>
      <c r="M126" s="479"/>
      <c r="N126" s="479"/>
      <c r="O126" s="479"/>
      <c r="P126" s="479"/>
      <c r="Q126" s="444"/>
      <c r="R126" s="444"/>
      <c r="S126" s="444"/>
      <c r="T126" s="479"/>
      <c r="U126" s="479"/>
      <c r="V126" s="444"/>
      <c r="W126" s="475"/>
      <c r="X126" s="444"/>
      <c r="Y126" s="444"/>
      <c r="Z126" s="444"/>
      <c r="AA126" s="444"/>
      <c r="AB126" s="445"/>
      <c r="AC126" s="444"/>
      <c r="AD126" s="444"/>
      <c r="AE126" s="444"/>
      <c r="AF126" s="444"/>
      <c r="AG126" s="445"/>
      <c r="AH126" s="988">
        <f>AH125/AC125-1</f>
        <v>0.38631510044073214</v>
      </c>
      <c r="AI126" s="988">
        <f>AI125/AD125-1</f>
        <v>0.32074401539757025</v>
      </c>
      <c r="AJ126" s="988">
        <f>AJ125/AE125-1</f>
        <v>0.22945176508762777</v>
      </c>
      <c r="AK126" s="989">
        <f>AK125/AF125-1</f>
        <v>0.15006747844899082</v>
      </c>
      <c r="AL126" s="988">
        <f t="shared" ref="AL126:AS126" si="113">AL125/AH125-1</f>
        <v>7.3061195406138424E-2</v>
      </c>
      <c r="AM126" s="988">
        <f t="shared" si="113"/>
        <v>0.17766588079707835</v>
      </c>
      <c r="AN126" s="988">
        <f t="shared" si="113"/>
        <v>0.24497672973885787</v>
      </c>
      <c r="AO126" s="989">
        <f t="shared" si="113"/>
        <v>0.10797897754419483</v>
      </c>
      <c r="AP126" s="988">
        <f t="shared" si="113"/>
        <v>0.22756640344580026</v>
      </c>
      <c r="AQ126" s="988">
        <f t="shared" si="113"/>
        <v>0.11368909512761038</v>
      </c>
      <c r="AR126" s="988">
        <f t="shared" si="113"/>
        <v>0.10451786918408623</v>
      </c>
      <c r="AS126" s="988">
        <f t="shared" si="113"/>
        <v>0.10349288486416564</v>
      </c>
      <c r="AT126" s="2829">
        <f t="shared" ref="AT126:BB126" si="114">AT125/AP125-1</f>
        <v>8.7187666135034592E-2</v>
      </c>
      <c r="AU126" s="988">
        <f t="shared" si="114"/>
        <v>0.16720085470085455</v>
      </c>
      <c r="AV126" s="988">
        <f t="shared" si="114"/>
        <v>0.10124917817225509</v>
      </c>
      <c r="AW126" s="989">
        <f t="shared" si="114"/>
        <v>0.16395913582314514</v>
      </c>
      <c r="AX126" s="2829">
        <f t="shared" si="114"/>
        <v>-0.13202933985330079</v>
      </c>
      <c r="AY126" s="988">
        <f t="shared" si="114"/>
        <v>-0.71624713958810071</v>
      </c>
      <c r="AZ126" s="988">
        <f t="shared" si="114"/>
        <v>-0.67164179104477606</v>
      </c>
      <c r="BA126" s="988">
        <f t="shared" si="114"/>
        <v>-0.98561151079136688</v>
      </c>
      <c r="BB126" s="2829">
        <f t="shared" si="114"/>
        <v>-0.42253521126760563</v>
      </c>
      <c r="BC126" s="988">
        <f>BC125/AY125-1</f>
        <v>1.7338709677419355</v>
      </c>
      <c r="BD126" s="988">
        <v>1.59</v>
      </c>
      <c r="BE126" s="989"/>
      <c r="BF126" s="988">
        <v>0.94</v>
      </c>
      <c r="BG126" s="988">
        <v>0.39</v>
      </c>
      <c r="BH126" s="988">
        <v>0.04</v>
      </c>
      <c r="BI126" s="989">
        <v>-0.04</v>
      </c>
      <c r="BJ126" s="988">
        <f t="shared" ref="BJ126:BW126" si="115">BJ125/BF125-1</f>
        <v>-0.1278195488721805</v>
      </c>
      <c r="BK126" s="988">
        <f t="shared" si="115"/>
        <v>-0.26427061310782241</v>
      </c>
      <c r="BL126" s="988">
        <f t="shared" si="115"/>
        <v>-0.14423076923076927</v>
      </c>
      <c r="BM126" s="988">
        <f t="shared" si="115"/>
        <v>-0.12835820895522387</v>
      </c>
      <c r="BN126" s="988">
        <f t="shared" si="115"/>
        <v>-4.8850574712643646E-2</v>
      </c>
      <c r="BO126" s="988">
        <f t="shared" si="115"/>
        <v>2.2988505747126409E-2</v>
      </c>
      <c r="BP126" s="988">
        <f t="shared" si="115"/>
        <v>3.9325842696629199E-2</v>
      </c>
      <c r="BQ126" s="3336">
        <f t="shared" si="115"/>
        <v>3.4246575342465668E-2</v>
      </c>
      <c r="BR126" s="988">
        <f t="shared" si="115"/>
        <v>6.0422960725075026E-3</v>
      </c>
      <c r="BS126" s="988">
        <f t="shared" si="115"/>
        <v>1.4044943820224809E-2</v>
      </c>
      <c r="BT126" s="988">
        <f t="shared" si="115"/>
        <v>1.6216216216216273E-2</v>
      </c>
      <c r="BU126" s="988">
        <f t="shared" si="115"/>
        <v>0.24503311258278138</v>
      </c>
      <c r="BV126" s="988">
        <f t="shared" si="115"/>
        <v>0.16216216216216206</v>
      </c>
      <c r="BW126" s="988">
        <f t="shared" si="115"/>
        <v>0.22991689750692523</v>
      </c>
      <c r="BX126" s="988"/>
      <c r="BY126" s="1009">
        <f>BY125/AG125-1</f>
        <v>0.22862911217872761</v>
      </c>
      <c r="BZ126" s="1009">
        <f t="shared" ref="BZ126:CH126" si="116">BZ125/BY125-1</f>
        <v>0.14660404035453545</v>
      </c>
      <c r="CA126" s="2829">
        <f t="shared" si="116"/>
        <v>0.2555436611102615</v>
      </c>
      <c r="CB126" s="2928">
        <f t="shared" si="116"/>
        <v>5.4811205846528654E-2</v>
      </c>
      <c r="CC126" s="2928">
        <f t="shared" si="116"/>
        <v>-0.63163972286374137</v>
      </c>
      <c r="CD126" s="2829">
        <f t="shared" si="116"/>
        <v>1.0250783699059562</v>
      </c>
      <c r="CE126" s="2829">
        <f t="shared" si="116"/>
        <v>0.25619195046439636</v>
      </c>
      <c r="CF126" s="2829">
        <f t="shared" si="116"/>
        <v>-0.17190388170055448</v>
      </c>
      <c r="CG126" s="3372">
        <f t="shared" si="116"/>
        <v>1.1160714285714191E-2</v>
      </c>
      <c r="CH126" s="3372">
        <f t="shared" si="116"/>
        <v>2.9433406916850702E-2</v>
      </c>
    </row>
    <row r="127" spans="1:86" s="1793" customFormat="1">
      <c r="A127" s="1504" t="s">
        <v>1378</v>
      </c>
      <c r="E127" s="1858"/>
      <c r="H127" s="1792"/>
      <c r="I127" s="1792"/>
      <c r="J127" s="1792"/>
      <c r="K127" s="1792"/>
      <c r="L127" s="1781"/>
      <c r="M127" s="1872"/>
      <c r="N127" s="1872"/>
      <c r="O127" s="1872"/>
      <c r="P127" s="1872"/>
      <c r="Q127" s="1792"/>
      <c r="R127" s="1792"/>
      <c r="S127" s="1792"/>
      <c r="T127" s="1872"/>
      <c r="U127" s="1872"/>
      <c r="V127" s="1792"/>
      <c r="W127" s="1873"/>
      <c r="X127" s="1792"/>
      <c r="Y127" s="1792"/>
      <c r="Z127" s="1792"/>
      <c r="AA127" s="1792"/>
      <c r="AB127" s="1874"/>
      <c r="AC127" s="1792">
        <v>0.15</v>
      </c>
      <c r="AD127" s="1792">
        <v>0.13</v>
      </c>
      <c r="AE127" s="1792">
        <v>0.13</v>
      </c>
      <c r="AF127" s="1792">
        <v>0.15</v>
      </c>
      <c r="AG127" s="1874">
        <v>0.14000000000000001</v>
      </c>
      <c r="AH127" s="1793">
        <v>0.15</v>
      </c>
      <c r="AI127" s="1793">
        <v>0.13</v>
      </c>
      <c r="AJ127" s="1793">
        <v>0.12</v>
      </c>
      <c r="AK127" s="1858">
        <v>0.14000000000000001</v>
      </c>
      <c r="AL127" s="1793">
        <v>0.14000000000000001</v>
      </c>
      <c r="AM127" s="1793">
        <v>0.13</v>
      </c>
      <c r="AN127" s="1793">
        <v>0.13</v>
      </c>
      <c r="AO127" s="1858">
        <v>0.14000000000000001</v>
      </c>
      <c r="AP127" s="1793">
        <v>0.15</v>
      </c>
      <c r="AQ127" s="1793">
        <v>0.13</v>
      </c>
      <c r="AR127" s="1793">
        <v>0.13</v>
      </c>
      <c r="AS127" s="1793">
        <v>0.14000000000000001</v>
      </c>
      <c r="AT127" s="2937">
        <v>0.14000000000000001</v>
      </c>
      <c r="AU127" s="2938">
        <v>0.13</v>
      </c>
      <c r="AV127" s="2938">
        <v>0.12</v>
      </c>
      <c r="AW127" s="2939">
        <v>0.14000000000000001</v>
      </c>
      <c r="AX127" s="2937">
        <v>0.17</v>
      </c>
      <c r="AY127" s="2938">
        <v>0.22</v>
      </c>
      <c r="AZ127" s="2938">
        <v>0.1</v>
      </c>
      <c r="BA127" s="2938">
        <v>0.01</v>
      </c>
      <c r="BB127" s="2937">
        <f t="shared" ref="BB127:BG127" si="117">BB125/BB$59</f>
        <v>0.16452648475120385</v>
      </c>
      <c r="BC127" s="2938">
        <f t="shared" si="117"/>
        <v>0.16058739933680721</v>
      </c>
      <c r="BD127" s="2938">
        <f t="shared" si="117"/>
        <v>0.13470627954085077</v>
      </c>
      <c r="BE127" s="2939">
        <f t="shared" si="117"/>
        <v>0.15313734093900833</v>
      </c>
      <c r="BF127" s="2938">
        <f t="shared" si="117"/>
        <v>0.17741218319253002</v>
      </c>
      <c r="BG127" s="2938">
        <f t="shared" si="117"/>
        <v>0.14869537881169442</v>
      </c>
      <c r="BH127" s="2938">
        <f t="shared" ref="BH127:BM127" si="118">BH125/BH$59</f>
        <v>0.11494888090632771</v>
      </c>
      <c r="BI127" s="2939">
        <f t="shared" si="118"/>
        <v>0.12796027501909854</v>
      </c>
      <c r="BJ127" s="2938">
        <f t="shared" si="118"/>
        <v>0.13058161350844277</v>
      </c>
      <c r="BK127" s="2938">
        <f t="shared" si="118"/>
        <v>0.10363311494937463</v>
      </c>
      <c r="BL127" s="2938">
        <f t="shared" si="118"/>
        <v>9.0608297276660726E-2</v>
      </c>
      <c r="BM127" s="2938">
        <f t="shared" si="118"/>
        <v>0.10114305507447177</v>
      </c>
      <c r="BN127" s="2938">
        <f t="shared" ref="BN127:BS127" si="119">BN125/BN$59</f>
        <v>0.11457251644167532</v>
      </c>
      <c r="BO127" s="2938">
        <f t="shared" si="119"/>
        <v>0.10005621135469364</v>
      </c>
      <c r="BP127" s="2938">
        <f t="shared" si="119"/>
        <v>9.1133004926108374E-2</v>
      </c>
      <c r="BQ127" s="1839">
        <f t="shared" si="119"/>
        <v>9.4849246231155773E-2</v>
      </c>
      <c r="BR127" s="2938">
        <f t="shared" si="119"/>
        <v>0.11144578313253012</v>
      </c>
      <c r="BS127" s="2938">
        <f t="shared" si="119"/>
        <v>9.535129424194401E-2</v>
      </c>
      <c r="BT127" s="2938">
        <f>BT125/BT$59</f>
        <v>8.5222121486854041E-2</v>
      </c>
      <c r="BU127" s="2938">
        <f>BU125/BU$59</f>
        <v>0.1060050747110234</v>
      </c>
      <c r="BV127" s="2938">
        <f>BV125/BV$59</f>
        <v>0.11295971978984239</v>
      </c>
      <c r="BW127" s="2938">
        <f>BW125/BW$59</f>
        <v>0.10289687137891078</v>
      </c>
      <c r="BX127" s="2938"/>
      <c r="BY127" s="2890">
        <v>0.13</v>
      </c>
      <c r="BZ127" s="1875">
        <v>0.13</v>
      </c>
      <c r="CA127" s="1961">
        <v>0.13</v>
      </c>
      <c r="CB127" s="1961">
        <v>0.14000000000000001</v>
      </c>
      <c r="CC127" s="2926">
        <f t="shared" ref="CC127:CH127" si="120">CC125/CC$59</f>
        <v>0.12271590690517407</v>
      </c>
      <c r="CD127" s="1961">
        <f t="shared" si="120"/>
        <v>0.15026750407071413</v>
      </c>
      <c r="CE127" s="1961">
        <f t="shared" si="120"/>
        <v>0.1391103111339676</v>
      </c>
      <c r="CF127" s="1961">
        <f t="shared" si="120"/>
        <v>0.1046810499260067</v>
      </c>
      <c r="CG127" s="1961">
        <f t="shared" si="120"/>
        <v>9.9262289095025935E-2</v>
      </c>
      <c r="CH127" s="1961">
        <f t="shared" si="120"/>
        <v>9.4956899477363743E-2</v>
      </c>
    </row>
    <row r="128" spans="1:86" s="1793" customFormat="1">
      <c r="A128" s="1504"/>
      <c r="E128" s="1858"/>
      <c r="H128" s="1792"/>
      <c r="I128" s="1792"/>
      <c r="J128" s="1792"/>
      <c r="K128" s="1792"/>
      <c r="L128" s="1781"/>
      <c r="M128" s="1872"/>
      <c r="N128" s="1872"/>
      <c r="O128" s="1872"/>
      <c r="P128" s="1872"/>
      <c r="Q128" s="1792"/>
      <c r="R128" s="1792"/>
      <c r="S128" s="1792"/>
      <c r="T128" s="1872"/>
      <c r="U128" s="1872"/>
      <c r="V128" s="1792"/>
      <c r="W128" s="1873"/>
      <c r="X128" s="1792"/>
      <c r="Y128" s="1792"/>
      <c r="Z128" s="1792"/>
      <c r="AA128" s="1792"/>
      <c r="AB128" s="1874"/>
      <c r="AC128" s="1792"/>
      <c r="AD128" s="1792"/>
      <c r="AE128" s="1792"/>
      <c r="AF128" s="1792"/>
      <c r="AG128" s="1874"/>
      <c r="AK128" s="1858"/>
      <c r="AO128" s="1858"/>
      <c r="AT128" s="2937"/>
      <c r="AU128" s="2938"/>
      <c r="AV128" s="2938"/>
      <c r="AW128" s="2939"/>
      <c r="AX128" s="2937"/>
      <c r="AY128" s="2938"/>
      <c r="AZ128" s="2938"/>
      <c r="BA128" s="2938"/>
      <c r="BB128" s="2937"/>
      <c r="BC128" s="2938"/>
      <c r="BD128" s="2938"/>
      <c r="BE128" s="2939"/>
      <c r="BF128" s="2938"/>
      <c r="BG128" s="2938"/>
      <c r="BH128" s="2938"/>
      <c r="BI128" s="2939"/>
      <c r="BJ128" s="2938"/>
      <c r="BK128" s="2938"/>
      <c r="BL128" s="2938"/>
      <c r="BM128" s="2938"/>
      <c r="BN128" s="2938"/>
      <c r="BO128" s="2938"/>
      <c r="BP128" s="2938"/>
      <c r="BQ128" s="1839"/>
      <c r="BR128" s="2938"/>
      <c r="BS128" s="2938"/>
      <c r="BT128" s="2938"/>
      <c r="BU128" s="2938"/>
      <c r="BV128" s="2938"/>
      <c r="BW128" s="2938"/>
      <c r="BX128" s="2938"/>
      <c r="BY128" s="2890"/>
      <c r="BZ128" s="1875"/>
      <c r="CA128" s="1961"/>
      <c r="CB128" s="1961"/>
      <c r="CC128" s="1961"/>
      <c r="CD128" s="1961"/>
      <c r="CE128" s="1961"/>
      <c r="CF128" s="1961"/>
      <c r="CG128" s="1961"/>
      <c r="CH128" s="1961"/>
    </row>
    <row r="129" spans="1:86" s="1793" customFormat="1">
      <c r="A129" s="464" t="s">
        <v>2800</v>
      </c>
      <c r="E129" s="1858"/>
      <c r="H129" s="1792"/>
      <c r="I129" s="1792"/>
      <c r="J129" s="1792"/>
      <c r="K129" s="1792"/>
      <c r="L129" s="1781"/>
      <c r="M129" s="1872"/>
      <c r="N129" s="1872"/>
      <c r="O129" s="1872"/>
      <c r="P129" s="1872"/>
      <c r="Q129" s="1792"/>
      <c r="R129" s="1792"/>
      <c r="S129" s="1792"/>
      <c r="T129" s="1872"/>
      <c r="U129" s="1872"/>
      <c r="V129" s="1792"/>
      <c r="W129" s="1873"/>
      <c r="X129" s="1792"/>
      <c r="Y129" s="1792"/>
      <c r="Z129" s="1792"/>
      <c r="AA129" s="1792"/>
      <c r="AB129" s="1874"/>
      <c r="AC129" s="1792"/>
      <c r="AD129" s="1792"/>
      <c r="AE129" s="1792"/>
      <c r="AF129" s="1792"/>
      <c r="AG129" s="1874"/>
      <c r="AK129" s="1858"/>
      <c r="AO129" s="1858"/>
      <c r="AT129" s="2937"/>
      <c r="AU129" s="2938"/>
      <c r="AV129" s="2938"/>
      <c r="AW129" s="2939"/>
      <c r="AX129" s="2937"/>
      <c r="AY129" s="2938"/>
      <c r="AZ129" s="2938"/>
      <c r="BA129" s="2938"/>
      <c r="BB129" s="2937"/>
      <c r="BC129" s="2938"/>
      <c r="BD129" s="2938"/>
      <c r="BE129" s="2939"/>
      <c r="BF129" s="2938"/>
      <c r="BG129" s="2938"/>
      <c r="BH129" s="2938"/>
      <c r="BI129" s="2939"/>
      <c r="BJ129" s="2938"/>
      <c r="BK129" s="2938"/>
      <c r="BL129" s="2938"/>
      <c r="BM129" s="2938"/>
      <c r="BN129" s="2938"/>
      <c r="BO129" s="2938"/>
      <c r="BP129" s="2938"/>
      <c r="BQ129" s="1839"/>
      <c r="BR129" s="2938"/>
      <c r="BS129" s="2938"/>
      <c r="BT129" s="2938"/>
      <c r="BU129" s="2938"/>
      <c r="BV129" s="2938"/>
      <c r="BW129" s="2938"/>
      <c r="BX129" s="2938"/>
      <c r="BY129" s="2890"/>
      <c r="BZ129" s="1875"/>
      <c r="CA129" s="1961"/>
      <c r="CB129" s="1961"/>
      <c r="CC129" s="1961"/>
      <c r="CD129" s="1961"/>
      <c r="CE129" s="1961"/>
      <c r="CF129" s="1961"/>
      <c r="CG129" s="1961"/>
      <c r="CH129" s="1961"/>
    </row>
    <row r="130" spans="1:86" s="1793" customFormat="1">
      <c r="A130" s="1505" t="s">
        <v>2801</v>
      </c>
      <c r="E130" s="1858"/>
      <c r="H130" s="1792"/>
      <c r="I130" s="1792"/>
      <c r="J130" s="1792"/>
      <c r="K130" s="1792"/>
      <c r="L130" s="1781"/>
      <c r="M130" s="1872"/>
      <c r="N130" s="1872"/>
      <c r="O130" s="1872"/>
      <c r="P130" s="1872"/>
      <c r="Q130" s="1792"/>
      <c r="R130" s="1792"/>
      <c r="S130" s="1792"/>
      <c r="T130" s="1872"/>
      <c r="U130" s="1872"/>
      <c r="V130" s="1792"/>
      <c r="W130" s="1873"/>
      <c r="X130" s="1792"/>
      <c r="Y130" s="1792"/>
      <c r="Z130" s="1792"/>
      <c r="AA130" s="1792"/>
      <c r="AB130" s="1874"/>
      <c r="AC130" s="1792"/>
      <c r="AD130" s="1792"/>
      <c r="AE130" s="1792"/>
      <c r="AF130" s="1792"/>
      <c r="AG130" s="1874"/>
      <c r="AK130" s="1858"/>
      <c r="AO130" s="1858"/>
      <c r="AT130" s="539"/>
      <c r="AU130" s="540"/>
      <c r="AV130" s="540"/>
      <c r="AW130" s="541"/>
      <c r="AX130" s="539"/>
      <c r="AY130" s="540"/>
      <c r="AZ130" s="540"/>
      <c r="BA130" s="540"/>
      <c r="BB130" s="539"/>
      <c r="BC130" s="540"/>
      <c r="BD130" s="540"/>
      <c r="BE130" s="541"/>
      <c r="BF130" s="540">
        <v>1740</v>
      </c>
      <c r="BG130" s="540">
        <v>2420</v>
      </c>
      <c r="BH130" s="541">
        <v>2707</v>
      </c>
      <c r="BI130" s="541">
        <v>1874</v>
      </c>
      <c r="BJ130" s="540">
        <v>1921</v>
      </c>
      <c r="BK130" s="540">
        <v>2415</v>
      </c>
      <c r="BL130" s="541">
        <v>2819</v>
      </c>
      <c r="BM130" s="541">
        <v>1958</v>
      </c>
      <c r="BN130" s="540">
        <v>1986</v>
      </c>
      <c r="BO130" s="541">
        <v>2432</v>
      </c>
      <c r="BP130" s="541">
        <v>2780</v>
      </c>
      <c r="BQ130" s="829">
        <v>2076</v>
      </c>
      <c r="BR130" s="540">
        <v>1956</v>
      </c>
      <c r="BS130" s="540">
        <v>2479</v>
      </c>
      <c r="BT130" s="540">
        <v>2883</v>
      </c>
      <c r="BU130" s="540">
        <v>2156</v>
      </c>
      <c r="BV130" s="540">
        <v>2118</v>
      </c>
      <c r="BW130" s="1859">
        <v>2677</v>
      </c>
      <c r="BX130" s="540"/>
      <c r="BY130" s="2890"/>
      <c r="BZ130" s="1875"/>
      <c r="CA130" s="1961"/>
      <c r="CB130" s="1961"/>
      <c r="CC130" s="1961"/>
      <c r="CD130" s="1961"/>
      <c r="CE130" s="1961"/>
      <c r="CF130" s="1961"/>
      <c r="CG130" s="1961"/>
      <c r="CH130" s="1961"/>
    </row>
    <row r="131" spans="1:86" s="1793" customFormat="1">
      <c r="A131" s="1504" t="s">
        <v>2802</v>
      </c>
      <c r="E131" s="1858"/>
      <c r="H131" s="1792"/>
      <c r="I131" s="1792"/>
      <c r="J131" s="1792"/>
      <c r="K131" s="1792"/>
      <c r="L131" s="1781"/>
      <c r="M131" s="1872"/>
      <c r="N131" s="1872"/>
      <c r="O131" s="1872"/>
      <c r="P131" s="1872"/>
      <c r="Q131" s="1792"/>
      <c r="R131" s="1792"/>
      <c r="S131" s="1792"/>
      <c r="T131" s="1872"/>
      <c r="U131" s="1872"/>
      <c r="V131" s="1792"/>
      <c r="W131" s="1873"/>
      <c r="X131" s="1792"/>
      <c r="Y131" s="1792"/>
      <c r="Z131" s="1792"/>
      <c r="AA131" s="1792"/>
      <c r="AB131" s="1874"/>
      <c r="AC131" s="1792"/>
      <c r="AD131" s="1792"/>
      <c r="AE131" s="1792"/>
      <c r="AF131" s="1792"/>
      <c r="AG131" s="1874"/>
      <c r="AK131" s="1858"/>
      <c r="AO131" s="1858"/>
      <c r="AT131" s="2829"/>
      <c r="AU131" s="988"/>
      <c r="AV131" s="988"/>
      <c r="AW131" s="989"/>
      <c r="AX131" s="2829"/>
      <c r="AY131" s="988"/>
      <c r="AZ131" s="988"/>
      <c r="BA131" s="988"/>
      <c r="BB131" s="2829"/>
      <c r="BC131" s="988"/>
      <c r="BD131" s="988"/>
      <c r="BE131" s="989"/>
      <c r="BF131" s="988"/>
      <c r="BG131" s="988"/>
      <c r="BH131" s="988"/>
      <c r="BI131" s="989"/>
      <c r="BJ131" s="988">
        <f>BJ130/BF130-1</f>
        <v>0.10402298850574709</v>
      </c>
      <c r="BK131" s="988">
        <f>BK130/BF130-1</f>
        <v>0.38793103448275867</v>
      </c>
      <c r="BL131" s="988">
        <f>BL130/BG130-1</f>
        <v>0.16487603305785115</v>
      </c>
      <c r="BM131" s="988">
        <f>BM130/BH130-1</f>
        <v>-0.27669006280014774</v>
      </c>
      <c r="BN131" s="988">
        <f>BN130/BI130-1</f>
        <v>5.9765208110992507E-2</v>
      </c>
      <c r="BO131" s="988">
        <f t="shared" ref="BO131:BW131" si="121">BO130/BK130-1</f>
        <v>7.0393374741199999E-3</v>
      </c>
      <c r="BP131" s="988">
        <f t="shared" si="121"/>
        <v>-1.383469315360053E-2</v>
      </c>
      <c r="BQ131" s="3336">
        <f t="shared" si="121"/>
        <v>6.026557711950975E-2</v>
      </c>
      <c r="BR131" s="988">
        <f t="shared" si="121"/>
        <v>-1.5105740181268867E-2</v>
      </c>
      <c r="BS131" s="988">
        <f t="shared" si="121"/>
        <v>1.9325657894736947E-2</v>
      </c>
      <c r="BT131" s="988">
        <f t="shared" si="121"/>
        <v>3.7050359712230252E-2</v>
      </c>
      <c r="BU131" s="988">
        <f t="shared" si="121"/>
        <v>3.8535645472061564E-2</v>
      </c>
      <c r="BV131" s="988">
        <f t="shared" si="121"/>
        <v>8.2822085889570518E-2</v>
      </c>
      <c r="BW131" s="988">
        <f t="shared" si="121"/>
        <v>7.9870915691811151E-2</v>
      </c>
      <c r="BX131" s="988"/>
      <c r="BY131" s="2890"/>
      <c r="BZ131" s="1875"/>
      <c r="CA131" s="1961"/>
      <c r="CB131" s="1961"/>
      <c r="CC131" s="1961"/>
      <c r="CD131" s="1961"/>
      <c r="CE131" s="1961"/>
      <c r="CF131" s="1961"/>
      <c r="CG131" s="1961"/>
      <c r="CH131" s="1961"/>
    </row>
    <row r="132" spans="1:86" s="1793" customFormat="1">
      <c r="A132" s="1504" t="s">
        <v>2848</v>
      </c>
      <c r="E132" s="1858"/>
      <c r="H132" s="1792"/>
      <c r="I132" s="1792"/>
      <c r="J132" s="1792"/>
      <c r="K132" s="1792"/>
      <c r="L132" s="1781"/>
      <c r="M132" s="1872"/>
      <c r="N132" s="1872"/>
      <c r="O132" s="1872"/>
      <c r="P132" s="1872"/>
      <c r="Q132" s="1792"/>
      <c r="R132" s="1792"/>
      <c r="S132" s="1792"/>
      <c r="T132" s="1872"/>
      <c r="U132" s="1872"/>
      <c r="V132" s="1792"/>
      <c r="W132" s="1873"/>
      <c r="X132" s="1792"/>
      <c r="Y132" s="1792"/>
      <c r="Z132" s="1792"/>
      <c r="AA132" s="1792"/>
      <c r="AB132" s="1874"/>
      <c r="AC132" s="1792"/>
      <c r="AD132" s="1792"/>
      <c r="AE132" s="1792"/>
      <c r="AF132" s="1792"/>
      <c r="AG132" s="1874"/>
      <c r="AK132" s="1858"/>
      <c r="AO132" s="1858"/>
      <c r="AT132" s="2829"/>
      <c r="AU132" s="988"/>
      <c r="AV132" s="988"/>
      <c r="AW132" s="989"/>
      <c r="AX132" s="2829"/>
      <c r="AY132" s="988"/>
      <c r="AZ132" s="988"/>
      <c r="BA132" s="988"/>
      <c r="BB132" s="2829"/>
      <c r="BC132" s="988"/>
      <c r="BD132" s="988"/>
      <c r="BE132" s="989"/>
      <c r="BF132" s="988"/>
      <c r="BG132" s="988"/>
      <c r="BH132" s="988"/>
      <c r="BI132" s="989"/>
      <c r="BJ132" s="988"/>
      <c r="BK132" s="988"/>
      <c r="BL132" s="988"/>
      <c r="BM132" s="988"/>
      <c r="BN132" s="988"/>
      <c r="BO132" s="988"/>
      <c r="BP132" s="988"/>
      <c r="BQ132" s="3336"/>
      <c r="BR132" s="2968">
        <f t="shared" ref="BR132:BW132" si="122">BR130/BR59</f>
        <v>0.65461847389558236</v>
      </c>
      <c r="BS132" s="2968">
        <f t="shared" si="122"/>
        <v>0.65478077126254619</v>
      </c>
      <c r="BT132" s="2968">
        <f t="shared" si="122"/>
        <v>0.65344514959202171</v>
      </c>
      <c r="BU132" s="2968">
        <f t="shared" si="122"/>
        <v>0.60783760924725116</v>
      </c>
      <c r="BV132" s="2968">
        <f t="shared" si="122"/>
        <v>0.61821366024518387</v>
      </c>
      <c r="BW132" s="2968">
        <f t="shared" si="122"/>
        <v>0.62039397450753186</v>
      </c>
      <c r="BX132" s="2968"/>
      <c r="BY132" s="2890"/>
      <c r="BZ132" s="1875"/>
      <c r="CA132" s="1961"/>
      <c r="CB132" s="1961"/>
      <c r="CC132" s="1961"/>
      <c r="CD132" s="1961"/>
      <c r="CE132" s="1961"/>
      <c r="CF132" s="1961"/>
      <c r="CG132" s="1961"/>
      <c r="CH132" s="1961"/>
    </row>
    <row r="133" spans="1:86" s="424" customFormat="1">
      <c r="A133" s="2956" t="s">
        <v>2715</v>
      </c>
      <c r="E133" s="425"/>
      <c r="H133" s="427"/>
      <c r="I133" s="427"/>
      <c r="J133" s="427"/>
      <c r="K133" s="427"/>
      <c r="L133" s="433"/>
      <c r="M133" s="426"/>
      <c r="N133" s="426"/>
      <c r="O133" s="426"/>
      <c r="P133" s="426"/>
      <c r="Q133" s="427"/>
      <c r="R133" s="427"/>
      <c r="S133" s="427"/>
      <c r="T133" s="426"/>
      <c r="U133" s="426"/>
      <c r="V133" s="427"/>
      <c r="W133" s="428"/>
      <c r="X133" s="427"/>
      <c r="Y133" s="427"/>
      <c r="Z133" s="427"/>
      <c r="AA133" s="427"/>
      <c r="AB133" s="430"/>
      <c r="AC133" s="427"/>
      <c r="AD133" s="427"/>
      <c r="AE133" s="427"/>
      <c r="AF133" s="427"/>
      <c r="AG133" s="430"/>
      <c r="AK133" s="425"/>
      <c r="AO133" s="425"/>
      <c r="AT133" s="2937"/>
      <c r="AU133" s="2938"/>
      <c r="AV133" s="2938"/>
      <c r="AW133" s="2939"/>
      <c r="AX133" s="2937"/>
      <c r="AY133" s="2938"/>
      <c r="AZ133" s="2938"/>
      <c r="BA133" s="2938"/>
      <c r="BB133" s="2937"/>
      <c r="BC133" s="2938"/>
      <c r="BD133" s="2938"/>
      <c r="BE133" s="2939"/>
      <c r="BF133" s="2938"/>
      <c r="BG133" s="2938"/>
      <c r="BH133" s="2938"/>
      <c r="BI133" s="2939"/>
      <c r="BJ133" s="2938"/>
      <c r="BK133" s="2938"/>
      <c r="BL133" s="2938"/>
      <c r="BM133" s="2938"/>
      <c r="BN133" s="2938"/>
      <c r="BO133" s="2938"/>
      <c r="BP133" s="2938"/>
      <c r="BQ133" s="1839"/>
      <c r="BR133" s="2938"/>
      <c r="BS133" s="2938"/>
      <c r="BT133" s="2938"/>
      <c r="BU133" s="2938"/>
      <c r="BV133" s="2938"/>
      <c r="BW133" s="2938"/>
      <c r="BX133" s="2938"/>
      <c r="BY133" s="455"/>
      <c r="BZ133" s="442"/>
      <c r="CA133" s="423"/>
      <c r="CB133" s="423"/>
      <c r="CC133" s="423"/>
      <c r="CD133" s="423"/>
      <c r="CE133" s="2934"/>
      <c r="CF133" s="2934"/>
      <c r="CG133" s="2934"/>
      <c r="CH133" s="2934"/>
    </row>
    <row r="134" spans="1:86" s="424" customFormat="1">
      <c r="A134" s="1505" t="s">
        <v>2803</v>
      </c>
      <c r="E134" s="425"/>
      <c r="H134" s="427"/>
      <c r="I134" s="427"/>
      <c r="J134" s="427"/>
      <c r="K134" s="427"/>
      <c r="L134" s="433"/>
      <c r="M134" s="426"/>
      <c r="N134" s="426"/>
      <c r="O134" s="426"/>
      <c r="P134" s="426"/>
      <c r="Q134" s="427"/>
      <c r="R134" s="427"/>
      <c r="S134" s="427"/>
      <c r="T134" s="426"/>
      <c r="U134" s="426"/>
      <c r="V134" s="427"/>
      <c r="W134" s="428"/>
      <c r="X134" s="427"/>
      <c r="Y134" s="427"/>
      <c r="Z134" s="427"/>
      <c r="AA134" s="427"/>
      <c r="AB134" s="518"/>
      <c r="AC134" s="427"/>
      <c r="AD134" s="427"/>
      <c r="AE134" s="427"/>
      <c r="AF134" s="427"/>
      <c r="AG134" s="518"/>
      <c r="AK134" s="425"/>
      <c r="AO134" s="425"/>
      <c r="AT134" s="539"/>
      <c r="AU134" s="540"/>
      <c r="AV134" s="540"/>
      <c r="AW134" s="541"/>
      <c r="AX134" s="539"/>
      <c r="AY134" s="540"/>
      <c r="AZ134" s="540"/>
      <c r="BA134" s="540"/>
      <c r="BB134" s="539"/>
      <c r="BC134" s="540"/>
      <c r="BD134" s="540"/>
      <c r="BE134" s="541"/>
      <c r="BF134" s="540">
        <v>432</v>
      </c>
      <c r="BG134" s="540">
        <v>650</v>
      </c>
      <c r="BH134" s="541">
        <v>788</v>
      </c>
      <c r="BI134" s="540">
        <v>676</v>
      </c>
      <c r="BJ134" s="540">
        <v>668</v>
      </c>
      <c r="BK134" s="540">
        <v>861</v>
      </c>
      <c r="BL134" s="540">
        <v>995</v>
      </c>
      <c r="BM134" s="541">
        <v>864</v>
      </c>
      <c r="BN134" s="540">
        <v>833</v>
      </c>
      <c r="BO134" s="541">
        <v>1049</v>
      </c>
      <c r="BP134" s="541">
        <v>1178</v>
      </c>
      <c r="BQ134" s="829">
        <v>1042</v>
      </c>
      <c r="BR134" s="540">
        <v>947</v>
      </c>
      <c r="BS134" s="540">
        <v>1209</v>
      </c>
      <c r="BT134" s="540">
        <v>1392</v>
      </c>
      <c r="BU134" s="540">
        <v>1294</v>
      </c>
      <c r="BV134" s="540">
        <v>1183</v>
      </c>
      <c r="BW134" s="1859">
        <v>1493</v>
      </c>
      <c r="BX134" s="540"/>
      <c r="BY134" s="455">
        <f>BY135</f>
        <v>0</v>
      </c>
      <c r="BZ134" s="442"/>
      <c r="CA134" s="423"/>
      <c r="CB134" s="423"/>
      <c r="CC134" s="423"/>
      <c r="CD134" s="423"/>
      <c r="CE134" s="2934"/>
      <c r="CF134" s="2934"/>
      <c r="CG134" s="2934"/>
      <c r="CH134" s="2934"/>
    </row>
    <row r="135" spans="1:86" s="424" customFormat="1">
      <c r="A135" s="1504" t="s">
        <v>2804</v>
      </c>
      <c r="E135" s="425"/>
      <c r="H135" s="427"/>
      <c r="I135" s="427"/>
      <c r="J135" s="427"/>
      <c r="K135" s="427"/>
      <c r="L135" s="433"/>
      <c r="M135" s="426"/>
      <c r="N135" s="426"/>
      <c r="O135" s="426"/>
      <c r="P135" s="426"/>
      <c r="Q135" s="427"/>
      <c r="R135" s="427"/>
      <c r="S135" s="427"/>
      <c r="T135" s="426"/>
      <c r="U135" s="426"/>
      <c r="V135" s="427"/>
      <c r="W135" s="428"/>
      <c r="X135" s="427"/>
      <c r="Y135" s="427"/>
      <c r="Z135" s="427"/>
      <c r="AA135" s="427"/>
      <c r="AB135" s="518"/>
      <c r="AC135" s="427"/>
      <c r="AD135" s="427"/>
      <c r="AE135" s="427"/>
      <c r="AF135" s="427"/>
      <c r="AG135" s="518"/>
      <c r="AK135" s="425"/>
      <c r="AO135" s="425"/>
      <c r="AT135" s="2829"/>
      <c r="AU135" s="988"/>
      <c r="AV135" s="988"/>
      <c r="AW135" s="989"/>
      <c r="AX135" s="2829"/>
      <c r="AY135" s="988"/>
      <c r="AZ135" s="988"/>
      <c r="BA135" s="988"/>
      <c r="BB135" s="2829"/>
      <c r="BC135" s="988"/>
      <c r="BD135" s="988"/>
      <c r="BE135" s="989"/>
      <c r="BF135" s="988"/>
      <c r="BG135" s="988"/>
      <c r="BH135" s="988"/>
      <c r="BI135" s="989"/>
      <c r="BJ135" s="988">
        <f t="shared" ref="BJ135:BQ135" si="123">BJ134/BF134-1</f>
        <v>0.54629629629629628</v>
      </c>
      <c r="BK135" s="988">
        <f t="shared" si="123"/>
        <v>0.32461538461538453</v>
      </c>
      <c r="BL135" s="988">
        <f t="shared" si="123"/>
        <v>0.26269035532994933</v>
      </c>
      <c r="BM135" s="988">
        <f t="shared" si="123"/>
        <v>0.27810650887573973</v>
      </c>
      <c r="BN135" s="988">
        <f t="shared" si="123"/>
        <v>0.24700598802395213</v>
      </c>
      <c r="BO135" s="988">
        <f t="shared" si="123"/>
        <v>0.21835075493612077</v>
      </c>
      <c r="BP135" s="988">
        <f t="shared" si="123"/>
        <v>0.18391959798994972</v>
      </c>
      <c r="BQ135" s="3336">
        <f t="shared" si="123"/>
        <v>0.2060185185185186</v>
      </c>
      <c r="BR135" s="988">
        <f t="shared" ref="BR135:BW135" si="124">BR134/BN134-1</f>
        <v>0.13685474189675872</v>
      </c>
      <c r="BS135" s="988">
        <f t="shared" si="124"/>
        <v>0.15252621544327938</v>
      </c>
      <c r="BT135" s="988">
        <f t="shared" si="124"/>
        <v>0.1816638370118846</v>
      </c>
      <c r="BU135" s="988">
        <f t="shared" si="124"/>
        <v>0.24184261036468335</v>
      </c>
      <c r="BV135" s="988">
        <f t="shared" si="124"/>
        <v>0.24920802534318898</v>
      </c>
      <c r="BW135" s="988">
        <f t="shared" si="124"/>
        <v>0.23490488006617039</v>
      </c>
      <c r="BX135" s="988"/>
      <c r="BY135" s="455"/>
      <c r="BZ135" s="442"/>
      <c r="CA135" s="423"/>
      <c r="CB135" s="423"/>
      <c r="CC135" s="423"/>
      <c r="CD135" s="423"/>
      <c r="CE135" s="2934"/>
      <c r="CF135" s="2934"/>
      <c r="CG135" s="2934"/>
      <c r="CH135" s="2934"/>
    </row>
    <row r="136" spans="1:86" s="2059" customFormat="1">
      <c r="A136" s="1504" t="s">
        <v>2849</v>
      </c>
      <c r="E136" s="2069"/>
      <c r="H136" s="427"/>
      <c r="I136" s="427"/>
      <c r="J136" s="427"/>
      <c r="K136" s="427"/>
      <c r="L136" s="433"/>
      <c r="M136" s="426"/>
      <c r="N136" s="426"/>
      <c r="O136" s="426"/>
      <c r="P136" s="426"/>
      <c r="Q136" s="427"/>
      <c r="R136" s="427"/>
      <c r="S136" s="427"/>
      <c r="T136" s="426"/>
      <c r="U136" s="426"/>
      <c r="V136" s="427"/>
      <c r="W136" s="428"/>
      <c r="X136" s="427"/>
      <c r="Y136" s="427"/>
      <c r="Z136" s="427"/>
      <c r="AA136" s="427"/>
      <c r="AB136" s="518"/>
      <c r="AC136" s="427"/>
      <c r="AD136" s="427"/>
      <c r="AE136" s="427"/>
      <c r="AF136" s="427"/>
      <c r="AG136" s="518"/>
      <c r="AK136" s="2069"/>
      <c r="AO136" s="2069"/>
      <c r="AT136" s="2829"/>
      <c r="AU136" s="988"/>
      <c r="AV136" s="988"/>
      <c r="AW136" s="989"/>
      <c r="AX136" s="2829"/>
      <c r="AY136" s="988"/>
      <c r="AZ136" s="988"/>
      <c r="BA136" s="988"/>
      <c r="BB136" s="2829"/>
      <c r="BC136" s="988"/>
      <c r="BD136" s="988"/>
      <c r="BE136" s="989"/>
      <c r="BF136" s="988"/>
      <c r="BG136" s="988"/>
      <c r="BH136" s="988"/>
      <c r="BI136" s="989"/>
      <c r="BJ136" s="988"/>
      <c r="BK136" s="988"/>
      <c r="BL136" s="988"/>
      <c r="BM136" s="988"/>
      <c r="BN136" s="988"/>
      <c r="BO136" s="988"/>
      <c r="BP136" s="988"/>
      <c r="BQ136" s="3336"/>
      <c r="BR136" s="2968">
        <f t="shared" ref="BR136:BW136" si="125">BR134/BR59</f>
        <v>0.31693440428380187</v>
      </c>
      <c r="BS136" s="2968">
        <f t="shared" si="125"/>
        <v>0.31933438985736923</v>
      </c>
      <c r="BT136" s="2968">
        <f t="shared" si="125"/>
        <v>0.31550317316409793</v>
      </c>
      <c r="BU136" s="2968">
        <f t="shared" si="125"/>
        <v>0.3648153369044263</v>
      </c>
      <c r="BV136" s="2968">
        <f t="shared" si="125"/>
        <v>0.34530064214827788</v>
      </c>
      <c r="BW136" s="2968">
        <f t="shared" si="125"/>
        <v>0.34600231749710314</v>
      </c>
      <c r="BX136" s="2968"/>
      <c r="BY136" s="455"/>
      <c r="BZ136" s="442"/>
      <c r="CA136" s="2822"/>
      <c r="CB136" s="2822"/>
      <c r="CC136" s="2822"/>
      <c r="CD136" s="2822"/>
      <c r="CE136" s="2934"/>
      <c r="CF136" s="2934"/>
      <c r="CG136" s="2934"/>
      <c r="CH136" s="2934"/>
    </row>
    <row r="137" spans="1:86" s="424" customFormat="1">
      <c r="A137" s="2956" t="s">
        <v>2715</v>
      </c>
      <c r="E137" s="425"/>
      <c r="H137" s="427"/>
      <c r="I137" s="427"/>
      <c r="J137" s="427"/>
      <c r="K137" s="427"/>
      <c r="L137" s="433"/>
      <c r="M137" s="426"/>
      <c r="N137" s="426"/>
      <c r="O137" s="426"/>
      <c r="P137" s="426"/>
      <c r="Q137" s="427"/>
      <c r="R137" s="427"/>
      <c r="S137" s="427"/>
      <c r="T137" s="426"/>
      <c r="U137" s="426"/>
      <c r="V137" s="427"/>
      <c r="W137" s="428"/>
      <c r="X137" s="427"/>
      <c r="Y137" s="427"/>
      <c r="Z137" s="427"/>
      <c r="AA137" s="427"/>
      <c r="AB137" s="518"/>
      <c r="AC137" s="427"/>
      <c r="AD137" s="427"/>
      <c r="AE137" s="427"/>
      <c r="AF137" s="427"/>
      <c r="AG137" s="518"/>
      <c r="AK137" s="425"/>
      <c r="AO137" s="425"/>
      <c r="AT137" s="2937"/>
      <c r="AU137" s="2938"/>
      <c r="AV137" s="2938"/>
      <c r="AW137" s="2939"/>
      <c r="AX137" s="2937"/>
      <c r="AY137" s="2938"/>
      <c r="AZ137" s="2938"/>
      <c r="BA137" s="2938"/>
      <c r="BB137" s="2937"/>
      <c r="BC137" s="2938"/>
      <c r="BD137" s="2938"/>
      <c r="BE137" s="2939"/>
      <c r="BF137" s="2938"/>
      <c r="BG137" s="2938"/>
      <c r="BH137" s="2938"/>
      <c r="BI137" s="2939"/>
      <c r="BJ137" s="2938"/>
      <c r="BK137" s="2938"/>
      <c r="BL137" s="2938"/>
      <c r="BM137" s="2938"/>
      <c r="BN137" s="2938"/>
      <c r="BO137" s="2938"/>
      <c r="BP137" s="2938"/>
      <c r="BQ137" s="1839"/>
      <c r="BR137" s="2938"/>
      <c r="BS137" s="2938"/>
      <c r="BT137" s="2938"/>
      <c r="BU137" s="2938"/>
      <c r="BV137" s="2938"/>
      <c r="BW137" s="2938"/>
      <c r="BX137" s="2938"/>
      <c r="BY137" s="455"/>
      <c r="BZ137" s="442"/>
      <c r="CA137" s="423"/>
      <c r="CB137" s="423"/>
      <c r="CC137" s="423"/>
      <c r="CD137" s="423"/>
      <c r="CE137" s="2934"/>
      <c r="CF137" s="2934"/>
      <c r="CG137" s="2934"/>
      <c r="CH137" s="2934"/>
    </row>
    <row r="138" spans="1:86" s="424" customFormat="1">
      <c r="A138" s="1505" t="s">
        <v>2806</v>
      </c>
      <c r="E138" s="425"/>
      <c r="H138" s="427"/>
      <c r="I138" s="427"/>
      <c r="J138" s="427"/>
      <c r="K138" s="427"/>
      <c r="L138" s="433"/>
      <c r="M138" s="426"/>
      <c r="N138" s="426"/>
      <c r="O138" s="426"/>
      <c r="P138" s="426"/>
      <c r="Q138" s="427"/>
      <c r="R138" s="427"/>
      <c r="S138" s="427"/>
      <c r="T138" s="426"/>
      <c r="U138" s="426"/>
      <c r="V138" s="427"/>
      <c r="W138" s="428"/>
      <c r="X138" s="427"/>
      <c r="Y138" s="427"/>
      <c r="Z138" s="427"/>
      <c r="AA138" s="427"/>
      <c r="AB138" s="518"/>
      <c r="AC138" s="427"/>
      <c r="AD138" s="427"/>
      <c r="AE138" s="427"/>
      <c r="AF138" s="427"/>
      <c r="AG138" s="518"/>
      <c r="AK138" s="425"/>
      <c r="AO138" s="425"/>
      <c r="AT138" s="539"/>
      <c r="AU138" s="540"/>
      <c r="AV138" s="540"/>
      <c r="AW138" s="541"/>
      <c r="AX138" s="539"/>
      <c r="AY138" s="540"/>
      <c r="AZ138" s="540"/>
      <c r="BA138" s="540"/>
      <c r="BB138" s="539"/>
      <c r="BC138" s="540"/>
      <c r="BD138" s="540"/>
      <c r="BE138" s="541"/>
      <c r="BF138" s="540">
        <v>77</v>
      </c>
      <c r="BG138" s="540">
        <v>111</v>
      </c>
      <c r="BH138" s="540">
        <v>124</v>
      </c>
      <c r="BI138" s="541">
        <v>68</v>
      </c>
      <c r="BJ138" s="540">
        <v>76</v>
      </c>
      <c r="BK138" s="540">
        <v>82</v>
      </c>
      <c r="BL138" s="540">
        <v>115</v>
      </c>
      <c r="BM138" s="541">
        <v>65</v>
      </c>
      <c r="BN138" s="540">
        <v>70</v>
      </c>
      <c r="BO138" s="541">
        <v>77</v>
      </c>
      <c r="BP138" s="541">
        <v>102</v>
      </c>
      <c r="BQ138" s="829">
        <v>66</v>
      </c>
      <c r="BR138" s="540">
        <v>85</v>
      </c>
      <c r="BS138" s="540">
        <v>98</v>
      </c>
      <c r="BT138" s="540">
        <v>137</v>
      </c>
      <c r="BU138" s="540">
        <v>97</v>
      </c>
      <c r="BV138" s="540">
        <v>125</v>
      </c>
      <c r="BW138" s="1859">
        <v>145</v>
      </c>
      <c r="BX138" s="540"/>
      <c r="BY138" s="455"/>
      <c r="BZ138" s="442"/>
      <c r="CA138" s="423"/>
      <c r="CB138" s="423"/>
      <c r="CC138" s="423"/>
      <c r="CD138" s="423"/>
      <c r="CE138" s="2934"/>
      <c r="CF138" s="2934"/>
      <c r="CG138" s="2934"/>
      <c r="CH138" s="2934"/>
    </row>
    <row r="139" spans="1:86" s="424" customFormat="1">
      <c r="A139" s="1504" t="s">
        <v>2805</v>
      </c>
      <c r="E139" s="425"/>
      <c r="H139" s="427"/>
      <c r="I139" s="427"/>
      <c r="J139" s="427"/>
      <c r="K139" s="427"/>
      <c r="L139" s="433"/>
      <c r="M139" s="426"/>
      <c r="N139" s="426"/>
      <c r="O139" s="426"/>
      <c r="P139" s="426"/>
      <c r="Q139" s="427"/>
      <c r="R139" s="427"/>
      <c r="S139" s="427"/>
      <c r="T139" s="426"/>
      <c r="U139" s="426"/>
      <c r="V139" s="427"/>
      <c r="W139" s="428"/>
      <c r="X139" s="427"/>
      <c r="Y139" s="427"/>
      <c r="Z139" s="427"/>
      <c r="AA139" s="427"/>
      <c r="AB139" s="518"/>
      <c r="AC139" s="427"/>
      <c r="AD139" s="427"/>
      <c r="AE139" s="427"/>
      <c r="AF139" s="427"/>
      <c r="AG139" s="518"/>
      <c r="AK139" s="425"/>
      <c r="AO139" s="425"/>
      <c r="AT139" s="2829"/>
      <c r="AU139" s="988"/>
      <c r="AV139" s="988"/>
      <c r="AW139" s="989"/>
      <c r="AX139" s="2829"/>
      <c r="AY139" s="988"/>
      <c r="AZ139" s="988"/>
      <c r="BA139" s="988"/>
      <c r="BB139" s="2829"/>
      <c r="BC139" s="988"/>
      <c r="BD139" s="988"/>
      <c r="BE139" s="989"/>
      <c r="BF139" s="988"/>
      <c r="BG139" s="988"/>
      <c r="BH139" s="988"/>
      <c r="BI139" s="989"/>
      <c r="BJ139" s="988">
        <f t="shared" ref="BJ139:BQ139" si="126">BJ138/BF138-1</f>
        <v>-1.2987012987012991E-2</v>
      </c>
      <c r="BK139" s="988">
        <f t="shared" si="126"/>
        <v>-0.26126126126126126</v>
      </c>
      <c r="BL139" s="988">
        <f t="shared" si="126"/>
        <v>-7.2580645161290369E-2</v>
      </c>
      <c r="BM139" s="988">
        <f t="shared" si="126"/>
        <v>-4.4117647058823484E-2</v>
      </c>
      <c r="BN139" s="988">
        <f t="shared" si="126"/>
        <v>-7.8947368421052655E-2</v>
      </c>
      <c r="BO139" s="988">
        <f t="shared" si="126"/>
        <v>-6.0975609756097615E-2</v>
      </c>
      <c r="BP139" s="988">
        <f t="shared" si="126"/>
        <v>-0.11304347826086958</v>
      </c>
      <c r="BQ139" s="3336">
        <f t="shared" si="126"/>
        <v>1.538461538461533E-2</v>
      </c>
      <c r="BR139" s="988">
        <f t="shared" ref="BR139:BW139" si="127">BR138/BN138-1</f>
        <v>0.21428571428571419</v>
      </c>
      <c r="BS139" s="988">
        <f t="shared" si="127"/>
        <v>0.27272727272727271</v>
      </c>
      <c r="BT139" s="988">
        <f t="shared" si="127"/>
        <v>0.34313725490196068</v>
      </c>
      <c r="BU139" s="988">
        <f t="shared" si="127"/>
        <v>0.46969696969696972</v>
      </c>
      <c r="BV139" s="988">
        <f t="shared" si="127"/>
        <v>0.47058823529411775</v>
      </c>
      <c r="BW139" s="988">
        <f t="shared" si="127"/>
        <v>0.47959183673469385</v>
      </c>
      <c r="BX139" s="988"/>
      <c r="BY139" s="455"/>
      <c r="BZ139" s="442"/>
      <c r="CA139" s="423"/>
      <c r="CB139" s="423"/>
      <c r="CC139" s="423"/>
      <c r="CD139" s="423"/>
      <c r="CE139" s="2934"/>
      <c r="CF139" s="2934"/>
      <c r="CG139" s="2934"/>
      <c r="CH139" s="2934"/>
    </row>
    <row r="140" spans="1:86" s="424" customFormat="1" hidden="1">
      <c r="A140" s="2956" t="s">
        <v>2715</v>
      </c>
      <c r="E140" s="425"/>
      <c r="H140" s="427"/>
      <c r="I140" s="427"/>
      <c r="J140" s="427"/>
      <c r="K140" s="427"/>
      <c r="L140" s="433"/>
      <c r="M140" s="426"/>
      <c r="N140" s="426"/>
      <c r="O140" s="426"/>
      <c r="P140" s="426"/>
      <c r="Q140" s="427"/>
      <c r="R140" s="427"/>
      <c r="S140" s="427"/>
      <c r="T140" s="426"/>
      <c r="U140" s="426"/>
      <c r="V140" s="427"/>
      <c r="W140" s="428"/>
      <c r="X140" s="427"/>
      <c r="Y140" s="427"/>
      <c r="Z140" s="427"/>
      <c r="AA140" s="427"/>
      <c r="AB140" s="518"/>
      <c r="AC140" s="427"/>
      <c r="AD140" s="427"/>
      <c r="AE140" s="427"/>
      <c r="AF140" s="427"/>
      <c r="AG140" s="518"/>
      <c r="AK140" s="425"/>
      <c r="AO140" s="425"/>
      <c r="AT140" s="2937"/>
      <c r="AU140" s="2938"/>
      <c r="AV140" s="2938"/>
      <c r="AW140" s="2939"/>
      <c r="AX140" s="2937"/>
      <c r="AY140" s="2938"/>
      <c r="AZ140" s="2938"/>
      <c r="BA140" s="2938"/>
      <c r="BB140" s="2937"/>
      <c r="BC140" s="2938"/>
      <c r="BD140" s="2938"/>
      <c r="BE140" s="2939"/>
      <c r="BF140" s="2938"/>
      <c r="BG140" s="2938"/>
      <c r="BH140" s="2938"/>
      <c r="BI140" s="2939"/>
      <c r="BJ140" s="2938"/>
      <c r="BK140" s="2938"/>
      <c r="BL140" s="2938"/>
      <c r="BM140" s="2938"/>
      <c r="BN140" s="2938"/>
      <c r="BO140" s="2938"/>
      <c r="BP140" s="2938"/>
      <c r="BQ140" s="1839"/>
      <c r="BR140" s="2938"/>
      <c r="BS140" s="2938"/>
      <c r="BT140" s="2938"/>
      <c r="BU140" s="2938"/>
      <c r="BV140" s="2938"/>
      <c r="BW140" s="2938"/>
      <c r="BX140" s="2938"/>
      <c r="BY140" s="455"/>
      <c r="BZ140" s="442"/>
      <c r="CA140" s="423"/>
      <c r="CB140" s="423"/>
      <c r="CC140" s="423"/>
      <c r="CD140" s="423"/>
      <c r="CE140" s="2934"/>
      <c r="CF140" s="2934"/>
      <c r="CG140" s="2934"/>
      <c r="CH140" s="2934"/>
    </row>
    <row r="141" spans="1:86" s="424" customFormat="1">
      <c r="A141" s="1504"/>
      <c r="E141" s="425"/>
      <c r="H141" s="427"/>
      <c r="I141" s="427"/>
      <c r="J141" s="427"/>
      <c r="K141" s="427"/>
      <c r="L141" s="433"/>
      <c r="M141" s="426"/>
      <c r="N141" s="426"/>
      <c r="O141" s="426"/>
      <c r="P141" s="426"/>
      <c r="Q141" s="427"/>
      <c r="R141" s="427"/>
      <c r="S141" s="427"/>
      <c r="T141" s="426"/>
      <c r="U141" s="426"/>
      <c r="V141" s="427"/>
      <c r="W141" s="428"/>
      <c r="X141" s="427"/>
      <c r="Y141" s="427"/>
      <c r="Z141" s="427"/>
      <c r="AA141" s="427"/>
      <c r="AB141" s="518"/>
      <c r="AC141" s="427"/>
      <c r="AD141" s="427"/>
      <c r="AE141" s="427"/>
      <c r="AF141" s="427"/>
      <c r="AG141" s="518"/>
      <c r="AK141" s="425"/>
      <c r="AO141" s="425"/>
      <c r="AT141" s="423"/>
      <c r="AW141" s="425"/>
      <c r="AX141" s="423"/>
      <c r="AY141" s="27"/>
      <c r="AZ141" s="27"/>
      <c r="BA141" s="27"/>
      <c r="BB141" s="98"/>
      <c r="BC141" s="27"/>
      <c r="BD141" s="27"/>
      <c r="BE141" s="97"/>
      <c r="BF141" s="27"/>
      <c r="BG141" s="27"/>
      <c r="BH141" s="27"/>
      <c r="BI141" s="97"/>
      <c r="BJ141" s="27"/>
      <c r="BK141" s="27"/>
      <c r="BL141" s="27"/>
      <c r="BM141" s="97"/>
      <c r="BN141" s="27"/>
      <c r="BO141" s="97"/>
      <c r="BP141" s="97"/>
      <c r="BQ141" s="97"/>
      <c r="BR141" s="27"/>
      <c r="BS141" s="27"/>
      <c r="BT141" s="27"/>
      <c r="BU141" s="27"/>
      <c r="BV141" s="27"/>
      <c r="BW141" s="27"/>
      <c r="BX141" s="27"/>
      <c r="BY141" s="455"/>
      <c r="BZ141" s="442"/>
      <c r="CA141" s="423"/>
      <c r="CB141" s="423"/>
      <c r="CC141" s="423"/>
      <c r="CD141" s="423"/>
      <c r="CE141" s="2934"/>
      <c r="CF141" s="2934"/>
      <c r="CG141" s="2934"/>
      <c r="CH141" s="2934"/>
    </row>
    <row r="142" spans="1:86" s="1764" customFormat="1">
      <c r="A142" s="1574" t="s">
        <v>1385</v>
      </c>
      <c r="B142" s="1764">
        <v>-15.666</v>
      </c>
      <c r="C142" s="1764">
        <v>-20.740877999999999</v>
      </c>
      <c r="D142" s="1764">
        <v>-25</v>
      </c>
      <c r="E142" s="1768">
        <v>-32.795999999999999</v>
      </c>
      <c r="F142" s="1764">
        <v>-43.561</v>
      </c>
      <c r="G142" s="1764">
        <v>-43.277700000000003</v>
      </c>
      <c r="H142" s="1764">
        <v>-63.6509</v>
      </c>
      <c r="I142" s="1764">
        <f>-(98.474788+9.939556)</f>
        <v>-108.414344</v>
      </c>
      <c r="J142" s="1764">
        <f>J143-J62</f>
        <v>-140.6567</v>
      </c>
      <c r="L142" s="1876"/>
      <c r="Q142" s="1764">
        <v>-1233.7429999999999</v>
      </c>
      <c r="R142" s="1764">
        <v>-390.31799999999998</v>
      </c>
      <c r="S142" s="1764">
        <v>-470.71600000000001</v>
      </c>
      <c r="T142" s="1765">
        <v>-502.63799999999998</v>
      </c>
      <c r="U142" s="1765">
        <v>-562.40099999999995</v>
      </c>
      <c r="V142" s="1764">
        <v>-638.70899999999995</v>
      </c>
      <c r="W142" s="1877">
        <v>-607.25099999999998</v>
      </c>
      <c r="X142" s="1764">
        <v>-685.48699999999997</v>
      </c>
      <c r="Y142" s="1764">
        <v>-761.27200000000005</v>
      </c>
      <c r="Z142" s="1764">
        <v>-898.60400000000004</v>
      </c>
      <c r="AA142" s="1764">
        <v>-1038</v>
      </c>
      <c r="AB142" s="1768">
        <v>-1179.0809999999999</v>
      </c>
      <c r="AD142" s="1764">
        <f>-321.082</f>
        <v>-321.08199999999999</v>
      </c>
      <c r="AE142" s="1764">
        <v>-328.06599999999997</v>
      </c>
      <c r="AF142" s="1764">
        <v>-338.49299999999999</v>
      </c>
      <c r="AG142" s="1768">
        <v>-1309.559</v>
      </c>
      <c r="AH142" s="1764">
        <v>-402.57</v>
      </c>
      <c r="AI142" s="1764">
        <v>-406.38</v>
      </c>
      <c r="AJ142" s="1764">
        <v>-416.90699999999998</v>
      </c>
      <c r="AK142" s="1768">
        <v>-370.84100000000001</v>
      </c>
      <c r="AL142" s="1764">
        <v>-421.68700000000001</v>
      </c>
      <c r="AM142" s="1764">
        <v>-439.00700000000001</v>
      </c>
      <c r="AN142" s="1764">
        <v>-458.55900000000003</v>
      </c>
      <c r="AO142" s="1768">
        <v>-437</v>
      </c>
      <c r="AP142" s="1764">
        <v>-487</v>
      </c>
      <c r="AQ142" s="1764">
        <v>-498</v>
      </c>
      <c r="AR142" s="1764">
        <v>-504</v>
      </c>
      <c r="AS142" s="1764">
        <v>-476</v>
      </c>
      <c r="AT142" s="1877">
        <v>-490</v>
      </c>
      <c r="AU142" s="2659">
        <v>-500</v>
      </c>
      <c r="AV142" s="2659">
        <v>-548</v>
      </c>
      <c r="AW142" s="2728">
        <v>-539</v>
      </c>
      <c r="AX142" s="1877">
        <v>-629</v>
      </c>
      <c r="AY142" s="1764">
        <v>-389</v>
      </c>
      <c r="AZ142" s="1764">
        <v>-375</v>
      </c>
      <c r="BA142" s="1764">
        <v>-287</v>
      </c>
      <c r="BB142" s="1877">
        <v>-311</v>
      </c>
      <c r="BC142" s="1764">
        <v>-374</v>
      </c>
      <c r="BD142" s="1764">
        <v>-442</v>
      </c>
      <c r="BE142" s="1768">
        <v>-395</v>
      </c>
      <c r="BF142" s="1764">
        <v>-371</v>
      </c>
      <c r="BG142" s="1764">
        <v>-419</v>
      </c>
      <c r="BH142" s="1764">
        <v>-455</v>
      </c>
      <c r="BI142" s="1768">
        <v>-412</v>
      </c>
      <c r="BJ142" s="1764">
        <v>-414</v>
      </c>
      <c r="BK142" s="1764">
        <v>-407</v>
      </c>
      <c r="BL142" s="1764">
        <v>-406</v>
      </c>
      <c r="BM142" s="1768">
        <v>-340</v>
      </c>
      <c r="BN142" s="1764">
        <v>-358</v>
      </c>
      <c r="BO142" s="1768">
        <v>-362</v>
      </c>
      <c r="BP142" s="1768">
        <v>-388</v>
      </c>
      <c r="BQ142" s="3343">
        <v>-335</v>
      </c>
      <c r="BR142" s="1764">
        <v>-357</v>
      </c>
      <c r="BS142" s="1764">
        <v>-377</v>
      </c>
      <c r="BT142" s="1764">
        <v>-376</v>
      </c>
      <c r="BU142" s="1764">
        <v>-342</v>
      </c>
      <c r="BV142" s="1764">
        <v>-377</v>
      </c>
      <c r="BW142" s="1764">
        <v>-403</v>
      </c>
      <c r="BY142" s="2891">
        <f>SUM(AH142:AK142)</f>
        <v>-1596.6979999999999</v>
      </c>
      <c r="BZ142" s="1769">
        <v>-1756.5309999999999</v>
      </c>
      <c r="CA142" s="2911">
        <f>SUM(AP142:AS142)</f>
        <v>-1965</v>
      </c>
      <c r="CB142" s="1877">
        <v>-2163</v>
      </c>
      <c r="CC142" s="1877">
        <v>-1680</v>
      </c>
      <c r="CD142" s="1877">
        <v>-1522</v>
      </c>
      <c r="CE142" s="2934">
        <v>-1657</v>
      </c>
      <c r="CF142" s="2934">
        <v>-1573</v>
      </c>
      <c r="CG142" s="2934">
        <v>-1443</v>
      </c>
      <c r="CH142" s="2934">
        <v>-1456</v>
      </c>
    </row>
    <row r="143" spans="1:86" s="1563" customFormat="1" ht="11.5">
      <c r="A143" s="1561" t="s">
        <v>19</v>
      </c>
      <c r="B143" s="1563">
        <f>SUM(B62:B142)</f>
        <v>36.724000000000004</v>
      </c>
      <c r="C143" s="1563">
        <f>SUM(C62:C142)</f>
        <v>52.276793999999995</v>
      </c>
      <c r="D143" s="1563">
        <f>SUM(D62:D142)</f>
        <v>68</v>
      </c>
      <c r="E143" s="1564">
        <v>86.664000000000001</v>
      </c>
      <c r="F143" s="1563">
        <f>SUM(F62:F142)</f>
        <v>24.990700999999994</v>
      </c>
      <c r="G143" s="1563">
        <f>SUM(G62:G142)</f>
        <v>40.282506000000005</v>
      </c>
      <c r="H143" s="1583">
        <f>SUM(H62:H142)</f>
        <v>61.070486999999993</v>
      </c>
      <c r="I143" s="1583">
        <f>I62+I142</f>
        <v>88.184913999999992</v>
      </c>
      <c r="J143" s="1583">
        <v>88.165199999999999</v>
      </c>
      <c r="K143" s="1583">
        <v>98.64</v>
      </c>
      <c r="L143" s="1584"/>
      <c r="M143" s="1583"/>
      <c r="N143" s="1583"/>
      <c r="O143" s="1583"/>
      <c r="P143" s="1583"/>
      <c r="Q143" s="1583">
        <f>Q62+Q142</f>
        <v>1106.0700000000002</v>
      </c>
      <c r="R143" s="1583">
        <f>R62+R142</f>
        <v>1452.6949999999999</v>
      </c>
      <c r="S143" s="1583">
        <f>S62+S142</f>
        <v>1648.739</v>
      </c>
      <c r="T143" s="1583">
        <f>T62+T142</f>
        <v>1734.9479999999999</v>
      </c>
      <c r="U143" s="1583">
        <f>U62+U142</f>
        <v>2102.931</v>
      </c>
      <c r="V143" s="1583">
        <f>V59+V142</f>
        <v>2298.3040000000001</v>
      </c>
      <c r="W143" s="1568">
        <f>W59+W142</f>
        <v>2348.1750000000002</v>
      </c>
      <c r="X143" s="1563">
        <f>X59+X142</f>
        <v>2348.1579999999999</v>
      </c>
      <c r="Y143" s="1563">
        <f>Y59+Y142</f>
        <v>2687.7370000000001</v>
      </c>
      <c r="Z143" s="1563">
        <f>Z62+Z142</f>
        <v>3131.7430000000004</v>
      </c>
      <c r="AA143" s="1563">
        <f>AA62+AA142</f>
        <v>3733</v>
      </c>
      <c r="AB143" s="1564">
        <f>AB62+AB142</f>
        <v>4584.4039999999995</v>
      </c>
      <c r="AD143" s="1563">
        <f t="shared" ref="AD143:BS143" si="128">AD62+AD142</f>
        <v>1341.518</v>
      </c>
      <c r="AE143" s="1563">
        <f t="shared" si="128"/>
        <v>1609.6869999999999</v>
      </c>
      <c r="AF143" s="1563">
        <f t="shared" si="128"/>
        <v>1360.0740000000001</v>
      </c>
      <c r="AG143" s="1564">
        <f t="shared" si="128"/>
        <v>5362.7579999999998</v>
      </c>
      <c r="AH143" s="1563">
        <f t="shared" si="128"/>
        <v>1501.3910000000001</v>
      </c>
      <c r="AI143" s="1563">
        <f t="shared" si="128"/>
        <v>1789.489</v>
      </c>
      <c r="AJ143" s="1563">
        <f t="shared" si="128"/>
        <v>2163.998</v>
      </c>
      <c r="AK143" s="1564">
        <f t="shared" si="128"/>
        <v>1722.1590000000001</v>
      </c>
      <c r="AL143" s="1563">
        <f t="shared" si="128"/>
        <v>1767.3130000000001</v>
      </c>
      <c r="AM143" s="1563">
        <f t="shared" si="128"/>
        <v>2146.9929999999999</v>
      </c>
      <c r="AN143" s="1563">
        <f t="shared" si="128"/>
        <v>2507.4409999999998</v>
      </c>
      <c r="AO143" s="1564">
        <f t="shared" si="128"/>
        <v>1882</v>
      </c>
      <c r="AP143" s="1563">
        <f t="shared" si="128"/>
        <v>2021</v>
      </c>
      <c r="AQ143" s="1563">
        <f t="shared" si="128"/>
        <v>2382</v>
      </c>
      <c r="AR143" s="1563">
        <f t="shared" si="128"/>
        <v>2772</v>
      </c>
      <c r="AS143" s="1563">
        <f t="shared" si="128"/>
        <v>2083</v>
      </c>
      <c r="AT143" s="1588">
        <f t="shared" si="128"/>
        <v>2119</v>
      </c>
      <c r="AU143" s="2660">
        <f t="shared" si="128"/>
        <v>2653</v>
      </c>
      <c r="AV143" s="2660">
        <f t="shared" si="128"/>
        <v>3010</v>
      </c>
      <c r="AW143" s="2840">
        <f t="shared" si="128"/>
        <v>2208</v>
      </c>
      <c r="AX143" s="1588">
        <f t="shared" si="128"/>
        <v>1580</v>
      </c>
      <c r="AY143" s="1563">
        <f t="shared" si="128"/>
        <v>177</v>
      </c>
      <c r="AZ143" s="1563">
        <f t="shared" si="128"/>
        <v>1129</v>
      </c>
      <c r="BA143" s="1563">
        <f t="shared" si="128"/>
        <v>633</v>
      </c>
      <c r="BB143" s="1588">
        <f t="shared" si="128"/>
        <v>935</v>
      </c>
      <c r="BC143" s="1563">
        <f t="shared" si="128"/>
        <v>1737</v>
      </c>
      <c r="BD143" s="1563">
        <f t="shared" si="128"/>
        <v>2520</v>
      </c>
      <c r="BE143" s="1564">
        <f t="shared" si="128"/>
        <v>1884</v>
      </c>
      <c r="BF143" s="1563">
        <f t="shared" si="128"/>
        <v>1878</v>
      </c>
      <c r="BG143" s="1563">
        <f t="shared" si="128"/>
        <v>2762</v>
      </c>
      <c r="BH143" s="1563">
        <f t="shared" si="128"/>
        <v>3164</v>
      </c>
      <c r="BI143" s="1564">
        <f t="shared" si="128"/>
        <v>2206</v>
      </c>
      <c r="BJ143" s="1564">
        <f t="shared" si="128"/>
        <v>2251</v>
      </c>
      <c r="BK143" s="1564">
        <f t="shared" si="128"/>
        <v>2951</v>
      </c>
      <c r="BL143" s="1564">
        <f t="shared" si="128"/>
        <v>3523</v>
      </c>
      <c r="BM143" s="1564">
        <f t="shared" si="128"/>
        <v>2547</v>
      </c>
      <c r="BN143" s="1564">
        <f t="shared" si="128"/>
        <v>2531</v>
      </c>
      <c r="BO143" s="1564">
        <f t="shared" si="128"/>
        <v>3196</v>
      </c>
      <c r="BP143" s="1564">
        <f t="shared" si="128"/>
        <v>3672</v>
      </c>
      <c r="BQ143" s="3344">
        <f t="shared" si="128"/>
        <v>2849</v>
      </c>
      <c r="BR143" s="1564">
        <f t="shared" si="128"/>
        <v>2631</v>
      </c>
      <c r="BS143" s="1564">
        <f t="shared" si="128"/>
        <v>3409</v>
      </c>
      <c r="BT143" s="1564">
        <f>BT62+BT142</f>
        <v>4036</v>
      </c>
      <c r="BU143" s="1564">
        <f>BU62+BU142</f>
        <v>3205</v>
      </c>
      <c r="BV143" s="1564">
        <f>BV62+BV142</f>
        <v>3049</v>
      </c>
      <c r="BW143" s="1564">
        <f>BW62+BW142</f>
        <v>3912</v>
      </c>
      <c r="BX143" s="1564"/>
      <c r="BY143" s="1567">
        <f t="shared" ref="BY143:CG143" si="129">BY62+BY142</f>
        <v>7177.0370000000003</v>
      </c>
      <c r="BZ143" s="1567">
        <f t="shared" si="129"/>
        <v>8303.2690000000002</v>
      </c>
      <c r="CA143" s="2912">
        <f t="shared" si="129"/>
        <v>9258</v>
      </c>
      <c r="CB143" s="2912">
        <f t="shared" si="129"/>
        <v>9904</v>
      </c>
      <c r="CC143" s="2912">
        <f t="shared" si="129"/>
        <v>3519</v>
      </c>
      <c r="CD143" s="2912">
        <f t="shared" si="129"/>
        <v>7076</v>
      </c>
      <c r="CE143" s="2912">
        <f t="shared" si="129"/>
        <v>10010</v>
      </c>
      <c r="CF143" s="2912">
        <f t="shared" si="129"/>
        <v>11266</v>
      </c>
      <c r="CG143" s="2912">
        <f t="shared" si="129"/>
        <v>12248</v>
      </c>
      <c r="CH143" s="2912">
        <f>CH62+CH142</f>
        <v>13277</v>
      </c>
    </row>
    <row r="144" spans="1:86" s="211" customFormat="1">
      <c r="A144" s="67" t="s">
        <v>7</v>
      </c>
      <c r="B144" s="211">
        <f t="shared" ref="B144:J144" si="130">B143/B62</f>
        <v>0.70097346821912587</v>
      </c>
      <c r="C144" s="211">
        <f t="shared" si="130"/>
        <v>0.7159471476987106</v>
      </c>
      <c r="D144" s="211">
        <f t="shared" si="130"/>
        <v>0.73118279569892475</v>
      </c>
      <c r="E144" s="446">
        <f t="shared" si="130"/>
        <v>0.72546459065796087</v>
      </c>
      <c r="F144" s="211">
        <f t="shared" si="130"/>
        <v>0.36455260242192966</v>
      </c>
      <c r="G144" s="211">
        <f t="shared" si="130"/>
        <v>0.48207762915280511</v>
      </c>
      <c r="H144" s="211">
        <f t="shared" si="130"/>
        <v>0.48965529063591956</v>
      </c>
      <c r="I144" s="211">
        <f t="shared" si="130"/>
        <v>0.44855161152235884</v>
      </c>
      <c r="J144" s="211">
        <f t="shared" si="130"/>
        <v>0.38530053285983551</v>
      </c>
      <c r="L144" s="468"/>
      <c r="Q144" s="211">
        <f t="shared" ref="Q144:V144" si="131">Q143/Q59</f>
        <v>0.47271726415743487</v>
      </c>
      <c r="R144" s="211">
        <f t="shared" si="131"/>
        <v>0.7882174461059146</v>
      </c>
      <c r="S144" s="211">
        <f t="shared" si="131"/>
        <v>0.77790705629513257</v>
      </c>
      <c r="T144" s="211">
        <f t="shared" si="131"/>
        <v>0.77536595241478989</v>
      </c>
      <c r="U144" s="211">
        <f t="shared" si="131"/>
        <v>0.78899401650526091</v>
      </c>
      <c r="V144" s="211">
        <f t="shared" si="131"/>
        <v>0.78253109536798104</v>
      </c>
      <c r="W144" s="447">
        <f t="shared" ref="W144:AB144" si="132">W143/W62</f>
        <v>0.79453012865150408</v>
      </c>
      <c r="X144" s="211">
        <f t="shared" si="132"/>
        <v>0.77403849164948435</v>
      </c>
      <c r="Y144" s="211">
        <f t="shared" si="132"/>
        <v>0.77927804769427977</v>
      </c>
      <c r="Z144" s="211">
        <f t="shared" si="132"/>
        <v>0.7770405377006</v>
      </c>
      <c r="AA144" s="211">
        <f t="shared" si="132"/>
        <v>0.78243554810312299</v>
      </c>
      <c r="AB144" s="446">
        <f t="shared" si="132"/>
        <v>0.79542221416382619</v>
      </c>
      <c r="AD144" s="211">
        <f t="shared" ref="AD144:AN144" si="133">AD143/AD62</f>
        <v>0.80687958619030442</v>
      </c>
      <c r="AE144" s="211">
        <f t="shared" si="133"/>
        <v>0.83069772050410962</v>
      </c>
      <c r="AF144" s="211">
        <f t="shared" si="133"/>
        <v>0.80071848799605794</v>
      </c>
      <c r="AG144" s="446">
        <f t="shared" si="133"/>
        <v>0.80373249652257228</v>
      </c>
      <c r="AH144" s="211">
        <f t="shared" si="133"/>
        <v>0.78856184554200426</v>
      </c>
      <c r="AI144" s="211">
        <f t="shared" si="133"/>
        <v>0.81493431529840799</v>
      </c>
      <c r="AJ144" s="211">
        <f t="shared" si="133"/>
        <v>0.83846480207524099</v>
      </c>
      <c r="AK144" s="446">
        <f t="shared" si="133"/>
        <v>0.82281844242713809</v>
      </c>
      <c r="AL144" s="211">
        <f t="shared" si="133"/>
        <v>0.80736089538602107</v>
      </c>
      <c r="AM144" s="211">
        <f t="shared" si="133"/>
        <v>0.83023704563031708</v>
      </c>
      <c r="AN144" s="211">
        <f t="shared" si="133"/>
        <v>0.8453948078219824</v>
      </c>
      <c r="AO144" s="446">
        <v>0.8115567054764985</v>
      </c>
      <c r="AP144" s="211">
        <f>AP143/AP62</f>
        <v>0.80582137161084533</v>
      </c>
      <c r="AQ144" s="211">
        <f>AQ143/AQ62</f>
        <v>0.82708333333333328</v>
      </c>
      <c r="AR144" s="211">
        <f>AR143/AR59</f>
        <v>0.84615384615384615</v>
      </c>
      <c r="AS144" s="211">
        <f t="shared" ref="AS144:BT144" si="134">AS143/AS62</f>
        <v>0.81398983978116457</v>
      </c>
      <c r="AT144" s="447">
        <f t="shared" si="134"/>
        <v>0.81218857799923339</v>
      </c>
      <c r="AU144" s="2661">
        <f t="shared" si="134"/>
        <v>0.84142086901363777</v>
      </c>
      <c r="AV144" s="2661">
        <f t="shared" si="134"/>
        <v>0.8459808881394042</v>
      </c>
      <c r="AW144" s="2657">
        <f t="shared" si="134"/>
        <v>0.80378594830724426</v>
      </c>
      <c r="AX144" s="447">
        <f t="shared" si="134"/>
        <v>0.7152557718424627</v>
      </c>
      <c r="AY144" s="211">
        <f t="shared" si="134"/>
        <v>0.3127208480565371</v>
      </c>
      <c r="AZ144" s="211">
        <f t="shared" si="134"/>
        <v>0.75066489361702127</v>
      </c>
      <c r="BA144" s="211">
        <f t="shared" si="134"/>
        <v>0.68804347826086953</v>
      </c>
      <c r="BB144" s="447">
        <f t="shared" si="134"/>
        <v>0.7504012841091493</v>
      </c>
      <c r="BC144" s="211">
        <f t="shared" si="134"/>
        <v>0.82283278067266696</v>
      </c>
      <c r="BD144" s="211">
        <f t="shared" si="134"/>
        <v>0.85077650236326807</v>
      </c>
      <c r="BE144" s="446">
        <f t="shared" si="134"/>
        <v>0.82667836770513381</v>
      </c>
      <c r="BF144" s="211">
        <f t="shared" si="134"/>
        <v>0.83503779457536687</v>
      </c>
      <c r="BG144" s="211">
        <f t="shared" si="134"/>
        <v>0.86828041496384789</v>
      </c>
      <c r="BH144" s="211">
        <f t="shared" si="134"/>
        <v>0.87427466150870403</v>
      </c>
      <c r="BI144" s="446">
        <f t="shared" si="134"/>
        <v>0.84262796027501907</v>
      </c>
      <c r="BJ144" s="211">
        <f t="shared" si="134"/>
        <v>0.84465290806754223</v>
      </c>
      <c r="BK144" s="446">
        <f t="shared" si="134"/>
        <v>0.87879690291840384</v>
      </c>
      <c r="BL144" s="446">
        <f t="shared" si="134"/>
        <v>0.89666581827437009</v>
      </c>
      <c r="BM144" s="446">
        <f t="shared" si="134"/>
        <v>0.88223068929684789</v>
      </c>
      <c r="BN144" s="446">
        <f t="shared" si="134"/>
        <v>0.87608168916580131</v>
      </c>
      <c r="BO144" s="446">
        <f t="shared" si="134"/>
        <v>0.89825744800449692</v>
      </c>
      <c r="BP144" s="446">
        <f t="shared" si="134"/>
        <v>0.9044334975369458</v>
      </c>
      <c r="BQ144" s="446">
        <f t="shared" si="134"/>
        <v>0.894786432160804</v>
      </c>
      <c r="BR144" s="446">
        <f t="shared" si="134"/>
        <v>0.88052208835341361</v>
      </c>
      <c r="BS144" s="446">
        <f t="shared" si="134"/>
        <v>0.90042260961436871</v>
      </c>
      <c r="BT144" s="446">
        <f t="shared" si="134"/>
        <v>0.91477787851314596</v>
      </c>
      <c r="BU144" s="446">
        <f>BU143/BU62</f>
        <v>0.90358049055539891</v>
      </c>
      <c r="BV144" s="446">
        <f>BV143/BV62</f>
        <v>0.88995913601868071</v>
      </c>
      <c r="BW144" s="446">
        <f>BW143/BW62</f>
        <v>0.9066048667439166</v>
      </c>
      <c r="BX144" s="446"/>
      <c r="BY144" s="451">
        <f>BY143/BY62</f>
        <v>0.81801387892385624</v>
      </c>
      <c r="BZ144" s="451">
        <v>0.82543857730769998</v>
      </c>
      <c r="CA144" s="447">
        <f t="shared" ref="CA144:CG144" si="135">CA143/CA62</f>
        <v>0.82491312483293233</v>
      </c>
      <c r="CB144" s="447">
        <f t="shared" si="135"/>
        <v>0.82075080798872957</v>
      </c>
      <c r="CC144" s="447">
        <f t="shared" si="135"/>
        <v>0.67686093479515297</v>
      </c>
      <c r="CD144" s="447">
        <f t="shared" si="135"/>
        <v>0.82298208885787394</v>
      </c>
      <c r="CE144" s="447">
        <f t="shared" si="135"/>
        <v>0.85797548641467392</v>
      </c>
      <c r="CF144" s="447">
        <f t="shared" si="135"/>
        <v>0.87748266998987456</v>
      </c>
      <c r="CG144" s="447">
        <f t="shared" si="135"/>
        <v>0.894602293477467</v>
      </c>
      <c r="CH144" s="447">
        <f>CH143/CH62</f>
        <v>0.90117423471119251</v>
      </c>
    </row>
    <row r="145" spans="1:88" s="424" customFormat="1">
      <c r="A145" s="422"/>
      <c r="E145" s="425"/>
      <c r="L145" s="433"/>
      <c r="W145" s="423"/>
      <c r="AB145" s="425"/>
      <c r="AG145" s="425"/>
      <c r="AK145" s="425"/>
      <c r="AO145" s="425"/>
      <c r="AT145" s="423"/>
      <c r="AW145" s="425"/>
      <c r="AX145" s="423"/>
      <c r="BB145" s="423"/>
      <c r="BE145" s="425"/>
      <c r="BI145" s="425"/>
      <c r="BM145" s="425"/>
      <c r="BO145" s="425"/>
      <c r="BP145" s="425"/>
      <c r="BQ145" s="3338"/>
      <c r="BS145" s="2059"/>
      <c r="BT145" s="2059"/>
      <c r="BU145" s="2059"/>
      <c r="BV145" s="2059"/>
      <c r="BW145" s="2059"/>
      <c r="BX145" s="2059"/>
      <c r="BY145" s="442"/>
      <c r="BZ145" s="442"/>
      <c r="CA145" s="423"/>
      <c r="CB145" s="423"/>
      <c r="CC145" s="423"/>
      <c r="CD145" s="423"/>
      <c r="CE145" s="2934"/>
      <c r="CF145" s="2934"/>
      <c r="CG145" s="2934"/>
      <c r="CH145" s="2934"/>
    </row>
    <row r="146" spans="1:88" s="1475" customFormat="1">
      <c r="A146" s="435" t="s">
        <v>1017</v>
      </c>
      <c r="E146" s="1476"/>
      <c r="L146" s="1539"/>
      <c r="W146" s="1541"/>
      <c r="AB146" s="1476"/>
      <c r="AG146" s="1476"/>
      <c r="AK146" s="1476"/>
      <c r="AO146" s="1476"/>
      <c r="AT146" s="1541"/>
      <c r="AW146" s="1476"/>
      <c r="AX146" s="1541"/>
      <c r="BB146" s="1541"/>
      <c r="BE146" s="1476"/>
      <c r="BI146" s="1476"/>
      <c r="BM146" s="1476"/>
      <c r="BO146" s="1476"/>
      <c r="BP146" s="1476"/>
      <c r="BQ146" s="3345"/>
      <c r="BY146" s="1477"/>
      <c r="BZ146" s="1477"/>
      <c r="CA146" s="1541"/>
      <c r="CB146" s="1541"/>
      <c r="CC146" s="1541"/>
      <c r="CD146" s="1541"/>
      <c r="CE146" s="2934"/>
      <c r="CF146" s="2934"/>
      <c r="CG146" s="2934"/>
      <c r="CH146" s="2934"/>
    </row>
    <row r="147" spans="1:88" s="1764" customFormat="1">
      <c r="A147" s="1573" t="s">
        <v>1033</v>
      </c>
      <c r="B147" s="1764">
        <v>-8.5150000000000006</v>
      </c>
      <c r="C147" s="1764">
        <v>-12.128157</v>
      </c>
      <c r="D147" s="1764">
        <v>-15</v>
      </c>
      <c r="E147" s="1768">
        <v>-20.46</v>
      </c>
      <c r="F147" s="1765" t="s">
        <v>156</v>
      </c>
      <c r="G147" s="1765" t="s">
        <v>156</v>
      </c>
      <c r="H147" s="1764" t="s">
        <v>156</v>
      </c>
      <c r="L147" s="1878"/>
      <c r="Q147" s="1764">
        <v>-59.743000000000002</v>
      </c>
      <c r="R147" s="1764">
        <v>-85.02</v>
      </c>
      <c r="S147" s="1764">
        <v>-112.28</v>
      </c>
      <c r="T147" s="1764">
        <v>-140.37100000000001</v>
      </c>
      <c r="U147" s="1764">
        <v>-182.483</v>
      </c>
      <c r="V147" s="1764">
        <v>-287.76299999999998</v>
      </c>
      <c r="W147" s="1877">
        <v>-319.70800000000003</v>
      </c>
      <c r="X147" s="1764">
        <v>-308.77999999999997</v>
      </c>
      <c r="Y147" s="1764">
        <v>-380.99900000000002</v>
      </c>
      <c r="Z147" s="1764">
        <v>-484.89800000000002</v>
      </c>
      <c r="AA147" s="1764">
        <v>-577.82000000000005</v>
      </c>
      <c r="AB147" s="1768">
        <v>-686.154</v>
      </c>
      <c r="AD147" s="1764">
        <v>-186.51599999999999</v>
      </c>
      <c r="AE147" s="1764">
        <v>-202.703</v>
      </c>
      <c r="AF147" s="1764">
        <v>-250.57</v>
      </c>
      <c r="AG147" s="1768">
        <v>-830.24400000000003</v>
      </c>
      <c r="AH147" s="1764">
        <v>-291.55399999999997</v>
      </c>
      <c r="AI147" s="1764">
        <v>-317.92099999999999</v>
      </c>
      <c r="AJ147" s="1764">
        <v>-301.44600000000003</v>
      </c>
      <c r="AK147" s="1768">
        <v>-324.09800000000001</v>
      </c>
      <c r="AL147" s="1764">
        <v>-322.04000000000002</v>
      </c>
      <c r="AM147" s="1764">
        <v>-342.53</v>
      </c>
      <c r="AN147" s="1764">
        <v>-350.06099999999998</v>
      </c>
      <c r="AO147" s="1768">
        <v>-372</v>
      </c>
      <c r="AP147" s="1764">
        <v>-396</v>
      </c>
      <c r="AQ147" s="1764">
        <v>-400</v>
      </c>
      <c r="AR147" s="1764">
        <v>-404</v>
      </c>
      <c r="AS147" s="1764">
        <v>-417</v>
      </c>
      <c r="AT147" s="1877">
        <v>-297</v>
      </c>
      <c r="AU147" s="2659">
        <v>-304</v>
      </c>
      <c r="AV147" s="2659">
        <v>-304</v>
      </c>
      <c r="AW147" s="2728">
        <v>-321</v>
      </c>
      <c r="AX147" s="2929">
        <v>-308</v>
      </c>
      <c r="AY147" s="2940">
        <v>-255</v>
      </c>
      <c r="AZ147" s="2940">
        <v>-224</v>
      </c>
      <c r="BA147" s="2940">
        <v>-223</v>
      </c>
      <c r="BB147" s="1877">
        <v>-247</v>
      </c>
      <c r="BC147" s="1764">
        <v>-276</v>
      </c>
      <c r="BD147" s="1764">
        <v>-277</v>
      </c>
      <c r="BE147" s="1768">
        <v>-274</v>
      </c>
      <c r="BF147" s="1764">
        <v>-270</v>
      </c>
      <c r="BG147" s="1764">
        <v>-284</v>
      </c>
      <c r="BH147" s="1764">
        <v>-310</v>
      </c>
      <c r="BI147" s="1768">
        <v>-317</v>
      </c>
      <c r="BJ147" s="1764">
        <v>-317</v>
      </c>
      <c r="BK147" s="1764">
        <v>-344</v>
      </c>
      <c r="BL147" s="1764">
        <v>-340</v>
      </c>
      <c r="BM147" s="1768">
        <v>-357</v>
      </c>
      <c r="BN147" s="1764">
        <v>-341</v>
      </c>
      <c r="BO147" s="1768">
        <v>-331</v>
      </c>
      <c r="BP147" s="1768">
        <v>-320</v>
      </c>
      <c r="BQ147" s="3343">
        <v>-322</v>
      </c>
      <c r="BR147" s="1764">
        <v>-320</v>
      </c>
      <c r="BS147" s="1764">
        <v>-325</v>
      </c>
      <c r="BT147" s="1764">
        <v>-310</v>
      </c>
      <c r="BU147" s="1764">
        <v>-322</v>
      </c>
      <c r="BV147" s="1764">
        <v>-324</v>
      </c>
      <c r="BW147" s="1764">
        <v>-325</v>
      </c>
      <c r="BY147" s="1769">
        <v>-1235.019</v>
      </c>
      <c r="BZ147" s="1769">
        <v>-1386.787</v>
      </c>
      <c r="CA147" s="1877">
        <f>SUM(AP147:AS147)</f>
        <v>-1617</v>
      </c>
      <c r="CB147" s="1877">
        <v>-1763</v>
      </c>
      <c r="CC147" s="1877">
        <v>-1010</v>
      </c>
      <c r="CD147" s="1877">
        <v>-1074</v>
      </c>
      <c r="CE147" s="1877">
        <v>-1181</v>
      </c>
      <c r="CF147" s="1877">
        <v>-1358</v>
      </c>
      <c r="CG147" s="3377">
        <v>-1314</v>
      </c>
      <c r="CH147" s="3377">
        <v>-1277</v>
      </c>
    </row>
    <row r="148" spans="1:88" s="1764" customFormat="1" ht="12.75" customHeight="1">
      <c r="A148" s="1573" t="s">
        <v>58</v>
      </c>
      <c r="B148" s="1764">
        <v>-19.513000000000002</v>
      </c>
      <c r="C148" s="1764">
        <v>-25.351911999999999</v>
      </c>
      <c r="D148" s="1764">
        <v>-37</v>
      </c>
      <c r="E148" s="1768">
        <v>-66.186000000000007</v>
      </c>
      <c r="F148" s="1765" t="s">
        <v>156</v>
      </c>
      <c r="G148" s="1765" t="s">
        <v>156</v>
      </c>
      <c r="H148" s="1764" t="s">
        <v>156</v>
      </c>
      <c r="L148" s="1878"/>
      <c r="Q148" s="1764">
        <v>-463.68400000000003</v>
      </c>
      <c r="R148" s="1764">
        <v>-653.01800000000003</v>
      </c>
      <c r="S148" s="1764">
        <v>-697.50300000000004</v>
      </c>
      <c r="T148" s="1764">
        <v>-786.19500000000005</v>
      </c>
      <c r="U148" s="1764">
        <v>-992.56</v>
      </c>
      <c r="V148" s="1764">
        <v>-1105.337</v>
      </c>
      <c r="W148" s="1877">
        <v>-1027.0619999999999</v>
      </c>
      <c r="X148" s="1764">
        <v>-1234.7809999999999</v>
      </c>
      <c r="Y148" s="1764">
        <v>-1474.6410000000001</v>
      </c>
      <c r="Z148" s="1764">
        <v>-1721.037</v>
      </c>
      <c r="AA148" s="1764">
        <v>-2196.145</v>
      </c>
      <c r="AB148" s="1768">
        <v>-2808.3290000000002</v>
      </c>
      <c r="AD148" s="1764">
        <v>-885.48</v>
      </c>
      <c r="AE148" s="1764">
        <v>-943.28899999999999</v>
      </c>
      <c r="AF148" s="1764">
        <v>-788.93600000000004</v>
      </c>
      <c r="AG148" s="1768">
        <v>-3381.0859999999998</v>
      </c>
      <c r="AH148" s="1764">
        <v>-1039.348</v>
      </c>
      <c r="AI148" s="1764">
        <v>-1154.9929999999999</v>
      </c>
      <c r="AJ148" s="1764">
        <v>-1204.521</v>
      </c>
      <c r="AK148" s="1768">
        <v>-968.55499999999995</v>
      </c>
      <c r="AL148" s="1764">
        <v>-1270.06</v>
      </c>
      <c r="AM148" s="1764">
        <v>-1443.4069999999999</v>
      </c>
      <c r="AN148" s="1764">
        <v>-1460.7070000000001</v>
      </c>
      <c r="AO148" s="1768">
        <v>-1124</v>
      </c>
      <c r="AP148" s="1764">
        <v>-1516</v>
      </c>
      <c r="AQ148" s="1764">
        <v>-1541</v>
      </c>
      <c r="AR148" s="1764">
        <v>-1501</v>
      </c>
      <c r="AS148" s="1764">
        <v>-1209</v>
      </c>
      <c r="AT148" s="1877">
        <v>-1521</v>
      </c>
      <c r="AU148" s="2659">
        <v>-1643</v>
      </c>
      <c r="AV148" s="2659">
        <v>-1646</v>
      </c>
      <c r="AW148" s="2728">
        <v>-1268</v>
      </c>
      <c r="AX148" s="2929">
        <v>-1210</v>
      </c>
      <c r="AY148" s="2940">
        <v>-296</v>
      </c>
      <c r="AZ148" s="2940">
        <v>-529</v>
      </c>
      <c r="BA148" s="2940">
        <v>-511</v>
      </c>
      <c r="BB148" s="1877">
        <v>-664</v>
      </c>
      <c r="BC148" s="1764">
        <v>-1199</v>
      </c>
      <c r="BD148" s="1764">
        <v>-1314</v>
      </c>
      <c r="BE148" s="1768">
        <v>-1044</v>
      </c>
      <c r="BF148" s="1764">
        <v>-1339</v>
      </c>
      <c r="BG148" s="1764">
        <v>-1716</v>
      </c>
      <c r="BH148" s="1764">
        <v>-1669</v>
      </c>
      <c r="BI148" s="3140">
        <v>-1376</v>
      </c>
      <c r="BJ148" s="1764">
        <v>-1674</v>
      </c>
      <c r="BK148" s="1764">
        <v>-1770</v>
      </c>
      <c r="BL148" s="1764">
        <v>-1856</v>
      </c>
      <c r="BM148" s="3140">
        <f>-(1370+193)</f>
        <v>-1563</v>
      </c>
      <c r="BN148" s="2662">
        <f>-(1650+186)</f>
        <v>-1836</v>
      </c>
      <c r="BO148" s="3140">
        <f>-(1793+197)</f>
        <v>-1990</v>
      </c>
      <c r="BP148" s="3140">
        <f>-(1855+197)</f>
        <v>-2052</v>
      </c>
      <c r="BQ148" s="3140">
        <f>-(1548+201)</f>
        <v>-1749</v>
      </c>
      <c r="BR148" s="2662">
        <f>-(1757+199)</f>
        <v>-1956</v>
      </c>
      <c r="BS148" s="2662">
        <f>-(1920+213)</f>
        <v>-2133</v>
      </c>
      <c r="BT148" s="2662">
        <f>-(1976+211)</f>
        <v>-2187</v>
      </c>
      <c r="BU148" s="2662">
        <f>-(1696+213)</f>
        <v>-1909</v>
      </c>
      <c r="BV148" s="2662">
        <f>-(1856+202)</f>
        <v>-2058</v>
      </c>
      <c r="BW148" s="2662">
        <f>-(2119+217)</f>
        <v>-2336</v>
      </c>
      <c r="BY148" s="1769">
        <v>-4367.4170000000004</v>
      </c>
      <c r="BZ148" s="1769">
        <v>-5297.8320000000003</v>
      </c>
      <c r="CA148" s="1877">
        <f>SUM(AP148:AS148)</f>
        <v>-5767</v>
      </c>
      <c r="CB148" s="1877">
        <v>-6135</v>
      </c>
      <c r="CC148" s="1877">
        <v>-2546</v>
      </c>
      <c r="CD148" s="1877">
        <v>-4221</v>
      </c>
      <c r="CE148" s="1877">
        <v>-6100</v>
      </c>
      <c r="CF148" s="1877">
        <f>-(6107+756)</f>
        <v>-6863</v>
      </c>
      <c r="CG148" s="3377">
        <f>-(6846+781)</f>
        <v>-7627</v>
      </c>
      <c r="CH148" s="3377">
        <f>-(7349+836)</f>
        <v>-8185</v>
      </c>
    </row>
    <row r="149" spans="1:88" s="1764" customFormat="1">
      <c r="A149" s="1573" t="s">
        <v>1059</v>
      </c>
      <c r="B149" s="1764">
        <v>-6.984</v>
      </c>
      <c r="C149" s="1764">
        <v>-7.5674239999999999</v>
      </c>
      <c r="D149" s="1764">
        <v>-8</v>
      </c>
      <c r="E149" s="1768">
        <v>-10.106999999999999</v>
      </c>
      <c r="F149" s="1764">
        <v>-9.6797699999999995</v>
      </c>
      <c r="G149" s="1764">
        <v>-16.562034000000001</v>
      </c>
      <c r="H149" s="1764">
        <v>-14.399039999999999</v>
      </c>
      <c r="I149" s="1764">
        <v>-26.520745000000002</v>
      </c>
      <c r="L149" s="1876"/>
      <c r="Q149" s="1764">
        <v>-113.633</v>
      </c>
      <c r="R149" s="1764">
        <v>-160.965</v>
      </c>
      <c r="S149" s="1764">
        <v>-211.51499999999999</v>
      </c>
      <c r="T149" s="1764">
        <v>-289.649</v>
      </c>
      <c r="U149" s="1764">
        <v>-321.25</v>
      </c>
      <c r="V149" s="1764">
        <v>-268.721</v>
      </c>
      <c r="W149" s="1877">
        <v>-290.48399999999998</v>
      </c>
      <c r="X149" s="1764">
        <v>-258.60399999999998</v>
      </c>
      <c r="Y149" s="1764">
        <v>-309.70800000000003</v>
      </c>
      <c r="Z149" s="1764">
        <v>-345.35399999999998</v>
      </c>
      <c r="AA149" s="1764">
        <v>-377.07799999999997</v>
      </c>
      <c r="AB149" s="1768">
        <v>-425.37299999999999</v>
      </c>
      <c r="AD149" s="1764">
        <f>-141.394</f>
        <v>-141.39400000000001</v>
      </c>
      <c r="AE149" s="1764">
        <v>-130.16800000000001</v>
      </c>
      <c r="AF149" s="1764">
        <v>-185.95400000000001</v>
      </c>
      <c r="AG149" s="1768">
        <v>-573.91300000000001</v>
      </c>
      <c r="AH149" s="1764">
        <v>-148.011</v>
      </c>
      <c r="AI149" s="1764">
        <v>-192.55500000000001</v>
      </c>
      <c r="AJ149" s="1764">
        <v>-165.82900000000001</v>
      </c>
      <c r="AK149" s="1768">
        <v>-173.89699999999999</v>
      </c>
      <c r="AL149" s="1764">
        <v>-158.15299999999999</v>
      </c>
      <c r="AM149" s="1764">
        <v>-178.952</v>
      </c>
      <c r="AN149" s="1764">
        <v>-141.298</v>
      </c>
      <c r="AO149" s="1768">
        <v>-198</v>
      </c>
      <c r="AP149" s="1764">
        <v>-199</v>
      </c>
      <c r="AQ149" s="1764">
        <v>-196</v>
      </c>
      <c r="AR149" s="1764">
        <v>-202</v>
      </c>
      <c r="AS149" s="1764">
        <v>-211</v>
      </c>
      <c r="AT149" s="1877">
        <v>-184</v>
      </c>
      <c r="AU149" s="2659">
        <v>-214</v>
      </c>
      <c r="AV149" s="2659">
        <v>-210</v>
      </c>
      <c r="AW149" s="2728">
        <v>-216</v>
      </c>
      <c r="AX149" s="2929">
        <v>-187</v>
      </c>
      <c r="AY149" s="2940">
        <v>-152</v>
      </c>
      <c r="AZ149" s="2940">
        <v>-134</v>
      </c>
      <c r="BA149" s="2940">
        <v>-124</v>
      </c>
      <c r="BB149" s="1877">
        <v>-156</v>
      </c>
      <c r="BC149" s="1764">
        <v>-184</v>
      </c>
      <c r="BD149" s="1764">
        <v>-182</v>
      </c>
      <c r="BE149" s="1768">
        <v>-183</v>
      </c>
      <c r="BF149" s="1764">
        <v>-186</v>
      </c>
      <c r="BG149" s="1764">
        <v>-189</v>
      </c>
      <c r="BH149" s="1764">
        <v>-187</v>
      </c>
      <c r="BI149" s="1768">
        <v>-186</v>
      </c>
      <c r="BJ149" s="1764">
        <v>-184</v>
      </c>
      <c r="BK149" s="1764">
        <v>-194</v>
      </c>
      <c r="BL149" s="1764">
        <v>-194</v>
      </c>
      <c r="BM149" s="1768">
        <v>-199</v>
      </c>
      <c r="BN149" s="1764">
        <v>-186</v>
      </c>
      <c r="BO149" s="1768">
        <v>-180</v>
      </c>
      <c r="BP149" s="1768">
        <v>-229</v>
      </c>
      <c r="BQ149" s="3343">
        <v>-210</v>
      </c>
      <c r="BR149" s="1764">
        <v>-180</v>
      </c>
      <c r="BS149" s="1764">
        <v>-197</v>
      </c>
      <c r="BT149" s="1764">
        <v>-186</v>
      </c>
      <c r="BU149" s="1764">
        <v>-202</v>
      </c>
      <c r="BV149" s="1764">
        <v>-196</v>
      </c>
      <c r="BW149" s="1764">
        <v>-204</v>
      </c>
      <c r="BY149" s="1769">
        <v>-678.29200000000003</v>
      </c>
      <c r="BZ149" s="1769">
        <v>-675.96100000000001</v>
      </c>
      <c r="CA149" s="1877">
        <f>SUM(AP149:AS149)</f>
        <v>-808</v>
      </c>
      <c r="CB149" s="1877">
        <v>-847</v>
      </c>
      <c r="CC149" s="1877">
        <v>-597</v>
      </c>
      <c r="CD149" s="1877">
        <v>-705</v>
      </c>
      <c r="CE149" s="1877">
        <v>-748</v>
      </c>
      <c r="CF149" s="1877">
        <v>-771</v>
      </c>
      <c r="CG149" s="3377">
        <v>-805</v>
      </c>
      <c r="CH149" s="3377">
        <v>-765</v>
      </c>
    </row>
    <row r="150" spans="1:88" s="1764" customFormat="1">
      <c r="A150" s="1574" t="s">
        <v>2092</v>
      </c>
      <c r="B150" s="1764">
        <v>-9.6000000000000002E-2</v>
      </c>
      <c r="C150" s="1764">
        <v>-9.7340999999999997E-2</v>
      </c>
      <c r="D150" s="1764">
        <v>-8.6999999999999994E-2</v>
      </c>
      <c r="E150" s="1768">
        <v>-0.17</v>
      </c>
      <c r="F150" s="1764">
        <v>-1.5586869999999999</v>
      </c>
      <c r="G150" s="1764">
        <v>-1.569747</v>
      </c>
      <c r="H150" s="1764">
        <v>-1.9106369999999999</v>
      </c>
      <c r="I150" s="1764">
        <v>-2.7901539999999998</v>
      </c>
      <c r="L150" s="1876"/>
      <c r="Q150" s="1764">
        <f>-41.974-76.073</f>
        <v>-118.047</v>
      </c>
      <c r="R150" s="1764">
        <f>-16.728-125.091</f>
        <v>-141.81899999999999</v>
      </c>
      <c r="S150" s="1764">
        <f>-12.597-126.067</f>
        <v>-138.66399999999999</v>
      </c>
      <c r="T150" s="1764">
        <v>-110.76600000000001</v>
      </c>
      <c r="U150" s="1764">
        <v>-77.569000000000003</v>
      </c>
      <c r="V150" s="1764">
        <v>-69.436000000000007</v>
      </c>
      <c r="W150" s="1877">
        <v>-37.680999999999997</v>
      </c>
      <c r="X150" s="1764">
        <v>-22.513999999999999</v>
      </c>
      <c r="Y150" s="1764">
        <v>-21.925000000000001</v>
      </c>
      <c r="Z150" s="1764">
        <v>-31.704999999999998</v>
      </c>
      <c r="AA150" s="1764">
        <v>-71.730999999999995</v>
      </c>
      <c r="AB150" s="1768">
        <v>-79.614999999999995</v>
      </c>
      <c r="AD150" s="1764">
        <f>-26.88</f>
        <v>-26.88</v>
      </c>
      <c r="AE150" s="1764">
        <v>-31.4</v>
      </c>
      <c r="AF150" s="1764">
        <v>-80.343000000000004</v>
      </c>
      <c r="AG150" s="1768">
        <v>-163.66499999999999</v>
      </c>
      <c r="AH150" s="1764">
        <v>-89.998999999999995</v>
      </c>
      <c r="AI150" s="1764">
        <v>-84.180999999999997</v>
      </c>
      <c r="AJ150" s="1764">
        <v>-77.08</v>
      </c>
      <c r="AK150" s="1768">
        <v>-68.022000000000006</v>
      </c>
      <c r="AL150" s="1764">
        <v>-66.676000000000002</v>
      </c>
      <c r="AM150" s="1764">
        <v>-66.278999999999996</v>
      </c>
      <c r="AN150" s="1764">
        <v>-71.010999999999996</v>
      </c>
      <c r="AO150" s="1768">
        <v>-71.478999999999999</v>
      </c>
      <c r="AP150" s="1764">
        <v>-72</v>
      </c>
      <c r="AQ150" s="1764">
        <v>-72</v>
      </c>
      <c r="AR150" s="1764">
        <v>-71</v>
      </c>
      <c r="AS150" s="1764">
        <v>-68</v>
      </c>
      <c r="AT150" s="1877">
        <v>-228</v>
      </c>
      <c r="AU150" s="2659">
        <v>-228</v>
      </c>
      <c r="AV150" s="2659">
        <v>-288</v>
      </c>
      <c r="AW150" s="2728">
        <v>-226</v>
      </c>
      <c r="AX150" s="2929">
        <v>-229</v>
      </c>
      <c r="AY150" s="2940">
        <v>-232</v>
      </c>
      <c r="AZ150" s="2940">
        <v>-220</v>
      </c>
      <c r="BA150" s="2940">
        <v>-212</v>
      </c>
      <c r="BB150" s="1877">
        <v>-209</v>
      </c>
      <c r="BC150" s="1764">
        <v>-205</v>
      </c>
      <c r="BD150" s="1764">
        <v>-201</v>
      </c>
      <c r="BE150" s="1768">
        <v>-199</v>
      </c>
      <c r="BF150" s="1764">
        <v>-197</v>
      </c>
      <c r="BG150" s="1764">
        <v>-197</v>
      </c>
      <c r="BH150" s="1764">
        <v>-199</v>
      </c>
      <c r="BI150" s="1768">
        <v>-199</v>
      </c>
      <c r="BJ150" s="1764">
        <v>-192</v>
      </c>
      <c r="BK150" s="1764">
        <v>-199</v>
      </c>
      <c r="BL150" s="1764">
        <v>-208</v>
      </c>
      <c r="BM150" s="1768">
        <v>-208</v>
      </c>
      <c r="BN150" s="1764">
        <v>-210</v>
      </c>
      <c r="BO150" s="1768">
        <v>-205</v>
      </c>
      <c r="BP150" s="1768">
        <v>-211</v>
      </c>
      <c r="BQ150" s="3343">
        <v>-212</v>
      </c>
      <c r="BR150" s="1764">
        <v>-219</v>
      </c>
      <c r="BS150" s="1764">
        <v>-223</v>
      </c>
      <c r="BT150" s="1764">
        <v>-225</v>
      </c>
      <c r="BU150" s="1764">
        <v>-220</v>
      </c>
      <c r="BV150" s="1764">
        <v>-228</v>
      </c>
      <c r="BW150" s="1764">
        <v>-228</v>
      </c>
      <c r="BY150" s="1769">
        <v>-317.14100000000002</v>
      </c>
      <c r="BZ150" s="1769">
        <v>-275.44499999999999</v>
      </c>
      <c r="CA150" s="1877">
        <f>SUM(AP150:AS150)</f>
        <v>-283</v>
      </c>
      <c r="CB150" s="1877">
        <v>-198</v>
      </c>
      <c r="CC150" s="1877">
        <v>-893</v>
      </c>
      <c r="CD150" s="1877">
        <v>-814</v>
      </c>
      <c r="CE150" s="1877">
        <v>-792</v>
      </c>
      <c r="CF150" s="3159">
        <v>-807</v>
      </c>
      <c r="CG150" s="3159">
        <v>-838</v>
      </c>
      <c r="CH150" s="3159">
        <v>-887</v>
      </c>
      <c r="CJ150" s="1764">
        <f>CH153</f>
        <v>-100</v>
      </c>
    </row>
    <row r="151" spans="1:88" s="1764" customFormat="1">
      <c r="A151" s="1574" t="s">
        <v>1018</v>
      </c>
      <c r="E151" s="1768"/>
      <c r="L151" s="1876"/>
      <c r="W151" s="1877"/>
      <c r="AB151" s="1768"/>
      <c r="AG151" s="1768"/>
      <c r="AK151" s="1768"/>
      <c r="AO151" s="1768"/>
      <c r="AT151" s="1877"/>
      <c r="AW151" s="1768"/>
      <c r="AX151" s="1877"/>
      <c r="BB151" s="1877"/>
      <c r="BE151" s="1768"/>
      <c r="BI151" s="1768"/>
      <c r="BM151" s="1768"/>
      <c r="BO151" s="1768"/>
      <c r="BP151" s="1768"/>
      <c r="BQ151" s="3343"/>
      <c r="BY151" s="1769"/>
      <c r="BZ151" s="1769"/>
      <c r="CA151" s="1877"/>
      <c r="CB151" s="1877"/>
      <c r="CC151" s="1877"/>
      <c r="CD151" s="1877"/>
      <c r="CE151" s="1877"/>
      <c r="CF151" s="1877"/>
      <c r="CG151" s="3377"/>
      <c r="CH151" s="3377"/>
    </row>
    <row r="152" spans="1:88" s="1764" customFormat="1">
      <c r="A152" s="1574" t="s">
        <v>459</v>
      </c>
      <c r="B152" s="1765" t="s">
        <v>156</v>
      </c>
      <c r="C152" s="1765" t="s">
        <v>156</v>
      </c>
      <c r="D152" s="1765">
        <v>-2.4E-2</v>
      </c>
      <c r="E152" s="1768"/>
      <c r="F152" s="1765" t="s">
        <v>156</v>
      </c>
      <c r="G152" s="1765" t="s">
        <v>156</v>
      </c>
      <c r="H152" s="1765" t="s">
        <v>156</v>
      </c>
      <c r="I152" s="1765"/>
      <c r="J152" s="1765"/>
      <c r="K152" s="1765"/>
      <c r="L152" s="1878"/>
      <c r="M152" s="1765"/>
      <c r="N152" s="1765"/>
      <c r="O152" s="1765"/>
      <c r="P152" s="1765"/>
      <c r="Q152" s="1765"/>
      <c r="R152" s="1765"/>
      <c r="S152" s="1765"/>
      <c r="T152" s="1765" t="s">
        <v>156</v>
      </c>
      <c r="U152" s="1765" t="s">
        <v>156</v>
      </c>
      <c r="V152" s="1765" t="s">
        <v>156</v>
      </c>
      <c r="W152" s="1879" t="s">
        <v>156</v>
      </c>
      <c r="X152" s="1765" t="s">
        <v>156</v>
      </c>
      <c r="Y152" s="1765" t="s">
        <v>156</v>
      </c>
      <c r="Z152" s="1765"/>
      <c r="AA152" s="1765"/>
      <c r="AB152" s="1766"/>
      <c r="AC152" s="1765"/>
      <c r="AD152" s="1765"/>
      <c r="AE152" s="1765"/>
      <c r="AF152" s="1765"/>
      <c r="AG152" s="1766"/>
      <c r="AK152" s="1768"/>
      <c r="AO152" s="1768"/>
      <c r="AT152" s="1877"/>
      <c r="AW152" s="1768"/>
      <c r="AX152" s="1877"/>
      <c r="BB152" s="1877"/>
      <c r="BE152" s="1768"/>
      <c r="BI152" s="1768"/>
      <c r="BM152" s="1768"/>
      <c r="BO152" s="1768"/>
      <c r="BP152" s="1768"/>
      <c r="BQ152" s="3343"/>
      <c r="BY152" s="1769"/>
      <c r="BZ152" s="1769"/>
      <c r="CA152" s="1877"/>
      <c r="CB152" s="1877"/>
      <c r="CC152" s="1877"/>
      <c r="CD152" s="1877"/>
      <c r="CE152" s="1877"/>
      <c r="CF152" s="1877"/>
      <c r="CG152" s="3377"/>
      <c r="CH152" s="3377"/>
    </row>
    <row r="153" spans="1:88" s="1764" customFormat="1">
      <c r="A153" s="1574" t="s">
        <v>2786</v>
      </c>
      <c r="B153" s="1765" t="s">
        <v>156</v>
      </c>
      <c r="C153" s="1765" t="s">
        <v>156</v>
      </c>
      <c r="D153" s="1765" t="s">
        <v>156</v>
      </c>
      <c r="E153" s="1766">
        <v>-0.35899999999999999</v>
      </c>
      <c r="F153" s="1764">
        <f>-(24.369906+0.49178)</f>
        <v>-24.861685999999999</v>
      </c>
      <c r="G153" s="1764">
        <f>-(28.160506+0.985482)</f>
        <v>-29.145988000000003</v>
      </c>
      <c r="H153" s="1764">
        <v>-40.698895</v>
      </c>
      <c r="I153" s="1764">
        <v>-54.868654999999997</v>
      </c>
      <c r="L153" s="1876"/>
      <c r="Q153" s="1764">
        <v>-11.664</v>
      </c>
      <c r="W153" s="1877">
        <f>-67.658-34.168</f>
        <v>-101.82599999999999</v>
      </c>
      <c r="X153" s="1764">
        <v>-22.692</v>
      </c>
      <c r="Y153" s="1764">
        <v>-20.855</v>
      </c>
      <c r="Z153" s="1764">
        <v>-117.02500000000001</v>
      </c>
      <c r="AA153" s="1764">
        <f>-66.472-77.919</f>
        <v>-144.39099999999999</v>
      </c>
      <c r="AB153" s="1768">
        <v>0.28399999999999997</v>
      </c>
      <c r="AD153" s="1764">
        <f>-5.51-5.646</f>
        <v>-11.155999999999999</v>
      </c>
      <c r="AE153" s="1764">
        <f>114.55-71.679</f>
        <v>42.870999999999995</v>
      </c>
      <c r="AF153" s="1764">
        <f>-1.924-22.87</f>
        <v>-24.794</v>
      </c>
      <c r="AG153" s="1768">
        <v>-67.168999999999997</v>
      </c>
      <c r="AH153" s="1764">
        <f>-1.974-29.803</f>
        <v>-31.777000000000001</v>
      </c>
      <c r="AI153" s="1764">
        <f>-4.344-9.833</f>
        <v>-14.177</v>
      </c>
      <c r="AJ153" s="1764">
        <f>-22.332-6.638</f>
        <v>-28.97</v>
      </c>
      <c r="AK153" s="1768">
        <f>2.152-9.633</f>
        <v>-7.480999999999999</v>
      </c>
      <c r="AL153" s="1764">
        <f>-21.054-1.899</f>
        <v>-22.952999999999999</v>
      </c>
      <c r="AM153" s="1764">
        <f>-3.401-9.708</f>
        <v>-13.109</v>
      </c>
      <c r="AN153" s="1764">
        <f>1.499-3.983</f>
        <v>-2.484</v>
      </c>
      <c r="AO153" s="1768">
        <v>-3.6040000000000001</v>
      </c>
      <c r="AP153" s="1764">
        <v>-4</v>
      </c>
      <c r="AQ153" s="1764">
        <f>-1</f>
        <v>-1</v>
      </c>
      <c r="AR153" s="1764">
        <v>-78</v>
      </c>
      <c r="AS153" s="1764">
        <v>-15</v>
      </c>
      <c r="AT153" s="1877">
        <f>-10-10</f>
        <v>-20</v>
      </c>
      <c r="AU153" s="1764">
        <v>-8</v>
      </c>
      <c r="AV153" s="1764">
        <v>-13</v>
      </c>
      <c r="AW153" s="1768">
        <v>-17</v>
      </c>
      <c r="AX153" s="1877">
        <f>21-75</f>
        <v>-54</v>
      </c>
      <c r="AY153" s="1764">
        <f>-8-53</f>
        <v>-61</v>
      </c>
      <c r="AZ153" s="1764">
        <v>-80</v>
      </c>
      <c r="BA153" s="1764">
        <v>-23</v>
      </c>
      <c r="BB153" s="1877">
        <f>1-29</f>
        <v>-28</v>
      </c>
      <c r="BC153" s="1764">
        <f>8-13</f>
        <v>-5</v>
      </c>
      <c r="BD153" s="1764">
        <f>-10-12</f>
        <v>-22</v>
      </c>
      <c r="BE153" s="1768">
        <v>-1</v>
      </c>
      <c r="BF153" s="1764">
        <v>-21</v>
      </c>
      <c r="BG153" s="1764">
        <v>-2</v>
      </c>
      <c r="BH153" s="1764">
        <v>0</v>
      </c>
      <c r="BI153" s="1768">
        <v>0</v>
      </c>
      <c r="BJ153" s="1764">
        <v>-5</v>
      </c>
      <c r="BK153" s="1764">
        <v>-1</v>
      </c>
      <c r="BL153" s="1764">
        <v>0</v>
      </c>
      <c r="BM153" s="1768"/>
      <c r="BN153" s="1764">
        <v>-20</v>
      </c>
      <c r="BO153" s="1768">
        <v>-21</v>
      </c>
      <c r="BP153" s="1768">
        <v>-59</v>
      </c>
      <c r="BQ153" s="3343"/>
      <c r="BS153" s="1764">
        <v>-2</v>
      </c>
      <c r="BT153" s="1764">
        <v>-86</v>
      </c>
      <c r="BU153" s="1764">
        <v>-97</v>
      </c>
      <c r="BV153" s="1764">
        <v>64</v>
      </c>
      <c r="BW153" s="1764">
        <v>6</v>
      </c>
      <c r="BY153" s="1769">
        <f>SUM(AH153:AK153)</f>
        <v>-82.405000000000001</v>
      </c>
      <c r="BZ153" s="1769">
        <v>-42.15</v>
      </c>
      <c r="CA153" s="1877">
        <f>SUM(AP153:AS153)</f>
        <v>-98</v>
      </c>
      <c r="CB153" s="1877">
        <f>SUM(AT153:AW153)</f>
        <v>-58</v>
      </c>
      <c r="CC153" s="1877">
        <f>13-231</f>
        <v>-218</v>
      </c>
      <c r="CD153" s="1877">
        <f>-1-55</f>
        <v>-56</v>
      </c>
      <c r="CE153" s="1877">
        <f>SUM(BF153:BI153)</f>
        <v>-23</v>
      </c>
      <c r="CF153" s="1877">
        <v>-8</v>
      </c>
      <c r="CG153" s="3377">
        <v>-72</v>
      </c>
      <c r="CH153" s="3377">
        <v>-100</v>
      </c>
    </row>
    <row r="154" spans="1:88" s="1764" customFormat="1">
      <c r="A154" s="1574" t="s">
        <v>1019</v>
      </c>
      <c r="B154" s="1765" t="s">
        <v>156</v>
      </c>
      <c r="C154" s="1765" t="s">
        <v>156</v>
      </c>
      <c r="D154" s="1765" t="s">
        <v>156</v>
      </c>
      <c r="E154" s="1766"/>
      <c r="F154" s="1765" t="s">
        <v>156</v>
      </c>
      <c r="G154" s="1765" t="s">
        <v>156</v>
      </c>
      <c r="H154" s="1765" t="s">
        <v>156</v>
      </c>
      <c r="I154" s="1765"/>
      <c r="J154" s="1765"/>
      <c r="K154" s="1765"/>
      <c r="L154" s="1878"/>
      <c r="M154" s="1765"/>
      <c r="N154" s="1765"/>
      <c r="O154" s="1765"/>
      <c r="P154" s="1765"/>
      <c r="Q154" s="1765"/>
      <c r="R154" s="1765"/>
      <c r="S154" s="1765"/>
      <c r="T154" s="1765">
        <f>-9.638-47</f>
        <v>-56.637999999999998</v>
      </c>
      <c r="U154" s="1765"/>
      <c r="V154" s="1763">
        <f>-233.9-2762.1</f>
        <v>-2996</v>
      </c>
      <c r="W154" s="1879" t="s">
        <v>156</v>
      </c>
      <c r="X154" s="1765" t="s">
        <v>156</v>
      </c>
      <c r="Y154" s="1765" t="s">
        <v>156</v>
      </c>
      <c r="Z154" s="1765" t="s">
        <v>156</v>
      </c>
      <c r="AA154" s="1765" t="s">
        <v>156</v>
      </c>
      <c r="AB154" s="1766" t="s">
        <v>156</v>
      </c>
      <c r="AC154" s="1765"/>
      <c r="AD154" s="1765"/>
      <c r="AE154" s="1765"/>
      <c r="AF154" s="1763">
        <v>-7.2069999999999999</v>
      </c>
      <c r="AG154" s="1766" t="s">
        <v>156</v>
      </c>
      <c r="AK154" s="1768">
        <v>-32.749000000000002</v>
      </c>
      <c r="AO154" s="1768"/>
      <c r="AQ154" s="1764">
        <v>-61</v>
      </c>
      <c r="AS154" s="1764">
        <f>-25-42</f>
        <v>-67</v>
      </c>
      <c r="AT154" s="1877"/>
      <c r="AW154" s="1768"/>
      <c r="AX154" s="2929">
        <f>-765-121</f>
        <v>-886</v>
      </c>
      <c r="AY154" s="2940">
        <f>-20-10</f>
        <v>-30</v>
      </c>
      <c r="AZ154" s="2940">
        <f>-14-41</f>
        <v>-55</v>
      </c>
      <c r="BA154" s="2940">
        <v>-3</v>
      </c>
      <c r="BB154" s="1877"/>
      <c r="BE154" s="1768">
        <f>-14-6</f>
        <v>-20</v>
      </c>
      <c r="BI154" s="1768"/>
      <c r="BM154" s="1768"/>
      <c r="BO154" s="1768"/>
      <c r="BP154" s="1768"/>
      <c r="BQ154" s="3343"/>
      <c r="BY154" s="1769">
        <v>-34.89</v>
      </c>
      <c r="BZ154" s="1769"/>
      <c r="CA154" s="1877"/>
      <c r="CB154" s="1877"/>
      <c r="CC154" s="1877">
        <f>-799-175</f>
        <v>-974</v>
      </c>
      <c r="CD154" s="1877">
        <f>-14-6</f>
        <v>-20</v>
      </c>
      <c r="CE154" s="1877">
        <f>SUM(BF154:BI154)</f>
        <v>0</v>
      </c>
      <c r="CF154" s="1877">
        <v>-297</v>
      </c>
      <c r="CG154" s="3377"/>
      <c r="CH154" s="3377"/>
    </row>
    <row r="155" spans="1:88" s="3169" customFormat="1">
      <c r="A155" s="1574" t="s">
        <v>2787</v>
      </c>
      <c r="E155" s="3170"/>
      <c r="L155" s="3171"/>
      <c r="W155" s="3172"/>
      <c r="AB155" s="3170"/>
      <c r="AG155" s="3170"/>
      <c r="AK155" s="3170"/>
      <c r="AO155" s="3170"/>
      <c r="AT155" s="3172"/>
      <c r="AW155" s="3170"/>
      <c r="AX155" s="3173"/>
      <c r="AY155" s="3174"/>
      <c r="AZ155" s="3174"/>
      <c r="BA155" s="3174"/>
      <c r="BB155" s="3172"/>
      <c r="BE155" s="3170"/>
      <c r="BI155" s="3170"/>
      <c r="BN155" s="1764">
        <v>-48</v>
      </c>
      <c r="BO155" s="1763">
        <v>-18</v>
      </c>
      <c r="BP155" s="1763">
        <v>-6</v>
      </c>
      <c r="BQ155" s="3346">
        <v>-8</v>
      </c>
      <c r="BR155" s="1764">
        <v>-26</v>
      </c>
      <c r="BS155" s="1764">
        <v>-44</v>
      </c>
      <c r="BT155" s="1764">
        <v>-6</v>
      </c>
      <c r="BU155" s="1764">
        <v>-31</v>
      </c>
      <c r="BV155" s="1764">
        <v>-56</v>
      </c>
      <c r="BW155" s="1764">
        <v>-13</v>
      </c>
      <c r="BX155" s="1764"/>
      <c r="BY155" s="3175"/>
      <c r="BZ155" s="3175"/>
      <c r="CA155" s="3172"/>
      <c r="CB155" s="3172"/>
      <c r="CC155" s="3172"/>
      <c r="CD155" s="3172"/>
      <c r="CE155" s="3172"/>
      <c r="CF155" s="3172"/>
      <c r="CG155" s="3378"/>
      <c r="CH155" s="3378"/>
    </row>
    <row r="156" spans="1:88" s="2018" customFormat="1">
      <c r="A156" s="2017" t="s">
        <v>22</v>
      </c>
      <c r="B156" s="2018">
        <v>-35.118000000000002</v>
      </c>
      <c r="C156" s="2018">
        <v>-45.143999999999998</v>
      </c>
      <c r="D156" s="2018">
        <v>-60.691000000000003</v>
      </c>
      <c r="E156" s="2019">
        <v>-97.281999999999996</v>
      </c>
      <c r="F156" s="2018">
        <f>SUM(F149:F153)</f>
        <v>-36.100143000000003</v>
      </c>
      <c r="G156" s="2018">
        <f>SUM(G149:G153)</f>
        <v>-47.277769000000006</v>
      </c>
      <c r="H156" s="2018">
        <f>SUM(H149:H153)</f>
        <v>-57.008572000000001</v>
      </c>
      <c r="I156" s="2018">
        <f>SUM(I149:I153)</f>
        <v>-84.179553999999996</v>
      </c>
      <c r="L156" s="2020"/>
      <c r="Q156" s="2018">
        <f t="shared" ref="Q156:AB156" si="136">SUM(Q147:Q154)</f>
        <v>-766.77100000000007</v>
      </c>
      <c r="R156" s="2018">
        <f t="shared" si="136"/>
        <v>-1040.8220000000001</v>
      </c>
      <c r="S156" s="2018">
        <f t="shared" si="136"/>
        <v>-1159.962</v>
      </c>
      <c r="T156" s="2018">
        <f t="shared" si="136"/>
        <v>-1383.6190000000001</v>
      </c>
      <c r="U156" s="2018">
        <f t="shared" si="136"/>
        <v>-1573.8619999999999</v>
      </c>
      <c r="V156" s="2018">
        <f t="shared" si="136"/>
        <v>-4727.2569999999996</v>
      </c>
      <c r="W156" s="2021">
        <f t="shared" si="136"/>
        <v>-1776.761</v>
      </c>
      <c r="X156" s="2018">
        <f t="shared" si="136"/>
        <v>-1847.3709999999999</v>
      </c>
      <c r="Y156" s="2018">
        <f t="shared" si="136"/>
        <v>-2208.1280000000002</v>
      </c>
      <c r="Z156" s="2018">
        <f t="shared" si="136"/>
        <v>-2700.0189999999998</v>
      </c>
      <c r="AA156" s="2018">
        <f t="shared" si="136"/>
        <v>-3367.1650000000004</v>
      </c>
      <c r="AB156" s="2019">
        <f t="shared" si="136"/>
        <v>-3999.1869999999999</v>
      </c>
      <c r="AD156" s="2018">
        <f t="shared" ref="AD156:AN156" si="137">SUM(AD147:AD154)</f>
        <v>-1251.4260000000002</v>
      </c>
      <c r="AE156" s="2018">
        <f t="shared" si="137"/>
        <v>-1264.6889999999999</v>
      </c>
      <c r="AF156" s="2018">
        <f t="shared" si="137"/>
        <v>-1337.8040000000003</v>
      </c>
      <c r="AG156" s="2019">
        <f t="shared" si="137"/>
        <v>-5016.0770000000002</v>
      </c>
      <c r="AH156" s="2018">
        <f t="shared" si="137"/>
        <v>-1600.6890000000001</v>
      </c>
      <c r="AI156" s="2018">
        <f t="shared" si="137"/>
        <v>-1763.827</v>
      </c>
      <c r="AJ156" s="2018">
        <f t="shared" si="137"/>
        <v>-1777.846</v>
      </c>
      <c r="AK156" s="2019">
        <f t="shared" si="137"/>
        <v>-1574.8019999999999</v>
      </c>
      <c r="AL156" s="2018">
        <f t="shared" si="137"/>
        <v>-1839.8819999999998</v>
      </c>
      <c r="AM156" s="2018">
        <f t="shared" si="137"/>
        <v>-2044.2769999999998</v>
      </c>
      <c r="AN156" s="2018">
        <f t="shared" si="137"/>
        <v>-2025.5609999999999</v>
      </c>
      <c r="AO156" s="2019">
        <v>-1769.0830000000001</v>
      </c>
      <c r="AP156" s="2018">
        <f t="shared" ref="AP156:BM156" si="138">SUM(AP147:AP154)</f>
        <v>-2187</v>
      </c>
      <c r="AQ156" s="2018">
        <f t="shared" si="138"/>
        <v>-2271</v>
      </c>
      <c r="AR156" s="2018">
        <f t="shared" si="138"/>
        <v>-2256</v>
      </c>
      <c r="AS156" s="2018">
        <f t="shared" si="138"/>
        <v>-1987</v>
      </c>
      <c r="AT156" s="2021">
        <f t="shared" si="138"/>
        <v>-2250</v>
      </c>
      <c r="AU156" s="2018">
        <f t="shared" si="138"/>
        <v>-2397</v>
      </c>
      <c r="AV156" s="2018">
        <f t="shared" si="138"/>
        <v>-2461</v>
      </c>
      <c r="AW156" s="2019">
        <f t="shared" si="138"/>
        <v>-2048</v>
      </c>
      <c r="AX156" s="2021">
        <f t="shared" si="138"/>
        <v>-2874</v>
      </c>
      <c r="AY156" s="2018">
        <f t="shared" si="138"/>
        <v>-1026</v>
      </c>
      <c r="AZ156" s="2018">
        <f t="shared" si="138"/>
        <v>-1242</v>
      </c>
      <c r="BA156" s="2018">
        <f t="shared" si="138"/>
        <v>-1096</v>
      </c>
      <c r="BB156" s="2021">
        <f t="shared" si="138"/>
        <v>-1304</v>
      </c>
      <c r="BC156" s="2018">
        <f t="shared" si="138"/>
        <v>-1869</v>
      </c>
      <c r="BD156" s="2018">
        <f t="shared" si="138"/>
        <v>-1996</v>
      </c>
      <c r="BE156" s="2019">
        <f t="shared" si="138"/>
        <v>-1721</v>
      </c>
      <c r="BF156" s="2018">
        <f t="shared" si="138"/>
        <v>-2013</v>
      </c>
      <c r="BG156" s="2018">
        <f t="shared" si="138"/>
        <v>-2388</v>
      </c>
      <c r="BH156" s="2018">
        <f t="shared" si="138"/>
        <v>-2365</v>
      </c>
      <c r="BI156" s="2019">
        <f t="shared" si="138"/>
        <v>-2078</v>
      </c>
      <c r="BJ156" s="2018">
        <f>SUM(BJ147:BJ154)</f>
        <v>-2372</v>
      </c>
      <c r="BK156" s="2018">
        <f t="shared" si="138"/>
        <v>-2508</v>
      </c>
      <c r="BL156" s="2018">
        <f t="shared" si="138"/>
        <v>-2598</v>
      </c>
      <c r="BM156" s="2018">
        <f t="shared" si="138"/>
        <v>-2327</v>
      </c>
      <c r="BN156" s="2018">
        <f t="shared" ref="BN156:BT156" si="139">SUM(BN147:BN155)</f>
        <v>-2641</v>
      </c>
      <c r="BO156" s="2018">
        <f t="shared" si="139"/>
        <v>-2745</v>
      </c>
      <c r="BP156" s="2018">
        <f t="shared" si="139"/>
        <v>-2877</v>
      </c>
      <c r="BQ156" s="3347">
        <f t="shared" si="139"/>
        <v>-2501</v>
      </c>
      <c r="BR156" s="2018">
        <f t="shared" si="139"/>
        <v>-2701</v>
      </c>
      <c r="BS156" s="2018">
        <f t="shared" si="139"/>
        <v>-2924</v>
      </c>
      <c r="BT156" s="2018">
        <f t="shared" si="139"/>
        <v>-3000</v>
      </c>
      <c r="BU156" s="2018">
        <f>SUM(BU147:BU155)</f>
        <v>-2781</v>
      </c>
      <c r="BV156" s="2018">
        <f>SUM(BV147:BV155)</f>
        <v>-2798</v>
      </c>
      <c r="BW156" s="2018">
        <f>SUM(BW147:BW155)</f>
        <v>-3100</v>
      </c>
      <c r="BY156" s="2022">
        <f>SUM(BY147:BY154)</f>
        <v>-6715.1640000000007</v>
      </c>
      <c r="BZ156" s="2022">
        <v>-7678.1750000000002</v>
      </c>
      <c r="CA156" s="2021">
        <f t="shared" ref="CA156:CG156" si="140">SUM(CA147:CA154)</f>
        <v>-8573</v>
      </c>
      <c r="CB156" s="2021">
        <f t="shared" si="140"/>
        <v>-9001</v>
      </c>
      <c r="CC156" s="2021">
        <f t="shared" si="140"/>
        <v>-6238</v>
      </c>
      <c r="CD156" s="2021">
        <f t="shared" si="140"/>
        <v>-6890</v>
      </c>
      <c r="CE156" s="2021">
        <f t="shared" si="140"/>
        <v>-8844</v>
      </c>
      <c r="CF156" s="2021">
        <f t="shared" si="140"/>
        <v>-10104</v>
      </c>
      <c r="CG156" s="3379">
        <f t="shared" si="140"/>
        <v>-10656</v>
      </c>
      <c r="CH156" s="3379">
        <f>SUM(CH147:CH154)</f>
        <v>-11214</v>
      </c>
    </row>
    <row r="157" spans="1:88" s="1764" customFormat="1">
      <c r="A157" s="1573" t="s">
        <v>1925</v>
      </c>
      <c r="B157" s="1764">
        <v>1.5469999999999999</v>
      </c>
      <c r="C157" s="1764">
        <v>2.81</v>
      </c>
      <c r="D157" s="1764">
        <v>3.4830000000000001</v>
      </c>
      <c r="E157" s="1768">
        <v>4.8070000000000004</v>
      </c>
      <c r="F157" s="1765" t="s">
        <v>156</v>
      </c>
      <c r="G157" s="1765" t="s">
        <v>156</v>
      </c>
      <c r="H157" s="1764">
        <v>0.527285</v>
      </c>
      <c r="I157" s="1764">
        <v>6.89445</v>
      </c>
      <c r="L157" s="1880"/>
      <c r="M157" s="1881"/>
      <c r="N157" s="1881"/>
      <c r="O157" s="1881"/>
      <c r="P157" s="1881"/>
      <c r="Q157" s="1764">
        <v>95.781000000000006</v>
      </c>
      <c r="R157" s="1764">
        <v>171.4</v>
      </c>
      <c r="S157" s="1764">
        <v>91.724999999999994</v>
      </c>
      <c r="T157" s="1764">
        <v>80.284999999999997</v>
      </c>
      <c r="U157" s="1764">
        <v>62.848999999999997</v>
      </c>
      <c r="V157" s="1764">
        <v>61.290999999999997</v>
      </c>
      <c r="W157" s="1764">
        <v>61.661000000000001</v>
      </c>
      <c r="X157" s="1764">
        <v>52.506999999999998</v>
      </c>
      <c r="Y157" s="1764">
        <v>63.847000000000001</v>
      </c>
      <c r="Z157" s="1764">
        <f>3.296+13.474+16.073+31.753</f>
        <v>64.596000000000004</v>
      </c>
      <c r="AA157" s="1764">
        <v>130.173</v>
      </c>
      <c r="AB157" s="1768">
        <v>85.010999999999996</v>
      </c>
      <c r="AD157" s="1764">
        <f>1.316+6.86+5.559+27.759</f>
        <v>41.494</v>
      </c>
      <c r="AE157" s="1764">
        <f>1.112+10.558+7.062+15.694+29.23</f>
        <v>63.656000000000006</v>
      </c>
      <c r="AF157" s="1764">
        <f>1.721+9.274+7.361+22.157+3.519</f>
        <v>44.031999999999996</v>
      </c>
      <c r="AG157" s="1768">
        <v>178.06800000000001</v>
      </c>
      <c r="AH157" s="1764">
        <f>2.408+7.042+10.621+17.664+11.173</f>
        <v>48.908000000000001</v>
      </c>
      <c r="AI157" s="1764">
        <f>2.884+25.454+28.82+42.803+0.47</f>
        <v>100.431</v>
      </c>
      <c r="AJ157" s="1764">
        <f>3.476+4.876+11.556+27.308+1.047</f>
        <v>48.262999999999998</v>
      </c>
      <c r="AK157" s="1768">
        <f>2.62+9.282+12.539+20.374</f>
        <v>44.814999999999998</v>
      </c>
      <c r="AL157" s="1764">
        <f>2.839+10.731+13.038+20.603</f>
        <v>47.210999999999999</v>
      </c>
      <c r="AM157" s="1764">
        <v>50.101999999999997</v>
      </c>
      <c r="AN157" s="1764">
        <v>6.2789999999999999</v>
      </c>
      <c r="AO157" s="1768">
        <v>45.758000000000003</v>
      </c>
      <c r="AP157" s="1764">
        <v>50</v>
      </c>
      <c r="AQ157" s="1764">
        <v>50</v>
      </c>
      <c r="AR157" s="1764">
        <v>54</v>
      </c>
      <c r="AS157" s="1764">
        <v>49</v>
      </c>
      <c r="AT157" s="1877">
        <v>56</v>
      </c>
      <c r="AU157" s="1764">
        <v>59</v>
      </c>
      <c r="AV157" s="1764">
        <v>60</v>
      </c>
      <c r="AW157" s="1768">
        <v>66</v>
      </c>
      <c r="AX157" s="1877">
        <v>55</v>
      </c>
      <c r="AY157" s="1764">
        <v>54</v>
      </c>
      <c r="AZ157" s="1764">
        <v>47</v>
      </c>
      <c r="BA157" s="1764">
        <f>3+11+16+19</f>
        <v>49</v>
      </c>
      <c r="BB157" s="1877">
        <f>5+17+27+34</f>
        <v>83</v>
      </c>
      <c r="BC157" s="1764">
        <f>6+32+32+50</f>
        <v>120</v>
      </c>
      <c r="BD157" s="1764">
        <f>6+29+32+49</f>
        <v>116</v>
      </c>
      <c r="BE157" s="1768">
        <f>5+18+26+50</f>
        <v>99</v>
      </c>
      <c r="BF157" s="1764">
        <f>3+15+27+45</f>
        <v>90</v>
      </c>
      <c r="BG157" s="1764">
        <f>3+17+27+46</f>
        <v>93</v>
      </c>
      <c r="BH157" s="1764">
        <f>4+18+28+47</f>
        <v>97</v>
      </c>
      <c r="BI157" s="1768">
        <f>4+17+29+44</f>
        <v>94</v>
      </c>
      <c r="BJ157" s="1764">
        <v>103</v>
      </c>
      <c r="BK157" s="1764">
        <v>106</v>
      </c>
      <c r="BL157" s="1764">
        <v>105</v>
      </c>
      <c r="BM157" s="1768">
        <f>4+19+33+43</f>
        <v>99</v>
      </c>
      <c r="BN157" s="1764">
        <v>104</v>
      </c>
      <c r="BO157" s="1768">
        <f>4+23+40+39+8</f>
        <v>114</v>
      </c>
      <c r="BP157" s="1768">
        <f>3+19+40+85</f>
        <v>147</v>
      </c>
      <c r="BQ157" s="3343">
        <f>3+20+34+36</f>
        <v>93</v>
      </c>
      <c r="BR157" s="1764">
        <f>3+20+38+37</f>
        <v>98</v>
      </c>
      <c r="BS157" s="1764">
        <f>4+23+39+36+3</f>
        <v>105</v>
      </c>
      <c r="BT157" s="1764">
        <f>3+20+34+33</f>
        <v>90</v>
      </c>
      <c r="BU157" s="1764">
        <f>4+20+36+41+4</f>
        <v>105</v>
      </c>
      <c r="BV157" s="1764">
        <f>4+18+38+39+4</f>
        <v>103</v>
      </c>
      <c r="BW157" s="1764">
        <f>4+24+40+44+2</f>
        <v>114</v>
      </c>
      <c r="BY157" s="1769">
        <f>11.388+46.654+63.536+108.149+12.69</f>
        <v>242.417</v>
      </c>
      <c r="BZ157" s="1769">
        <v>149.35</v>
      </c>
      <c r="CA157" s="1877">
        <f>SUM(AP157:AS157)</f>
        <v>203</v>
      </c>
      <c r="CB157" s="1877">
        <v>241</v>
      </c>
      <c r="CC157" s="1877">
        <f>12+48+69+76</f>
        <v>205</v>
      </c>
      <c r="CD157" s="1877">
        <f>22+96+117+183</f>
        <v>418</v>
      </c>
      <c r="CE157" s="2934">
        <f>14+67+111+182</f>
        <v>374</v>
      </c>
      <c r="CF157" s="2934">
        <f>14+79+138+182</f>
        <v>413</v>
      </c>
      <c r="CG157" s="2934">
        <f>12+81+154+203+8</f>
        <v>458</v>
      </c>
      <c r="CH157" s="2934">
        <f>14+83+147+147+7</f>
        <v>398</v>
      </c>
    </row>
    <row r="158" spans="1:88" s="1764" customFormat="1">
      <c r="A158" s="1561" t="s">
        <v>2047</v>
      </c>
      <c r="E158" s="1768"/>
      <c r="L158" s="1876"/>
      <c r="W158" s="1877"/>
      <c r="AB158" s="1768"/>
      <c r="AG158" s="1768"/>
      <c r="AI158" s="1882"/>
      <c r="AJ158" s="1882"/>
      <c r="AK158" s="1883"/>
      <c r="AL158" s="1882"/>
      <c r="AM158" s="1882"/>
      <c r="AN158" s="1882"/>
      <c r="AO158" s="1883"/>
      <c r="AP158" s="1882"/>
      <c r="AQ158" s="1882"/>
      <c r="AR158" s="1882"/>
      <c r="AS158" s="1882"/>
      <c r="AT158" s="1877"/>
      <c r="AW158" s="1768"/>
      <c r="AX158" s="1877"/>
      <c r="BB158" s="1877"/>
      <c r="BE158" s="1768"/>
      <c r="BI158" s="1768"/>
      <c r="BM158" s="1768"/>
      <c r="BO158" s="1768"/>
      <c r="BP158" s="1768"/>
      <c r="BQ158" s="3343"/>
      <c r="BY158" s="1769"/>
      <c r="BZ158" s="1769"/>
      <c r="CA158" s="1877"/>
      <c r="CB158" s="1877"/>
      <c r="CC158" s="1877"/>
      <c r="CD158" s="1877"/>
      <c r="CE158" s="1877"/>
      <c r="CF158" s="1877"/>
      <c r="CG158" s="3377"/>
      <c r="CH158" s="3377"/>
    </row>
    <row r="159" spans="1:88" s="1764" customFormat="1" ht="11.5">
      <c r="A159" s="1594" t="s">
        <v>1162</v>
      </c>
      <c r="B159" s="1884" t="e">
        <f>B315-B291</f>
        <v>#VALUE!</v>
      </c>
      <c r="C159" s="1884" t="e">
        <f>C315-C291</f>
        <v>#VALUE!</v>
      </c>
      <c r="D159" s="1884" t="e">
        <f>D315-D291</f>
        <v>#VALUE!</v>
      </c>
      <c r="E159" s="1884" t="e">
        <f>SUM(A159:D159)</f>
        <v>#VALUE!</v>
      </c>
      <c r="F159" s="1884" t="e">
        <f>F315-F291</f>
        <v>#VALUE!</v>
      </c>
      <c r="G159" s="1884" t="e">
        <f>G315-G291</f>
        <v>#VALUE!</v>
      </c>
      <c r="H159" s="1884" t="e">
        <f>H315-H291</f>
        <v>#VALUE!</v>
      </c>
      <c r="I159" s="1884">
        <f>I315-I291</f>
        <v>0</v>
      </c>
      <c r="J159" s="1884" t="e">
        <f>SUM(F159:I159)</f>
        <v>#VALUE!</v>
      </c>
      <c r="K159" s="1884">
        <f>K315-K291</f>
        <v>0</v>
      </c>
      <c r="L159" s="1885">
        <f>L315-L291</f>
        <v>0</v>
      </c>
      <c r="M159" s="1884">
        <f>M315-M291</f>
        <v>0</v>
      </c>
      <c r="N159" s="1884">
        <f>N315-N291</f>
        <v>0</v>
      </c>
      <c r="O159" s="1884">
        <f>SUM(K159:N159)</f>
        <v>0</v>
      </c>
      <c r="P159" s="1884">
        <f>P315-P291</f>
        <v>0</v>
      </c>
      <c r="Q159" s="1884">
        <f>Q315-Q291</f>
        <v>0</v>
      </c>
      <c r="R159" s="1884">
        <f>R315-R291</f>
        <v>0</v>
      </c>
      <c r="W159" s="1877"/>
      <c r="AB159" s="1768"/>
      <c r="AC159" s="1764">
        <v>-320.76</v>
      </c>
      <c r="AD159" s="1764">
        <v>-319.76600000000002</v>
      </c>
      <c r="AE159" s="1764">
        <v>-326.95399999999995</v>
      </c>
      <c r="AF159" s="1764">
        <v>-336.77199999999999</v>
      </c>
      <c r="AG159" s="1768">
        <v>-1304.252</v>
      </c>
      <c r="AH159" s="1764">
        <v>-400.16200000000003</v>
      </c>
      <c r="AI159" s="1764">
        <v>-403.49599999999998</v>
      </c>
      <c r="AJ159" s="1764">
        <v>-413.43099999999998</v>
      </c>
      <c r="AK159" s="1768">
        <v>-368.221</v>
      </c>
      <c r="AL159" s="1764">
        <v>-418.84800000000001</v>
      </c>
      <c r="AM159" s="1764">
        <v>-436.28000000000003</v>
      </c>
      <c r="AN159" s="1764">
        <v>-456.27000000000004</v>
      </c>
      <c r="AO159" s="1768">
        <v>-434.96000000000004</v>
      </c>
      <c r="AP159" s="1764">
        <v>-485</v>
      </c>
      <c r="AQ159" s="1764">
        <v>-495</v>
      </c>
      <c r="AR159" s="1764">
        <v>-501</v>
      </c>
      <c r="AS159" s="1764">
        <v>-473</v>
      </c>
      <c r="AT159" s="1877">
        <f>AT142+3</f>
        <v>-487</v>
      </c>
      <c r="AU159" s="2659">
        <f>AU142+3</f>
        <v>-497</v>
      </c>
      <c r="AV159" s="2659">
        <v>-545</v>
      </c>
      <c r="AW159" s="2728">
        <f>AW142+3</f>
        <v>-536</v>
      </c>
      <c r="AX159" s="1877">
        <f>AX142+3</f>
        <v>-626</v>
      </c>
      <c r="AY159" s="1764">
        <f>AY142+3</f>
        <v>-386</v>
      </c>
      <c r="AZ159" s="1764">
        <v>-372</v>
      </c>
      <c r="BA159" s="1764">
        <f>BA142+3</f>
        <v>-284</v>
      </c>
      <c r="BB159" s="1877">
        <f>BB142+5</f>
        <v>-306</v>
      </c>
      <c r="BC159" s="1764">
        <f>BC142+6</f>
        <v>-368</v>
      </c>
      <c r="BD159" s="1764">
        <f>BD142+6</f>
        <v>-436</v>
      </c>
      <c r="BE159" s="1768">
        <f>BE142+5</f>
        <v>-390</v>
      </c>
      <c r="BF159" s="1764">
        <v>-368</v>
      </c>
      <c r="BG159" s="1764">
        <v>-416</v>
      </c>
      <c r="BH159" s="1764">
        <v>-451</v>
      </c>
      <c r="BI159" s="1768">
        <v>-408</v>
      </c>
      <c r="BJ159" s="1764">
        <v>-411</v>
      </c>
      <c r="BK159" s="1764">
        <v>-403</v>
      </c>
      <c r="BL159" s="1764">
        <v>-409</v>
      </c>
      <c r="BM159" s="1768">
        <v>-336</v>
      </c>
      <c r="BN159" s="1764">
        <v>-356</v>
      </c>
      <c r="BO159" s="1768">
        <v>-358</v>
      </c>
      <c r="BP159" s="1768">
        <f>BP142+3</f>
        <v>-385</v>
      </c>
      <c r="BQ159" s="3343">
        <f>BQ142+3</f>
        <v>-332</v>
      </c>
      <c r="BR159" s="3343">
        <f>BR142+3</f>
        <v>-354</v>
      </c>
      <c r="BS159" s="3343">
        <f>BS142+4</f>
        <v>-373</v>
      </c>
      <c r="BT159" s="3343">
        <f>BT142+3</f>
        <v>-373</v>
      </c>
      <c r="BU159" s="3343">
        <f>BU142+4</f>
        <v>-338</v>
      </c>
      <c r="BV159" s="3343">
        <f>BV142+4</f>
        <v>-373</v>
      </c>
      <c r="BW159" s="3343">
        <f>BW142+4</f>
        <v>-399</v>
      </c>
      <c r="BX159" s="1768"/>
      <c r="BY159" s="1769">
        <v>-1585.31</v>
      </c>
      <c r="BZ159" s="1769">
        <v>-1746.3580000000002</v>
      </c>
      <c r="CA159" s="1877">
        <f>SUM(AP159:AS159)</f>
        <v>-1954</v>
      </c>
      <c r="CB159" s="1877">
        <f>-2163+12</f>
        <v>-2151</v>
      </c>
      <c r="CC159" s="1877">
        <f>-1680+12</f>
        <v>-1668</v>
      </c>
      <c r="CD159" s="1877">
        <f>-1522+22</f>
        <v>-1500</v>
      </c>
      <c r="CE159" s="1877">
        <v>-1643</v>
      </c>
      <c r="CF159" s="1877">
        <v>-1559</v>
      </c>
      <c r="CG159" s="3377">
        <f>-CG142+12</f>
        <v>1455</v>
      </c>
      <c r="CH159" s="3377">
        <f>-CH142+14</f>
        <v>1470</v>
      </c>
    </row>
    <row r="160" spans="1:88" s="1764" customFormat="1" ht="11.5">
      <c r="A160" s="3063" t="s">
        <v>2756</v>
      </c>
      <c r="B160" s="1884"/>
      <c r="C160" s="1884"/>
      <c r="D160" s="1884"/>
      <c r="E160" s="1884"/>
      <c r="F160" s="1884"/>
      <c r="G160" s="1884"/>
      <c r="H160" s="1884"/>
      <c r="I160" s="1884"/>
      <c r="J160" s="1884"/>
      <c r="K160" s="1884"/>
      <c r="L160" s="1885"/>
      <c r="M160" s="1884"/>
      <c r="N160" s="1884"/>
      <c r="O160" s="1884"/>
      <c r="P160" s="1884"/>
      <c r="Q160" s="1884"/>
      <c r="R160" s="1884"/>
      <c r="W160" s="1877"/>
      <c r="AB160" s="1768"/>
      <c r="AK160" s="1768"/>
      <c r="AO160" s="1768"/>
      <c r="AT160" s="1877"/>
      <c r="AU160" s="2659"/>
      <c r="AV160" s="2659"/>
      <c r="AW160" s="2728"/>
      <c r="AX160" s="1877"/>
      <c r="BB160" s="1877"/>
      <c r="BE160" s="1768"/>
      <c r="BI160" s="97">
        <f t="shared" ref="BI160:BS160" si="141">BI159/BE159-1</f>
        <v>4.6153846153846212E-2</v>
      </c>
      <c r="BJ160" s="97">
        <f t="shared" si="141"/>
        <v>0.11684782608695654</v>
      </c>
      <c r="BK160" s="97">
        <f t="shared" si="141"/>
        <v>-3.125E-2</v>
      </c>
      <c r="BL160" s="97">
        <f t="shared" si="141"/>
        <v>-9.3126385809312651E-2</v>
      </c>
      <c r="BM160" s="97">
        <f t="shared" si="141"/>
        <v>-0.17647058823529416</v>
      </c>
      <c r="BN160" s="97">
        <f t="shared" si="141"/>
        <v>-0.13381995133819946</v>
      </c>
      <c r="BO160" s="97">
        <f t="shared" si="141"/>
        <v>-0.11166253101736978</v>
      </c>
      <c r="BP160" s="97">
        <f t="shared" si="141"/>
        <v>-5.8679706601467041E-2</v>
      </c>
      <c r="BQ160" s="97">
        <f t="shared" si="141"/>
        <v>-1.1904761904761862E-2</v>
      </c>
      <c r="BR160" s="97">
        <f t="shared" si="141"/>
        <v>-5.6179775280899014E-3</v>
      </c>
      <c r="BS160" s="97">
        <f t="shared" si="141"/>
        <v>4.1899441340782051E-2</v>
      </c>
      <c r="BT160" s="97">
        <f>BT159/BP159-1</f>
        <v>-3.1168831168831179E-2</v>
      </c>
      <c r="BU160" s="97">
        <f>BU159/BQ159-1</f>
        <v>1.8072289156626509E-2</v>
      </c>
      <c r="BV160" s="97">
        <f>BV159/BR159-1</f>
        <v>5.3672316384180796E-2</v>
      </c>
      <c r="BW160" s="97">
        <f>BW159/BS159-1</f>
        <v>6.9705093833780207E-2</v>
      </c>
      <c r="BX160" s="97"/>
      <c r="BY160" s="1769"/>
      <c r="BZ160" s="1769"/>
      <c r="CA160" s="1877"/>
      <c r="CB160" s="1877"/>
      <c r="CC160" s="1877"/>
      <c r="CD160" s="1877"/>
      <c r="CE160" s="1877"/>
      <c r="CF160" s="1877"/>
      <c r="CG160" s="3377"/>
      <c r="CH160" s="3377"/>
    </row>
    <row r="161" spans="1:86" s="3031" customFormat="1">
      <c r="A161" s="3065" t="s">
        <v>2715</v>
      </c>
      <c r="E161" s="3032"/>
      <c r="H161" s="3033"/>
      <c r="I161" s="3033"/>
      <c r="J161" s="3033"/>
      <c r="K161" s="3033"/>
      <c r="L161" s="3019"/>
      <c r="M161" s="3034"/>
      <c r="N161" s="3034"/>
      <c r="O161" s="3034"/>
      <c r="P161" s="3034"/>
      <c r="Q161" s="3033"/>
      <c r="R161" s="3033"/>
      <c r="S161" s="3033"/>
      <c r="T161" s="3034"/>
      <c r="U161" s="3034"/>
      <c r="V161" s="3033"/>
      <c r="W161" s="3035"/>
      <c r="X161" s="3033"/>
      <c r="Y161" s="3033"/>
      <c r="Z161" s="3033"/>
      <c r="AA161" s="3033"/>
      <c r="AB161" s="3036"/>
      <c r="AC161" s="3033"/>
      <c r="AD161" s="3033"/>
      <c r="AE161" s="3033"/>
      <c r="AF161" s="3033"/>
      <c r="AG161" s="3036"/>
      <c r="AH161" s="3037"/>
      <c r="AI161" s="3037"/>
      <c r="AJ161" s="3037"/>
      <c r="AK161" s="3038"/>
      <c r="AL161" s="3037"/>
      <c r="AM161" s="3037"/>
      <c r="AN161" s="3037"/>
      <c r="AO161" s="3038"/>
      <c r="AP161" s="3037"/>
      <c r="AQ161" s="3037"/>
      <c r="AR161" s="3037"/>
      <c r="AS161" s="3037"/>
      <c r="AT161" s="3039"/>
      <c r="AU161" s="3037"/>
      <c r="AV161" s="3037"/>
      <c r="AW161" s="3038"/>
      <c r="AX161" s="3039"/>
      <c r="AY161" s="3037"/>
      <c r="AZ161" s="3037"/>
      <c r="BA161" s="3037"/>
      <c r="BB161" s="3039"/>
      <c r="BC161" s="3037"/>
      <c r="BD161" s="3037"/>
      <c r="BE161" s="3038"/>
      <c r="BF161" s="3037"/>
      <c r="BG161" s="3040"/>
      <c r="BH161" s="3040"/>
      <c r="BI161" s="3041">
        <f>BI159/AW159-1</f>
        <v>-0.23880597014925375</v>
      </c>
      <c r="BJ161" s="3040">
        <f>BJ159/AT159-1</f>
        <v>-0.15605749486652976</v>
      </c>
      <c r="BK161" s="3041">
        <f>BK159/AU159-1</f>
        <v>-0.18913480885311873</v>
      </c>
      <c r="BL161" s="3041">
        <f>BL159/AV159-1</f>
        <v>-0.24954128440366974</v>
      </c>
      <c r="BM161" s="3041">
        <f>BM159/AW159-1</f>
        <v>-0.37313432835820892</v>
      </c>
      <c r="BN161" s="3040"/>
      <c r="BO161" s="3041">
        <f>BO159/AU159-1</f>
        <v>-0.27967806841046272</v>
      </c>
      <c r="BP161" s="3041">
        <f>BP159/AV159-1</f>
        <v>-0.29357798165137616</v>
      </c>
      <c r="BQ161" s="3041">
        <f>BQ159/AW159-1</f>
        <v>-0.38059701492537312</v>
      </c>
      <c r="BR161" s="3041">
        <f>BR159/AT159-1</f>
        <v>-0.2731006160164271</v>
      </c>
      <c r="BS161" s="3041">
        <f>BS159/AU159-1</f>
        <v>-0.24949698189134806</v>
      </c>
      <c r="BT161" s="3041">
        <f>BT159/AV159-1</f>
        <v>-0.31559633027522938</v>
      </c>
      <c r="BU161" s="3041">
        <f>BU159/AW159-1</f>
        <v>-0.36940298507462688</v>
      </c>
      <c r="BV161" s="3041">
        <f>BV159/AT159-1</f>
        <v>-0.23408624229979469</v>
      </c>
      <c r="BW161" s="3041">
        <f>BW159/AU159-1</f>
        <v>-0.19718309859154926</v>
      </c>
      <c r="BX161" s="3028"/>
      <c r="BY161" s="3042"/>
      <c r="BZ161" s="3042"/>
      <c r="CA161" s="3039"/>
      <c r="CB161" s="3039"/>
      <c r="CC161" s="3039"/>
      <c r="CD161" s="3039"/>
      <c r="CE161" s="3039"/>
      <c r="CF161" s="3039"/>
      <c r="CG161" s="3039"/>
      <c r="CH161" s="3039"/>
    </row>
    <row r="162" spans="1:86" s="1764" customFormat="1">
      <c r="A162" s="1594" t="s">
        <v>1345</v>
      </c>
      <c r="E162" s="1768"/>
      <c r="L162" s="1876"/>
      <c r="W162" s="1877"/>
      <c r="AB162" s="1768"/>
      <c r="AC162" s="1764">
        <v>-183.67100000000002</v>
      </c>
      <c r="AD162" s="1764">
        <v>-180.95699999999999</v>
      </c>
      <c r="AE162" s="1764">
        <v>-195.64099999999999</v>
      </c>
      <c r="AF162" s="1764">
        <v>-243.209</v>
      </c>
      <c r="AG162" s="1764">
        <v>-803.47800000000007</v>
      </c>
      <c r="AH162" s="1764">
        <v>-280.93300000000005</v>
      </c>
      <c r="AI162" s="1764">
        <v>-289.101</v>
      </c>
      <c r="AJ162" s="1764">
        <v>-289.89000000000004</v>
      </c>
      <c r="AK162" s="1768">
        <v>-311.55900000000003</v>
      </c>
      <c r="AL162" s="1764">
        <v>-309.00200000000001</v>
      </c>
      <c r="AM162" s="1764">
        <v>-327.93099999999998</v>
      </c>
      <c r="AN162" s="1764">
        <v>-336.11699999999996</v>
      </c>
      <c r="AO162" s="1768">
        <v>-359.10399999999998</v>
      </c>
      <c r="AP162" s="1764">
        <v>-381</v>
      </c>
      <c r="AQ162" s="1764">
        <v>-384</v>
      </c>
      <c r="AR162" s="1764">
        <v>-389</v>
      </c>
      <c r="AS162" s="1764">
        <v>-402</v>
      </c>
      <c r="AT162" s="1877">
        <f>AT147+19</f>
        <v>-278</v>
      </c>
      <c r="AU162" s="2659">
        <f>AU147+19</f>
        <v>-285</v>
      </c>
      <c r="AV162" s="2659">
        <v>-286</v>
      </c>
      <c r="AW162" s="2728">
        <f>AW147+18</f>
        <v>-303</v>
      </c>
      <c r="AX162" s="1877">
        <f>AX147+20</f>
        <v>-288</v>
      </c>
      <c r="AY162" s="1764">
        <f>AY147+18</f>
        <v>-237</v>
      </c>
      <c r="AZ162" s="1764">
        <v>-209</v>
      </c>
      <c r="BA162" s="1764">
        <f>BA147+16</f>
        <v>-207</v>
      </c>
      <c r="BB162" s="1877">
        <f>BB147+27</f>
        <v>-220</v>
      </c>
      <c r="BC162" s="1764">
        <f>BC147+32</f>
        <v>-244</v>
      </c>
      <c r="BD162" s="1764">
        <f>BD147+32</f>
        <v>-245</v>
      </c>
      <c r="BE162" s="1768">
        <f>BE147+26</f>
        <v>-248</v>
      </c>
      <c r="BF162" s="1764">
        <v>-243</v>
      </c>
      <c r="BG162" s="1764">
        <v>-257</v>
      </c>
      <c r="BH162" s="1764">
        <v>-282</v>
      </c>
      <c r="BI162" s="1768">
        <v>-288</v>
      </c>
      <c r="BJ162" s="1764">
        <v>-283</v>
      </c>
      <c r="BK162" s="1764">
        <v>-308</v>
      </c>
      <c r="BL162" s="1764">
        <v>-305</v>
      </c>
      <c r="BM162" s="1768">
        <v>-324</v>
      </c>
      <c r="BN162" s="1764">
        <v>-301</v>
      </c>
      <c r="BO162" s="1768">
        <v>-291</v>
      </c>
      <c r="BP162" s="1768">
        <f>BP147+40</f>
        <v>-280</v>
      </c>
      <c r="BQ162" s="3343">
        <f>BQ147+34</f>
        <v>-288</v>
      </c>
      <c r="BR162" s="3343">
        <f>BR147+38</f>
        <v>-282</v>
      </c>
      <c r="BS162" s="3343">
        <f>BS147+39</f>
        <v>-286</v>
      </c>
      <c r="BT162" s="3343">
        <f>BT147+34</f>
        <v>-276</v>
      </c>
      <c r="BU162" s="3343">
        <f>BU147+36</f>
        <v>-286</v>
      </c>
      <c r="BV162" s="3343">
        <f>BV147+38</f>
        <v>-286</v>
      </c>
      <c r="BW162" s="3343">
        <f>BW147+40</f>
        <v>-285</v>
      </c>
      <c r="BX162" s="1768"/>
      <c r="BY162" s="1769">
        <v>-1171.4830000000002</v>
      </c>
      <c r="BZ162" s="1769">
        <v>-1332.154</v>
      </c>
      <c r="CA162" s="1877">
        <f>SUM(AP162:AS162)</f>
        <v>-1556</v>
      </c>
      <c r="CB162" s="1877">
        <f>-1763+74</f>
        <v>-1689</v>
      </c>
      <c r="CC162" s="1877">
        <f>-1010+69</f>
        <v>-941</v>
      </c>
      <c r="CD162" s="1877">
        <f>-1074+117</f>
        <v>-957</v>
      </c>
      <c r="CE162" s="1877">
        <v>-1070</v>
      </c>
      <c r="CF162" s="1877">
        <v>-1220</v>
      </c>
      <c r="CG162" s="3377">
        <f>CG147+154</f>
        <v>-1160</v>
      </c>
      <c r="CH162" s="3377">
        <f>CH147+147</f>
        <v>-1130</v>
      </c>
    </row>
    <row r="163" spans="1:86" s="1764" customFormat="1">
      <c r="A163" s="3063" t="s">
        <v>2756</v>
      </c>
      <c r="E163" s="1768"/>
      <c r="L163" s="1876"/>
      <c r="W163" s="1877"/>
      <c r="AB163" s="1768"/>
      <c r="AK163" s="1768"/>
      <c r="AO163" s="1768"/>
      <c r="AT163" s="1877"/>
      <c r="AU163" s="2659"/>
      <c r="AV163" s="2659"/>
      <c r="AW163" s="2728"/>
      <c r="AX163" s="1877"/>
      <c r="BB163" s="1877"/>
      <c r="BE163" s="1768"/>
      <c r="BI163" s="97">
        <f t="shared" ref="BI163:BW163" si="142">BI162/BE162-1</f>
        <v>0.16129032258064524</v>
      </c>
      <c r="BJ163" s="97">
        <f t="shared" si="142"/>
        <v>0.1646090534979423</v>
      </c>
      <c r="BK163" s="97">
        <f t="shared" si="142"/>
        <v>0.19844357976653693</v>
      </c>
      <c r="BL163" s="97">
        <f t="shared" si="142"/>
        <v>8.1560283687943214E-2</v>
      </c>
      <c r="BM163" s="97">
        <f t="shared" si="142"/>
        <v>0.125</v>
      </c>
      <c r="BN163" s="97">
        <f t="shared" si="142"/>
        <v>6.360424028268552E-2</v>
      </c>
      <c r="BO163" s="97">
        <f t="shared" si="142"/>
        <v>-5.5194805194805241E-2</v>
      </c>
      <c r="BP163" s="97">
        <f t="shared" si="142"/>
        <v>-8.1967213114754078E-2</v>
      </c>
      <c r="BQ163" s="97">
        <f t="shared" si="142"/>
        <v>-0.11111111111111116</v>
      </c>
      <c r="BR163" s="97">
        <f t="shared" si="142"/>
        <v>-6.3122923588039836E-2</v>
      </c>
      <c r="BS163" s="97">
        <f t="shared" si="142"/>
        <v>-1.718213058419249E-2</v>
      </c>
      <c r="BT163" s="97">
        <f t="shared" si="142"/>
        <v>-1.4285714285714235E-2</v>
      </c>
      <c r="BU163" s="97">
        <f t="shared" si="142"/>
        <v>-6.9444444444444198E-3</v>
      </c>
      <c r="BV163" s="97">
        <f t="shared" si="142"/>
        <v>1.4184397163120588E-2</v>
      </c>
      <c r="BW163" s="97">
        <f t="shared" si="142"/>
        <v>-3.4965034965035446E-3</v>
      </c>
      <c r="BX163" s="97"/>
      <c r="BY163" s="1769"/>
      <c r="BZ163" s="1769"/>
      <c r="CA163" s="1877"/>
      <c r="CB163" s="1877"/>
      <c r="CC163" s="1877"/>
      <c r="CD163" s="1877"/>
      <c r="CE163" s="1877"/>
      <c r="CF163" s="1877"/>
      <c r="CG163" s="3377"/>
      <c r="CH163" s="3377"/>
    </row>
    <row r="164" spans="1:86" s="3031" customFormat="1">
      <c r="A164" s="3065" t="s">
        <v>2715</v>
      </c>
      <c r="E164" s="3032"/>
      <c r="H164" s="3033"/>
      <c r="I164" s="3033"/>
      <c r="J164" s="3033"/>
      <c r="K164" s="3033"/>
      <c r="L164" s="3019"/>
      <c r="M164" s="3034"/>
      <c r="N164" s="3034"/>
      <c r="O164" s="3034"/>
      <c r="P164" s="3034"/>
      <c r="Q164" s="3033"/>
      <c r="R164" s="3033"/>
      <c r="S164" s="3033"/>
      <c r="T164" s="3034"/>
      <c r="U164" s="3034"/>
      <c r="V164" s="3033"/>
      <c r="W164" s="3035"/>
      <c r="X164" s="3033"/>
      <c r="Y164" s="3033"/>
      <c r="Z164" s="3033"/>
      <c r="AA164" s="3033"/>
      <c r="AB164" s="3036"/>
      <c r="AC164" s="3033"/>
      <c r="AD164" s="3033"/>
      <c r="AE164" s="3033"/>
      <c r="AF164" s="3033"/>
      <c r="AG164" s="3036"/>
      <c r="AH164" s="3037"/>
      <c r="AI164" s="3037"/>
      <c r="AJ164" s="3037"/>
      <c r="AK164" s="3038"/>
      <c r="AL164" s="3037"/>
      <c r="AM164" s="3037"/>
      <c r="AN164" s="3037"/>
      <c r="AO164" s="3038"/>
      <c r="AP164" s="3037"/>
      <c r="AQ164" s="3037"/>
      <c r="AR164" s="3037"/>
      <c r="AS164" s="3037"/>
      <c r="AT164" s="3039"/>
      <c r="AU164" s="3037"/>
      <c r="AV164" s="3037"/>
      <c r="AW164" s="3038"/>
      <c r="AX164" s="3039"/>
      <c r="AY164" s="3037"/>
      <c r="AZ164" s="3037"/>
      <c r="BA164" s="3037"/>
      <c r="BB164" s="3039"/>
      <c r="BC164" s="3037"/>
      <c r="BD164" s="3037"/>
      <c r="BE164" s="3038"/>
      <c r="BF164" s="3037"/>
      <c r="BG164" s="3040"/>
      <c r="BH164" s="3040"/>
      <c r="BI164" s="3041">
        <f>BI162/AW162-1</f>
        <v>-4.9504950495049549E-2</v>
      </c>
      <c r="BJ164" s="3040">
        <f>BJ162/AT162-1</f>
        <v>1.7985611510791477E-2</v>
      </c>
      <c r="BK164" s="3040">
        <f>BK162/AU162-1</f>
        <v>8.0701754385964941E-2</v>
      </c>
      <c r="BL164" s="3040">
        <f>BL162/AV162-1</f>
        <v>6.643356643356646E-2</v>
      </c>
      <c r="BM164" s="3040">
        <f>BM162/AW162-1</f>
        <v>6.9306930693069368E-2</v>
      </c>
      <c r="BN164" s="3040"/>
      <c r="BO164" s="3040">
        <f>BO162/AU162-1</f>
        <v>2.1052631578947434E-2</v>
      </c>
      <c r="BP164" s="3040">
        <f>BP162/AV162-1</f>
        <v>-2.0979020979020935E-2</v>
      </c>
      <c r="BQ164" s="3342">
        <f>BQ162/AW162-1</f>
        <v>-4.9504950495049549E-2</v>
      </c>
      <c r="BR164" s="3342">
        <f>BR162/AT162-1</f>
        <v>1.4388489208633004E-2</v>
      </c>
      <c r="BS164" s="3342">
        <f>BS162/AU162-1</f>
        <v>3.5087719298245723E-3</v>
      </c>
      <c r="BT164" s="3342">
        <f>BT162/AV162-1</f>
        <v>-3.4965034965035002E-2</v>
      </c>
      <c r="BU164" s="3342">
        <f>BU162/AW162-1</f>
        <v>-5.6105610561056118E-2</v>
      </c>
      <c r="BV164" s="3342">
        <f>BV162/AT162-1</f>
        <v>2.877697841726623E-2</v>
      </c>
      <c r="BW164" s="3342">
        <f>BW162/AU162-1</f>
        <v>0</v>
      </c>
      <c r="BX164" s="3524"/>
      <c r="BY164" s="3042"/>
      <c r="BZ164" s="3042"/>
      <c r="CA164" s="3039"/>
      <c r="CB164" s="3039"/>
      <c r="CC164" s="3039"/>
      <c r="CD164" s="3039"/>
      <c r="CE164" s="3039"/>
      <c r="CF164" s="3039"/>
      <c r="CG164" s="3039"/>
      <c r="CH164" s="3039"/>
    </row>
    <row r="165" spans="1:86" s="1764" customFormat="1">
      <c r="A165" s="1594" t="s">
        <v>1346</v>
      </c>
      <c r="E165" s="1768"/>
      <c r="L165" s="1876"/>
      <c r="W165" s="1877"/>
      <c r="AB165" s="1768"/>
      <c r="AC165" s="1764">
        <v>-756.90899999999999</v>
      </c>
      <c r="AD165" s="1764">
        <v>-878.62</v>
      </c>
      <c r="AE165" s="1764">
        <v>-932.73099999999999</v>
      </c>
      <c r="AF165" s="1764">
        <v>-779.66200000000003</v>
      </c>
      <c r="AG165" s="1768">
        <v>-3347.9220000000005</v>
      </c>
      <c r="AH165" s="1764">
        <v>-1032.306</v>
      </c>
      <c r="AI165" s="1764">
        <v>-1129.539</v>
      </c>
      <c r="AJ165" s="1764">
        <v>-1199.645</v>
      </c>
      <c r="AK165" s="1768">
        <v>-959.27299999999991</v>
      </c>
      <c r="AL165" s="1764">
        <v>-1259.329</v>
      </c>
      <c r="AM165" s="1764">
        <v>-1433.0439999999999</v>
      </c>
      <c r="AN165" s="1764">
        <v>-1451.1640000000002</v>
      </c>
      <c r="AO165" s="1768">
        <v>-1114.4399999999998</v>
      </c>
      <c r="AP165" s="1764">
        <v>-1505</v>
      </c>
      <c r="AQ165" s="1764">
        <v>-1529</v>
      </c>
      <c r="AR165" s="1764">
        <v>-1490</v>
      </c>
      <c r="AS165" s="1764">
        <v>-1199</v>
      </c>
      <c r="AT165" s="1877">
        <f>AT148+11</f>
        <v>-1510</v>
      </c>
      <c r="AU165" s="2659">
        <f>AU148+12</f>
        <v>-1631</v>
      </c>
      <c r="AV165" s="2659">
        <v>-1635</v>
      </c>
      <c r="AW165" s="2728">
        <f>AW148+11</f>
        <v>-1257</v>
      </c>
      <c r="AX165" s="1877">
        <f>AX148+12</f>
        <v>-1198</v>
      </c>
      <c r="AY165" s="1764">
        <f>AY148+13</f>
        <v>-283</v>
      </c>
      <c r="AZ165" s="1764">
        <v>-517</v>
      </c>
      <c r="BA165" s="1764">
        <f>BA148+11</f>
        <v>-500</v>
      </c>
      <c r="BB165" s="1877">
        <f>BB148+17</f>
        <v>-647</v>
      </c>
      <c r="BC165" s="1764">
        <f>BC148+32</f>
        <v>-1167</v>
      </c>
      <c r="BD165" s="1764">
        <f>BD148+29</f>
        <v>-1285</v>
      </c>
      <c r="BE165" s="1768">
        <f>BE148+18</f>
        <v>-1026</v>
      </c>
      <c r="BF165" s="1764">
        <v>-1324</v>
      </c>
      <c r="BG165" s="1764">
        <v>-1699</v>
      </c>
      <c r="BH165" s="1764">
        <v>-1651</v>
      </c>
      <c r="BI165" s="1768">
        <f>BI148+17</f>
        <v>-1359</v>
      </c>
      <c r="BJ165" s="1764">
        <v>-1654</v>
      </c>
      <c r="BK165" s="1764">
        <v>-1750</v>
      </c>
      <c r="BL165" s="1764">
        <v>-1836</v>
      </c>
      <c r="BM165" s="1768">
        <f>BM148+19</f>
        <v>-1544</v>
      </c>
      <c r="BN165" s="1768">
        <f>BN148+19</f>
        <v>-1817</v>
      </c>
      <c r="BO165" s="1768">
        <v>-1967</v>
      </c>
      <c r="BP165" s="1768">
        <f>BP148+19</f>
        <v>-2033</v>
      </c>
      <c r="BQ165" s="3343">
        <f>BQ148+20</f>
        <v>-1729</v>
      </c>
      <c r="BR165" s="3343">
        <f>BR148+20</f>
        <v>-1936</v>
      </c>
      <c r="BS165" s="3343">
        <f>BS148+23</f>
        <v>-2110</v>
      </c>
      <c r="BT165" s="3343">
        <f>BT148+20</f>
        <v>-2167</v>
      </c>
      <c r="BU165" s="3343">
        <f>BU148+20</f>
        <v>-1889</v>
      </c>
      <c r="BV165" s="3343">
        <f>BV148+18</f>
        <v>-2040</v>
      </c>
      <c r="BW165" s="3343">
        <f>BW148+24</f>
        <v>-2312</v>
      </c>
      <c r="BX165" s="1768"/>
      <c r="BY165" s="1769">
        <v>-4320.7629999999999</v>
      </c>
      <c r="BZ165" s="1769">
        <v>-5257.9769999999999</v>
      </c>
      <c r="CA165" s="1877">
        <f>SUM(AP165:AS165)</f>
        <v>-5723</v>
      </c>
      <c r="CB165" s="1877">
        <f>-6135+45</f>
        <v>-6090</v>
      </c>
      <c r="CC165" s="1877">
        <f>-2546+48</f>
        <v>-2498</v>
      </c>
      <c r="CD165" s="1877">
        <f>-4221+96</f>
        <v>-4125</v>
      </c>
      <c r="CE165" s="1877">
        <f>-6100+67</f>
        <v>-6033</v>
      </c>
      <c r="CF165" s="1877">
        <f>CF148+79</f>
        <v>-6784</v>
      </c>
      <c r="CG165" s="3377">
        <f>CG148+81</f>
        <v>-7546</v>
      </c>
      <c r="CH165" s="3377">
        <f>CH148+83</f>
        <v>-8102</v>
      </c>
    </row>
    <row r="166" spans="1:86" s="1764" customFormat="1">
      <c r="A166" s="3063" t="s">
        <v>2756</v>
      </c>
      <c r="E166" s="1768"/>
      <c r="L166" s="1876"/>
      <c r="W166" s="1877"/>
      <c r="AB166" s="1768"/>
      <c r="AG166" s="1768"/>
      <c r="AK166" s="1768"/>
      <c r="AO166" s="1768"/>
      <c r="AT166" s="1877"/>
      <c r="AU166" s="2659"/>
      <c r="AV166" s="2659"/>
      <c r="AW166" s="2728"/>
      <c r="AX166" s="1877"/>
      <c r="BB166" s="1877"/>
      <c r="BE166" s="1768"/>
      <c r="BI166" s="97">
        <f t="shared" ref="BI166:BN166" si="143">BI165/BE165-1</f>
        <v>0.32456140350877183</v>
      </c>
      <c r="BJ166" s="97">
        <f t="shared" si="143"/>
        <v>0.24924471299093653</v>
      </c>
      <c r="BK166" s="97">
        <f t="shared" si="143"/>
        <v>3.0017657445556178E-2</v>
      </c>
      <c r="BL166" s="97">
        <f t="shared" si="143"/>
        <v>0.11205330102967892</v>
      </c>
      <c r="BM166" s="97">
        <f t="shared" si="143"/>
        <v>0.13612950699043425</v>
      </c>
      <c r="BN166" s="97">
        <f t="shared" si="143"/>
        <v>9.8548972188633677E-2</v>
      </c>
      <c r="BO166" s="97">
        <f t="shared" ref="BO166:BW166" si="144">BO165/BK165-1</f>
        <v>0.12400000000000011</v>
      </c>
      <c r="BP166" s="97">
        <f t="shared" si="144"/>
        <v>0.10729847494553368</v>
      </c>
      <c r="BQ166" s="97">
        <f t="shared" si="144"/>
        <v>0.11981865284974091</v>
      </c>
      <c r="BR166" s="1548">
        <f t="shared" si="144"/>
        <v>6.5492570170610831E-2</v>
      </c>
      <c r="BS166" s="1548">
        <f t="shared" si="144"/>
        <v>7.2699542450432197E-2</v>
      </c>
      <c r="BT166" s="1548">
        <f t="shared" si="144"/>
        <v>6.5912444663059455E-2</v>
      </c>
      <c r="BU166" s="1548">
        <f t="shared" si="144"/>
        <v>9.253903990746104E-2</v>
      </c>
      <c r="BV166" s="1548">
        <f t="shared" si="144"/>
        <v>5.3719008264462742E-2</v>
      </c>
      <c r="BW166" s="1548">
        <f t="shared" si="144"/>
        <v>9.5734597156398094E-2</v>
      </c>
      <c r="BX166" s="1548"/>
      <c r="BY166" s="1769"/>
      <c r="BZ166" s="1769"/>
      <c r="CA166" s="1877"/>
      <c r="CB166" s="1877"/>
      <c r="CC166" s="1877"/>
      <c r="CD166" s="1877"/>
      <c r="CE166" s="1877"/>
      <c r="CF166" s="1877"/>
      <c r="CG166" s="3377"/>
      <c r="CH166" s="3377"/>
    </row>
    <row r="167" spans="1:86" s="3031" customFormat="1">
      <c r="A167" s="3065" t="s">
        <v>2715</v>
      </c>
      <c r="E167" s="3032"/>
      <c r="H167" s="3033"/>
      <c r="I167" s="3033"/>
      <c r="J167" s="3033"/>
      <c r="K167" s="3033"/>
      <c r="L167" s="3019"/>
      <c r="M167" s="3034"/>
      <c r="N167" s="3034"/>
      <c r="O167" s="3034"/>
      <c r="P167" s="3034"/>
      <c r="Q167" s="3033"/>
      <c r="R167" s="3033"/>
      <c r="S167" s="3033"/>
      <c r="T167" s="3034"/>
      <c r="U167" s="3034"/>
      <c r="V167" s="3033"/>
      <c r="W167" s="3035"/>
      <c r="X167" s="3033"/>
      <c r="Y167" s="3033"/>
      <c r="Z167" s="3033"/>
      <c r="AA167" s="3033"/>
      <c r="AB167" s="3036"/>
      <c r="AC167" s="3033"/>
      <c r="AD167" s="3033"/>
      <c r="AE167" s="3033"/>
      <c r="AF167" s="3033"/>
      <c r="AG167" s="3036"/>
      <c r="AH167" s="3037"/>
      <c r="AI167" s="3037"/>
      <c r="AJ167" s="3037"/>
      <c r="AK167" s="3038"/>
      <c r="AL167" s="3037"/>
      <c r="AM167" s="3037"/>
      <c r="AN167" s="3037"/>
      <c r="AO167" s="3038"/>
      <c r="AP167" s="3037"/>
      <c r="AQ167" s="3037"/>
      <c r="AR167" s="3037"/>
      <c r="AS167" s="3037"/>
      <c r="AT167" s="3039"/>
      <c r="AU167" s="3037"/>
      <c r="AV167" s="3037"/>
      <c r="AW167" s="3038"/>
      <c r="AX167" s="3039"/>
      <c r="AY167" s="3037"/>
      <c r="AZ167" s="3037"/>
      <c r="BA167" s="3037"/>
      <c r="BB167" s="3039"/>
      <c r="BC167" s="3037"/>
      <c r="BD167" s="3037"/>
      <c r="BE167" s="3038"/>
      <c r="BF167" s="3037"/>
      <c r="BG167" s="3040"/>
      <c r="BH167" s="3040"/>
      <c r="BI167" s="3041">
        <f>BI165/AW165-1</f>
        <v>8.1145584725536901E-2</v>
      </c>
      <c r="BJ167" s="3040">
        <f>BJ165/AT165-1</f>
        <v>9.5364238410595936E-2</v>
      </c>
      <c r="BK167" s="3040">
        <f>BK165/AU165-1</f>
        <v>7.296137339055786E-2</v>
      </c>
      <c r="BL167" s="3040">
        <f>BL165/AV165-1</f>
        <v>0.12293577981651382</v>
      </c>
      <c r="BM167" s="3040">
        <f>BM165/AW165-1</f>
        <v>0.22832140015910896</v>
      </c>
      <c r="BN167" s="3040"/>
      <c r="BO167" s="3040">
        <f>BO165/AU165-1</f>
        <v>0.20600858369098707</v>
      </c>
      <c r="BP167" s="3040">
        <f>BP165/AV165-1</f>
        <v>0.24342507645259936</v>
      </c>
      <c r="BQ167" s="3342">
        <f>BQ165/AT165-1</f>
        <v>0.14503311258278151</v>
      </c>
      <c r="BR167" s="3342">
        <f>BR165/AT165-1</f>
        <v>0.28211920529801326</v>
      </c>
      <c r="BS167" s="3342">
        <f>BS165/AU165-1</f>
        <v>0.29368485591661564</v>
      </c>
      <c r="BT167" s="3342">
        <f>BT165/AV165-1</f>
        <v>0.32538226299694184</v>
      </c>
      <c r="BU167" s="3342">
        <f>BU165/AW165-1</f>
        <v>0.50278440731901353</v>
      </c>
      <c r="BV167" s="3342">
        <f>BV165/AT165-1</f>
        <v>0.35099337748344372</v>
      </c>
      <c r="BW167" s="3342">
        <f>BW165/AU165-1</f>
        <v>0.41753525444512563</v>
      </c>
      <c r="BX167" s="3524"/>
      <c r="BY167" s="3042"/>
      <c r="BZ167" s="3042"/>
      <c r="CA167" s="3039"/>
      <c r="CB167" s="3039"/>
      <c r="CC167" s="3039"/>
      <c r="CD167" s="3039"/>
      <c r="CE167" s="3039"/>
      <c r="CF167" s="3039"/>
      <c r="CG167" s="3039"/>
      <c r="CH167" s="3039"/>
    </row>
    <row r="168" spans="1:86" s="1764" customFormat="1">
      <c r="A168" s="1594" t="s">
        <v>1347</v>
      </c>
      <c r="E168" s="1768"/>
      <c r="L168" s="1876"/>
      <c r="W168" s="1877">
        <f t="shared" ref="W168:AB168" si="145">SUM(W157:W157)</f>
        <v>61.661000000000001</v>
      </c>
      <c r="X168" s="1764">
        <f t="shared" si="145"/>
        <v>52.506999999999998</v>
      </c>
      <c r="Y168" s="1764">
        <f t="shared" si="145"/>
        <v>63.847000000000001</v>
      </c>
      <c r="Z168" s="1764">
        <f t="shared" si="145"/>
        <v>64.596000000000004</v>
      </c>
      <c r="AA168" s="1764">
        <f t="shared" si="145"/>
        <v>130.173</v>
      </c>
      <c r="AB168" s="1768">
        <f t="shared" si="145"/>
        <v>85.010999999999996</v>
      </c>
      <c r="AC168" s="1764">
        <v>-101.92500000000001</v>
      </c>
      <c r="AD168" s="1764">
        <v>-113.63500000000001</v>
      </c>
      <c r="AE168" s="1764">
        <v>-114.474</v>
      </c>
      <c r="AF168" s="1764">
        <v>-163.797</v>
      </c>
      <c r="AG168" s="1768">
        <v>-493.83100000000002</v>
      </c>
      <c r="AH168" s="1764">
        <v>-128.34699999999998</v>
      </c>
      <c r="AI168" s="1764">
        <v>-149.75200000000001</v>
      </c>
      <c r="AJ168" s="1764">
        <v>-138.52100000000002</v>
      </c>
      <c r="AK168" s="1768">
        <v>-153.523</v>
      </c>
      <c r="AL168" s="1764">
        <v>-137.54999999999998</v>
      </c>
      <c r="AM168" s="1764">
        <v>-156.53899999999999</v>
      </c>
      <c r="AN168" s="1764">
        <v>-160.79500000000002</v>
      </c>
      <c r="AO168" s="1768">
        <v>-176.38799999999998</v>
      </c>
      <c r="AP168" s="1764">
        <v>-177</v>
      </c>
      <c r="AQ168" s="1764">
        <v>-177</v>
      </c>
      <c r="AR168" s="1764">
        <v>-177</v>
      </c>
      <c r="AS168" s="1764">
        <v>-190</v>
      </c>
      <c r="AT168" s="1877">
        <f>AT149+23</f>
        <v>-161</v>
      </c>
      <c r="AU168" s="2659">
        <f>AU149+25</f>
        <v>-189</v>
      </c>
      <c r="AV168" s="2659">
        <v>-182</v>
      </c>
      <c r="AW168" s="2728">
        <f>AW149+34</f>
        <v>-182</v>
      </c>
      <c r="AX168" s="1877">
        <f>AX149+20</f>
        <v>-167</v>
      </c>
      <c r="AY168" s="1764">
        <f>AY149+20</f>
        <v>-132</v>
      </c>
      <c r="AZ168" s="1764">
        <v>-117</v>
      </c>
      <c r="BA168" s="1764">
        <f>BA149+19</f>
        <v>-105</v>
      </c>
      <c r="BB168" s="1877">
        <f>BB149+34</f>
        <v>-122</v>
      </c>
      <c r="BC168" s="1764">
        <f>BC149+50</f>
        <v>-134</v>
      </c>
      <c r="BD168" s="1764">
        <f>BD149+49</f>
        <v>-133</v>
      </c>
      <c r="BE168" s="1768">
        <f>BE149+50</f>
        <v>-133</v>
      </c>
      <c r="BF168" s="1764">
        <v>-141</v>
      </c>
      <c r="BG168" s="1764">
        <v>-143</v>
      </c>
      <c r="BH168" s="1764">
        <v>-140</v>
      </c>
      <c r="BI168" s="1768">
        <v>-142</v>
      </c>
      <c r="BJ168" s="1764">
        <v>-138</v>
      </c>
      <c r="BK168" s="1764">
        <v>-148</v>
      </c>
      <c r="BL168" s="1764">
        <v>-147</v>
      </c>
      <c r="BM168" s="1768">
        <v>-156</v>
      </c>
      <c r="BN168" s="1764">
        <v>-143</v>
      </c>
      <c r="BO168" s="1768">
        <v>-141</v>
      </c>
      <c r="BP168" s="1768">
        <f>BP149+85</f>
        <v>-144</v>
      </c>
      <c r="BQ168" s="3343">
        <f>BQ149+36</f>
        <v>-174</v>
      </c>
      <c r="BR168" s="3343">
        <f>BR149+37</f>
        <v>-143</v>
      </c>
      <c r="BS168" s="3343">
        <f>BS149+36</f>
        <v>-161</v>
      </c>
      <c r="BT168" s="3343">
        <f>BT149+33</f>
        <v>-153</v>
      </c>
      <c r="BU168" s="3343">
        <f>BU149+41</f>
        <v>-161</v>
      </c>
      <c r="BV168" s="3343">
        <f>BV149+39</f>
        <v>-157</v>
      </c>
      <c r="BW168" s="3343">
        <f>BW149+44</f>
        <v>-160</v>
      </c>
      <c r="BX168" s="1768"/>
      <c r="BY168" s="1769">
        <v>-570.14300000000003</v>
      </c>
      <c r="BZ168" s="1769">
        <v>-631.27199999999993</v>
      </c>
      <c r="CA168" s="1877">
        <f>SUM(AP168:AS168)</f>
        <v>-721</v>
      </c>
      <c r="CB168" s="1877">
        <f>-847+110</f>
        <v>-737</v>
      </c>
      <c r="CC168" s="1877">
        <f>-597+76</f>
        <v>-521</v>
      </c>
      <c r="CD168" s="1877">
        <f>-705+183</f>
        <v>-522</v>
      </c>
      <c r="CE168" s="1877">
        <v>-566</v>
      </c>
      <c r="CF168" s="1877">
        <v>-589</v>
      </c>
      <c r="CG168" s="3377">
        <f>CG149+203</f>
        <v>-602</v>
      </c>
      <c r="CH168" s="3377">
        <f>CH149+147</f>
        <v>-618</v>
      </c>
    </row>
    <row r="169" spans="1:86" s="1764" customFormat="1">
      <c r="A169" s="3064" t="s">
        <v>2756</v>
      </c>
      <c r="E169" s="1768"/>
      <c r="L169" s="1876"/>
      <c r="W169" s="1877"/>
      <c r="AB169" s="1768"/>
      <c r="AG169" s="1768"/>
      <c r="AK169" s="1768"/>
      <c r="AO169" s="1768"/>
      <c r="AT169" s="1877"/>
      <c r="AW169" s="1768"/>
      <c r="AX169" s="1877"/>
      <c r="BB169" s="1877"/>
      <c r="BE169" s="1768"/>
      <c r="BI169" s="97">
        <f t="shared" ref="BI169:BW169" si="146">BI168/BE168-1</f>
        <v>6.7669172932330879E-2</v>
      </c>
      <c r="BJ169" s="97">
        <f t="shared" si="146"/>
        <v>-2.1276595744680882E-2</v>
      </c>
      <c r="BK169" s="97">
        <f t="shared" si="146"/>
        <v>3.4965034965035002E-2</v>
      </c>
      <c r="BL169" s="97">
        <f t="shared" si="146"/>
        <v>5.0000000000000044E-2</v>
      </c>
      <c r="BM169" s="97">
        <f t="shared" si="146"/>
        <v>9.8591549295774739E-2</v>
      </c>
      <c r="BN169" s="97">
        <f t="shared" si="146"/>
        <v>3.6231884057970953E-2</v>
      </c>
      <c r="BO169" s="97">
        <f t="shared" si="146"/>
        <v>-4.7297297297297258E-2</v>
      </c>
      <c r="BP169" s="97">
        <f t="shared" si="146"/>
        <v>-2.0408163265306145E-2</v>
      </c>
      <c r="BQ169" s="97">
        <f>BQ168/BM168-1</f>
        <v>0.11538461538461542</v>
      </c>
      <c r="BR169" s="97">
        <f t="shared" si="146"/>
        <v>0</v>
      </c>
      <c r="BS169" s="97">
        <f t="shared" si="146"/>
        <v>0.14184397163120566</v>
      </c>
      <c r="BT169" s="97">
        <f t="shared" si="146"/>
        <v>6.25E-2</v>
      </c>
      <c r="BU169" s="97">
        <f t="shared" si="146"/>
        <v>-7.4712643678160884E-2</v>
      </c>
      <c r="BV169" s="97">
        <f t="shared" si="146"/>
        <v>9.7902097902097918E-2</v>
      </c>
      <c r="BW169" s="97">
        <f t="shared" si="146"/>
        <v>-6.2111801242236142E-3</v>
      </c>
      <c r="BX169" s="97"/>
      <c r="BY169" s="1769"/>
      <c r="BZ169" s="1769"/>
      <c r="CA169" s="1877"/>
      <c r="CB169" s="1877"/>
      <c r="CC169" s="1877"/>
      <c r="CD169" s="1877"/>
      <c r="CE169" s="1877"/>
      <c r="CF169" s="1877"/>
      <c r="CG169" s="3377"/>
      <c r="CH169" s="3377"/>
    </row>
    <row r="170" spans="1:86" s="3031" customFormat="1">
      <c r="A170" s="3065" t="s">
        <v>2715</v>
      </c>
      <c r="E170" s="3032"/>
      <c r="H170" s="3033"/>
      <c r="I170" s="3033"/>
      <c r="J170" s="3033"/>
      <c r="K170" s="3033"/>
      <c r="L170" s="3019"/>
      <c r="M170" s="3034"/>
      <c r="N170" s="3034"/>
      <c r="O170" s="3034"/>
      <c r="P170" s="3034"/>
      <c r="Q170" s="3033"/>
      <c r="R170" s="3033"/>
      <c r="S170" s="3033"/>
      <c r="T170" s="3034"/>
      <c r="U170" s="3034"/>
      <c r="V170" s="3033"/>
      <c r="W170" s="3035"/>
      <c r="X170" s="3033"/>
      <c r="Y170" s="3033"/>
      <c r="Z170" s="3033"/>
      <c r="AA170" s="3033"/>
      <c r="AB170" s="3036"/>
      <c r="AC170" s="3033"/>
      <c r="AD170" s="3033"/>
      <c r="AE170" s="3033"/>
      <c r="AF170" s="3033"/>
      <c r="AG170" s="3036"/>
      <c r="AH170" s="3037"/>
      <c r="AI170" s="3037"/>
      <c r="AJ170" s="3037"/>
      <c r="AK170" s="3038"/>
      <c r="AL170" s="3037"/>
      <c r="AM170" s="3037"/>
      <c r="AN170" s="3037"/>
      <c r="AO170" s="3038"/>
      <c r="AP170" s="3037"/>
      <c r="AQ170" s="3037"/>
      <c r="AR170" s="3037"/>
      <c r="AS170" s="3037"/>
      <c r="AT170" s="3039"/>
      <c r="AU170" s="3037"/>
      <c r="AV170" s="3037"/>
      <c r="AW170" s="3038"/>
      <c r="AX170" s="3039"/>
      <c r="AY170" s="3037"/>
      <c r="AZ170" s="3037"/>
      <c r="BA170" s="3037"/>
      <c r="BB170" s="3039"/>
      <c r="BC170" s="3037"/>
      <c r="BD170" s="3037"/>
      <c r="BE170" s="3038"/>
      <c r="BF170" s="3037"/>
      <c r="BG170" s="3040"/>
      <c r="BH170" s="3040"/>
      <c r="BI170" s="3041">
        <f>BI168/AW168-1</f>
        <v>-0.21978021978021978</v>
      </c>
      <c r="BJ170" s="3040">
        <f>BJ168/AT168-1</f>
        <v>-0.1428571428571429</v>
      </c>
      <c r="BK170" s="3040">
        <f>BK168/AU168-1</f>
        <v>-0.21693121693121697</v>
      </c>
      <c r="BL170" s="3040">
        <f>BL168/AV168-1</f>
        <v>-0.19230769230769229</v>
      </c>
      <c r="BM170" s="3040">
        <f>BM168/AW168-1</f>
        <v>-0.1428571428571429</v>
      </c>
      <c r="BN170" s="3040"/>
      <c r="BO170" s="3040">
        <f>BO168/AU168-1</f>
        <v>-0.25396825396825395</v>
      </c>
      <c r="BP170" s="3040">
        <f>BP168/AV168-1</f>
        <v>-0.20879120879120883</v>
      </c>
      <c r="BQ170" s="3342">
        <f>BQ168/AW168-1</f>
        <v>-4.3956043956043911E-2</v>
      </c>
      <c r="BR170" s="3342">
        <f>BR168/AT168-1</f>
        <v>-0.11180124223602483</v>
      </c>
      <c r="BS170" s="3342">
        <f>BS168/AU168-1</f>
        <v>-0.14814814814814814</v>
      </c>
      <c r="BT170" s="3342">
        <f>BT168/AV168-1</f>
        <v>-0.15934065934065933</v>
      </c>
      <c r="BU170" s="3342">
        <f>BU168/AW168-1</f>
        <v>-0.11538461538461542</v>
      </c>
      <c r="BV170" s="3342">
        <f>BV168/AT168-1</f>
        <v>-2.4844720496894457E-2</v>
      </c>
      <c r="BW170" s="3342">
        <f>BW168/AU168-1</f>
        <v>-0.15343915343915349</v>
      </c>
      <c r="BX170" s="3524"/>
      <c r="BY170" s="3042"/>
      <c r="BZ170" s="3042"/>
      <c r="CA170" s="3039"/>
      <c r="CB170" s="3039"/>
      <c r="CC170" s="3039"/>
      <c r="CD170" s="3039"/>
      <c r="CE170" s="3039"/>
      <c r="CF170" s="3039"/>
      <c r="CG170" s="3039"/>
      <c r="CH170" s="3039"/>
    </row>
    <row r="171" spans="1:86" s="1764" customFormat="1" hidden="1">
      <c r="A171" s="1574" t="s">
        <v>65</v>
      </c>
      <c r="B171" s="1764">
        <f t="shared" ref="B171:H171" si="147">SUM(B157:B157)</f>
        <v>1.5469999999999999</v>
      </c>
      <c r="C171" s="1764">
        <f t="shared" si="147"/>
        <v>2.81</v>
      </c>
      <c r="D171" s="1764">
        <f t="shared" si="147"/>
        <v>3.4830000000000001</v>
      </c>
      <c r="E171" s="1768">
        <f t="shared" si="147"/>
        <v>4.8070000000000004</v>
      </c>
      <c r="F171" s="1764">
        <f t="shared" si="147"/>
        <v>0</v>
      </c>
      <c r="G171" s="1764">
        <f t="shared" si="147"/>
        <v>0</v>
      </c>
      <c r="H171" s="1764">
        <f t="shared" si="147"/>
        <v>0.527285</v>
      </c>
      <c r="L171" s="1876"/>
      <c r="W171" s="1877"/>
      <c r="AB171" s="1768"/>
      <c r="AG171" s="1768"/>
      <c r="AK171" s="1768"/>
      <c r="AO171" s="1768"/>
      <c r="AT171" s="1877"/>
      <c r="AW171" s="1768"/>
      <c r="AX171" s="1877"/>
      <c r="BB171" s="1877"/>
      <c r="BE171" s="1768"/>
      <c r="BI171" s="1768"/>
      <c r="BM171" s="1768"/>
      <c r="BO171" s="1768"/>
      <c r="BP171" s="1768"/>
      <c r="BQ171" s="3343"/>
      <c r="BY171" s="1769"/>
      <c r="BZ171" s="1769"/>
      <c r="CA171" s="1877"/>
      <c r="CB171" s="1877"/>
      <c r="CC171" s="1877"/>
      <c r="CD171" s="1877"/>
      <c r="CE171" s="1877"/>
      <c r="CF171" s="1877"/>
      <c r="CG171" s="3377"/>
      <c r="CH171" s="3377"/>
    </row>
    <row r="172" spans="1:86" s="1764" customFormat="1">
      <c r="A172" s="1589"/>
      <c r="E172" s="1768"/>
      <c r="L172" s="1876"/>
      <c r="S172" s="1764">
        <f>S143+S156-S157</f>
        <v>397.05200000000002</v>
      </c>
      <c r="T172" s="1764">
        <f t="shared" ref="T172:Y172" si="148">T143+T156</f>
        <v>351.32899999999972</v>
      </c>
      <c r="U172" s="1764">
        <f t="shared" si="148"/>
        <v>529.06900000000019</v>
      </c>
      <c r="V172" s="1764">
        <f t="shared" si="148"/>
        <v>-2428.9529999999995</v>
      </c>
      <c r="W172" s="1877">
        <f t="shared" si="148"/>
        <v>571.41400000000021</v>
      </c>
      <c r="X172" s="1764">
        <f t="shared" si="148"/>
        <v>500.78700000000003</v>
      </c>
      <c r="Y172" s="1764">
        <f t="shared" si="148"/>
        <v>479.60899999999992</v>
      </c>
      <c r="Z172" s="1764">
        <v>431.72399999999999</v>
      </c>
      <c r="AA172" s="1764">
        <v>366.06</v>
      </c>
      <c r="AB172" s="1768">
        <v>517.76400000000001</v>
      </c>
      <c r="AG172" s="1768"/>
      <c r="AK172" s="1768"/>
      <c r="AO172" s="1768"/>
      <c r="AT172" s="1877"/>
      <c r="AW172" s="1768"/>
      <c r="AX172" s="1877"/>
      <c r="BB172" s="1877"/>
      <c r="BE172" s="1768"/>
      <c r="BI172" s="1768"/>
      <c r="BM172" s="1768"/>
      <c r="BO172" s="1768"/>
      <c r="BP172" s="1768"/>
      <c r="BQ172" s="3343"/>
      <c r="BY172" s="1769"/>
      <c r="BZ172" s="1769"/>
      <c r="CA172" s="1877"/>
      <c r="CB172" s="1877"/>
      <c r="CC172" s="1877"/>
      <c r="CD172" s="1877"/>
      <c r="CE172" s="1877"/>
      <c r="CF172" s="1877"/>
      <c r="CG172" s="3377"/>
      <c r="CH172" s="3377"/>
    </row>
    <row r="173" spans="1:86" s="1764" customFormat="1">
      <c r="A173" s="1588" t="s">
        <v>23</v>
      </c>
      <c r="B173" s="1764">
        <v>1.6479999999999999</v>
      </c>
      <c r="C173" s="1764">
        <v>7.1319600000000003</v>
      </c>
      <c r="D173" s="1764">
        <v>7.8380000000000001</v>
      </c>
      <c r="E173" s="1768">
        <v>-10.618</v>
      </c>
      <c r="F173" s="1764">
        <v>-10.61763</v>
      </c>
      <c r="G173" s="1764">
        <v>-6.0097889999999996</v>
      </c>
      <c r="H173" s="1764">
        <f>H143+H156</f>
        <v>4.0619149999999919</v>
      </c>
      <c r="I173" s="1764">
        <f>I143+I156</f>
        <v>4.005359999999996</v>
      </c>
      <c r="J173" s="1764">
        <v>-18.062004000000002</v>
      </c>
      <c r="L173" s="1880"/>
      <c r="Q173" s="1764">
        <f>Q143+Q156-Q157</f>
        <v>243.51800000000009</v>
      </c>
      <c r="R173" s="1764">
        <f>R143+R156-R157</f>
        <v>240.47299999999981</v>
      </c>
      <c r="S173" s="1882">
        <f>S172/S62</f>
        <v>0.18733683895152292</v>
      </c>
      <c r="T173" s="1882">
        <f>T172/T62</f>
        <v>0.15701251259169469</v>
      </c>
      <c r="U173" s="1882">
        <f>U172/U62</f>
        <v>0.19850022436229342</v>
      </c>
      <c r="V173" s="1882" t="s">
        <v>156</v>
      </c>
      <c r="W173" s="1886">
        <f>W172/W59</f>
        <v>0.19334403906577266</v>
      </c>
      <c r="X173" s="1882">
        <f>X172/X59</f>
        <v>0.16507765410916572</v>
      </c>
      <c r="Y173" s="1882">
        <f>Y172/Y59</f>
        <v>0.13905704508164518</v>
      </c>
      <c r="Z173" s="1882">
        <f>Z172/Z62</f>
        <v>0.10711832008509441</v>
      </c>
      <c r="AA173" s="1882">
        <f>AA172/AA62</f>
        <v>7.6726053238314815E-2</v>
      </c>
      <c r="AB173" s="1883">
        <f>AB172/AB62</f>
        <v>8.9835229899965049E-2</v>
      </c>
      <c r="AD173" s="1764">
        <v>90.091999999999999</v>
      </c>
      <c r="AE173" s="1764">
        <v>344.99799999999999</v>
      </c>
      <c r="AF173" s="1764">
        <v>29.477</v>
      </c>
      <c r="AG173" s="1768">
        <v>413.46600000000001</v>
      </c>
      <c r="AH173" s="1764">
        <v>-97.298000000000002</v>
      </c>
      <c r="AI173" s="1764">
        <v>25.661999999999999</v>
      </c>
      <c r="AJ173" s="1764">
        <v>386.15199999999999</v>
      </c>
      <c r="AK173" s="1768">
        <v>94.706000000000003</v>
      </c>
      <c r="AL173" s="1764">
        <v>-72.832999999999998</v>
      </c>
      <c r="AM173" s="1764">
        <v>102.768</v>
      </c>
      <c r="AN173" s="1764">
        <v>481.72800000000001</v>
      </c>
      <c r="AO173" s="1768">
        <v>113.47499999999999</v>
      </c>
      <c r="AP173" s="1764">
        <v>-165</v>
      </c>
      <c r="AQ173" s="1764">
        <v>111</v>
      </c>
      <c r="AR173" s="1764">
        <v>672</v>
      </c>
      <c r="AS173" s="1764">
        <v>96</v>
      </c>
      <c r="AT173" s="1877">
        <v>-131</v>
      </c>
      <c r="AU173" s="1764">
        <v>265</v>
      </c>
      <c r="AV173" s="1764">
        <v>609</v>
      </c>
      <c r="AW173" s="1768">
        <v>160</v>
      </c>
      <c r="AX173" s="1877">
        <v>-1294</v>
      </c>
      <c r="AY173" s="1764">
        <v>-849</v>
      </c>
      <c r="AZ173" s="1764">
        <v>-113</v>
      </c>
      <c r="BA173" s="1764">
        <v>-463</v>
      </c>
      <c r="BB173" s="1877">
        <v>-369</v>
      </c>
      <c r="BC173" s="1764">
        <v>-132</v>
      </c>
      <c r="BD173" s="1764">
        <v>524</v>
      </c>
      <c r="BE173" s="1768">
        <f>BE143+BE156</f>
        <v>163</v>
      </c>
      <c r="BF173" s="1764">
        <f>BF143+BF156</f>
        <v>-135</v>
      </c>
      <c r="BG173" s="1764">
        <v>345</v>
      </c>
      <c r="BH173" s="1764">
        <v>747</v>
      </c>
      <c r="BI173" s="1768">
        <v>128</v>
      </c>
      <c r="BJ173" s="1764">
        <f>BJ143+BJ156</f>
        <v>-121</v>
      </c>
      <c r="BK173" s="1764">
        <v>443</v>
      </c>
      <c r="BL173" s="1764">
        <v>607</v>
      </c>
      <c r="BM173" s="1768">
        <v>104</v>
      </c>
      <c r="BN173" s="1768">
        <f>BN143+BN156</f>
        <v>-110</v>
      </c>
      <c r="BO173" s="1768">
        <f>BO143+BO156</f>
        <v>451</v>
      </c>
      <c r="BP173" s="1768">
        <v>762</v>
      </c>
      <c r="BQ173" s="3343">
        <v>216</v>
      </c>
      <c r="BR173" s="1768">
        <f t="shared" ref="BR173:BW173" si="149">BR143+BR156</f>
        <v>-70</v>
      </c>
      <c r="BS173" s="1768">
        <f t="shared" si="149"/>
        <v>485</v>
      </c>
      <c r="BT173" s="1768">
        <f t="shared" si="149"/>
        <v>1036</v>
      </c>
      <c r="BU173" s="1768">
        <f t="shared" si="149"/>
        <v>424</v>
      </c>
      <c r="BV173" s="1768">
        <f t="shared" si="149"/>
        <v>251</v>
      </c>
      <c r="BW173" s="1768">
        <f t="shared" si="149"/>
        <v>812</v>
      </c>
      <c r="BX173" s="1768"/>
      <c r="BY173" s="1769">
        <v>461.702</v>
      </c>
      <c r="BZ173" s="1769">
        <v>625.13800000000003</v>
      </c>
      <c r="CA173" s="1877">
        <f>SUM(AP173:AS173)</f>
        <v>714</v>
      </c>
      <c r="CB173" s="1877">
        <f>CB143+CB156</f>
        <v>903</v>
      </c>
      <c r="CC173" s="1877">
        <f>CC143+CC156</f>
        <v>-2719</v>
      </c>
      <c r="CD173" s="1877">
        <f>CD143+CD156</f>
        <v>186</v>
      </c>
      <c r="CE173" s="2934">
        <v>1085</v>
      </c>
      <c r="CF173" s="2934">
        <v>1033</v>
      </c>
      <c r="CG173" s="2934">
        <v>1319</v>
      </c>
      <c r="CH173" s="2934">
        <v>1875</v>
      </c>
    </row>
    <row r="174" spans="1:86" s="473" customFormat="1" ht="11.5">
      <c r="A174" s="474" t="s">
        <v>66</v>
      </c>
      <c r="B174" s="211">
        <f t="shared" ref="B174:J174" si="150">B173/B62</f>
        <v>3.1456384806260736E-2</v>
      </c>
      <c r="C174" s="211">
        <f t="shared" si="150"/>
        <v>9.7674436950003024E-2</v>
      </c>
      <c r="D174" s="211">
        <f t="shared" si="150"/>
        <v>8.4279569892473122E-2</v>
      </c>
      <c r="E174" s="446">
        <f t="shared" si="150"/>
        <v>-8.8883308220324808E-2</v>
      </c>
      <c r="F174" s="211">
        <f t="shared" si="150"/>
        <v>-0.15488499694559002</v>
      </c>
      <c r="G174" s="211">
        <f t="shared" si="150"/>
        <v>-7.192166328551175E-2</v>
      </c>
      <c r="H174" s="211">
        <f t="shared" si="150"/>
        <v>3.2567910746534534E-2</v>
      </c>
      <c r="I174" s="211">
        <f t="shared" si="150"/>
        <v>2.0373220330261857E-2</v>
      </c>
      <c r="J174" s="211">
        <f t="shared" si="150"/>
        <v>-7.8934769792576687E-2</v>
      </c>
      <c r="K174" s="211"/>
      <c r="L174" s="446"/>
      <c r="M174" s="211"/>
      <c r="N174" s="211"/>
      <c r="O174" s="211"/>
      <c r="P174" s="211"/>
      <c r="Q174" s="211">
        <f>Q173/Q62</f>
        <v>0.10407583853923372</v>
      </c>
      <c r="R174" s="211">
        <f>R173/R62</f>
        <v>0.13047818979030523</v>
      </c>
      <c r="S174" s="211">
        <f>S172/S143</f>
        <v>0.24082162185767428</v>
      </c>
      <c r="T174" s="211">
        <f>T172/T143</f>
        <v>0.20250117006388649</v>
      </c>
      <c r="U174" s="211">
        <f>U172/U143</f>
        <v>0.25158647620868213</v>
      </c>
      <c r="V174" s="211" t="s">
        <v>156</v>
      </c>
      <c r="W174" s="447">
        <f t="shared" ref="W174:AB174" si="151">W172/W143</f>
        <v>0.24334387343362407</v>
      </c>
      <c r="X174" s="211">
        <f t="shared" si="151"/>
        <v>0.21326801688813107</v>
      </c>
      <c r="Y174" s="211">
        <f t="shared" si="151"/>
        <v>0.17844342657038242</v>
      </c>
      <c r="Z174" s="211">
        <f t="shared" si="151"/>
        <v>0.13785422367033309</v>
      </c>
      <c r="AA174" s="211">
        <f t="shared" si="151"/>
        <v>9.8060541119742842E-2</v>
      </c>
      <c r="AB174" s="446">
        <f t="shared" si="151"/>
        <v>0.11294030805312971</v>
      </c>
      <c r="AC174" s="211"/>
      <c r="AD174" s="211">
        <f t="shared" ref="AD174:AN174" si="152">AD173/AD62</f>
        <v>5.4187417298207627E-2</v>
      </c>
      <c r="AE174" s="211">
        <f t="shared" si="152"/>
        <v>0.17804023526218254</v>
      </c>
      <c r="AF174" s="211">
        <f t="shared" si="152"/>
        <v>1.7354040199768394E-2</v>
      </c>
      <c r="AG174" s="446">
        <f t="shared" si="152"/>
        <v>6.1967379547464549E-2</v>
      </c>
      <c r="AH174" s="211">
        <f t="shared" si="152"/>
        <v>-5.1102937507648528E-2</v>
      </c>
      <c r="AI174" s="211">
        <f t="shared" si="152"/>
        <v>1.168648949459189E-2</v>
      </c>
      <c r="AJ174" s="211">
        <f t="shared" si="152"/>
        <v>0.1496188352535254</v>
      </c>
      <c r="AK174" s="486">
        <f t="shared" si="152"/>
        <v>4.5248924988055425E-2</v>
      </c>
      <c r="AL174" s="473">
        <f t="shared" si="152"/>
        <v>-3.3272270443124717E-2</v>
      </c>
      <c r="AM174" s="473">
        <f t="shared" si="152"/>
        <v>3.9740139211136893E-2</v>
      </c>
      <c r="AN174" s="473">
        <f t="shared" si="152"/>
        <v>0.16241672285906947</v>
      </c>
      <c r="AO174" s="486">
        <v>4.8932729624838286E-2</v>
      </c>
      <c r="AP174" s="473">
        <f>AP173/AP62</f>
        <v>-6.5789473684210523E-2</v>
      </c>
      <c r="AQ174" s="473">
        <f>AQ173/AQ62</f>
        <v>3.8541666666666669E-2</v>
      </c>
      <c r="AR174" s="473">
        <f>AR173/AR59</f>
        <v>0.20512820512820512</v>
      </c>
      <c r="AS174" s="473">
        <f t="shared" ref="AS174:BS174" si="153">AS173/AS62</f>
        <v>3.7514654161781943E-2</v>
      </c>
      <c r="AT174" s="2819">
        <f t="shared" si="153"/>
        <v>-5.0210808738980449E-2</v>
      </c>
      <c r="AU174" s="473">
        <f t="shared" si="153"/>
        <v>8.4046939422771957E-2</v>
      </c>
      <c r="AV174" s="473">
        <f t="shared" si="153"/>
        <v>0.17116357504215851</v>
      </c>
      <c r="AW174" s="486">
        <f t="shared" si="153"/>
        <v>5.8245358572988716E-2</v>
      </c>
      <c r="AX174" s="2819">
        <f t="shared" si="153"/>
        <v>-0.58578542326844729</v>
      </c>
      <c r="AY174" s="473">
        <f t="shared" si="153"/>
        <v>-1.5</v>
      </c>
      <c r="AZ174" s="473">
        <f t="shared" si="153"/>
        <v>-7.5132978723404256E-2</v>
      </c>
      <c r="BA174" s="473">
        <f t="shared" si="153"/>
        <v>-0.50326086956521743</v>
      </c>
      <c r="BB174" s="2819">
        <f t="shared" si="153"/>
        <v>-0.29614767255216695</v>
      </c>
      <c r="BC174" s="473">
        <f t="shared" si="153"/>
        <v>-6.2529606821411648E-2</v>
      </c>
      <c r="BD174" s="473">
        <f t="shared" si="153"/>
        <v>0.17690749493585414</v>
      </c>
      <c r="BE174" s="486">
        <f t="shared" si="153"/>
        <v>7.1522597630539711E-2</v>
      </c>
      <c r="BF174" s="473">
        <f t="shared" si="153"/>
        <v>-6.0026678523788353E-2</v>
      </c>
      <c r="BG174" s="473">
        <f t="shared" si="153"/>
        <v>0.10845646023263125</v>
      </c>
      <c r="BH174" s="473">
        <f t="shared" si="153"/>
        <v>0.20641061066592981</v>
      </c>
      <c r="BI174" s="486">
        <f t="shared" si="153"/>
        <v>4.8892284186401833E-2</v>
      </c>
      <c r="BJ174" s="473">
        <f t="shared" si="153"/>
        <v>-4.5403377110694185E-2</v>
      </c>
      <c r="BK174" s="486">
        <f t="shared" si="153"/>
        <v>0.13192376414532458</v>
      </c>
      <c r="BL174" s="486">
        <f t="shared" si="153"/>
        <v>0.15449223721048613</v>
      </c>
      <c r="BM174" s="486">
        <f t="shared" si="153"/>
        <v>3.602355386214063E-2</v>
      </c>
      <c r="BN174" s="486">
        <f t="shared" si="153"/>
        <v>-3.8075458636206302E-2</v>
      </c>
      <c r="BO174" s="486">
        <f t="shared" si="153"/>
        <v>0.1267566048341765</v>
      </c>
      <c r="BP174" s="486">
        <f t="shared" si="153"/>
        <v>0.18768472906403941</v>
      </c>
      <c r="BQ174" s="3334">
        <f t="shared" si="153"/>
        <v>6.78391959798995E-2</v>
      </c>
      <c r="BR174" s="486">
        <f t="shared" si="153"/>
        <v>-2.3427041499330656E-2</v>
      </c>
      <c r="BS174" s="486">
        <f t="shared" si="153"/>
        <v>0.12810353935552035</v>
      </c>
      <c r="BT174" s="486">
        <f>BT173/BT62</f>
        <v>0.23481414324569355</v>
      </c>
      <c r="BU174" s="486">
        <f>BU173/BU62</f>
        <v>0.11953763744009022</v>
      </c>
      <c r="BV174" s="486">
        <f>BV173/BV62</f>
        <v>7.3263280793928784E-2</v>
      </c>
      <c r="BW174" s="486">
        <f>BW173/BW62</f>
        <v>0.18818076477404402</v>
      </c>
      <c r="BX174" s="486"/>
      <c r="BY174" s="451">
        <f>BY173/BY62</f>
        <v>5.2623198671945294E-2</v>
      </c>
      <c r="BZ174" s="489">
        <v>6.2142189705560756E-2</v>
      </c>
      <c r="CA174" s="2819">
        <f t="shared" ref="CA174:CG174" si="154">CA173/CA62</f>
        <v>6.3619353114140603E-2</v>
      </c>
      <c r="CB174" s="2819">
        <f t="shared" si="154"/>
        <v>7.4832186956161437E-2</v>
      </c>
      <c r="CC174" s="2819">
        <f t="shared" si="154"/>
        <v>-0.52298518945951145</v>
      </c>
      <c r="CD174" s="2819">
        <f t="shared" si="154"/>
        <v>2.1632937892533146E-2</v>
      </c>
      <c r="CE174" s="2819">
        <f t="shared" si="154"/>
        <v>9.2997342933059057E-2</v>
      </c>
      <c r="CF174" s="2819">
        <f t="shared" si="154"/>
        <v>8.0457979593426279E-2</v>
      </c>
      <c r="CG174" s="3374">
        <f t="shared" si="154"/>
        <v>9.6340661748593973E-2</v>
      </c>
      <c r="CH174" s="3374">
        <f>CH173/CH62</f>
        <v>0.12726532274485849</v>
      </c>
    </row>
    <row r="175" spans="1:86" s="424" customFormat="1" ht="11.5">
      <c r="A175" s="476" t="s">
        <v>67</v>
      </c>
      <c r="B175" s="2">
        <f t="shared" ref="B175:H175" si="155">B173/B143</f>
        <v>4.4875285916566816E-2</v>
      </c>
      <c r="C175" s="211">
        <f t="shared" si="155"/>
        <v>0.13642688187802796</v>
      </c>
      <c r="D175" s="211">
        <f t="shared" si="155"/>
        <v>0.11526470588235294</v>
      </c>
      <c r="E175" s="446">
        <f t="shared" si="155"/>
        <v>-0.1225191544355211</v>
      </c>
      <c r="F175" s="2">
        <f t="shared" si="155"/>
        <v>-0.42486323212782234</v>
      </c>
      <c r="G175" s="211">
        <f t="shared" si="155"/>
        <v>-0.14919104089502275</v>
      </c>
      <c r="H175" s="211">
        <f t="shared" si="155"/>
        <v>6.6511914339245276E-2</v>
      </c>
      <c r="I175" s="211"/>
      <c r="J175" s="211"/>
      <c r="K175" s="211"/>
      <c r="L175" s="467"/>
      <c r="M175" s="211"/>
      <c r="N175" s="211"/>
      <c r="O175" s="211"/>
      <c r="P175" s="211"/>
      <c r="Q175" s="211">
        <f>Q173/Q143</f>
        <v>0.22016508900883311</v>
      </c>
      <c r="R175" s="211">
        <f>R173/R143</f>
        <v>0.16553578005018246</v>
      </c>
      <c r="S175" s="424">
        <f>S143+S156+S157</f>
        <v>580.50200000000007</v>
      </c>
      <c r="T175" s="424">
        <f>T143+T156+T157</f>
        <v>431.61399999999969</v>
      </c>
      <c r="U175" s="424">
        <f>U143+U156+U157</f>
        <v>591.91800000000023</v>
      </c>
      <c r="V175" s="424">
        <f>V143+V156+V157</f>
        <v>-2367.6619999999994</v>
      </c>
      <c r="W175" s="423">
        <f>W172-W157</f>
        <v>509.75300000000021</v>
      </c>
      <c r="X175" s="424">
        <f>X172+X157</f>
        <v>553.29399999999998</v>
      </c>
      <c r="Y175" s="424">
        <f>Y172+Y157</f>
        <v>543.4559999999999</v>
      </c>
      <c r="Z175" s="424">
        <f>Z172+Z157</f>
        <v>496.32</v>
      </c>
      <c r="AA175" s="424">
        <f>AA172+AA157</f>
        <v>496.233</v>
      </c>
      <c r="AB175" s="425">
        <f>AB172+AB157</f>
        <v>602.77499999999998</v>
      </c>
      <c r="AC175" s="211"/>
      <c r="AD175" s="211">
        <f t="shared" ref="AD175:AN175" si="156">AD173/AD143</f>
        <v>6.7156758239546546E-2</v>
      </c>
      <c r="AE175" s="211">
        <f t="shared" si="156"/>
        <v>0.21432613918109547</v>
      </c>
      <c r="AF175" s="211">
        <f t="shared" si="156"/>
        <v>2.1673085435057211E-2</v>
      </c>
      <c r="AG175" s="446">
        <f t="shared" si="156"/>
        <v>7.7099507380344226E-2</v>
      </c>
      <c r="AH175" s="211">
        <f t="shared" si="156"/>
        <v>-6.4805237276632136E-2</v>
      </c>
      <c r="AI175" s="211">
        <f t="shared" si="156"/>
        <v>1.4340406674754636E-2</v>
      </c>
      <c r="AJ175" s="211">
        <f t="shared" si="156"/>
        <v>0.17844378784083903</v>
      </c>
      <c r="AK175" s="486">
        <f t="shared" si="156"/>
        <v>5.4992599405745926E-2</v>
      </c>
      <c r="AL175" s="473">
        <f t="shared" si="156"/>
        <v>-4.1211149354981262E-2</v>
      </c>
      <c r="AM175" s="473">
        <f t="shared" si="156"/>
        <v>4.7866015399211828E-2</v>
      </c>
      <c r="AN175" s="473">
        <f t="shared" si="156"/>
        <v>0.19211937588960221</v>
      </c>
      <c r="AO175" s="486">
        <v>6.0294899043570667E-2</v>
      </c>
      <c r="AP175" s="473">
        <f t="shared" ref="AP175:BS175" si="157">AP173/AP143</f>
        <v>-8.1642751113310236E-2</v>
      </c>
      <c r="AQ175" s="473">
        <f t="shared" si="157"/>
        <v>4.659949622166247E-2</v>
      </c>
      <c r="AR175" s="473">
        <f t="shared" si="157"/>
        <v>0.24242424242424243</v>
      </c>
      <c r="AS175" s="473">
        <f t="shared" si="157"/>
        <v>4.6087373979836775E-2</v>
      </c>
      <c r="AT175" s="2819">
        <f t="shared" si="157"/>
        <v>-6.1821613968853231E-2</v>
      </c>
      <c r="AU175" s="473">
        <f t="shared" si="157"/>
        <v>9.9886920467395404E-2</v>
      </c>
      <c r="AV175" s="473">
        <f t="shared" si="157"/>
        <v>0.20232558139534884</v>
      </c>
      <c r="AW175" s="486">
        <f t="shared" si="157"/>
        <v>7.2463768115942032E-2</v>
      </c>
      <c r="AX175" s="2819">
        <f t="shared" si="157"/>
        <v>-0.81898734177215193</v>
      </c>
      <c r="AY175" s="473">
        <f t="shared" si="157"/>
        <v>-4.7966101694915251</v>
      </c>
      <c r="AZ175" s="473">
        <f t="shared" si="157"/>
        <v>-0.10008857395925598</v>
      </c>
      <c r="BA175" s="473">
        <f t="shared" si="157"/>
        <v>-0.73143759873617697</v>
      </c>
      <c r="BB175" s="2819">
        <f t="shared" si="157"/>
        <v>-0.3946524064171123</v>
      </c>
      <c r="BC175" s="473">
        <f t="shared" si="157"/>
        <v>-7.599309153713299E-2</v>
      </c>
      <c r="BD175" s="473">
        <f t="shared" si="157"/>
        <v>0.20793650793650795</v>
      </c>
      <c r="BE175" s="486">
        <f t="shared" si="157"/>
        <v>8.6518046709129506E-2</v>
      </c>
      <c r="BF175" s="473">
        <f t="shared" si="157"/>
        <v>-7.1884984025559109E-2</v>
      </c>
      <c r="BG175" s="473">
        <f t="shared" si="157"/>
        <v>0.12490948587979725</v>
      </c>
      <c r="BH175" s="473">
        <f t="shared" si="157"/>
        <v>0.23609355246523389</v>
      </c>
      <c r="BI175" s="486">
        <f t="shared" si="157"/>
        <v>5.8023572076155938E-2</v>
      </c>
      <c r="BJ175" s="473">
        <f t="shared" si="157"/>
        <v>-5.3753887161261664E-2</v>
      </c>
      <c r="BK175" s="486">
        <f t="shared" si="157"/>
        <v>0.15011860386309725</v>
      </c>
      <c r="BL175" s="486">
        <f t="shared" si="157"/>
        <v>0.17229633834799887</v>
      </c>
      <c r="BM175" s="486">
        <f t="shared" si="157"/>
        <v>4.0832351786415394E-2</v>
      </c>
      <c r="BN175" s="486">
        <f t="shared" si="157"/>
        <v>-4.3461082576056895E-2</v>
      </c>
      <c r="BO175" s="486">
        <f t="shared" si="157"/>
        <v>0.14111389236545682</v>
      </c>
      <c r="BP175" s="486">
        <f t="shared" si="157"/>
        <v>0.20751633986928106</v>
      </c>
      <c r="BQ175" s="3334">
        <f t="shared" si="157"/>
        <v>7.5816075816075815E-2</v>
      </c>
      <c r="BR175" s="486">
        <f t="shared" si="157"/>
        <v>-2.6605853287723299E-2</v>
      </c>
      <c r="BS175" s="486">
        <f t="shared" si="157"/>
        <v>0.14227046054561454</v>
      </c>
      <c r="BT175" s="486">
        <f>BT173/BT143</f>
        <v>0.25668979187314173</v>
      </c>
      <c r="BU175" s="486">
        <f>BU173/BU143</f>
        <v>0.13229329173166926</v>
      </c>
      <c r="BV175" s="486">
        <f>BV173/BV143</f>
        <v>8.2322072810757624E-2</v>
      </c>
      <c r="BW175" s="486">
        <f>BW173/BW143</f>
        <v>0.20756646216768918</v>
      </c>
      <c r="BX175" s="486"/>
      <c r="BY175" s="451">
        <f>BY173/BY143</f>
        <v>6.4330447230521448E-2</v>
      </c>
      <c r="BZ175" s="489">
        <v>7.5283844751050349E-2</v>
      </c>
      <c r="CA175" s="2819">
        <f t="shared" ref="CA175:CG175" si="158">CA173/CA143</f>
        <v>7.7122488658457555E-2</v>
      </c>
      <c r="CB175" s="2819">
        <f t="shared" si="158"/>
        <v>9.1175282714054923E-2</v>
      </c>
      <c r="CC175" s="2819">
        <f t="shared" si="158"/>
        <v>-0.77266268826371132</v>
      </c>
      <c r="CD175" s="2819">
        <f t="shared" si="158"/>
        <v>2.6286037309214246E-2</v>
      </c>
      <c r="CE175" s="2819">
        <f t="shared" si="158"/>
        <v>0.10839160839160839</v>
      </c>
      <c r="CF175" s="2819">
        <f t="shared" si="158"/>
        <v>9.1691816083791941E-2</v>
      </c>
      <c r="CG175" s="3374">
        <f t="shared" si="158"/>
        <v>0.10769105160026127</v>
      </c>
      <c r="CH175" s="3374">
        <f>CH173/CH143</f>
        <v>0.14122166151992166</v>
      </c>
    </row>
    <row r="176" spans="1:86" s="1764" customFormat="1">
      <c r="A176" s="1561" t="s">
        <v>1021</v>
      </c>
      <c r="B176" s="1881">
        <f t="shared" ref="B176:I176" si="159">B173+B157</f>
        <v>3.1949999999999998</v>
      </c>
      <c r="C176" s="1764">
        <f t="shared" si="159"/>
        <v>9.9419599999999999</v>
      </c>
      <c r="D176" s="1764">
        <f t="shared" si="159"/>
        <v>11.321</v>
      </c>
      <c r="E176" s="1768">
        <f t="shared" si="159"/>
        <v>-5.8109999999999999</v>
      </c>
      <c r="F176" s="1881" t="e">
        <f t="shared" si="159"/>
        <v>#VALUE!</v>
      </c>
      <c r="G176" s="1764" t="e">
        <f t="shared" si="159"/>
        <v>#VALUE!</v>
      </c>
      <c r="H176" s="1764">
        <f t="shared" si="159"/>
        <v>4.589199999999992</v>
      </c>
      <c r="I176" s="1764">
        <f t="shared" si="159"/>
        <v>10.899809999999995</v>
      </c>
      <c r="L176" s="1876"/>
      <c r="Q176" s="1764">
        <f>Q143+Q156+Q157</f>
        <v>435.0800000000001</v>
      </c>
      <c r="R176" s="1764">
        <f>R143+R156+R157</f>
        <v>583.2729999999998</v>
      </c>
      <c r="S176" s="1882">
        <f>S175/S59</f>
        <v>0.27389210905633765</v>
      </c>
      <c r="T176" s="1882">
        <f>T175/T59</f>
        <v>0.19289269775552748</v>
      </c>
      <c r="U176" s="1882">
        <f>U175/U59</f>
        <v>0.22208040124082112</v>
      </c>
      <c r="V176" s="1887" t="s">
        <v>156</v>
      </c>
      <c r="W176" s="1886">
        <f>W175/W59</f>
        <v>0.17248038015500988</v>
      </c>
      <c r="X176" s="1882">
        <f>X175/X59</f>
        <v>0.18238587573694351</v>
      </c>
      <c r="Y176" s="1882">
        <f>Y175/Y59</f>
        <v>0.15756873931033519</v>
      </c>
      <c r="Z176" s="1882">
        <f>Z175/Z62</f>
        <v>0.12314572417709939</v>
      </c>
      <c r="AA176" s="1882">
        <f>AA175/AA62</f>
        <v>0.10401027038356739</v>
      </c>
      <c r="AB176" s="1883">
        <f>AB175/AB62</f>
        <v>0.10458515984686349</v>
      </c>
      <c r="AD176" s="1764">
        <f t="shared" ref="AD176:AN176" si="160">AD173+AD157</f>
        <v>131.58600000000001</v>
      </c>
      <c r="AE176" s="1764">
        <f t="shared" si="160"/>
        <v>408.654</v>
      </c>
      <c r="AF176" s="1764">
        <f t="shared" si="160"/>
        <v>73.509</v>
      </c>
      <c r="AG176" s="1768">
        <f t="shared" si="160"/>
        <v>591.53399999999999</v>
      </c>
      <c r="AH176" s="1563">
        <f t="shared" si="160"/>
        <v>-48.39</v>
      </c>
      <c r="AI176" s="1563">
        <f t="shared" si="160"/>
        <v>126.09299999999999</v>
      </c>
      <c r="AJ176" s="1563">
        <f t="shared" si="160"/>
        <v>434.41499999999996</v>
      </c>
      <c r="AK176" s="1564">
        <f t="shared" si="160"/>
        <v>139.52100000000002</v>
      </c>
      <c r="AL176" s="1563">
        <f t="shared" si="160"/>
        <v>-25.622</v>
      </c>
      <c r="AM176" s="1563">
        <f t="shared" si="160"/>
        <v>152.87</v>
      </c>
      <c r="AN176" s="1563">
        <f t="shared" si="160"/>
        <v>488.00700000000001</v>
      </c>
      <c r="AO176" s="1564">
        <v>159.233</v>
      </c>
      <c r="AP176" s="1563">
        <f t="shared" ref="AP176:BT176" si="161">AP173+AP157</f>
        <v>-115</v>
      </c>
      <c r="AQ176" s="1563">
        <f t="shared" si="161"/>
        <v>161</v>
      </c>
      <c r="AR176" s="1563">
        <f t="shared" si="161"/>
        <v>726</v>
      </c>
      <c r="AS176" s="1563">
        <f t="shared" si="161"/>
        <v>145</v>
      </c>
      <c r="AT176" s="1588">
        <f t="shared" si="161"/>
        <v>-75</v>
      </c>
      <c r="AU176" s="1563">
        <f t="shared" si="161"/>
        <v>324</v>
      </c>
      <c r="AV176" s="1563">
        <f t="shared" si="161"/>
        <v>669</v>
      </c>
      <c r="AW176" s="1564">
        <f t="shared" si="161"/>
        <v>226</v>
      </c>
      <c r="AX176" s="1588">
        <f t="shared" si="161"/>
        <v>-1239</v>
      </c>
      <c r="AY176" s="1563">
        <f t="shared" si="161"/>
        <v>-795</v>
      </c>
      <c r="AZ176" s="1563">
        <f t="shared" si="161"/>
        <v>-66</v>
      </c>
      <c r="BA176" s="1563">
        <f t="shared" si="161"/>
        <v>-414</v>
      </c>
      <c r="BB176" s="1588">
        <f t="shared" si="161"/>
        <v>-286</v>
      </c>
      <c r="BC176" s="1563">
        <f t="shared" si="161"/>
        <v>-12</v>
      </c>
      <c r="BD176" s="1563">
        <f t="shared" si="161"/>
        <v>640</v>
      </c>
      <c r="BE176" s="1564">
        <f t="shared" si="161"/>
        <v>262</v>
      </c>
      <c r="BF176" s="1563">
        <f t="shared" si="161"/>
        <v>-45</v>
      </c>
      <c r="BG176" s="1563">
        <f t="shared" si="161"/>
        <v>438</v>
      </c>
      <c r="BH176" s="1563">
        <f t="shared" si="161"/>
        <v>844</v>
      </c>
      <c r="BI176" s="1564">
        <f t="shared" si="161"/>
        <v>222</v>
      </c>
      <c r="BJ176" s="1563">
        <f t="shared" si="161"/>
        <v>-18</v>
      </c>
      <c r="BK176" s="1564">
        <f t="shared" si="161"/>
        <v>549</v>
      </c>
      <c r="BL176" s="1564">
        <f t="shared" si="161"/>
        <v>712</v>
      </c>
      <c r="BM176" s="1564">
        <f t="shared" si="161"/>
        <v>203</v>
      </c>
      <c r="BN176" s="1564">
        <f t="shared" si="161"/>
        <v>-6</v>
      </c>
      <c r="BO176" s="1564">
        <f t="shared" si="161"/>
        <v>565</v>
      </c>
      <c r="BP176" s="1564">
        <f t="shared" si="161"/>
        <v>909</v>
      </c>
      <c r="BQ176" s="3344">
        <f t="shared" si="161"/>
        <v>309</v>
      </c>
      <c r="BR176" s="1564">
        <f t="shared" si="161"/>
        <v>28</v>
      </c>
      <c r="BS176" s="1564">
        <f t="shared" si="161"/>
        <v>590</v>
      </c>
      <c r="BT176" s="1564">
        <f t="shared" si="161"/>
        <v>1126</v>
      </c>
      <c r="BU176" s="1564">
        <f>BU173+BU157</f>
        <v>529</v>
      </c>
      <c r="BV176" s="1564">
        <f>BV173+BV157</f>
        <v>354</v>
      </c>
      <c r="BW176" s="1564">
        <f>BW173+BW157</f>
        <v>926</v>
      </c>
      <c r="BX176" s="1564"/>
      <c r="BY176" s="1567">
        <f>BY173+BY157</f>
        <v>704.11900000000003</v>
      </c>
      <c r="BZ176" s="1567">
        <v>774.48800000000006</v>
      </c>
      <c r="CA176" s="1588">
        <f t="shared" ref="CA176:CG176" si="162">CA173+CA157</f>
        <v>917</v>
      </c>
      <c r="CB176" s="1588">
        <f t="shared" si="162"/>
        <v>1144</v>
      </c>
      <c r="CC176" s="1588">
        <f t="shared" si="162"/>
        <v>-2514</v>
      </c>
      <c r="CD176" s="1588">
        <f t="shared" si="162"/>
        <v>604</v>
      </c>
      <c r="CE176" s="1588">
        <f t="shared" si="162"/>
        <v>1459</v>
      </c>
      <c r="CF176" s="1588">
        <f t="shared" si="162"/>
        <v>1446</v>
      </c>
      <c r="CG176" s="3380">
        <f t="shared" si="162"/>
        <v>1777</v>
      </c>
      <c r="CH176" s="3380">
        <f>CH173+CH157</f>
        <v>2273</v>
      </c>
    </row>
    <row r="177" spans="1:86" s="473" customFormat="1" ht="16" customHeight="1">
      <c r="A177" s="67" t="s">
        <v>69</v>
      </c>
      <c r="B177" s="2">
        <f t="shared" ref="B177:I177" si="163">B176/B62</f>
        <v>6.0984920786409616E-2</v>
      </c>
      <c r="C177" s="211">
        <f t="shared" si="163"/>
        <v>0.13615827138394662</v>
      </c>
      <c r="D177" s="211">
        <f t="shared" si="163"/>
        <v>0.12173118279569892</v>
      </c>
      <c r="E177" s="446">
        <f t="shared" si="163"/>
        <v>-4.8643897538925167E-2</v>
      </c>
      <c r="F177" s="2" t="e">
        <f t="shared" si="163"/>
        <v>#VALUE!</v>
      </c>
      <c r="G177" s="211" t="e">
        <f t="shared" si="163"/>
        <v>#VALUE!</v>
      </c>
      <c r="H177" s="211">
        <f t="shared" si="163"/>
        <v>3.6795613890984007E-2</v>
      </c>
      <c r="I177" s="211">
        <f t="shared" si="163"/>
        <v>5.5441765705951933E-2</v>
      </c>
      <c r="J177" s="211"/>
      <c r="K177" s="211"/>
      <c r="L177" s="478"/>
      <c r="M177" s="211"/>
      <c r="N177" s="211"/>
      <c r="O177" s="211"/>
      <c r="P177" s="211"/>
      <c r="Q177" s="211">
        <f>Q176/Q59</f>
        <v>0.1859464837574627</v>
      </c>
      <c r="R177" s="211">
        <f>R176/R59</f>
        <v>0.3164779629877813</v>
      </c>
      <c r="S177" s="211">
        <f t="shared" ref="S177:AB177" si="164">S175/S143</f>
        <v>0.35208847488899098</v>
      </c>
      <c r="T177" s="211">
        <f t="shared" si="164"/>
        <v>0.24877633220131076</v>
      </c>
      <c r="U177" s="211">
        <f t="shared" si="164"/>
        <v>0.28147285859593119</v>
      </c>
      <c r="V177" s="211">
        <f t="shared" si="164"/>
        <v>-1.0301779050987159</v>
      </c>
      <c r="W177" s="447">
        <f t="shared" si="164"/>
        <v>0.21708475731152924</v>
      </c>
      <c r="X177" s="211">
        <f t="shared" si="164"/>
        <v>0.23562894830756703</v>
      </c>
      <c r="Y177" s="211">
        <f t="shared" si="164"/>
        <v>0.20219835497297536</v>
      </c>
      <c r="Z177" s="211">
        <f t="shared" si="164"/>
        <v>0.15848043725171571</v>
      </c>
      <c r="AA177" s="211">
        <f t="shared" si="164"/>
        <v>0.1329314224484329</v>
      </c>
      <c r="AB177" s="446">
        <f t="shared" si="164"/>
        <v>0.13148383083166318</v>
      </c>
      <c r="AC177" s="211"/>
      <c r="AD177" s="211">
        <f t="shared" ref="AD177:AN177" si="165">AD176/AD62</f>
        <v>7.9144713099963918E-2</v>
      </c>
      <c r="AE177" s="211">
        <f t="shared" si="165"/>
        <v>0.21089065531055817</v>
      </c>
      <c r="AF177" s="211">
        <f t="shared" si="165"/>
        <v>4.3277068258125821E-2</v>
      </c>
      <c r="AG177" s="446">
        <f t="shared" si="165"/>
        <v>8.8654960488238191E-2</v>
      </c>
      <c r="AH177" s="211">
        <f t="shared" si="165"/>
        <v>-2.541543655568575E-2</v>
      </c>
      <c r="AI177" s="211">
        <f t="shared" si="165"/>
        <v>5.7422824403459395E-2</v>
      </c>
      <c r="AJ177" s="211">
        <f t="shared" si="165"/>
        <v>0.16831886489429093</v>
      </c>
      <c r="AK177" s="486">
        <f t="shared" si="165"/>
        <v>6.6660774008600099E-2</v>
      </c>
      <c r="AL177" s="473">
        <f t="shared" si="165"/>
        <v>-1.1704888076747372E-2</v>
      </c>
      <c r="AM177" s="473">
        <f t="shared" si="165"/>
        <v>5.9114462490332559E-2</v>
      </c>
      <c r="AN177" s="473">
        <f t="shared" si="165"/>
        <v>0.16453371544167228</v>
      </c>
      <c r="AO177" s="486">
        <v>6.8664510564898668E-2</v>
      </c>
      <c r="AP177" s="473">
        <f>AP176/AP62</f>
        <v>-4.5853269537480063E-2</v>
      </c>
      <c r="AQ177" s="473">
        <f>AQ176/AQ62</f>
        <v>5.590277777777778E-2</v>
      </c>
      <c r="AR177" s="473">
        <f>AR176/AR59</f>
        <v>0.2216117216117216</v>
      </c>
      <c r="AS177" s="473">
        <f t="shared" ref="AS177:BS177" si="166">AS176/AS62</f>
        <v>5.6662758890191484E-2</v>
      </c>
      <c r="AT177" s="2819">
        <f t="shared" si="166"/>
        <v>-2.8746646224607129E-2</v>
      </c>
      <c r="AU177" s="473">
        <f t="shared" si="166"/>
        <v>0.1027592768791627</v>
      </c>
      <c r="AV177" s="473">
        <f t="shared" si="166"/>
        <v>0.18802698145025296</v>
      </c>
      <c r="AW177" s="486">
        <f t="shared" si="166"/>
        <v>8.2271568984346566E-2</v>
      </c>
      <c r="AX177" s="2819">
        <f t="shared" si="166"/>
        <v>-0.56088727931190585</v>
      </c>
      <c r="AY177" s="473">
        <f t="shared" si="166"/>
        <v>-1.4045936395759717</v>
      </c>
      <c r="AZ177" s="473">
        <f t="shared" si="166"/>
        <v>-4.3882978723404256E-2</v>
      </c>
      <c r="BA177" s="473">
        <f t="shared" si="166"/>
        <v>-0.45</v>
      </c>
      <c r="BB177" s="2819">
        <f t="shared" si="166"/>
        <v>-0.22953451043338685</v>
      </c>
      <c r="BC177" s="473">
        <f t="shared" si="166"/>
        <v>-5.6845097110374233E-3</v>
      </c>
      <c r="BD177" s="473">
        <f t="shared" si="166"/>
        <v>0.21607022282241728</v>
      </c>
      <c r="BE177" s="486">
        <f t="shared" si="166"/>
        <v>0.11496270293988592</v>
      </c>
      <c r="BF177" s="473">
        <f t="shared" si="166"/>
        <v>-2.0008892841262782E-2</v>
      </c>
      <c r="BG177" s="473">
        <f t="shared" si="166"/>
        <v>0.13769254951273185</v>
      </c>
      <c r="BH177" s="473">
        <f t="shared" si="166"/>
        <v>0.23321359491572258</v>
      </c>
      <c r="BI177" s="486">
        <f t="shared" si="166"/>
        <v>8.4797555385790674E-2</v>
      </c>
      <c r="BJ177" s="473">
        <f t="shared" si="166"/>
        <v>-6.7542213883677298E-3</v>
      </c>
      <c r="BK177" s="486">
        <f t="shared" si="166"/>
        <v>0.16349017272185826</v>
      </c>
      <c r="BL177" s="486">
        <f t="shared" si="166"/>
        <v>0.18121659455332145</v>
      </c>
      <c r="BM177" s="486">
        <f t="shared" si="166"/>
        <v>7.0315206096293728E-2</v>
      </c>
      <c r="BN177" s="486">
        <f t="shared" si="166"/>
        <v>-2.0768431983385254E-3</v>
      </c>
      <c r="BO177" s="486">
        <f t="shared" si="166"/>
        <v>0.15879707700955592</v>
      </c>
      <c r="BP177" s="486">
        <f t="shared" si="166"/>
        <v>0.22389162561576353</v>
      </c>
      <c r="BQ177" s="3334">
        <f t="shared" si="166"/>
        <v>9.7047738693467334E-2</v>
      </c>
      <c r="BR177" s="486">
        <f t="shared" si="166"/>
        <v>9.3708165997322627E-3</v>
      </c>
      <c r="BS177" s="486">
        <f t="shared" si="166"/>
        <v>0.15583729529846804</v>
      </c>
      <c r="BT177" s="486">
        <f>BT176/BT62</f>
        <v>0.25521305530371713</v>
      </c>
      <c r="BU177" s="486">
        <f>BU176/BU62</f>
        <v>0.14914011840992389</v>
      </c>
      <c r="BV177" s="486">
        <f>BV176/BV62</f>
        <v>0.10332749562171628</v>
      </c>
      <c r="BW177" s="486">
        <f>BW176/BW62</f>
        <v>0.21460023174971032</v>
      </c>
      <c r="BX177" s="486"/>
      <c r="BY177" s="451">
        <f>BY176/BY62</f>
        <v>8.0253050724691369E-2</v>
      </c>
      <c r="BZ177" s="489">
        <v>7.6988409312312378E-2</v>
      </c>
      <c r="CA177" s="2819">
        <f t="shared" ref="CA177:CG177" si="167">CA176/CA62</f>
        <v>8.1707208411298221E-2</v>
      </c>
      <c r="CB177" s="2819">
        <f t="shared" si="167"/>
        <v>9.4804010938924335E-2</v>
      </c>
      <c r="CC177" s="2819">
        <f t="shared" si="167"/>
        <v>-0.48355452971725332</v>
      </c>
      <c r="CD177" s="2819">
        <f t="shared" si="167"/>
        <v>7.0248895091881827E-2</v>
      </c>
      <c r="CE177" s="2819">
        <f t="shared" si="167"/>
        <v>0.12505356989800293</v>
      </c>
      <c r="CF177" s="2819">
        <f t="shared" si="167"/>
        <v>0.11262559389360542</v>
      </c>
      <c r="CG177" s="3374">
        <f t="shared" si="167"/>
        <v>0.12979329486523994</v>
      </c>
      <c r="CH177" s="3374">
        <f>CH176/CH62</f>
        <v>0.1542795085861671</v>
      </c>
    </row>
    <row r="178" spans="1:86" ht="11.5">
      <c r="A178" s="476" t="s">
        <v>70</v>
      </c>
      <c r="B178" s="2">
        <f t="shared" ref="B178:R178" si="168">B176/B143</f>
        <v>8.7000326761790647E-2</v>
      </c>
      <c r="C178" s="211">
        <f t="shared" si="168"/>
        <v>0.19017922177859647</v>
      </c>
      <c r="D178" s="211">
        <f t="shared" si="168"/>
        <v>0.16648529411764706</v>
      </c>
      <c r="E178" s="446">
        <f t="shared" si="168"/>
        <v>-6.7052063140404322E-2</v>
      </c>
      <c r="F178" s="2" t="e">
        <f t="shared" si="168"/>
        <v>#VALUE!</v>
      </c>
      <c r="G178" s="211" t="e">
        <f t="shared" si="168"/>
        <v>#VALUE!</v>
      </c>
      <c r="H178" s="211">
        <f t="shared" si="168"/>
        <v>7.5145953887677239E-2</v>
      </c>
      <c r="I178" s="211">
        <f t="shared" si="168"/>
        <v>0.12360175346998689</v>
      </c>
      <c r="J178" s="211">
        <f t="shared" si="168"/>
        <v>0</v>
      </c>
      <c r="K178" s="211">
        <f t="shared" si="168"/>
        <v>0</v>
      </c>
      <c r="L178" s="467" t="e">
        <f t="shared" si="168"/>
        <v>#DIV/0!</v>
      </c>
      <c r="M178" s="211" t="e">
        <f t="shared" si="168"/>
        <v>#DIV/0!</v>
      </c>
      <c r="N178" s="211" t="e">
        <f t="shared" si="168"/>
        <v>#DIV/0!</v>
      </c>
      <c r="O178" s="211" t="e">
        <f t="shared" si="168"/>
        <v>#DIV/0!</v>
      </c>
      <c r="P178" s="211" t="e">
        <f t="shared" si="168"/>
        <v>#DIV/0!</v>
      </c>
      <c r="Q178" s="211">
        <f t="shared" si="168"/>
        <v>0.39335665916262086</v>
      </c>
      <c r="R178" s="211">
        <f t="shared" si="168"/>
        <v>0.40151098475591906</v>
      </c>
      <c r="S178" s="146"/>
      <c r="T178" s="146"/>
      <c r="U178" s="146"/>
      <c r="V178" s="146"/>
      <c r="W178" s="145"/>
      <c r="X178" s="146"/>
      <c r="Y178" s="146"/>
      <c r="Z178" s="146"/>
      <c r="AA178" s="146"/>
      <c r="AB178" s="147"/>
      <c r="AC178" s="211"/>
      <c r="AD178" s="211">
        <f t="shared" ref="AD178:AN178" si="169">AD176/AD143</f>
        <v>9.8087390553089862E-2</v>
      </c>
      <c r="AE178" s="211">
        <f t="shared" si="169"/>
        <v>0.25387171543287612</v>
      </c>
      <c r="AF178" s="211">
        <f t="shared" si="169"/>
        <v>5.4047794458242711E-2</v>
      </c>
      <c r="AG178" s="446">
        <f t="shared" si="169"/>
        <v>0.11030406369259997</v>
      </c>
      <c r="AH178" s="211">
        <f t="shared" si="169"/>
        <v>-3.2230111942858325E-2</v>
      </c>
      <c r="AI178" s="211">
        <f t="shared" si="169"/>
        <v>7.0463132212603696E-2</v>
      </c>
      <c r="AJ178" s="211">
        <f t="shared" si="169"/>
        <v>0.20074648867512815</v>
      </c>
      <c r="AK178" s="486">
        <f t="shared" si="169"/>
        <v>8.1015167589055373E-2</v>
      </c>
      <c r="AL178" s="473">
        <f t="shared" si="169"/>
        <v>-1.4497714892608156E-2</v>
      </c>
      <c r="AM178" s="473">
        <f t="shared" si="169"/>
        <v>7.1201908902357863E-2</v>
      </c>
      <c r="AN178" s="473">
        <f t="shared" si="169"/>
        <v>0.19462352254748966</v>
      </c>
      <c r="AO178" s="486">
        <v>8.4608395324123273E-2</v>
      </c>
      <c r="AP178" s="473">
        <f>AP176/AP143</f>
        <v>-5.6902523503216229E-2</v>
      </c>
      <c r="AQ178" s="473">
        <f>AQ176/AQ143</f>
        <v>6.7590260285474393E-2</v>
      </c>
      <c r="AR178" s="473">
        <f>AR176/AR143</f>
        <v>0.26190476190476192</v>
      </c>
      <c r="AS178" s="473">
        <v>8.4608395324123273E-2</v>
      </c>
      <c r="AT178" s="2819">
        <f t="shared" ref="AT178:BS178" si="170">AT176/AT143</f>
        <v>-3.5394053798961773E-2</v>
      </c>
      <c r="AU178" s="473">
        <f t="shared" si="170"/>
        <v>0.12212589521296645</v>
      </c>
      <c r="AV178" s="473">
        <f t="shared" si="170"/>
        <v>0.22225913621262458</v>
      </c>
      <c r="AW178" s="486">
        <f t="shared" si="170"/>
        <v>0.10235507246376811</v>
      </c>
      <c r="AX178" s="2819">
        <f t="shared" si="170"/>
        <v>-0.78417721518987338</v>
      </c>
      <c r="AY178" s="473">
        <f t="shared" si="170"/>
        <v>-4.4915254237288131</v>
      </c>
      <c r="AZ178" s="473">
        <f t="shared" si="170"/>
        <v>-5.8458813108945969E-2</v>
      </c>
      <c r="BA178" s="473">
        <f t="shared" si="170"/>
        <v>-0.65402843601895733</v>
      </c>
      <c r="BB178" s="2819">
        <f t="shared" si="170"/>
        <v>-0.30588235294117649</v>
      </c>
      <c r="BC178" s="473">
        <f t="shared" si="170"/>
        <v>-6.9084628670120895E-3</v>
      </c>
      <c r="BD178" s="473">
        <f t="shared" si="170"/>
        <v>0.25396825396825395</v>
      </c>
      <c r="BE178" s="486">
        <f t="shared" si="170"/>
        <v>0.13906581740976645</v>
      </c>
      <c r="BF178" s="473">
        <f t="shared" si="170"/>
        <v>-2.3961661341853034E-2</v>
      </c>
      <c r="BG178" s="473">
        <f t="shared" si="170"/>
        <v>0.15858073859522084</v>
      </c>
      <c r="BH178" s="473">
        <f t="shared" si="170"/>
        <v>0.26675094816687739</v>
      </c>
      <c r="BI178" s="486">
        <f t="shared" si="170"/>
        <v>0.10063463281958296</v>
      </c>
      <c r="BJ178" s="473">
        <f t="shared" si="170"/>
        <v>-7.9964460239893374E-3</v>
      </c>
      <c r="BK178" s="486">
        <f t="shared" si="170"/>
        <v>0.18603863097255169</v>
      </c>
      <c r="BL178" s="486">
        <f t="shared" si="170"/>
        <v>0.20210048254328697</v>
      </c>
      <c r="BM178" s="486">
        <f t="shared" si="170"/>
        <v>7.9701609736945428E-2</v>
      </c>
      <c r="BN178" s="486">
        <f t="shared" si="170"/>
        <v>-2.3706045041485581E-3</v>
      </c>
      <c r="BO178" s="486">
        <f t="shared" si="170"/>
        <v>0.17678347934918648</v>
      </c>
      <c r="BP178" s="486">
        <f t="shared" si="170"/>
        <v>0.24754901960784315</v>
      </c>
      <c r="BQ178" s="3334">
        <f t="shared" si="170"/>
        <v>0.10845910845910846</v>
      </c>
      <c r="BR178" s="486">
        <f t="shared" si="170"/>
        <v>1.0642341315089319E-2</v>
      </c>
      <c r="BS178" s="486">
        <f t="shared" si="170"/>
        <v>0.17307128190085069</v>
      </c>
      <c r="BT178" s="486">
        <f>BT176/BT143</f>
        <v>0.2789890981169475</v>
      </c>
      <c r="BU178" s="486">
        <f>BU176/BU143</f>
        <v>0.16505460218408735</v>
      </c>
      <c r="BV178" s="486">
        <f>BV176/BV143</f>
        <v>0.11610364053788128</v>
      </c>
      <c r="BW178" s="486">
        <f>BW176/BW143</f>
        <v>0.2367075664621677</v>
      </c>
      <c r="BX178" s="486"/>
      <c r="BY178" s="451">
        <f>BY176/BY143</f>
        <v>9.8107199391615232E-2</v>
      </c>
      <c r="BZ178" s="489">
        <v>9.3269701015698106E-2</v>
      </c>
      <c r="CA178" s="2819">
        <v>9.3269701015698106E-2</v>
      </c>
      <c r="CB178" s="447">
        <f t="shared" ref="CB178:CG178" si="171">CB176/CB143</f>
        <v>0.11550888529886914</v>
      </c>
      <c r="CC178" s="447">
        <f t="shared" si="171"/>
        <v>-0.71440750213128734</v>
      </c>
      <c r="CD178" s="447">
        <f t="shared" si="171"/>
        <v>8.5358959864330133E-2</v>
      </c>
      <c r="CE178" s="447">
        <f t="shared" si="171"/>
        <v>0.14575424575424575</v>
      </c>
      <c r="CF178" s="447">
        <f t="shared" si="171"/>
        <v>0.12835078998757324</v>
      </c>
      <c r="CG178" s="447">
        <f t="shared" si="171"/>
        <v>0.14508491182233835</v>
      </c>
      <c r="CH178" s="447">
        <f>CH176/CH143</f>
        <v>0.1711983128718837</v>
      </c>
    </row>
    <row r="179" spans="1:86">
      <c r="A179" s="66"/>
      <c r="B179" s="150"/>
      <c r="C179" s="150"/>
      <c r="D179" s="150"/>
      <c r="E179" s="153"/>
      <c r="F179" s="146"/>
      <c r="G179" s="146"/>
      <c r="H179" s="146"/>
      <c r="I179" s="146"/>
      <c r="J179" s="146"/>
      <c r="K179" s="146"/>
      <c r="L179" s="225"/>
      <c r="M179" s="146"/>
      <c r="N179" s="146"/>
      <c r="O179" s="146"/>
      <c r="P179" s="146"/>
      <c r="Q179" s="146"/>
      <c r="R179" s="146"/>
      <c r="S179" s="146"/>
      <c r="T179" s="146"/>
      <c r="U179" s="146"/>
      <c r="V179" s="146"/>
      <c r="W179" s="145"/>
      <c r="X179" s="146"/>
      <c r="Y179" s="146"/>
      <c r="Z179" s="146"/>
      <c r="AA179" s="146"/>
      <c r="AB179" s="430">
        <v>1024.788</v>
      </c>
      <c r="AC179" s="146"/>
      <c r="AD179" s="146"/>
      <c r="AE179" s="146"/>
      <c r="AF179" s="146"/>
      <c r="AG179" s="147"/>
      <c r="AP179" s="211"/>
      <c r="AQ179" s="211"/>
      <c r="AR179" s="211"/>
      <c r="AS179" s="211"/>
      <c r="BY179" s="442"/>
    </row>
    <row r="180" spans="1:86" s="1890" customFormat="1" ht="11" customHeight="1">
      <c r="A180" s="1590" t="s">
        <v>1391</v>
      </c>
      <c r="B180" s="1888"/>
      <c r="C180" s="1888"/>
      <c r="D180" s="1888"/>
      <c r="E180" s="1889"/>
      <c r="L180" s="1891"/>
      <c r="W180" s="1892"/>
      <c r="AB180" s="1893">
        <f>AB179/AB59</f>
        <v>0.17780700392210616</v>
      </c>
      <c r="AC180" s="1894">
        <v>101.76300000000001</v>
      </c>
      <c r="AD180" s="1894">
        <v>252.34899999999999</v>
      </c>
      <c r="AE180" s="1894">
        <v>469.05399999999997</v>
      </c>
      <c r="AF180" s="1894">
        <v>279.94499999999999</v>
      </c>
      <c r="AG180" s="1893">
        <v>1103.1110000000001</v>
      </c>
      <c r="AH180" s="1890">
        <v>176.55199999999999</v>
      </c>
      <c r="AI180" s="1890">
        <v>330.89699999999999</v>
      </c>
      <c r="AJ180" s="1890">
        <v>666.68799999999999</v>
      </c>
      <c r="AK180" s="1893">
        <v>441.53500000000003</v>
      </c>
      <c r="AL180" s="1890">
        <v>208.233</v>
      </c>
      <c r="AM180" s="1890">
        <v>392.53699999999998</v>
      </c>
      <c r="AN180" s="1890">
        <v>709.26499999999999</v>
      </c>
      <c r="AO180" s="1895">
        <v>402.47</v>
      </c>
      <c r="AP180" s="1890">
        <v>124</v>
      </c>
      <c r="AQ180" s="1890">
        <v>463</v>
      </c>
      <c r="AR180" s="1890">
        <v>912</v>
      </c>
      <c r="AS180" s="1890">
        <v>471</v>
      </c>
      <c r="AT180" s="1892">
        <v>176</v>
      </c>
      <c r="AU180" s="1890">
        <v>568</v>
      </c>
      <c r="AV180" s="1890">
        <v>912</v>
      </c>
      <c r="AW180" s="1895">
        <v>478</v>
      </c>
      <c r="AX180" s="1892">
        <v>-76</v>
      </c>
      <c r="AY180" s="1890">
        <v>-436</v>
      </c>
      <c r="AZ180" s="1890">
        <v>304</v>
      </c>
      <c r="BA180" s="1890">
        <v>-160</v>
      </c>
      <c r="BB180" s="1892">
        <v>-58</v>
      </c>
      <c r="BC180" s="1890">
        <v>201</v>
      </c>
      <c r="BD180" s="1890">
        <v>855</v>
      </c>
      <c r="BE180" s="1895">
        <v>479</v>
      </c>
      <c r="BF180" s="1890">
        <v>173</v>
      </c>
      <c r="BG180" s="1890">
        <v>648</v>
      </c>
      <c r="BH180" s="1890">
        <v>1079</v>
      </c>
      <c r="BI180" s="1895">
        <v>449</v>
      </c>
      <c r="BJ180" s="1890">
        <v>185</v>
      </c>
      <c r="BK180" s="1890">
        <v>747</v>
      </c>
      <c r="BL180" s="1890">
        <v>1216</v>
      </c>
      <c r="BM180" s="1895">
        <v>532</v>
      </c>
      <c r="BN180" s="1890">
        <v>255</v>
      </c>
      <c r="BO180" s="1895">
        <v>786</v>
      </c>
      <c r="BP180" s="1895">
        <v>1250</v>
      </c>
      <c r="BQ180" s="3348">
        <v>643</v>
      </c>
      <c r="BR180" s="1890">
        <v>296</v>
      </c>
      <c r="BS180" s="1890">
        <v>908</v>
      </c>
      <c r="BT180" s="1890">
        <v>1449</v>
      </c>
      <c r="BU180" s="1890">
        <v>848</v>
      </c>
      <c r="BV180" s="1890">
        <v>542</v>
      </c>
      <c r="BW180" s="1890">
        <v>1119</v>
      </c>
      <c r="BY180" s="1896">
        <v>1615.672</v>
      </c>
      <c r="BZ180" s="1896">
        <v>1712.5050000000001</v>
      </c>
      <c r="CA180" s="1892">
        <v>1970</v>
      </c>
      <c r="CB180" s="1892">
        <v>2134</v>
      </c>
      <c r="CC180" s="1892">
        <v>-368</v>
      </c>
      <c r="CD180" s="1892">
        <v>1477</v>
      </c>
      <c r="CE180" s="2934">
        <v>2349</v>
      </c>
      <c r="CF180" s="2934">
        <v>2680</v>
      </c>
      <c r="CG180" s="2934">
        <v>2934</v>
      </c>
      <c r="CH180" s="2934">
        <v>3501</v>
      </c>
    </row>
    <row r="181" spans="1:86" s="1020" customFormat="1">
      <c r="A181" s="448" t="s">
        <v>1926</v>
      </c>
      <c r="B181" s="1409"/>
      <c r="C181" s="1409"/>
      <c r="D181" s="1409"/>
      <c r="E181" s="1410"/>
      <c r="L181" s="223"/>
      <c r="W181" s="1543"/>
      <c r="AB181" s="993"/>
      <c r="AC181" s="1019"/>
      <c r="AD181" s="1019"/>
      <c r="AE181" s="1019"/>
      <c r="AF181" s="1019"/>
      <c r="AG181" s="993"/>
      <c r="AH181" s="988">
        <f>AH180/AC180-1</f>
        <v>0.73493312893684326</v>
      </c>
      <c r="AI181" s="988">
        <f>AI180/AD180-1</f>
        <v>0.31126733214714553</v>
      </c>
      <c r="AJ181" s="988">
        <f>AJ180/AE180-1</f>
        <v>0.4213459431110278</v>
      </c>
      <c r="AK181" s="989">
        <f>AK180/AF180-1</f>
        <v>0.5772205254603584</v>
      </c>
      <c r="AL181" s="988">
        <f t="shared" ref="AL181:AU181" si="172">AL180/AH180-1</f>
        <v>0.17944288368299421</v>
      </c>
      <c r="AM181" s="988">
        <f t="shared" si="172"/>
        <v>0.18628153171530704</v>
      </c>
      <c r="AN181" s="988">
        <f t="shared" si="172"/>
        <v>6.3863456369396276E-2</v>
      </c>
      <c r="AO181" s="989">
        <f t="shared" si="172"/>
        <v>-8.8475432298685264E-2</v>
      </c>
      <c r="AP181" s="988">
        <f t="shared" si="172"/>
        <v>-0.40451321356365222</v>
      </c>
      <c r="AQ181" s="988">
        <f t="shared" si="172"/>
        <v>0.17950664523344306</v>
      </c>
      <c r="AR181" s="988">
        <f t="shared" si="172"/>
        <v>0.28583815640134502</v>
      </c>
      <c r="AS181" s="988">
        <f t="shared" si="172"/>
        <v>0.17027356076229272</v>
      </c>
      <c r="AT181" s="1543">
        <f t="shared" si="172"/>
        <v>0.41935483870967749</v>
      </c>
      <c r="AU181" s="1020">
        <f t="shared" si="172"/>
        <v>0.22678185745140378</v>
      </c>
      <c r="AV181" s="1020">
        <f t="shared" ref="AV181:BW181" si="173">AV180/AR180-1</f>
        <v>0</v>
      </c>
      <c r="AW181" s="223">
        <f t="shared" si="173"/>
        <v>1.4861995753715496E-2</v>
      </c>
      <c r="AX181" s="1543">
        <f t="shared" si="173"/>
        <v>-1.4318181818181819</v>
      </c>
      <c r="AY181" s="1020">
        <f t="shared" si="173"/>
        <v>-1.767605633802817</v>
      </c>
      <c r="AZ181" s="1020">
        <f t="shared" si="173"/>
        <v>-0.66666666666666674</v>
      </c>
      <c r="BA181" s="1020">
        <f t="shared" si="173"/>
        <v>-1.3347280334728033</v>
      </c>
      <c r="BB181" s="1543">
        <f t="shared" si="173"/>
        <v>-0.23684210526315785</v>
      </c>
      <c r="BC181" s="1020">
        <f t="shared" si="173"/>
        <v>-1.4610091743119267</v>
      </c>
      <c r="BD181" s="1020">
        <v>1.81</v>
      </c>
      <c r="BE181" s="223">
        <f t="shared" si="173"/>
        <v>-3.9937499999999999</v>
      </c>
      <c r="BF181" s="1020">
        <f t="shared" si="173"/>
        <v>-3.9827586206896552</v>
      </c>
      <c r="BG181" s="1020">
        <f t="shared" si="173"/>
        <v>2.2238805970149254</v>
      </c>
      <c r="BH181" s="1020">
        <f t="shared" si="173"/>
        <v>0.26198830409356733</v>
      </c>
      <c r="BI181" s="223">
        <f t="shared" si="173"/>
        <v>-6.2630480167014668E-2</v>
      </c>
      <c r="BJ181" s="1020">
        <f t="shared" si="173"/>
        <v>6.9364161849710948E-2</v>
      </c>
      <c r="BK181" s="223">
        <f t="shared" si="173"/>
        <v>0.15277777777777768</v>
      </c>
      <c r="BL181" s="223">
        <f t="shared" si="173"/>
        <v>0.12696941612604262</v>
      </c>
      <c r="BM181" s="223">
        <f t="shared" si="173"/>
        <v>0.18485523385300673</v>
      </c>
      <c r="BN181" s="223">
        <f t="shared" si="173"/>
        <v>0.37837837837837829</v>
      </c>
      <c r="BO181" s="223">
        <f t="shared" si="173"/>
        <v>5.2208835341365445E-2</v>
      </c>
      <c r="BP181" s="223">
        <f t="shared" si="173"/>
        <v>2.796052631578938E-2</v>
      </c>
      <c r="BQ181" s="223">
        <f t="shared" si="173"/>
        <v>0.20864661654135341</v>
      </c>
      <c r="BR181" s="223">
        <f t="shared" si="173"/>
        <v>0.16078431372549029</v>
      </c>
      <c r="BS181" s="223">
        <f t="shared" si="173"/>
        <v>0.15521628498727735</v>
      </c>
      <c r="BT181" s="223">
        <f t="shared" si="173"/>
        <v>0.15920000000000001</v>
      </c>
      <c r="BU181" s="223">
        <f t="shared" si="173"/>
        <v>0.3188180404354588</v>
      </c>
      <c r="BV181" s="223">
        <f t="shared" si="173"/>
        <v>0.83108108108108114</v>
      </c>
      <c r="BW181" s="223">
        <f t="shared" si="173"/>
        <v>0.23237885462555075</v>
      </c>
      <c r="BX181" s="223"/>
      <c r="BY181" s="1411"/>
      <c r="BZ181" s="1411"/>
      <c r="CA181" s="1543"/>
      <c r="CB181" s="1543"/>
      <c r="CC181" s="1543"/>
      <c r="CD181" s="1543"/>
      <c r="CE181" s="1543"/>
      <c r="CF181" s="1543"/>
      <c r="CG181" s="1543"/>
      <c r="CH181" s="1543"/>
    </row>
    <row r="182" spans="1:86" ht="11.5">
      <c r="A182" s="1592" t="s">
        <v>1399</v>
      </c>
      <c r="B182" s="56"/>
      <c r="C182" s="56"/>
      <c r="D182" s="56"/>
      <c r="E182" s="515"/>
      <c r="F182" s="27"/>
      <c r="G182" s="27"/>
      <c r="H182" s="27"/>
      <c r="I182" s="27"/>
      <c r="J182" s="27"/>
      <c r="K182" s="27"/>
      <c r="L182" s="97"/>
      <c r="M182" s="27"/>
      <c r="N182" s="27"/>
      <c r="O182" s="27"/>
      <c r="P182" s="27"/>
      <c r="Q182" s="27"/>
      <c r="R182" s="27"/>
      <c r="S182" s="146"/>
      <c r="T182" s="146"/>
      <c r="U182" s="146"/>
      <c r="V182" s="146"/>
      <c r="W182" s="145"/>
      <c r="X182" s="146"/>
      <c r="Y182" s="146"/>
      <c r="Z182" s="146"/>
      <c r="AA182" s="146"/>
      <c r="AB182" s="430">
        <f>265.817+79.615</f>
        <v>345.43200000000002</v>
      </c>
      <c r="AC182" s="59">
        <f t="shared" ref="AC182:AN182" si="174">AC180/AC59</f>
        <v>7.409583681921543E-2</v>
      </c>
      <c r="AD182" s="59">
        <f t="shared" si="174"/>
        <v>0.15177974257187538</v>
      </c>
      <c r="AE182" s="59">
        <f t="shared" si="174"/>
        <v>0.24206077864413059</v>
      </c>
      <c r="AF182" s="59">
        <f t="shared" si="174"/>
        <v>0.16481245661784316</v>
      </c>
      <c r="AG182" s="517">
        <f t="shared" si="174"/>
        <v>0.16635665812094708</v>
      </c>
      <c r="AH182" s="27">
        <f t="shared" si="174"/>
        <v>9.2728790138033285E-2</v>
      </c>
      <c r="AI182" s="27">
        <f t="shared" si="174"/>
        <v>0.15069068327846513</v>
      </c>
      <c r="AJ182" s="27">
        <f t="shared" si="174"/>
        <v>0.2583155908489464</v>
      </c>
      <c r="AK182" s="517">
        <f t="shared" si="174"/>
        <v>0.21095795508838988</v>
      </c>
      <c r="AL182" s="27">
        <f t="shared" si="174"/>
        <v>9.5126998629511197E-2</v>
      </c>
      <c r="AM182" s="27">
        <f t="shared" si="174"/>
        <v>0.15179311678267593</v>
      </c>
      <c r="AN182" s="27">
        <f t="shared" si="174"/>
        <v>0.23913182737693864</v>
      </c>
      <c r="AO182" s="97">
        <v>0.1735532557136697</v>
      </c>
      <c r="AP182" s="27">
        <f>AP180/AP59</f>
        <v>4.9441786283891544E-2</v>
      </c>
      <c r="AQ182" s="27">
        <f>AQ180/AQ59</f>
        <v>0.1607638888888889</v>
      </c>
      <c r="AR182" s="27">
        <f>AR180/AR59</f>
        <v>0.2783882783882784</v>
      </c>
      <c r="AS182" s="27">
        <v>0.1735532557136697</v>
      </c>
      <c r="AT182" s="98">
        <f t="shared" ref="AT182:BS182" si="175">AT180/AT59</f>
        <v>6.7458796473744725E-2</v>
      </c>
      <c r="AU182" s="27">
        <f t="shared" si="175"/>
        <v>0.18014589280050744</v>
      </c>
      <c r="AV182" s="211">
        <f t="shared" si="175"/>
        <v>0.25632377740303541</v>
      </c>
      <c r="AW182" s="97">
        <f t="shared" si="175"/>
        <v>0.17400800873680378</v>
      </c>
      <c r="AX182" s="98">
        <f t="shared" si="175"/>
        <v>-3.4404708012675415E-2</v>
      </c>
      <c r="AY182" s="27">
        <f t="shared" si="175"/>
        <v>-0.77031802120141346</v>
      </c>
      <c r="AZ182" s="27">
        <f t="shared" si="175"/>
        <v>0.20212765957446807</v>
      </c>
      <c r="BA182" s="27">
        <f t="shared" si="175"/>
        <v>-0.17391304347826086</v>
      </c>
      <c r="BB182" s="98">
        <f t="shared" si="175"/>
        <v>-4.6548956661316213E-2</v>
      </c>
      <c r="BC182" s="27">
        <f t="shared" si="175"/>
        <v>9.5215537659876837E-2</v>
      </c>
      <c r="BD182" s="27">
        <f t="shared" si="175"/>
        <v>0.28865631330182312</v>
      </c>
      <c r="BE182" s="97">
        <f t="shared" si="175"/>
        <v>0.21017990346643264</v>
      </c>
      <c r="BF182" s="27">
        <f t="shared" si="175"/>
        <v>7.6923076923076927E-2</v>
      </c>
      <c r="BG182" s="27">
        <f t="shared" si="175"/>
        <v>0.20370952530650738</v>
      </c>
      <c r="BH182" s="27">
        <f t="shared" si="175"/>
        <v>0.29814865985078753</v>
      </c>
      <c r="BI182" s="97">
        <f t="shared" si="175"/>
        <v>0.17150496562261269</v>
      </c>
      <c r="BJ182" s="211">
        <f t="shared" si="175"/>
        <v>6.9418386491557224E-2</v>
      </c>
      <c r="BK182" s="97">
        <f t="shared" si="175"/>
        <v>0.2224538415723645</v>
      </c>
      <c r="BL182" s="97">
        <f t="shared" si="175"/>
        <v>0.30949350979893103</v>
      </c>
      <c r="BM182" s="97">
        <f t="shared" si="175"/>
        <v>0.18427433321787323</v>
      </c>
      <c r="BN182" s="446">
        <f t="shared" si="175"/>
        <v>8.8265835929387332E-2</v>
      </c>
      <c r="BO182" s="446">
        <f t="shared" si="175"/>
        <v>0.22091062394603711</v>
      </c>
      <c r="BP182" s="446">
        <f t="shared" si="175"/>
        <v>0.30788177339901479</v>
      </c>
      <c r="BQ182" s="446">
        <f t="shared" si="175"/>
        <v>0.20194723618090452</v>
      </c>
      <c r="BR182" s="446">
        <f t="shared" si="175"/>
        <v>9.906291834002677E-2</v>
      </c>
      <c r="BS182" s="446">
        <f t="shared" si="175"/>
        <v>0.23983095615425251</v>
      </c>
      <c r="BT182" s="3482">
        <v>0.32900000000000001</v>
      </c>
      <c r="BU182" s="3482">
        <v>0.23899999999999999</v>
      </c>
      <c r="BV182" s="446">
        <f t="shared" ref="BV182:BW182" si="176">BV180/BV59</f>
        <v>0.1582019848219498</v>
      </c>
      <c r="BW182" s="446">
        <f t="shared" si="176"/>
        <v>0.25932792584009268</v>
      </c>
      <c r="BX182" s="446"/>
      <c r="BY182" s="452">
        <f t="shared" ref="BY182:CG182" si="177">BY180/BY59</f>
        <v>0.18414871203654998</v>
      </c>
      <c r="BZ182" s="452">
        <f t="shared" si="177"/>
        <v>0.17022912524850894</v>
      </c>
      <c r="CA182" s="98">
        <f t="shared" si="177"/>
        <v>0.17553238884433753</v>
      </c>
      <c r="CB182" s="98">
        <f t="shared" si="177"/>
        <v>0.17684594348222424</v>
      </c>
      <c r="CC182" s="98">
        <f t="shared" si="177"/>
        <v>-7.0782842854395081E-2</v>
      </c>
      <c r="CD182" s="98">
        <f t="shared" si="177"/>
        <v>0.17178413584554547</v>
      </c>
      <c r="CE182" s="447">
        <f t="shared" si="177"/>
        <v>0.20133710465415275</v>
      </c>
      <c r="CF182" s="447">
        <f t="shared" si="177"/>
        <v>0.20873899836435861</v>
      </c>
      <c r="CG182" s="447">
        <f t="shared" si="177"/>
        <v>0.21430136586078447</v>
      </c>
      <c r="CH182" s="447">
        <f>CH180/CH59</f>
        <v>0.23762981062919974</v>
      </c>
    </row>
    <row r="183" spans="1:86" s="1563" customFormat="1">
      <c r="A183" s="1593" t="s">
        <v>1927</v>
      </c>
      <c r="B183" s="1575"/>
      <c r="C183" s="1575"/>
      <c r="D183" s="1575"/>
      <c r="E183" s="1576"/>
      <c r="L183" s="1587"/>
      <c r="W183" s="1588"/>
      <c r="AB183" s="1564">
        <f>AB179-AB182</f>
        <v>679.35599999999999</v>
      </c>
      <c r="AC183" s="1562">
        <f>74.445+25.042</f>
        <v>99.486999999999995</v>
      </c>
      <c r="AD183" s="1562">
        <f>79.277+26.88</f>
        <v>106.157</v>
      </c>
      <c r="AE183" s="1562">
        <f>87.156+31.4</f>
        <v>118.55600000000001</v>
      </c>
      <c r="AF183" s="1562">
        <f>95.802+80.343</f>
        <v>176.14500000000001</v>
      </c>
      <c r="AG183" s="1578">
        <f>336.68+163.665</f>
        <v>500.34500000000003</v>
      </c>
      <c r="AH183" s="1563">
        <f>105.255+89.999</f>
        <v>195.25399999999999</v>
      </c>
      <c r="AI183" s="1563">
        <f>116.023+84.181</f>
        <v>200.20400000000001</v>
      </c>
      <c r="AJ183" s="1563">
        <f>123.555+77.08</f>
        <v>200.63499999999999</v>
      </c>
      <c r="AK183" s="1578">
        <f>132.228+68.022</f>
        <v>200.25</v>
      </c>
      <c r="AL183" s="1563">
        <f>141.548+66.676</f>
        <v>208.22399999999999</v>
      </c>
      <c r="AM183" s="1563">
        <f>151.052+66.279</f>
        <v>217.33099999999999</v>
      </c>
      <c r="AN183" s="1563">
        <f>71.011+156.144</f>
        <v>227.155</v>
      </c>
      <c r="AO183" s="1564">
        <v>236.834</v>
      </c>
      <c r="AP183" s="1563">
        <f>72+167</f>
        <v>239</v>
      </c>
      <c r="AQ183" s="1563">
        <f>72+169</f>
        <v>241</v>
      </c>
      <c r="AR183" s="1563">
        <f>71+171</f>
        <v>242</v>
      </c>
      <c r="AS183" s="1563">
        <f>68+169</f>
        <v>237</v>
      </c>
      <c r="AT183" s="1588">
        <f>52+176</f>
        <v>228</v>
      </c>
      <c r="AU183" s="1563">
        <f>52+176</f>
        <v>228</v>
      </c>
      <c r="AV183" s="1563">
        <f>50+178</f>
        <v>228</v>
      </c>
      <c r="AW183" s="1564">
        <f>44+182</f>
        <v>226</v>
      </c>
      <c r="AX183" s="2930">
        <f t="shared" ref="AX183:BM183" si="178">-AX150</f>
        <v>229</v>
      </c>
      <c r="AY183" s="2941">
        <f t="shared" si="178"/>
        <v>232</v>
      </c>
      <c r="AZ183" s="2941">
        <f t="shared" si="178"/>
        <v>220</v>
      </c>
      <c r="BA183" s="2941">
        <f t="shared" si="178"/>
        <v>212</v>
      </c>
      <c r="BB183" s="2930">
        <f t="shared" si="178"/>
        <v>209</v>
      </c>
      <c r="BC183" s="2941">
        <f t="shared" si="178"/>
        <v>205</v>
      </c>
      <c r="BD183" s="2941">
        <f t="shared" si="178"/>
        <v>201</v>
      </c>
      <c r="BE183" s="2998">
        <f t="shared" si="178"/>
        <v>199</v>
      </c>
      <c r="BF183" s="2941">
        <f t="shared" si="178"/>
        <v>197</v>
      </c>
      <c r="BG183" s="2941">
        <f t="shared" si="178"/>
        <v>197</v>
      </c>
      <c r="BH183" s="2941">
        <f t="shared" si="178"/>
        <v>199</v>
      </c>
      <c r="BI183" s="2998">
        <f t="shared" si="178"/>
        <v>199</v>
      </c>
      <c r="BJ183" s="2941">
        <f t="shared" si="178"/>
        <v>192</v>
      </c>
      <c r="BK183" s="2998">
        <f t="shared" si="178"/>
        <v>199</v>
      </c>
      <c r="BL183" s="2998">
        <f t="shared" si="178"/>
        <v>208</v>
      </c>
      <c r="BM183" s="2998">
        <f t="shared" si="178"/>
        <v>208</v>
      </c>
      <c r="BN183" s="2941">
        <v>210</v>
      </c>
      <c r="BO183" s="2998">
        <f>-BO150</f>
        <v>205</v>
      </c>
      <c r="BP183" s="2998">
        <f>-BP150</f>
        <v>211</v>
      </c>
      <c r="BQ183" s="2998">
        <f>-BQ150</f>
        <v>212</v>
      </c>
      <c r="BR183" s="2941">
        <v>219</v>
      </c>
      <c r="BS183" s="2941">
        <v>223</v>
      </c>
      <c r="BT183" s="2941">
        <f>-BT150</f>
        <v>225</v>
      </c>
      <c r="BU183" s="2941">
        <f>-BU150</f>
        <v>220</v>
      </c>
      <c r="BV183" s="2941">
        <f>-BV150</f>
        <v>228</v>
      </c>
      <c r="BW183" s="2941">
        <f>-BW150</f>
        <v>228</v>
      </c>
      <c r="BY183" s="1567">
        <f>477.061+317.141</f>
        <v>794.202</v>
      </c>
      <c r="BZ183" s="1567">
        <v>889.5440000000001</v>
      </c>
      <c r="CA183" s="1588">
        <f>676+42</f>
        <v>718</v>
      </c>
      <c r="CB183" s="1588">
        <f>712+198</f>
        <v>910</v>
      </c>
      <c r="CC183" s="1588">
        <f>739+154</f>
        <v>893</v>
      </c>
      <c r="CD183" s="1588">
        <f>-CD150</f>
        <v>814</v>
      </c>
      <c r="CE183" s="1588">
        <f>-CE150</f>
        <v>792</v>
      </c>
      <c r="CF183" s="1588">
        <f>-CF150</f>
        <v>807</v>
      </c>
      <c r="CG183" s="3380">
        <f>-CG150</f>
        <v>838</v>
      </c>
      <c r="CH183" s="3380">
        <f>-CH150</f>
        <v>887</v>
      </c>
    </row>
    <row r="184" spans="1:86" s="1563" customFormat="1">
      <c r="A184" s="1593"/>
      <c r="B184" s="1575"/>
      <c r="C184" s="1575"/>
      <c r="D184" s="1575"/>
      <c r="E184" s="1576"/>
      <c r="L184" s="1587"/>
      <c r="W184" s="1588"/>
      <c r="AB184" s="1564"/>
      <c r="AC184" s="1562"/>
      <c r="AD184" s="1562"/>
      <c r="AE184" s="1562"/>
      <c r="AF184" s="1562"/>
      <c r="AG184" s="1578"/>
      <c r="AK184" s="1578"/>
      <c r="AO184" s="1564"/>
      <c r="AT184" s="1588"/>
      <c r="AW184" s="1564"/>
      <c r="AX184" s="1588"/>
      <c r="BB184" s="1588"/>
      <c r="BE184" s="1564"/>
      <c r="BI184" s="1564"/>
      <c r="BM184" s="1564"/>
      <c r="BO184" s="1564"/>
      <c r="BP184" s="1564"/>
      <c r="BQ184" s="3344"/>
      <c r="BY184" s="1567"/>
      <c r="BZ184" s="1567"/>
      <c r="CA184" s="1588"/>
      <c r="CB184" s="1588"/>
      <c r="CC184" s="1588"/>
      <c r="CD184" s="1588"/>
      <c r="CE184" s="1588"/>
      <c r="CF184" s="1588"/>
      <c r="CG184" s="3380"/>
      <c r="CH184" s="3380"/>
    </row>
    <row r="185" spans="1:86" s="1563" customFormat="1">
      <c r="A185" s="1561" t="s">
        <v>756</v>
      </c>
      <c r="B185" s="1575"/>
      <c r="C185" s="1575"/>
      <c r="D185" s="1575"/>
      <c r="E185" s="1576"/>
      <c r="L185" s="1587"/>
      <c r="W185" s="1588"/>
      <c r="AB185" s="1591">
        <f>AB183/AB59</f>
        <v>0.11787243308519064</v>
      </c>
      <c r="AC185" s="1563">
        <f t="shared" ref="AC185:AI185" si="179">AC180-AC183</f>
        <v>2.2760000000000105</v>
      </c>
      <c r="AD185" s="1563">
        <f t="shared" si="179"/>
        <v>146.19200000000001</v>
      </c>
      <c r="AE185" s="1563">
        <f t="shared" si="179"/>
        <v>350.49799999999993</v>
      </c>
      <c r="AF185" s="1563">
        <f t="shared" si="179"/>
        <v>103.79999999999998</v>
      </c>
      <c r="AG185" s="1564">
        <f t="shared" si="179"/>
        <v>602.76600000000008</v>
      </c>
      <c r="AH185" s="1563">
        <f t="shared" si="179"/>
        <v>-18.701999999999998</v>
      </c>
      <c r="AI185" s="1563">
        <f t="shared" si="179"/>
        <v>130.69299999999998</v>
      </c>
      <c r="AJ185" s="1563">
        <f>AJ180-AJ183</f>
        <v>466.053</v>
      </c>
      <c r="AK185" s="1564">
        <f>AK180-AK183</f>
        <v>241.28500000000003</v>
      </c>
      <c r="AL185" s="1563">
        <f>AL180-AL183</f>
        <v>9.0000000000145519E-3</v>
      </c>
      <c r="AM185" s="1563">
        <f>AM180-AM183</f>
        <v>175.20599999999999</v>
      </c>
      <c r="AN185" s="1563">
        <f>AN180-AN183</f>
        <v>482.11</v>
      </c>
      <c r="AO185" s="1564">
        <v>165.63600000000002</v>
      </c>
      <c r="AP185" s="1563">
        <f t="shared" ref="AP185:AW185" si="180">AP180-AP183</f>
        <v>-115</v>
      </c>
      <c r="AQ185" s="1563">
        <f t="shared" si="180"/>
        <v>222</v>
      </c>
      <c r="AR185" s="1563">
        <f t="shared" si="180"/>
        <v>670</v>
      </c>
      <c r="AS185" s="1563">
        <f t="shared" si="180"/>
        <v>234</v>
      </c>
      <c r="AT185" s="1588">
        <f t="shared" si="180"/>
        <v>-52</v>
      </c>
      <c r="AU185" s="1563">
        <f t="shared" si="180"/>
        <v>340</v>
      </c>
      <c r="AV185" s="1563">
        <f t="shared" si="180"/>
        <v>684</v>
      </c>
      <c r="AW185" s="1564">
        <f t="shared" si="180"/>
        <v>252</v>
      </c>
      <c r="AX185" s="1588">
        <f t="shared" ref="AX185:BI185" si="181">AX180-AX183</f>
        <v>-305</v>
      </c>
      <c r="AY185" s="1563">
        <f t="shared" si="181"/>
        <v>-668</v>
      </c>
      <c r="AZ185" s="1563">
        <f t="shared" si="181"/>
        <v>84</v>
      </c>
      <c r="BA185" s="1563">
        <f t="shared" si="181"/>
        <v>-372</v>
      </c>
      <c r="BB185" s="1588">
        <f t="shared" si="181"/>
        <v>-267</v>
      </c>
      <c r="BC185" s="1563">
        <f t="shared" si="181"/>
        <v>-4</v>
      </c>
      <c r="BD185" s="1563">
        <f t="shared" si="181"/>
        <v>654</v>
      </c>
      <c r="BE185" s="1564">
        <f t="shared" si="181"/>
        <v>280</v>
      </c>
      <c r="BF185" s="1563">
        <f t="shared" si="181"/>
        <v>-24</v>
      </c>
      <c r="BG185" s="1563">
        <f t="shared" si="181"/>
        <v>451</v>
      </c>
      <c r="BH185" s="1563">
        <f t="shared" si="181"/>
        <v>880</v>
      </c>
      <c r="BI185" s="1564">
        <f t="shared" si="181"/>
        <v>250</v>
      </c>
      <c r="BJ185" s="1563">
        <f t="shared" ref="BJ185:BY185" si="182">BJ180-BJ183</f>
        <v>-7</v>
      </c>
      <c r="BK185" s="1564">
        <f t="shared" si="182"/>
        <v>548</v>
      </c>
      <c r="BL185" s="1564">
        <f t="shared" si="182"/>
        <v>1008</v>
      </c>
      <c r="BM185" s="1564">
        <f t="shared" si="182"/>
        <v>324</v>
      </c>
      <c r="BN185" s="1564">
        <f t="shared" si="182"/>
        <v>45</v>
      </c>
      <c r="BO185" s="1564">
        <f t="shared" si="182"/>
        <v>581</v>
      </c>
      <c r="BP185" s="1564">
        <f t="shared" ref="BP185:BV185" si="183">BP180-BP183</f>
        <v>1039</v>
      </c>
      <c r="BQ185" s="3344">
        <f t="shared" si="183"/>
        <v>431</v>
      </c>
      <c r="BR185" s="1564">
        <f t="shared" si="183"/>
        <v>77</v>
      </c>
      <c r="BS185" s="1564">
        <f t="shared" si="183"/>
        <v>685</v>
      </c>
      <c r="BT185" s="1564">
        <f t="shared" si="183"/>
        <v>1224</v>
      </c>
      <c r="BU185" s="1564">
        <f t="shared" si="183"/>
        <v>628</v>
      </c>
      <c r="BV185" s="1564">
        <f t="shared" si="183"/>
        <v>314</v>
      </c>
      <c r="BW185" s="1564">
        <f t="shared" ref="BW185" si="184">BW180-BW183</f>
        <v>891</v>
      </c>
      <c r="BX185" s="1564"/>
      <c r="BY185" s="1567">
        <f t="shared" si="182"/>
        <v>821.47</v>
      </c>
      <c r="BZ185" s="1567">
        <v>822.96100000000001</v>
      </c>
      <c r="CA185" s="1588">
        <f t="shared" ref="CA185:CG185" si="185">CA180-CA183</f>
        <v>1252</v>
      </c>
      <c r="CB185" s="1588">
        <f t="shared" si="185"/>
        <v>1224</v>
      </c>
      <c r="CC185" s="1588">
        <f t="shared" si="185"/>
        <v>-1261</v>
      </c>
      <c r="CD185" s="1588">
        <f t="shared" si="185"/>
        <v>663</v>
      </c>
      <c r="CE185" s="1588">
        <f t="shared" si="185"/>
        <v>1557</v>
      </c>
      <c r="CF185" s="1588">
        <f t="shared" si="185"/>
        <v>1873</v>
      </c>
      <c r="CG185" s="3380">
        <f t="shared" si="185"/>
        <v>2096</v>
      </c>
      <c r="CH185" s="3380">
        <f>CH180-CH183</f>
        <v>2614</v>
      </c>
    </row>
    <row r="186" spans="1:86" ht="11.5">
      <c r="A186" s="476" t="s">
        <v>1022</v>
      </c>
      <c r="B186" s="150"/>
      <c r="C186" s="150"/>
      <c r="D186" s="150"/>
      <c r="E186" s="153"/>
      <c r="F186" s="146"/>
      <c r="G186" s="146"/>
      <c r="H186" s="146"/>
      <c r="I186" s="146"/>
      <c r="J186" s="146"/>
      <c r="K186" s="146"/>
      <c r="L186" s="147"/>
      <c r="M186" s="146"/>
      <c r="N186" s="146"/>
      <c r="O186" s="146"/>
      <c r="P186" s="146"/>
      <c r="Q186" s="146"/>
      <c r="R186" s="146"/>
      <c r="S186" s="146"/>
      <c r="T186" s="146"/>
      <c r="U186" s="146"/>
      <c r="V186" s="146"/>
      <c r="W186" s="145"/>
      <c r="X186" s="146"/>
      <c r="Y186" s="146"/>
      <c r="Z186" s="146"/>
      <c r="AA186" s="146"/>
      <c r="AB186" s="147"/>
      <c r="AC186" s="211">
        <f t="shared" ref="AC186:AN186" si="186">AC185/AC59</f>
        <v>1.6572047266740866E-3</v>
      </c>
      <c r="AD186" s="211">
        <f t="shared" si="186"/>
        <v>8.7929748586551199E-2</v>
      </c>
      <c r="AE186" s="211">
        <f t="shared" si="186"/>
        <v>0.18087857430745816</v>
      </c>
      <c r="AF186" s="211">
        <f t="shared" si="186"/>
        <v>6.1110335947890185E-2</v>
      </c>
      <c r="AG186" s="446">
        <f t="shared" si="186"/>
        <v>9.0901221535213406E-2</v>
      </c>
      <c r="AH186" s="211">
        <f t="shared" si="186"/>
        <v>-9.8226801914535009E-3</v>
      </c>
      <c r="AI186" s="211">
        <f t="shared" si="186"/>
        <v>5.9517667037514523E-2</v>
      </c>
      <c r="AJ186" s="211">
        <f t="shared" si="186"/>
        <v>0.18057735561750624</v>
      </c>
      <c r="AK186" s="446">
        <f t="shared" si="186"/>
        <v>0.11528189202102247</v>
      </c>
      <c r="AL186" s="211">
        <f t="shared" si="186"/>
        <v>4.1114664230308593E-6</v>
      </c>
      <c r="AM186" s="211">
        <f t="shared" si="186"/>
        <v>6.7751740139211133E-2</v>
      </c>
      <c r="AN186" s="211">
        <f t="shared" si="186"/>
        <v>0.16254551584625759</v>
      </c>
      <c r="AO186" s="446">
        <v>7.1425614489003891E-2</v>
      </c>
      <c r="AP186" s="211">
        <f t="shared" ref="AP186:BT186" si="187">AP185/AP59</f>
        <v>-4.5853269537480063E-2</v>
      </c>
      <c r="AQ186" s="211">
        <f t="shared" si="187"/>
        <v>7.7083333333333337E-2</v>
      </c>
      <c r="AR186" s="211">
        <f t="shared" si="187"/>
        <v>0.20451770451770451</v>
      </c>
      <c r="AS186" s="211">
        <f t="shared" si="187"/>
        <v>9.1441969519343497E-2</v>
      </c>
      <c r="AT186" s="447">
        <f t="shared" si="187"/>
        <v>-1.9931008049060943E-2</v>
      </c>
      <c r="AU186" s="211">
        <f t="shared" si="187"/>
        <v>0.10783380907072629</v>
      </c>
      <c r="AV186" s="211">
        <f t="shared" si="187"/>
        <v>0.19224283305227655</v>
      </c>
      <c r="AW186" s="446">
        <f t="shared" si="187"/>
        <v>9.1736439752457224E-2</v>
      </c>
      <c r="AX186" s="447">
        <f t="shared" si="187"/>
        <v>-0.13807152557718425</v>
      </c>
      <c r="AY186" s="211">
        <f t="shared" si="187"/>
        <v>-1.1802120141342756</v>
      </c>
      <c r="AZ186" s="211">
        <f t="shared" si="187"/>
        <v>5.5851063829787231E-2</v>
      </c>
      <c r="BA186" s="211">
        <f t="shared" si="187"/>
        <v>-0.40434782608695652</v>
      </c>
      <c r="BB186" s="447">
        <f t="shared" si="187"/>
        <v>-0.21428571428571427</v>
      </c>
      <c r="BC186" s="211">
        <f t="shared" si="187"/>
        <v>-1.8948365703458077E-3</v>
      </c>
      <c r="BD186" s="211">
        <f t="shared" si="187"/>
        <v>0.22079675894665765</v>
      </c>
      <c r="BE186" s="446">
        <f t="shared" si="187"/>
        <v>0.12286090390522159</v>
      </c>
      <c r="BF186" s="211">
        <f t="shared" si="187"/>
        <v>-1.0671409515340151E-2</v>
      </c>
      <c r="BG186" s="211">
        <f t="shared" si="187"/>
        <v>0.14177931468091795</v>
      </c>
      <c r="BH186" s="211">
        <f t="shared" si="187"/>
        <v>0.24316109422492402</v>
      </c>
      <c r="BI186" s="446">
        <f t="shared" si="187"/>
        <v>9.5492742551566076E-2</v>
      </c>
      <c r="BJ186" s="211">
        <f t="shared" si="187"/>
        <v>-2.6266416510318949E-3</v>
      </c>
      <c r="BK186" s="446">
        <f t="shared" si="187"/>
        <v>0.16319237641453246</v>
      </c>
      <c r="BL186" s="446">
        <f t="shared" si="187"/>
        <v>0.25655383049121916</v>
      </c>
      <c r="BM186" s="446">
        <f t="shared" si="187"/>
        <v>0.11222722549359196</v>
      </c>
      <c r="BN186" s="446">
        <f t="shared" si="187"/>
        <v>1.5576323987538941E-2</v>
      </c>
      <c r="BO186" s="446">
        <f t="shared" si="187"/>
        <v>0.16329398538504777</v>
      </c>
      <c r="BP186" s="446">
        <f t="shared" si="187"/>
        <v>0.25591133004926109</v>
      </c>
      <c r="BQ186" s="446">
        <f t="shared" si="187"/>
        <v>0.13536432160804021</v>
      </c>
      <c r="BR186" s="446">
        <f t="shared" si="187"/>
        <v>2.5769745649263723E-2</v>
      </c>
      <c r="BS186" s="446">
        <f t="shared" si="187"/>
        <v>0.1809297411516112</v>
      </c>
      <c r="BT186" s="446">
        <f t="shared" si="187"/>
        <v>0.27742520398912057</v>
      </c>
      <c r="BU186" s="446">
        <f>BU185/BU59</f>
        <v>0.17705102903862419</v>
      </c>
      <c r="BV186" s="446">
        <f>BV185/BV59</f>
        <v>9.1652072387624045E-2</v>
      </c>
      <c r="BW186" s="446">
        <f>BW185/BW59</f>
        <v>0.20648899188876013</v>
      </c>
      <c r="BX186" s="446"/>
      <c r="BY186" s="451">
        <f>BY185/BY59</f>
        <v>9.3628312229626268E-2</v>
      </c>
      <c r="BZ186" s="451">
        <v>8.1806894769279714E-2</v>
      </c>
      <c r="CA186" s="447">
        <f t="shared" ref="CA186:CG186" si="188">CA185/CA59</f>
        <v>0.11155662478838101</v>
      </c>
      <c r="CB186" s="447">
        <f t="shared" si="188"/>
        <v>0.10143366205353443</v>
      </c>
      <c r="CC186" s="447">
        <f t="shared" si="188"/>
        <v>-0.24254664358530487</v>
      </c>
      <c r="CD186" s="447">
        <f t="shared" si="188"/>
        <v>7.7110956036287509E-2</v>
      </c>
      <c r="CE186" s="447">
        <f t="shared" si="188"/>
        <v>0.13345332990485986</v>
      </c>
      <c r="CF186" s="447">
        <f t="shared" si="188"/>
        <v>0.14588363579718047</v>
      </c>
      <c r="CG186" s="447">
        <f t="shared" si="188"/>
        <v>0.15309327295303485</v>
      </c>
      <c r="CH186" s="447">
        <f>CH185/CH59</f>
        <v>0.17742482861603204</v>
      </c>
    </row>
    <row r="187" spans="1:86" s="424" customFormat="1">
      <c r="A187" s="66"/>
      <c r="B187" s="150"/>
      <c r="C187" s="150"/>
      <c r="D187" s="150"/>
      <c r="E187" s="153"/>
      <c r="F187" s="146"/>
      <c r="G187" s="146"/>
      <c r="H187" s="146"/>
      <c r="I187" s="146"/>
      <c r="J187" s="146"/>
      <c r="K187" s="146"/>
      <c r="L187" s="225"/>
      <c r="M187" s="146"/>
      <c r="N187" s="146"/>
      <c r="O187" s="146"/>
      <c r="P187" s="146"/>
      <c r="Q187" s="146"/>
      <c r="R187" s="146"/>
      <c r="S187" s="424">
        <v>40.088999999999999</v>
      </c>
      <c r="T187" s="424">
        <v>32.064999999999998</v>
      </c>
      <c r="U187" s="424">
        <v>39.417999999999999</v>
      </c>
      <c r="V187" s="424">
        <v>30.411000000000001</v>
      </c>
      <c r="W187" s="423">
        <v>6.2060000000000004</v>
      </c>
      <c r="X187" s="424">
        <v>7.0519999999999996</v>
      </c>
      <c r="Y187" s="424">
        <v>20.218</v>
      </c>
      <c r="Z187" s="424">
        <v>26.396000000000001</v>
      </c>
      <c r="AA187" s="424">
        <v>24.779</v>
      </c>
      <c r="AB187" s="425">
        <v>27.288</v>
      </c>
      <c r="AC187" s="146"/>
      <c r="AD187" s="146"/>
      <c r="AE187" s="146"/>
      <c r="AF187" s="146"/>
      <c r="AG187" s="147"/>
      <c r="AH187" s="133"/>
      <c r="AI187" s="133"/>
      <c r="AJ187" s="133"/>
      <c r="AK187" s="136"/>
      <c r="AL187" s="133"/>
      <c r="AM187" s="133"/>
      <c r="AN187" s="133"/>
      <c r="AO187" s="136"/>
      <c r="AP187" s="133"/>
      <c r="AQ187" s="133"/>
      <c r="AR187" s="133"/>
      <c r="AS187" s="133"/>
      <c r="AT187" s="137"/>
      <c r="AU187" s="133"/>
      <c r="AV187" s="133"/>
      <c r="AW187" s="136"/>
      <c r="AX187" s="137"/>
      <c r="AY187" s="133"/>
      <c r="AZ187" s="133"/>
      <c r="BA187" s="133"/>
      <c r="BB187" s="137"/>
      <c r="BC187" s="133"/>
      <c r="BD187" s="133"/>
      <c r="BE187" s="136"/>
      <c r="BF187" s="133"/>
      <c r="BG187" s="133"/>
      <c r="BH187" s="133"/>
      <c r="BI187" s="136"/>
      <c r="BJ187" s="133"/>
      <c r="BK187" s="133"/>
      <c r="BL187" s="133"/>
      <c r="BM187" s="136"/>
      <c r="BN187" s="133"/>
      <c r="BO187" s="136"/>
      <c r="BP187" s="136"/>
      <c r="BQ187" s="3332"/>
      <c r="BR187" s="133"/>
      <c r="BS187" s="133"/>
      <c r="BT187" s="133"/>
      <c r="BU187" s="133"/>
      <c r="BV187" s="133"/>
      <c r="BW187" s="133"/>
      <c r="BX187" s="133"/>
      <c r="BY187" s="442"/>
      <c r="BZ187" s="159"/>
      <c r="CA187" s="137"/>
      <c r="CB187" s="423"/>
      <c r="CC187" s="423"/>
      <c r="CD187" s="423"/>
      <c r="CE187" s="423"/>
      <c r="CF187" s="423"/>
      <c r="CG187" s="3373"/>
      <c r="CH187" s="3373"/>
    </row>
    <row r="188" spans="1:86" s="1764" customFormat="1">
      <c r="A188" s="1574" t="s">
        <v>71</v>
      </c>
      <c r="B188" s="1764">
        <v>1.887</v>
      </c>
      <c r="C188" s="1764">
        <v>1.0290729999999999</v>
      </c>
      <c r="D188" s="1764">
        <v>4.0750000000000002</v>
      </c>
      <c r="E188" s="1768">
        <v>8.8699999999999992</v>
      </c>
      <c r="F188" s="1765" t="s">
        <v>156</v>
      </c>
      <c r="G188" s="1765" t="s">
        <v>156</v>
      </c>
      <c r="H188" s="1764" t="s">
        <v>156</v>
      </c>
      <c r="I188" s="1764">
        <v>1.9879039999999999</v>
      </c>
      <c r="L188" s="1880"/>
      <c r="Q188" s="1764" t="s">
        <v>156</v>
      </c>
      <c r="R188" s="1764">
        <v>30.850999999999999</v>
      </c>
      <c r="S188" s="1764">
        <v>8.5839999999999996</v>
      </c>
      <c r="T188" s="1764">
        <v>-17.265999999999998</v>
      </c>
      <c r="U188" s="1764">
        <v>-52.896000000000001</v>
      </c>
      <c r="V188" s="1764">
        <v>-71.983999999999995</v>
      </c>
      <c r="W188" s="1877">
        <v>-84.233000000000004</v>
      </c>
      <c r="X188" s="1764">
        <v>-66.427999999999997</v>
      </c>
      <c r="Y188" s="1764">
        <v>-90.718000000000004</v>
      </c>
      <c r="Z188" s="1764">
        <v>-87.787999999999997</v>
      </c>
      <c r="AA188" s="1764">
        <v>-87.358000000000004</v>
      </c>
      <c r="AB188" s="1768">
        <v>-98.088999999999999</v>
      </c>
      <c r="AD188" s="1764">
        <v>4.6929999999999996</v>
      </c>
      <c r="AE188" s="1764">
        <v>4.165</v>
      </c>
      <c r="AF188" s="1764">
        <v>2.2919999999999998</v>
      </c>
      <c r="AG188" s="1768">
        <v>16.695</v>
      </c>
      <c r="AH188" s="1764">
        <v>3.5670000000000002</v>
      </c>
      <c r="AI188" s="1764">
        <v>4.9550000000000001</v>
      </c>
      <c r="AJ188" s="1764">
        <v>5.827</v>
      </c>
      <c r="AK188" s="1768">
        <v>5.3769999999999998</v>
      </c>
      <c r="AL188" s="1764">
        <v>6.2590000000000003</v>
      </c>
      <c r="AM188" s="1764">
        <v>9.2620000000000005</v>
      </c>
      <c r="AN188" s="1764">
        <v>9.3290000000000006</v>
      </c>
      <c r="AO188" s="1768">
        <v>9.2870000000000008</v>
      </c>
      <c r="AP188" s="1764">
        <v>11</v>
      </c>
      <c r="AQ188" s="1764">
        <v>16</v>
      </c>
      <c r="AR188" s="1764">
        <v>34</v>
      </c>
      <c r="AS188" s="1764">
        <v>10</v>
      </c>
      <c r="AT188" s="1877">
        <v>11</v>
      </c>
      <c r="AU188" s="1764">
        <v>17</v>
      </c>
      <c r="AV188" s="1764">
        <v>17</v>
      </c>
      <c r="AW188" s="1768">
        <v>14</v>
      </c>
      <c r="AX188" s="1877">
        <v>10</v>
      </c>
      <c r="AY188" s="1764">
        <v>3</v>
      </c>
      <c r="AZ188" s="1764">
        <v>3</v>
      </c>
      <c r="BA188" s="1764">
        <v>2</v>
      </c>
      <c r="BB188" s="1877">
        <v>2</v>
      </c>
      <c r="BC188" s="1764">
        <v>1</v>
      </c>
      <c r="BD188" s="1764">
        <v>2</v>
      </c>
      <c r="BE188" s="1768">
        <v>4</v>
      </c>
      <c r="BF188" s="1764">
        <v>3</v>
      </c>
      <c r="BG188" s="1764">
        <v>10</v>
      </c>
      <c r="BH188" s="1764">
        <v>20</v>
      </c>
      <c r="BI188" s="1768">
        <v>27</v>
      </c>
      <c r="BJ188" s="1764">
        <v>43</v>
      </c>
      <c r="BK188" s="1764">
        <v>63</v>
      </c>
      <c r="BL188" s="1764">
        <v>56</v>
      </c>
      <c r="BM188" s="1768">
        <v>45</v>
      </c>
      <c r="BN188" s="1764">
        <v>51</v>
      </c>
      <c r="BO188" s="1768">
        <v>67</v>
      </c>
      <c r="BP188" s="1768">
        <v>67</v>
      </c>
      <c r="BQ188" s="3343">
        <v>50</v>
      </c>
      <c r="BR188" s="1764">
        <v>54</v>
      </c>
      <c r="BS188" s="1764">
        <v>74</v>
      </c>
      <c r="BT188" s="1764">
        <v>69</v>
      </c>
      <c r="BU188" s="1764">
        <v>58</v>
      </c>
      <c r="BV188" s="1764">
        <v>60</v>
      </c>
      <c r="BW188" s="1764">
        <v>73</v>
      </c>
      <c r="BY188" s="1769">
        <f>SUM(AH188:AK188)</f>
        <v>19.725999999999999</v>
      </c>
      <c r="BZ188" s="1769">
        <v>34.137</v>
      </c>
      <c r="CA188" s="1877">
        <f>SUM(AP188:AS188)</f>
        <v>71</v>
      </c>
      <c r="CB188" s="1877">
        <v>59</v>
      </c>
      <c r="CC188" s="1877">
        <v>18</v>
      </c>
      <c r="CD188" s="1877">
        <v>9</v>
      </c>
      <c r="CE188" s="1877">
        <f>SUM(BF188:BI188)</f>
        <v>60</v>
      </c>
      <c r="CF188" s="1877">
        <v>207</v>
      </c>
      <c r="CG188" s="3377">
        <v>235</v>
      </c>
      <c r="CH188" s="3377">
        <v>255</v>
      </c>
    </row>
    <row r="189" spans="1:86" s="1764" customFormat="1">
      <c r="A189" s="1574" t="s">
        <v>1023</v>
      </c>
      <c r="B189" s="1765" t="s">
        <v>156</v>
      </c>
      <c r="C189" s="1765" t="s">
        <v>156</v>
      </c>
      <c r="D189" s="1765" t="s">
        <v>156</v>
      </c>
      <c r="E189" s="1766" t="s">
        <v>156</v>
      </c>
      <c r="F189" s="1764">
        <v>3.2441230000000001</v>
      </c>
      <c r="G189" s="1764">
        <v>-0.18876999999999999</v>
      </c>
      <c r="H189" s="1764">
        <v>-1.923935</v>
      </c>
      <c r="I189" s="1764">
        <v>-4.9570970000000001</v>
      </c>
      <c r="L189" s="1876"/>
      <c r="Q189" s="1764">
        <v>19.709</v>
      </c>
      <c r="R189" s="1764">
        <v>7.5049999999999999</v>
      </c>
      <c r="S189" s="1764">
        <f>-8.428-23.426</f>
        <v>-31.853999999999999</v>
      </c>
      <c r="T189" s="1764">
        <v>18.77</v>
      </c>
      <c r="U189" s="1764">
        <v>-18.606999999999999</v>
      </c>
      <c r="V189" s="1764">
        <v>-44.177999999999997</v>
      </c>
      <c r="W189" s="1877">
        <v>-35.363999999999997</v>
      </c>
      <c r="X189" s="1764">
        <v>-15.571999999999999</v>
      </c>
      <c r="Y189" s="1764">
        <v>-7.0369999999999999</v>
      </c>
      <c r="Z189" s="1764">
        <v>-20.274999999999999</v>
      </c>
      <c r="AA189" s="1764">
        <v>-2.7879999999999998</v>
      </c>
      <c r="AB189" s="1768">
        <v>17.678000000000001</v>
      </c>
      <c r="AD189" s="1764">
        <v>-28.515000000000001</v>
      </c>
      <c r="AE189" s="1764">
        <v>-33.259</v>
      </c>
      <c r="AF189" s="1764">
        <v>-36.427</v>
      </c>
      <c r="AG189" s="1768">
        <v>-126.19499999999999</v>
      </c>
      <c r="AH189" s="1764">
        <v>-43.96</v>
      </c>
      <c r="AI189" s="1764">
        <v>-42.939</v>
      </c>
      <c r="AJ189" s="1764">
        <v>-43.374000000000002</v>
      </c>
      <c r="AK189" s="1768">
        <v>-42.875</v>
      </c>
      <c r="AL189" s="1764">
        <v>-42.976999999999997</v>
      </c>
      <c r="AM189" s="1764">
        <v>-42.661000000000001</v>
      </c>
      <c r="AN189" s="1764">
        <v>-44.000999999999998</v>
      </c>
      <c r="AO189" s="1768">
        <v>-52.073</v>
      </c>
      <c r="AP189" s="1764">
        <v>-51</v>
      </c>
      <c r="AQ189" s="1764">
        <v>-51</v>
      </c>
      <c r="AR189" s="1764">
        <v>-47</v>
      </c>
      <c r="AS189" s="1764">
        <v>-41</v>
      </c>
      <c r="AT189" s="1877">
        <v>-41</v>
      </c>
      <c r="AU189" s="1764">
        <v>-39</v>
      </c>
      <c r="AV189" s="1764">
        <v>-40</v>
      </c>
      <c r="AW189" s="1768">
        <v>-53</v>
      </c>
      <c r="AX189" s="1877">
        <v>-50</v>
      </c>
      <c r="AY189" s="1764">
        <v>-95</v>
      </c>
      <c r="AZ189" s="1764">
        <v>-113</v>
      </c>
      <c r="BA189" s="1764">
        <v>-102</v>
      </c>
      <c r="BB189" s="1877">
        <v>-98</v>
      </c>
      <c r="BC189" s="1764">
        <v>-83</v>
      </c>
      <c r="BD189" s="1764">
        <v>-86</v>
      </c>
      <c r="BE189" s="1768">
        <v>-84</v>
      </c>
      <c r="BF189" s="1764">
        <v>-81</v>
      </c>
      <c r="BG189" s="1764">
        <v>-73</v>
      </c>
      <c r="BH189" s="1764">
        <v>-63</v>
      </c>
      <c r="BI189" s="1768">
        <v>-60</v>
      </c>
      <c r="BJ189" s="1764">
        <v>-61</v>
      </c>
      <c r="BK189" s="1764">
        <v>-61</v>
      </c>
      <c r="BL189" s="1764">
        <v>-62</v>
      </c>
      <c r="BM189" s="1768">
        <v>-61</v>
      </c>
      <c r="BN189" s="1764">
        <v>-62</v>
      </c>
      <c r="BO189" s="1768">
        <v>-61</v>
      </c>
      <c r="BP189" s="1768">
        <v>-61</v>
      </c>
      <c r="BQ189" s="3343">
        <v>-62</v>
      </c>
      <c r="BR189" s="1764">
        <v>-58</v>
      </c>
      <c r="BS189" s="1764">
        <v>-58</v>
      </c>
      <c r="BT189" s="1764">
        <v>-62</v>
      </c>
      <c r="BU189" s="1764">
        <v>-121</v>
      </c>
      <c r="BV189" s="1764">
        <v>-111</v>
      </c>
      <c r="BW189" s="1764">
        <v>-61</v>
      </c>
      <c r="BY189" s="1769">
        <f>SUM(AH189:AK189)</f>
        <v>-173.148</v>
      </c>
      <c r="BZ189" s="1769">
        <v>-181.71199999999999</v>
      </c>
      <c r="CA189" s="1877">
        <f>SUM(AP189:AS189)</f>
        <v>-190</v>
      </c>
      <c r="CB189" s="1877">
        <v>-173</v>
      </c>
      <c r="CC189" s="1877">
        <v>-360</v>
      </c>
      <c r="CD189" s="1877">
        <v>-351</v>
      </c>
      <c r="CE189" s="1877">
        <f>SUM(BF189:BI189)</f>
        <v>-277</v>
      </c>
      <c r="CF189" s="1877">
        <v>-245</v>
      </c>
      <c r="CG189" s="3377">
        <v>-246</v>
      </c>
      <c r="CH189" s="3377">
        <v>-299</v>
      </c>
    </row>
    <row r="190" spans="1:86" s="1764" customFormat="1">
      <c r="A190" s="1574" t="s">
        <v>24</v>
      </c>
      <c r="B190" s="1764">
        <f>-0.104+0.039</f>
        <v>-6.5000000000000002E-2</v>
      </c>
      <c r="C190" s="1764">
        <f>-3.929-0.062</f>
        <v>-3.9909999999999997</v>
      </c>
      <c r="D190" s="1764">
        <f>-3.099-0.767</f>
        <v>-3.8660000000000001</v>
      </c>
      <c r="E190" s="1768">
        <f>-0.306+0.509</f>
        <v>0.20300000000000001</v>
      </c>
      <c r="I190" s="1764">
        <v>-6.5957000000000002E-2</v>
      </c>
      <c r="L190" s="1876"/>
      <c r="Q190" s="1764">
        <v>-7.7290000000000001</v>
      </c>
      <c r="R190" s="1764">
        <v>-9.2859999999999996</v>
      </c>
      <c r="S190" s="1764">
        <f t="shared" ref="S190:Y190" si="189">S172+SUM(S187:S189)</f>
        <v>413.87100000000004</v>
      </c>
      <c r="T190" s="1764">
        <f t="shared" si="189"/>
        <v>384.89799999999974</v>
      </c>
      <c r="U190" s="1764">
        <f t="shared" si="189"/>
        <v>496.98400000000021</v>
      </c>
      <c r="V190" s="1764">
        <f t="shared" si="189"/>
        <v>-2514.7039999999997</v>
      </c>
      <c r="W190" s="1877">
        <f t="shared" si="189"/>
        <v>458.02300000000025</v>
      </c>
      <c r="X190" s="1764">
        <f t="shared" si="189"/>
        <v>425.83900000000006</v>
      </c>
      <c r="Y190" s="1764">
        <f t="shared" si="189"/>
        <v>402.07199999999989</v>
      </c>
      <c r="Z190" s="1764">
        <v>350.05700000000002</v>
      </c>
      <c r="AA190" s="1764">
        <v>300.69299999999998</v>
      </c>
      <c r="AB190" s="1768">
        <v>464.64100000000002</v>
      </c>
      <c r="AD190" s="1764">
        <f>508.81-17.023</f>
        <v>491.78699999999998</v>
      </c>
      <c r="AE190" s="1764">
        <v>26.283000000000001</v>
      </c>
      <c r="AF190" s="1764">
        <v>-1.2749999999999999</v>
      </c>
      <c r="AG190" s="1768">
        <f>508.81+113.086</f>
        <v>621.89599999999996</v>
      </c>
      <c r="AH190" s="1764">
        <v>-28.195</v>
      </c>
      <c r="AI190" s="1764">
        <v>0.127</v>
      </c>
      <c r="AJ190" s="1764">
        <v>-9.0500000000000007</v>
      </c>
      <c r="AK190" s="1768">
        <v>5.4379999999999997</v>
      </c>
      <c r="AL190" s="1764">
        <v>-21.704000000000001</v>
      </c>
      <c r="AM190" s="1764">
        <v>-12.686999999999999</v>
      </c>
      <c r="AN190" s="1764">
        <v>-31.625</v>
      </c>
      <c r="AO190" s="1768">
        <v>5.2169999999999996</v>
      </c>
      <c r="AP190" s="1764">
        <v>36</v>
      </c>
      <c r="AQ190" s="1764">
        <v>-90</v>
      </c>
      <c r="AR190" s="1764">
        <v>-47</v>
      </c>
      <c r="AS190" s="1764">
        <v>-9</v>
      </c>
      <c r="AT190" s="1877">
        <v>20</v>
      </c>
      <c r="AU190" s="1764">
        <v>-8</v>
      </c>
      <c r="AV190" s="1764">
        <v>-25</v>
      </c>
      <c r="AW190" s="1768">
        <v>-1</v>
      </c>
      <c r="AX190" s="1877">
        <v>-145</v>
      </c>
      <c r="AY190" s="1764">
        <v>-12</v>
      </c>
      <c r="AZ190" s="1764">
        <v>-1</v>
      </c>
      <c r="BA190" s="1764">
        <v>68</v>
      </c>
      <c r="BB190" s="1877">
        <f>-5-280</f>
        <v>-285</v>
      </c>
      <c r="BC190" s="1764">
        <v>-10</v>
      </c>
      <c r="BD190" s="1764">
        <v>25</v>
      </c>
      <c r="BE190" s="1768">
        <f>401-13</f>
        <v>388</v>
      </c>
      <c r="BF190" s="1764">
        <v>5</v>
      </c>
      <c r="BG190" s="1764">
        <f>-24-385</f>
        <v>-409</v>
      </c>
      <c r="BH190" s="1764">
        <f>-87+73</f>
        <v>-14</v>
      </c>
      <c r="BI190" s="1768">
        <f>4+84</f>
        <v>88</v>
      </c>
      <c r="BJ190" s="1764">
        <v>78</v>
      </c>
      <c r="BK190" s="1764">
        <v>19</v>
      </c>
      <c r="BM190" s="1768">
        <v>83</v>
      </c>
      <c r="BN190" s="1764">
        <v>-34</v>
      </c>
      <c r="BO190" s="1768">
        <v>31</v>
      </c>
      <c r="BP190" s="1768">
        <v>106</v>
      </c>
      <c r="BQ190" s="3343">
        <v>131</v>
      </c>
      <c r="BR190" s="1764">
        <v>-143</v>
      </c>
      <c r="BS190" s="1764">
        <v>-78</v>
      </c>
      <c r="BT190" s="1764">
        <v>88</v>
      </c>
      <c r="BU190" s="1764">
        <v>-103</v>
      </c>
      <c r="BV190" s="1764">
        <v>-175</v>
      </c>
      <c r="BW190" s="1764">
        <v>215</v>
      </c>
      <c r="BY190" s="1769">
        <f>SUM(AH190:AK190)</f>
        <v>-31.680000000000003</v>
      </c>
      <c r="BZ190" s="1769">
        <v>-60.798999999999999</v>
      </c>
      <c r="CA190" s="1877">
        <f>SUM(AP190:AS190)</f>
        <v>-110</v>
      </c>
      <c r="CB190" s="1877">
        <v>-14</v>
      </c>
      <c r="CC190" s="1877">
        <v>-90</v>
      </c>
      <c r="CD190" s="1877">
        <f>-280+456-58</f>
        <v>118</v>
      </c>
      <c r="CE190" s="1877">
        <f>SUM(BF190:BI190)</f>
        <v>-330</v>
      </c>
      <c r="CF190" s="1877">
        <f>SUM(BG190:BJ190)</f>
        <v>-257</v>
      </c>
      <c r="CG190" s="3377">
        <f>SUM(BN190:BQ190)</f>
        <v>234</v>
      </c>
      <c r="CH190" s="3377">
        <v>-236</v>
      </c>
    </row>
    <row r="191" spans="1:86" s="1764" customFormat="1">
      <c r="A191" s="1579" t="s">
        <v>25</v>
      </c>
      <c r="B191" s="1764">
        <v>3.47</v>
      </c>
      <c r="C191" s="1764">
        <v>4.1697839999999999</v>
      </c>
      <c r="D191" s="1764">
        <v>8.0470000000000006</v>
      </c>
      <c r="E191" s="1768">
        <v>-1.5549999999999999</v>
      </c>
      <c r="F191" s="1764">
        <v>-7.373507</v>
      </c>
      <c r="G191" s="1764">
        <v>-6.1985590000000004</v>
      </c>
      <c r="H191" s="1764">
        <v>2.1379700000000001</v>
      </c>
      <c r="I191" s="1764">
        <f>I173+SUM(I188:I190)</f>
        <v>0.9702099999999958</v>
      </c>
      <c r="L191" s="1876"/>
      <c r="Q191" s="1764">
        <f>Q173+SUM(Q188:Q190)</f>
        <v>255.49800000000008</v>
      </c>
      <c r="R191" s="1764">
        <f>R173+SUM(R188:R190)</f>
        <v>269.54299999999984</v>
      </c>
      <c r="S191" s="1764">
        <v>-185.977</v>
      </c>
      <c r="T191" s="1764">
        <v>-139.45099999999999</v>
      </c>
      <c r="U191" s="1764">
        <v>-203.114</v>
      </c>
      <c r="V191" s="1764">
        <v>-5.9660000000000002</v>
      </c>
      <c r="W191" s="1877">
        <v>-154.4</v>
      </c>
      <c r="X191" s="1764">
        <v>-120.342</v>
      </c>
      <c r="Y191" s="1764">
        <v>-75.730999999999995</v>
      </c>
      <c r="Z191" s="1764">
        <v>-47.078000000000003</v>
      </c>
      <c r="AA191" s="1764">
        <v>-84.334999999999994</v>
      </c>
      <c r="AB191" s="1768">
        <v>-91.691000000000003</v>
      </c>
      <c r="AD191" s="1764">
        <v>558.05700000000002</v>
      </c>
      <c r="AE191" s="1764">
        <v>342.18700000000001</v>
      </c>
      <c r="AF191" s="1764">
        <v>-5.9329999999999998</v>
      </c>
      <c r="AG191" s="1768">
        <v>925.96199999999999</v>
      </c>
      <c r="AH191" s="1764">
        <v>-165.886</v>
      </c>
      <c r="AI191" s="1764">
        <v>-12.195</v>
      </c>
      <c r="AJ191" s="1764">
        <v>339.55500000000001</v>
      </c>
      <c r="AK191" s="1768">
        <v>115.126</v>
      </c>
      <c r="AL191" s="1764">
        <v>-58.421999999999997</v>
      </c>
      <c r="AM191" s="1764">
        <v>56.682000000000002</v>
      </c>
      <c r="AN191" s="1764">
        <v>415.43099999999998</v>
      </c>
      <c r="AO191" s="1768">
        <v>75.906000000000006</v>
      </c>
      <c r="AP191" s="1764">
        <v>-169</v>
      </c>
      <c r="AQ191" s="1764">
        <v>-14</v>
      </c>
      <c r="AR191" s="1764">
        <v>612</v>
      </c>
      <c r="AS191" s="1764">
        <v>56</v>
      </c>
      <c r="AT191" s="1877">
        <v>-141</v>
      </c>
      <c r="AU191" s="1764">
        <v>235</v>
      </c>
      <c r="AV191" s="1764">
        <v>561</v>
      </c>
      <c r="AW191" s="1768">
        <v>120</v>
      </c>
      <c r="AX191" s="1877">
        <v>-1479</v>
      </c>
      <c r="AY191" s="1764">
        <v>-953</v>
      </c>
      <c r="AZ191" s="1764">
        <v>-224</v>
      </c>
      <c r="BA191" s="1764">
        <v>-495</v>
      </c>
      <c r="BB191" s="1877">
        <f t="shared" ref="BB191:BH191" si="190">BB173+BB188+BB189+BB190</f>
        <v>-750</v>
      </c>
      <c r="BC191" s="1764">
        <f t="shared" si="190"/>
        <v>-224</v>
      </c>
      <c r="BD191" s="1764">
        <f t="shared" si="190"/>
        <v>465</v>
      </c>
      <c r="BE191" s="1768">
        <f t="shared" si="190"/>
        <v>471</v>
      </c>
      <c r="BF191" s="1764">
        <f t="shared" si="190"/>
        <v>-208</v>
      </c>
      <c r="BG191" s="1764">
        <f t="shared" si="190"/>
        <v>-127</v>
      </c>
      <c r="BH191" s="1764">
        <f t="shared" si="190"/>
        <v>690</v>
      </c>
      <c r="BI191" s="1768">
        <v>183</v>
      </c>
      <c r="BJ191" s="1764">
        <f>BJ173+BJ188+BJ189+BJ190</f>
        <v>-61</v>
      </c>
      <c r="BK191" s="3076">
        <f>BK173+BK188+BK189+BK190</f>
        <v>464</v>
      </c>
      <c r="BL191" s="1764">
        <v>444</v>
      </c>
      <c r="BM191" s="3076">
        <f t="shared" ref="BM191:BT191" si="191">BM173+BM188+BM189+BM190</f>
        <v>171</v>
      </c>
      <c r="BN191" s="3076">
        <f t="shared" si="191"/>
        <v>-155</v>
      </c>
      <c r="BO191" s="3076">
        <f t="shared" si="191"/>
        <v>488</v>
      </c>
      <c r="BP191" s="3076">
        <f t="shared" si="191"/>
        <v>874</v>
      </c>
      <c r="BQ191" s="3349">
        <f t="shared" si="191"/>
        <v>335</v>
      </c>
      <c r="BR191" s="3076">
        <f t="shared" si="191"/>
        <v>-217</v>
      </c>
      <c r="BS191" s="3076">
        <f t="shared" si="191"/>
        <v>423</v>
      </c>
      <c r="BT191" s="3076">
        <f t="shared" si="191"/>
        <v>1131</v>
      </c>
      <c r="BU191" s="3076">
        <f>BU173+BU188+BU189+BU190</f>
        <v>258</v>
      </c>
      <c r="BV191" s="3076">
        <f>BV173+BV188+BV189+BV190</f>
        <v>25</v>
      </c>
      <c r="BW191" s="3076">
        <f>BW173+BW188+BW189+BW190</f>
        <v>1039</v>
      </c>
      <c r="BX191" s="3076"/>
      <c r="BY191" s="1769">
        <f>SUM(AH191:AK191)</f>
        <v>276.60000000000002</v>
      </c>
      <c r="BZ191" s="1769">
        <v>416.76400000000001</v>
      </c>
      <c r="CA191" s="1877">
        <f>SUM(AP191:AS191)</f>
        <v>485</v>
      </c>
      <c r="CB191" s="1877">
        <v>775</v>
      </c>
      <c r="CC191" s="1877">
        <f>SUM(CC173,CC188:CC190)</f>
        <v>-3151</v>
      </c>
      <c r="CD191" s="1877">
        <f>SUM(CD173,CD188:CD190)</f>
        <v>-38</v>
      </c>
      <c r="CE191" s="1877">
        <f>SUM(BF191:BI191)</f>
        <v>538</v>
      </c>
      <c r="CF191" s="1877">
        <v>1018</v>
      </c>
      <c r="CG191" s="3377">
        <f>SUM(BN191:BQ191)</f>
        <v>1542</v>
      </c>
      <c r="CH191" s="3377">
        <v>1595</v>
      </c>
    </row>
    <row r="192" spans="1:86" s="1764" customFormat="1">
      <c r="A192" s="1574" t="s">
        <v>1024</v>
      </c>
      <c r="B192" s="1764">
        <v>-0.55400000000000005</v>
      </c>
      <c r="C192" s="1764">
        <v>-1.044268</v>
      </c>
      <c r="D192" s="1764">
        <v>-1.7070000000000001</v>
      </c>
      <c r="E192" s="1768">
        <v>2.5710000000000002</v>
      </c>
      <c r="F192" s="1764">
        <v>2.5291000000000001E-2</v>
      </c>
      <c r="G192" s="1764">
        <v>8.4279999999999997E-3</v>
      </c>
      <c r="H192" s="1764">
        <v>-2.6917209999999998</v>
      </c>
      <c r="I192" s="1764">
        <v>6.0781460000000003</v>
      </c>
      <c r="L192" s="1876"/>
      <c r="Q192" s="1764">
        <v>-97.201999999999998</v>
      </c>
      <c r="R192" s="1764">
        <v>-106.371</v>
      </c>
      <c r="S192" s="1765">
        <v>0.83599999999999997</v>
      </c>
      <c r="T192" s="1763">
        <v>-0.51300000000000001</v>
      </c>
      <c r="U192" s="1763">
        <v>1.994</v>
      </c>
      <c r="V192" s="1765" t="s">
        <v>156</v>
      </c>
      <c r="W192" s="1879" t="s">
        <v>156</v>
      </c>
      <c r="X192" s="1765" t="s">
        <v>156</v>
      </c>
      <c r="Y192" s="1765" t="s">
        <v>156</v>
      </c>
      <c r="Z192" s="1765" t="s">
        <v>156</v>
      </c>
      <c r="AA192" s="1765" t="s">
        <v>156</v>
      </c>
      <c r="AB192" s="1766" t="s">
        <v>156</v>
      </c>
      <c r="AD192" s="1764">
        <v>-131.221</v>
      </c>
      <c r="AE192" s="1764">
        <v>-65.95</v>
      </c>
      <c r="AF192" s="1764">
        <v>-6.9530000000000003</v>
      </c>
      <c r="AG192" s="1768">
        <v>-203.214</v>
      </c>
      <c r="AH192" s="1764">
        <v>57.353999999999999</v>
      </c>
      <c r="AI192" s="1764">
        <v>18.202000000000002</v>
      </c>
      <c r="AJ192" s="1764">
        <v>-60.627000000000002</v>
      </c>
      <c r="AK192" s="1768">
        <v>-30.244</v>
      </c>
      <c r="AL192" s="1764">
        <v>46.716000000000001</v>
      </c>
      <c r="AM192" s="1764">
        <v>-3.012</v>
      </c>
      <c r="AN192" s="1764">
        <v>-66.078000000000003</v>
      </c>
      <c r="AO192" s="1768">
        <v>-23.030999999999999</v>
      </c>
      <c r="AP192" s="1764">
        <v>20</v>
      </c>
      <c r="AQ192" s="1764">
        <v>5</v>
      </c>
      <c r="AR192" s="1764">
        <v>-81</v>
      </c>
      <c r="AS192" s="1764">
        <v>-31</v>
      </c>
      <c r="AT192" s="1877">
        <v>41</v>
      </c>
      <c r="AU192" s="1764">
        <v>-48</v>
      </c>
      <c r="AV192" s="1764">
        <v>-154</v>
      </c>
      <c r="AW192" s="1768">
        <v>-42</v>
      </c>
      <c r="AX192" s="1877">
        <v>82</v>
      </c>
      <c r="AY192" s="1764">
        <v>213</v>
      </c>
      <c r="AZ192" s="1764">
        <v>24</v>
      </c>
      <c r="BA192" s="1764">
        <v>104</v>
      </c>
      <c r="BB192" s="1877">
        <v>169</v>
      </c>
      <c r="BC192" s="1764">
        <v>47</v>
      </c>
      <c r="BD192" s="1764">
        <v>-87</v>
      </c>
      <c r="BE192" s="1768">
        <v>-76</v>
      </c>
      <c r="BF192" s="1764">
        <v>85</v>
      </c>
      <c r="BG192" s="1764">
        <v>-58</v>
      </c>
      <c r="BH192" s="1764">
        <v>-214</v>
      </c>
      <c r="BI192" s="1768">
        <v>-8</v>
      </c>
      <c r="BJ192" s="1764">
        <v>-79</v>
      </c>
      <c r="BK192" s="1764">
        <v>-77</v>
      </c>
      <c r="BL192" s="1764">
        <v>-139</v>
      </c>
      <c r="BM192" s="1768">
        <v>-35</v>
      </c>
      <c r="BN192" s="1764">
        <v>19</v>
      </c>
      <c r="BO192" s="1768">
        <v>-113</v>
      </c>
      <c r="BP192" s="1768">
        <v>-190</v>
      </c>
      <c r="BQ192" s="3343">
        <v>-34</v>
      </c>
      <c r="BR192" s="1764">
        <v>20</v>
      </c>
      <c r="BS192" s="1764">
        <v>-101</v>
      </c>
      <c r="BT192" s="1764">
        <v>-167</v>
      </c>
      <c r="BU192" s="1764">
        <v>-42</v>
      </c>
      <c r="BV192" s="1764">
        <v>-37</v>
      </c>
      <c r="BW192" s="1764">
        <v>-152</v>
      </c>
      <c r="BY192" s="1769">
        <f>SUM(AH192:AK192)</f>
        <v>-15.315000000000005</v>
      </c>
      <c r="BZ192" s="1769">
        <v>-45.405000000000001</v>
      </c>
      <c r="CA192" s="1877">
        <f>SUM(AP192:AS192)</f>
        <v>-87</v>
      </c>
      <c r="CB192" s="1877">
        <v>-203</v>
      </c>
      <c r="CC192" s="1877">
        <v>423</v>
      </c>
      <c r="CD192" s="1877">
        <v>53</v>
      </c>
      <c r="CE192" s="1877">
        <f>SUM(BF192:BI192)</f>
        <v>-195</v>
      </c>
      <c r="CF192" s="1877">
        <v>-330</v>
      </c>
      <c r="CG192" s="3377">
        <v>-318</v>
      </c>
      <c r="CH192" s="3377">
        <v>-290</v>
      </c>
    </row>
    <row r="193" spans="1:86" s="1764" customFormat="1">
      <c r="A193" s="1574" t="s">
        <v>74</v>
      </c>
      <c r="B193" s="1765" t="s">
        <v>156</v>
      </c>
      <c r="C193" s="1765" t="s">
        <v>156</v>
      </c>
      <c r="D193" s="1765">
        <v>-0.1</v>
      </c>
      <c r="E193" s="1768">
        <f>-0.772-0.167</f>
        <v>-0.93900000000000006</v>
      </c>
      <c r="F193" s="1765" t="s">
        <v>156</v>
      </c>
      <c r="G193" s="1765" t="s">
        <v>156</v>
      </c>
      <c r="H193" s="1765" t="s">
        <v>156</v>
      </c>
      <c r="I193" s="1765"/>
      <c r="J193" s="1765"/>
      <c r="K193" s="1765"/>
      <c r="L193" s="1880"/>
      <c r="M193" s="1765"/>
      <c r="N193" s="1765"/>
      <c r="O193" s="1765"/>
      <c r="P193" s="1765"/>
      <c r="Q193" s="1765">
        <v>-46.889000000000003</v>
      </c>
      <c r="R193" s="1765">
        <v>0.30099999999999999</v>
      </c>
      <c r="S193" s="1763">
        <f t="shared" ref="Q193:X194" si="192">SUM(S190:S192)</f>
        <v>228.73000000000005</v>
      </c>
      <c r="T193" s="1763">
        <f t="shared" si="192"/>
        <v>244.93399999999974</v>
      </c>
      <c r="U193" s="1763">
        <f t="shared" si="192"/>
        <v>295.86400000000026</v>
      </c>
      <c r="V193" s="1763">
        <f t="shared" si="192"/>
        <v>-2520.6699999999996</v>
      </c>
      <c r="W193" s="1897">
        <f t="shared" si="192"/>
        <v>303.62300000000027</v>
      </c>
      <c r="X193" s="1763">
        <f t="shared" si="192"/>
        <v>305.49700000000007</v>
      </c>
      <c r="Y193" s="1763">
        <f>SUM(Y190:Y192)</f>
        <v>326.34099999999989</v>
      </c>
      <c r="Z193" s="1763">
        <v>302.97899999999998</v>
      </c>
      <c r="AA193" s="1765">
        <f>SUM(AA190:AA192)</f>
        <v>216.358</v>
      </c>
      <c r="AB193" s="1766">
        <f>SUM(AB190:AB192)</f>
        <v>372.95000000000005</v>
      </c>
      <c r="AC193" s="1765"/>
      <c r="AD193" s="1765"/>
      <c r="AE193" s="1765"/>
      <c r="AF193" s="1765"/>
      <c r="AG193" s="1766" t="s">
        <v>156</v>
      </c>
      <c r="AH193" s="1765" t="s">
        <v>156</v>
      </c>
      <c r="AI193" s="1765" t="s">
        <v>156</v>
      </c>
      <c r="AJ193" s="1765" t="s">
        <v>156</v>
      </c>
      <c r="AK193" s="1768"/>
      <c r="AO193" s="1768"/>
      <c r="AT193" s="1877"/>
      <c r="AW193" s="1768"/>
      <c r="AX193" s="1877"/>
      <c r="BB193" s="1877"/>
      <c r="BE193" s="1768"/>
      <c r="BI193" s="1768"/>
      <c r="BM193" s="1768"/>
      <c r="BO193" s="1768"/>
      <c r="BP193" s="1768"/>
      <c r="BQ193" s="3343"/>
      <c r="BY193" s="1769"/>
      <c r="BZ193" s="1769"/>
      <c r="CA193" s="1877"/>
      <c r="CB193" s="1877"/>
      <c r="CC193" s="1877"/>
      <c r="CD193" s="1877"/>
      <c r="CE193" s="2934"/>
      <c r="CF193" s="2934"/>
      <c r="CG193" s="2934"/>
      <c r="CH193" s="2934"/>
    </row>
    <row r="194" spans="1:86" s="1563" customFormat="1">
      <c r="A194" s="1561" t="s">
        <v>1025</v>
      </c>
      <c r="B194" s="1575"/>
      <c r="C194" s="1575"/>
      <c r="D194" s="1575"/>
      <c r="E194" s="1576"/>
      <c r="F194" s="1575"/>
      <c r="G194" s="1575"/>
      <c r="H194" s="1562"/>
      <c r="I194" s="1562"/>
      <c r="J194" s="1562"/>
      <c r="K194" s="1562"/>
      <c r="L194" s="1595"/>
      <c r="Q194" s="1562">
        <f t="shared" si="192"/>
        <v>111.40700000000007</v>
      </c>
      <c r="R194" s="1562">
        <f t="shared" si="192"/>
        <v>163.47299999999984</v>
      </c>
      <c r="S194" s="1563" t="s">
        <v>156</v>
      </c>
      <c r="T194" s="1563" t="s">
        <v>156</v>
      </c>
      <c r="U194" s="1563" t="s">
        <v>156</v>
      </c>
      <c r="V194" s="1575" t="s">
        <v>156</v>
      </c>
      <c r="W194" s="1596"/>
      <c r="X194" s="1563">
        <v>120.063</v>
      </c>
      <c r="Y194" s="1563">
        <v>148.262</v>
      </c>
      <c r="Z194" s="1563">
        <v>-22.539000000000001</v>
      </c>
      <c r="AA194" s="1575" t="s">
        <v>156</v>
      </c>
      <c r="AB194" s="1576" t="s">
        <v>156</v>
      </c>
      <c r="AC194" s="1575"/>
      <c r="AD194" s="1575">
        <f t="shared" ref="AD194:AN194" si="193">SUM(AD191:AD193)</f>
        <v>426.83600000000001</v>
      </c>
      <c r="AE194" s="1575">
        <f t="shared" si="193"/>
        <v>276.23700000000002</v>
      </c>
      <c r="AF194" s="1575">
        <f t="shared" si="193"/>
        <v>-12.885999999999999</v>
      </c>
      <c r="AG194" s="1576">
        <f>SUM(AG191:AG193)</f>
        <v>722.74800000000005</v>
      </c>
      <c r="AH194" s="1575">
        <f t="shared" si="193"/>
        <v>-108.532</v>
      </c>
      <c r="AI194" s="1575">
        <f t="shared" si="193"/>
        <v>6.0070000000000014</v>
      </c>
      <c r="AJ194" s="1575">
        <f t="shared" si="193"/>
        <v>278.928</v>
      </c>
      <c r="AK194" s="1564">
        <f t="shared" si="193"/>
        <v>84.882000000000005</v>
      </c>
      <c r="AL194" s="1563">
        <f t="shared" si="193"/>
        <v>-11.705999999999996</v>
      </c>
      <c r="AM194" s="1563">
        <f t="shared" si="193"/>
        <v>53.67</v>
      </c>
      <c r="AN194" s="1563">
        <f t="shared" si="193"/>
        <v>349.35299999999995</v>
      </c>
      <c r="AO194" s="1564">
        <v>52.875000000000007</v>
      </c>
      <c r="AP194" s="1563">
        <f t="shared" ref="AP194:BK194" si="194">SUM(AP191:AP193)</f>
        <v>-149</v>
      </c>
      <c r="AQ194" s="1563">
        <f t="shared" si="194"/>
        <v>-9</v>
      </c>
      <c r="AR194" s="1563">
        <f t="shared" si="194"/>
        <v>531</v>
      </c>
      <c r="AS194" s="1563">
        <f t="shared" si="194"/>
        <v>25</v>
      </c>
      <c r="AT194" s="1588">
        <f t="shared" si="194"/>
        <v>-100</v>
      </c>
      <c r="AU194" s="1563">
        <f t="shared" si="194"/>
        <v>187</v>
      </c>
      <c r="AV194" s="1563">
        <f t="shared" si="194"/>
        <v>407</v>
      </c>
      <c r="AW194" s="1564">
        <f t="shared" si="194"/>
        <v>78</v>
      </c>
      <c r="AX194" s="1588">
        <f t="shared" si="194"/>
        <v>-1397</v>
      </c>
      <c r="AY194" s="1563">
        <f t="shared" si="194"/>
        <v>-740</v>
      </c>
      <c r="AZ194" s="1563">
        <f t="shared" si="194"/>
        <v>-200</v>
      </c>
      <c r="BA194" s="1563">
        <f t="shared" si="194"/>
        <v>-391</v>
      </c>
      <c r="BB194" s="1588">
        <f t="shared" si="194"/>
        <v>-581</v>
      </c>
      <c r="BC194" s="1563">
        <f t="shared" si="194"/>
        <v>-177</v>
      </c>
      <c r="BD194" s="1563">
        <f t="shared" si="194"/>
        <v>378</v>
      </c>
      <c r="BE194" s="1564">
        <f t="shared" si="194"/>
        <v>395</v>
      </c>
      <c r="BF194" s="1563">
        <f t="shared" si="194"/>
        <v>-123</v>
      </c>
      <c r="BG194" s="1563">
        <f t="shared" si="194"/>
        <v>-185</v>
      </c>
      <c r="BH194" s="1563">
        <f t="shared" si="194"/>
        <v>476</v>
      </c>
      <c r="BI194" s="1564">
        <f t="shared" si="194"/>
        <v>175</v>
      </c>
      <c r="BJ194" s="1563">
        <f>SUM(BJ191:BJ193)</f>
        <v>-140</v>
      </c>
      <c r="BK194" s="1563">
        <f t="shared" si="194"/>
        <v>387</v>
      </c>
      <c r="BL194" s="1563">
        <f>SUM(BL191:BL193)</f>
        <v>305</v>
      </c>
      <c r="BM194" s="1564">
        <v>136</v>
      </c>
      <c r="BN194" s="1563">
        <v>-136</v>
      </c>
      <c r="BO194" s="1563">
        <f>SUM(BO191:BO193)</f>
        <v>375</v>
      </c>
      <c r="BP194" s="1563">
        <f>SUM(BP191:BP193)</f>
        <v>684</v>
      </c>
      <c r="BQ194" s="3350">
        <f>SUM(BQ191:BQ193)</f>
        <v>301</v>
      </c>
      <c r="BR194" s="1563">
        <v>-197</v>
      </c>
      <c r="BS194" s="1563">
        <f>BS191+BS192</f>
        <v>322</v>
      </c>
      <c r="BT194" s="1563">
        <f>BT191+BT192</f>
        <v>964</v>
      </c>
      <c r="BU194" s="1563">
        <f>BU191+BU192</f>
        <v>216</v>
      </c>
      <c r="BV194" s="1563">
        <f>BV191+BV192</f>
        <v>-12</v>
      </c>
      <c r="BW194" s="1563">
        <f>BW191+BW192</f>
        <v>887</v>
      </c>
      <c r="BY194" s="1567">
        <f>SUM(AH194:AK194)</f>
        <v>261.28500000000003</v>
      </c>
      <c r="BZ194" s="1567">
        <v>371.35900000000004</v>
      </c>
      <c r="CA194" s="1588">
        <f>SUM(AP194:AS194)</f>
        <v>398</v>
      </c>
      <c r="CB194" s="1588">
        <f>SUM(AQ194:AT194)</f>
        <v>447</v>
      </c>
      <c r="CC194" s="1588">
        <f t="shared" ref="CC194:CH194" si="195">CC191+CC192</f>
        <v>-2728</v>
      </c>
      <c r="CD194" s="1588">
        <f t="shared" si="195"/>
        <v>15</v>
      </c>
      <c r="CE194" s="1588">
        <f t="shared" si="195"/>
        <v>343</v>
      </c>
      <c r="CF194" s="1588">
        <f t="shared" si="195"/>
        <v>688</v>
      </c>
      <c r="CG194" s="3380">
        <f t="shared" si="195"/>
        <v>1224</v>
      </c>
      <c r="CH194" s="3380">
        <f t="shared" si="195"/>
        <v>1305</v>
      </c>
    </row>
    <row r="195" spans="1:86" s="1563" customFormat="1">
      <c r="A195" s="1574" t="s">
        <v>1026</v>
      </c>
      <c r="B195" s="1575"/>
      <c r="C195" s="1575"/>
      <c r="D195" s="1575"/>
      <c r="E195" s="1576"/>
      <c r="F195" s="1575"/>
      <c r="G195" s="1575"/>
      <c r="L195" s="1595"/>
      <c r="Q195" s="1563" t="s">
        <v>156</v>
      </c>
      <c r="R195" s="1563" t="s">
        <v>156</v>
      </c>
      <c r="S195" s="1563" t="s">
        <v>156</v>
      </c>
      <c r="T195" s="1563" t="s">
        <v>156</v>
      </c>
      <c r="U195" s="1563" t="s">
        <v>156</v>
      </c>
      <c r="V195" s="1563">
        <v>2.907</v>
      </c>
      <c r="W195" s="1597">
        <v>-4.0970000000000004</v>
      </c>
      <c r="X195" s="1563">
        <v>-4.0599999999999996</v>
      </c>
      <c r="Y195" s="1563">
        <v>-2.3090000000000002</v>
      </c>
      <c r="Z195" s="1563">
        <v>-0.26900000000000002</v>
      </c>
      <c r="AA195" s="1563">
        <v>16.492000000000001</v>
      </c>
      <c r="AB195" s="1564">
        <v>25.146999999999998</v>
      </c>
      <c r="AC195" s="1575"/>
      <c r="AD195" s="1575"/>
      <c r="AE195" s="1575"/>
      <c r="AF195" s="1575"/>
      <c r="AG195" s="1576" t="s">
        <v>156</v>
      </c>
      <c r="AK195" s="1564"/>
      <c r="AO195" s="1564"/>
      <c r="AT195" s="1588"/>
      <c r="AW195" s="1564"/>
      <c r="AX195" s="1588"/>
      <c r="BB195" s="1588"/>
      <c r="BE195" s="1564"/>
      <c r="BI195" s="1564"/>
      <c r="BM195" s="1564"/>
      <c r="BO195" s="1564"/>
      <c r="BP195" s="1564"/>
      <c r="BQ195" s="3344"/>
      <c r="BY195" s="2892"/>
      <c r="BZ195" s="1567"/>
      <c r="CA195" s="1596"/>
      <c r="CB195" s="1588"/>
      <c r="CC195" s="1588"/>
      <c r="CD195" s="1588"/>
      <c r="CE195" s="2934"/>
      <c r="CF195" s="2934"/>
      <c r="CG195" s="2934"/>
      <c r="CH195" s="2934"/>
    </row>
    <row r="196" spans="1:86" s="1764" customFormat="1">
      <c r="A196" s="1574" t="s">
        <v>76</v>
      </c>
      <c r="B196" s="1765" t="s">
        <v>156</v>
      </c>
      <c r="C196" s="1765" t="s">
        <v>156</v>
      </c>
      <c r="D196" s="1765" t="s">
        <v>156</v>
      </c>
      <c r="E196" s="1766"/>
      <c r="F196" s="1765" t="s">
        <v>156</v>
      </c>
      <c r="G196" s="1765" t="s">
        <v>156</v>
      </c>
      <c r="H196" s="1764" t="s">
        <v>156</v>
      </c>
      <c r="I196" s="1764">
        <v>0.13557900000000001</v>
      </c>
      <c r="L196" s="1880"/>
      <c r="Q196" s="1764" t="s">
        <v>156</v>
      </c>
      <c r="R196" s="1764" t="s">
        <v>156</v>
      </c>
      <c r="S196" s="1764">
        <f t="shared" ref="Q196:Y197" si="196">SUM(S193:S194)</f>
        <v>228.73000000000005</v>
      </c>
      <c r="T196" s="1764">
        <f t="shared" si="196"/>
        <v>244.93399999999974</v>
      </c>
      <c r="U196" s="1764">
        <f t="shared" si="196"/>
        <v>295.86400000000026</v>
      </c>
      <c r="V196" s="1764">
        <f t="shared" si="196"/>
        <v>-2520.6699999999996</v>
      </c>
      <c r="W196" s="1897">
        <f t="shared" si="196"/>
        <v>303.62300000000027</v>
      </c>
      <c r="X196" s="1764">
        <f t="shared" si="196"/>
        <v>425.56000000000006</v>
      </c>
      <c r="Y196" s="1764">
        <f t="shared" si="196"/>
        <v>474.60299999999989</v>
      </c>
      <c r="Z196" s="1764">
        <f>SUM(Z193:Z194)</f>
        <v>280.44</v>
      </c>
      <c r="AA196" s="1764">
        <f>SUM(AA193:AA195)</f>
        <v>232.85</v>
      </c>
      <c r="AB196" s="1768">
        <f>SUM(AB193:AB195)</f>
        <v>398.09700000000004</v>
      </c>
      <c r="AD196" s="1764">
        <v>22.808</v>
      </c>
      <c r="AE196" s="1764">
        <v>6.9790000000000001</v>
      </c>
      <c r="AF196" s="1764">
        <v>0.34799999999999998</v>
      </c>
      <c r="AG196" s="1768">
        <v>41.716999999999999</v>
      </c>
      <c r="AH196" s="1764">
        <v>57</v>
      </c>
      <c r="AI196" s="1764">
        <v>25.641999999999999</v>
      </c>
      <c r="AJ196" s="1764">
        <v>0.40300000000000002</v>
      </c>
      <c r="AK196" s="1768"/>
      <c r="AL196" s="1764">
        <v>1.583</v>
      </c>
      <c r="AM196" s="1764">
        <v>3.0190000000000001</v>
      </c>
      <c r="AN196" s="1764">
        <v>2.8849999999999998</v>
      </c>
      <c r="AO196" s="1768">
        <v>2.2839999999999998</v>
      </c>
      <c r="AP196" s="1764">
        <v>12</v>
      </c>
      <c r="AQ196" s="1764">
        <v>10</v>
      </c>
      <c r="AR196" s="1764">
        <v>-6</v>
      </c>
      <c r="AS196" s="1764">
        <v>-8</v>
      </c>
      <c r="AT196" s="1877">
        <v>-3</v>
      </c>
      <c r="AU196" s="1764">
        <v>-4</v>
      </c>
      <c r="AV196" s="1764">
        <v>2</v>
      </c>
      <c r="AW196" s="1768">
        <v>-2</v>
      </c>
      <c r="AX196" s="1877">
        <v>96</v>
      </c>
      <c r="AY196" s="1764">
        <v>4</v>
      </c>
      <c r="AZ196" s="1764">
        <v>8</v>
      </c>
      <c r="BA196" s="1764">
        <v>8</v>
      </c>
      <c r="BB196" s="1877">
        <v>3</v>
      </c>
      <c r="BC196" s="1764">
        <v>5</v>
      </c>
      <c r="BD196" s="1764">
        <v>-2</v>
      </c>
      <c r="BE196" s="1768">
        <v>-9</v>
      </c>
      <c r="BF196" s="1764">
        <v>1</v>
      </c>
      <c r="BG196" s="1764">
        <v>0</v>
      </c>
      <c r="BI196" s="1768">
        <v>2</v>
      </c>
      <c r="BJ196" s="1764">
        <v>-5</v>
      </c>
      <c r="BM196" s="1768">
        <v>-4</v>
      </c>
      <c r="BN196" s="1764">
        <v>1</v>
      </c>
      <c r="BO196" s="1768">
        <v>11</v>
      </c>
      <c r="BP196" s="1768"/>
      <c r="BQ196" s="3343"/>
      <c r="BR196" s="1764">
        <v>-3</v>
      </c>
      <c r="BS196" s="1764">
        <v>8</v>
      </c>
      <c r="BT196" s="1764">
        <v>-5</v>
      </c>
      <c r="BU196" s="1563">
        <v>-7</v>
      </c>
      <c r="BV196" s="1563">
        <v>6</v>
      </c>
      <c r="BW196" s="1764">
        <v>3</v>
      </c>
      <c r="BX196" s="1563"/>
      <c r="BY196" s="1769">
        <f>SUM(AH196:AK196)</f>
        <v>83.045000000000002</v>
      </c>
      <c r="BZ196" s="1769">
        <v>6.6050000000000004</v>
      </c>
      <c r="CA196" s="1877">
        <f>SUM(AP196:AS196)</f>
        <v>8</v>
      </c>
      <c r="CB196" s="1877">
        <v>-7</v>
      </c>
      <c r="CC196" s="1877">
        <v>116</v>
      </c>
      <c r="CD196" s="1877">
        <v>-3</v>
      </c>
      <c r="CE196" s="2934">
        <v>9</v>
      </c>
      <c r="CF196" s="2934">
        <v>109</v>
      </c>
      <c r="CG196" s="2934">
        <v>10</v>
      </c>
      <c r="CH196" s="2934">
        <v>-7</v>
      </c>
    </row>
    <row r="197" spans="1:86" s="1563" customFormat="1">
      <c r="A197" s="1561" t="s">
        <v>1027</v>
      </c>
      <c r="B197" s="1563">
        <v>2.9159999999999999</v>
      </c>
      <c r="C197" s="1563">
        <v>3.1255160000000002</v>
      </c>
      <c r="D197" s="1563">
        <v>6.24</v>
      </c>
      <c r="E197" s="1564">
        <v>7.0000000000000007E-2</v>
      </c>
      <c r="F197" s="1563">
        <v>-7.3482159999999999</v>
      </c>
      <c r="G197" s="1563">
        <v>-6.2069869999999998</v>
      </c>
      <c r="H197" s="1563">
        <v>4.8296910000000004</v>
      </c>
      <c r="I197" s="1563">
        <f>SUM(I191:I195)</f>
        <v>7.0483559999999965</v>
      </c>
      <c r="J197" s="1563">
        <v>-27.589079999999999</v>
      </c>
      <c r="K197" s="1563">
        <v>-23.76</v>
      </c>
      <c r="L197" s="1587"/>
      <c r="Q197" s="1563">
        <f t="shared" si="196"/>
        <v>111.40700000000007</v>
      </c>
      <c r="R197" s="1563">
        <f t="shared" si="196"/>
        <v>163.47299999999984</v>
      </c>
      <c r="W197" s="1597"/>
      <c r="AB197" s="1564"/>
      <c r="AD197" s="1563">
        <f>SUM(AD194:AD196)</f>
        <v>449.64400000000001</v>
      </c>
      <c r="AE197" s="1563">
        <f>SUM(AE194:AE196)</f>
        <v>283.21600000000001</v>
      </c>
      <c r="AF197" s="1563">
        <f>SUM(AF194:AF196)</f>
        <v>-12.537999999999998</v>
      </c>
      <c r="AG197" s="1564">
        <f>SUM(AG194:AG196)</f>
        <v>764.46500000000003</v>
      </c>
      <c r="AH197" s="1563">
        <v>-108.589</v>
      </c>
      <c r="AI197" s="1563">
        <v>31.649000000000001</v>
      </c>
      <c r="AJ197" s="1563">
        <v>279.33100000000002</v>
      </c>
      <c r="AK197" s="1564">
        <v>79.456999999999994</v>
      </c>
      <c r="AL197" s="1563">
        <v>-86.122</v>
      </c>
      <c r="AM197" s="1563">
        <v>56.689</v>
      </c>
      <c r="AN197" s="1563">
        <v>352.238</v>
      </c>
      <c r="AO197" s="1564">
        <v>55.158999999999999</v>
      </c>
      <c r="AP197" s="1563">
        <v>-137</v>
      </c>
      <c r="AQ197" s="1563">
        <v>1</v>
      </c>
      <c r="AR197" s="1563">
        <f>SUM(AR194:AR196)</f>
        <v>525</v>
      </c>
      <c r="AS197" s="1563">
        <f>SUM(AS194:AS196)</f>
        <v>17</v>
      </c>
      <c r="AT197" s="1588">
        <f>SUM(AT194:AT196)</f>
        <v>-103</v>
      </c>
      <c r="AU197" s="1563">
        <f>SUM(AU194:AU196)</f>
        <v>183</v>
      </c>
      <c r="AV197" s="1563">
        <f t="shared" ref="AV197:BN197" si="197">SUM(AV194:AV196)</f>
        <v>409</v>
      </c>
      <c r="AW197" s="1564">
        <f t="shared" si="197"/>
        <v>76</v>
      </c>
      <c r="AX197" s="1588">
        <f t="shared" si="197"/>
        <v>-1301</v>
      </c>
      <c r="AY197" s="1563">
        <f t="shared" si="197"/>
        <v>-736</v>
      </c>
      <c r="AZ197" s="1563">
        <f t="shared" si="197"/>
        <v>-192</v>
      </c>
      <c r="BA197" s="1563">
        <f t="shared" si="197"/>
        <v>-383</v>
      </c>
      <c r="BB197" s="1588">
        <f t="shared" si="197"/>
        <v>-578</v>
      </c>
      <c r="BC197" s="1563">
        <f t="shared" si="197"/>
        <v>-172</v>
      </c>
      <c r="BD197" s="1563">
        <f t="shared" si="197"/>
        <v>376</v>
      </c>
      <c r="BE197" s="1564">
        <f t="shared" si="197"/>
        <v>386</v>
      </c>
      <c r="BF197" s="1563">
        <f t="shared" si="197"/>
        <v>-122</v>
      </c>
      <c r="BG197" s="1563">
        <f t="shared" si="197"/>
        <v>-185</v>
      </c>
      <c r="BH197" s="1563">
        <f t="shared" si="197"/>
        <v>476</v>
      </c>
      <c r="BI197" s="1564">
        <f t="shared" si="197"/>
        <v>177</v>
      </c>
      <c r="BJ197" s="1563">
        <f>SUM(BJ194:BJ196)</f>
        <v>-145</v>
      </c>
      <c r="BK197" s="1563">
        <f t="shared" si="197"/>
        <v>387</v>
      </c>
      <c r="BL197" s="1563">
        <f t="shared" si="197"/>
        <v>305</v>
      </c>
      <c r="BM197" s="1563">
        <f t="shared" si="197"/>
        <v>132</v>
      </c>
      <c r="BN197" s="1563">
        <f t="shared" si="197"/>
        <v>-135</v>
      </c>
      <c r="BO197" s="1563">
        <f t="shared" ref="BO197:BT197" si="198">SUM(BO194:BO196)</f>
        <v>386</v>
      </c>
      <c r="BP197" s="1563">
        <f t="shared" si="198"/>
        <v>684</v>
      </c>
      <c r="BQ197" s="3350">
        <f t="shared" si="198"/>
        <v>301</v>
      </c>
      <c r="BR197" s="1563">
        <f t="shared" si="198"/>
        <v>-200</v>
      </c>
      <c r="BS197" s="1563">
        <f t="shared" si="198"/>
        <v>330</v>
      </c>
      <c r="BT197" s="1563">
        <f t="shared" si="198"/>
        <v>959</v>
      </c>
      <c r="BU197" s="1563">
        <f>SUM(BU194:BU196)</f>
        <v>209</v>
      </c>
      <c r="BV197" s="1563">
        <f>SUM(BV194:BV196)</f>
        <v>-6</v>
      </c>
      <c r="BW197" s="1563">
        <f>SUM(BW194:BW196)</f>
        <v>890</v>
      </c>
      <c r="BY197" s="1567">
        <v>281.84800000000001</v>
      </c>
      <c r="BZ197" s="1567">
        <v>377.964</v>
      </c>
      <c r="CA197" s="1588">
        <f>SUM(AP197:AS197)</f>
        <v>406</v>
      </c>
      <c r="CB197" s="1588">
        <f>SUM(AQ197:AT197)</f>
        <v>440</v>
      </c>
      <c r="CC197" s="1588">
        <f t="shared" ref="CC197:CH197" si="199">CC194+CC196</f>
        <v>-2612</v>
      </c>
      <c r="CD197" s="1588">
        <f t="shared" si="199"/>
        <v>12</v>
      </c>
      <c r="CE197" s="1588">
        <f t="shared" si="199"/>
        <v>352</v>
      </c>
      <c r="CF197" s="1588">
        <f t="shared" si="199"/>
        <v>797</v>
      </c>
      <c r="CG197" s="3380">
        <f t="shared" si="199"/>
        <v>1234</v>
      </c>
      <c r="CH197" s="3380">
        <f t="shared" si="199"/>
        <v>1298</v>
      </c>
    </row>
    <row r="198" spans="1:86">
      <c r="A198" s="435"/>
      <c r="B198" s="424"/>
      <c r="C198" s="424"/>
      <c r="D198" s="424"/>
      <c r="E198" s="425"/>
      <c r="F198" s="424"/>
      <c r="G198" s="424"/>
      <c r="H198" s="424"/>
      <c r="I198" s="424"/>
      <c r="J198" s="424"/>
      <c r="K198" s="424"/>
      <c r="L198" s="433"/>
      <c r="M198" s="424"/>
      <c r="N198" s="424"/>
      <c r="O198" s="424"/>
      <c r="P198" s="424"/>
      <c r="Q198" s="424"/>
      <c r="R198" s="424"/>
      <c r="S198" s="146"/>
      <c r="T198" s="146"/>
      <c r="U198" s="146"/>
      <c r="V198" s="154"/>
      <c r="W198" s="148"/>
      <c r="X198" s="146"/>
      <c r="Y198" s="146"/>
      <c r="Z198" s="146"/>
      <c r="AA198" s="146"/>
      <c r="AB198" s="147"/>
      <c r="AC198" s="424"/>
      <c r="AD198" s="424"/>
      <c r="AE198" s="424"/>
      <c r="AF198" s="424"/>
      <c r="AG198" s="425"/>
      <c r="AH198" s="424"/>
      <c r="AI198" s="424"/>
      <c r="AJ198" s="424"/>
      <c r="AK198" s="425"/>
      <c r="AL198" s="424"/>
      <c r="AM198" s="424"/>
      <c r="AN198" s="424"/>
      <c r="AO198" s="425"/>
      <c r="AP198" s="424"/>
      <c r="AQ198" s="424"/>
      <c r="AR198" s="424"/>
      <c r="AS198" s="424"/>
      <c r="AT198" s="423"/>
      <c r="AU198" s="424"/>
      <c r="AV198" s="424"/>
      <c r="AW198" s="425"/>
      <c r="AX198" s="423"/>
      <c r="AY198" s="424"/>
      <c r="AZ198" s="424"/>
      <c r="BA198" s="424"/>
      <c r="BB198" s="423"/>
      <c r="BC198" s="424"/>
      <c r="BD198" s="424"/>
      <c r="BE198" s="425"/>
      <c r="BF198" s="424"/>
      <c r="BG198" s="424"/>
      <c r="BH198" s="424"/>
      <c r="BI198" s="425"/>
      <c r="BJ198" s="424"/>
      <c r="BK198" s="424"/>
      <c r="BL198" s="424"/>
      <c r="BM198" s="425"/>
      <c r="BN198" s="424"/>
      <c r="BO198" s="425"/>
      <c r="BP198" s="425"/>
      <c r="BQ198" s="3338"/>
      <c r="BR198" s="424"/>
      <c r="BS198" s="2059"/>
      <c r="BT198" s="2059"/>
      <c r="BU198" s="2059"/>
      <c r="BV198" s="2059"/>
      <c r="BW198" s="2059"/>
      <c r="BX198" s="2059"/>
      <c r="BY198" s="442"/>
      <c r="BZ198" s="442"/>
      <c r="CA198" s="423"/>
    </row>
    <row r="199" spans="1:86">
      <c r="A199" s="66" t="s">
        <v>1060</v>
      </c>
      <c r="B199" s="140" t="s">
        <v>156</v>
      </c>
      <c r="C199" s="140" t="s">
        <v>156</v>
      </c>
      <c r="D199" s="140" t="s">
        <v>156</v>
      </c>
      <c r="E199" s="141" t="s">
        <v>156</v>
      </c>
      <c r="F199" s="140" t="s">
        <v>156</v>
      </c>
      <c r="G199" s="140" t="s">
        <v>156</v>
      </c>
      <c r="H199" s="146" t="s">
        <v>156</v>
      </c>
      <c r="I199" s="146" t="s">
        <v>156</v>
      </c>
      <c r="J199" s="146"/>
      <c r="K199" s="146"/>
      <c r="L199" s="221"/>
      <c r="M199" s="146"/>
      <c r="N199" s="146"/>
      <c r="O199" s="146"/>
      <c r="P199" s="146"/>
      <c r="Q199" s="146"/>
      <c r="R199" s="146"/>
      <c r="S199" s="146"/>
      <c r="T199" s="146"/>
      <c r="U199" s="146"/>
      <c r="V199" s="154"/>
      <c r="W199" s="148"/>
      <c r="X199" s="146"/>
      <c r="Y199" s="146"/>
      <c r="Z199" s="146"/>
      <c r="AA199" s="146"/>
      <c r="AB199" s="147"/>
      <c r="AC199" s="146"/>
      <c r="AD199" s="146"/>
      <c r="AE199" s="146"/>
      <c r="AF199" s="146"/>
      <c r="AG199" s="147"/>
      <c r="AX199" s="2942"/>
      <c r="AY199" s="2943">
        <v>-17</v>
      </c>
      <c r="AZ199" s="2943">
        <v>-29</v>
      </c>
      <c r="BA199" s="2941">
        <v>-29</v>
      </c>
      <c r="BB199" s="2942">
        <v>-28</v>
      </c>
      <c r="BC199" s="2943">
        <v>-22</v>
      </c>
      <c r="BD199" s="2943">
        <v>-14</v>
      </c>
      <c r="BE199" s="2999">
        <v>-3</v>
      </c>
      <c r="BF199" s="2943">
        <v>0</v>
      </c>
      <c r="BG199" s="2943">
        <v>0</v>
      </c>
      <c r="BJ199" s="2943"/>
      <c r="BK199" s="2943"/>
      <c r="BY199" s="442"/>
      <c r="CC199" s="1588">
        <v>-75</v>
      </c>
      <c r="CD199" s="1588">
        <v>-67</v>
      </c>
      <c r="CE199" s="2934"/>
      <c r="CF199" s="2934"/>
      <c r="CG199" s="2934"/>
      <c r="CH199" s="2934"/>
    </row>
    <row r="200" spans="1:86" s="473" customFormat="1">
      <c r="A200" s="66" t="s">
        <v>1061</v>
      </c>
      <c r="B200" s="140" t="s">
        <v>156</v>
      </c>
      <c r="C200" s="140" t="s">
        <v>156</v>
      </c>
      <c r="D200" s="140" t="s">
        <v>156</v>
      </c>
      <c r="E200" s="141" t="s">
        <v>156</v>
      </c>
      <c r="F200" s="140" t="s">
        <v>156</v>
      </c>
      <c r="G200" s="140" t="s">
        <v>156</v>
      </c>
      <c r="H200" s="146" t="s">
        <v>156</v>
      </c>
      <c r="I200" s="146" t="s">
        <v>156</v>
      </c>
      <c r="J200" s="146"/>
      <c r="K200" s="146"/>
      <c r="L200" s="221"/>
      <c r="M200" s="146"/>
      <c r="N200" s="146"/>
      <c r="O200" s="146"/>
      <c r="P200" s="146"/>
      <c r="Q200" s="146"/>
      <c r="R200" s="146"/>
      <c r="S200" s="211">
        <f>S196/S62</f>
        <v>0.10791925282678805</v>
      </c>
      <c r="T200" s="211">
        <f>T196/T62</f>
        <v>0.10946350218494384</v>
      </c>
      <c r="U200" s="211">
        <f>U196/U62</f>
        <v>0.11100455778116958</v>
      </c>
      <c r="V200" s="479" t="s">
        <v>156</v>
      </c>
      <c r="W200" s="447">
        <f>W196/W59</f>
        <v>0.10273408977250667</v>
      </c>
      <c r="X200" s="211">
        <f>X196/X62</f>
        <v>0.14028009210042705</v>
      </c>
      <c r="Y200" s="211">
        <f>Y196/Y59</f>
        <v>0.13760561367047749</v>
      </c>
      <c r="Z200" s="211">
        <f>Z196/Z59</f>
        <v>6.958209801786297E-2</v>
      </c>
      <c r="AA200" s="211">
        <f>AA196/AA59</f>
        <v>4.8805281911548939E-2</v>
      </c>
      <c r="AB200" s="446">
        <f>AB196/AB59</f>
        <v>6.9072271377473876E-2</v>
      </c>
      <c r="AC200" s="146"/>
      <c r="AD200" s="146"/>
      <c r="AE200" s="146"/>
      <c r="AF200" s="146"/>
      <c r="AG200" s="147"/>
      <c r="AH200" s="133"/>
      <c r="AI200" s="133"/>
      <c r="AJ200" s="133"/>
      <c r="AK200" s="136"/>
      <c r="AL200" s="133"/>
      <c r="AM200" s="133"/>
      <c r="AN200" s="133"/>
      <c r="AO200" s="136"/>
      <c r="AP200" s="133"/>
      <c r="AQ200" s="133"/>
      <c r="AR200" s="133"/>
      <c r="AS200" s="133"/>
      <c r="AT200" s="137"/>
      <c r="AU200" s="133"/>
      <c r="AV200" s="133"/>
      <c r="AW200" s="136"/>
      <c r="AX200" s="137"/>
      <c r="AY200" s="133"/>
      <c r="AZ200" s="133"/>
      <c r="BA200" s="133"/>
      <c r="BB200" s="137"/>
      <c r="BC200" s="133"/>
      <c r="BD200" s="133"/>
      <c r="BE200" s="136"/>
      <c r="BF200" s="133"/>
      <c r="BG200" s="133"/>
      <c r="BH200" s="133"/>
      <c r="BI200" s="136"/>
      <c r="BJ200" s="133"/>
      <c r="BK200" s="133"/>
      <c r="BL200" s="133"/>
      <c r="BM200" s="136"/>
      <c r="BN200" s="133"/>
      <c r="BO200" s="136"/>
      <c r="BP200" s="136"/>
      <c r="BQ200" s="3332"/>
      <c r="BR200" s="133"/>
      <c r="BS200" s="133"/>
      <c r="BT200" s="133"/>
      <c r="BU200" s="133"/>
      <c r="BV200" s="133"/>
      <c r="BW200" s="133"/>
      <c r="BX200" s="133"/>
      <c r="BY200" s="442"/>
      <c r="BZ200" s="159"/>
      <c r="CA200" s="137"/>
      <c r="CB200" s="2819"/>
      <c r="CC200" s="2819"/>
      <c r="CD200" s="2819"/>
      <c r="CE200" s="2819"/>
      <c r="CF200" s="2819"/>
      <c r="CG200" s="3374"/>
      <c r="CH200" s="3374"/>
    </row>
    <row r="201" spans="1:86" s="473" customFormat="1" ht="11.5">
      <c r="A201" s="67" t="s">
        <v>80</v>
      </c>
      <c r="B201" s="211">
        <f>B197/B62</f>
        <v>5.5659476999427367E-2</v>
      </c>
      <c r="C201" s="211">
        <f>C197/C62</f>
        <v>4.2804925361082456E-2</v>
      </c>
      <c r="D201" s="211">
        <f>D197/D62</f>
        <v>6.7096774193548384E-2</v>
      </c>
      <c r="E201" s="446">
        <f>E197/E62</f>
        <v>5.8597019922986785E-4</v>
      </c>
      <c r="F201" s="466" t="s">
        <v>156</v>
      </c>
      <c r="G201" s="466" t="s">
        <v>156</v>
      </c>
      <c r="H201" s="211">
        <f>H197/H59</f>
        <v>3.8723839721250056E-2</v>
      </c>
      <c r="I201" s="211">
        <f>I197/I59</f>
        <v>3.5851386580512914E-2</v>
      </c>
      <c r="J201" s="211">
        <f>J197/J59</f>
        <v>-0.12057010277425369</v>
      </c>
      <c r="K201" s="211"/>
      <c r="L201" s="445"/>
      <c r="M201" s="211"/>
      <c r="N201" s="211"/>
      <c r="O201" s="211"/>
      <c r="P201" s="211"/>
      <c r="Q201" s="211">
        <f>Q197/Q62</f>
        <v>4.761363408101419E-2</v>
      </c>
      <c r="R201" s="211">
        <f>R197/R62</f>
        <v>8.8698777490988853E-2</v>
      </c>
      <c r="S201" s="211">
        <f>S196/S143</f>
        <v>0.13873026597903007</v>
      </c>
      <c r="T201" s="211">
        <f>T196/T143</f>
        <v>0.14117656552242475</v>
      </c>
      <c r="U201" s="211">
        <f>U196/U143</f>
        <v>0.14069125425418155</v>
      </c>
      <c r="V201" s="479" t="s">
        <v>156</v>
      </c>
      <c r="W201" s="447">
        <f t="shared" ref="W201:AB201" si="200">W196/W143</f>
        <v>0.12930169173932959</v>
      </c>
      <c r="X201" s="211">
        <f t="shared" si="200"/>
        <v>0.18123141628459416</v>
      </c>
      <c r="Y201" s="211">
        <f t="shared" si="200"/>
        <v>0.17658089314542305</v>
      </c>
      <c r="Z201" s="211">
        <f t="shared" si="200"/>
        <v>8.9547577818486365E-2</v>
      </c>
      <c r="AA201" s="211">
        <f t="shared" si="200"/>
        <v>6.2376105009375835E-2</v>
      </c>
      <c r="AB201" s="446">
        <f t="shared" si="200"/>
        <v>8.6837242092974373E-2</v>
      </c>
      <c r="AC201" s="211"/>
      <c r="AD201" s="211">
        <f t="shared" ref="AD201:AN201" si="201">AD197/AD59</f>
        <v>0.27044628894502587</v>
      </c>
      <c r="AE201" s="211">
        <f t="shared" si="201"/>
        <v>0.14615691473577902</v>
      </c>
      <c r="AF201" s="211">
        <f t="shared" si="201"/>
        <v>-7.3815163016825351E-3</v>
      </c>
      <c r="AG201" s="446">
        <f t="shared" si="201"/>
        <v>0.11528653295128941</v>
      </c>
      <c r="AH201" s="211">
        <f t="shared" si="201"/>
        <v>-5.7033206037308534E-2</v>
      </c>
      <c r="AI201" s="211">
        <f t="shared" si="201"/>
        <v>1.4412972722871901E-2</v>
      </c>
      <c r="AJ201" s="211">
        <f t="shared" si="201"/>
        <v>0.10822986510545719</v>
      </c>
      <c r="AK201" s="486">
        <f t="shared" si="201"/>
        <v>3.7963210702341134E-2</v>
      </c>
      <c r="AL201" s="473">
        <f t="shared" si="201"/>
        <v>-3.934307903152124E-2</v>
      </c>
      <c r="AM201" s="473">
        <f t="shared" si="201"/>
        <v>2.1921500386697601E-2</v>
      </c>
      <c r="AN201" s="473">
        <f t="shared" si="201"/>
        <v>0.11875859743762643</v>
      </c>
      <c r="AO201" s="486">
        <v>2.3785683484260457E-2</v>
      </c>
      <c r="AP201" s="473">
        <f t="shared" ref="AP201:BS201" si="202">AP197/AP59</f>
        <v>-5.4625199362041466E-2</v>
      </c>
      <c r="AQ201" s="473">
        <f t="shared" si="202"/>
        <v>3.4722222222222224E-4</v>
      </c>
      <c r="AR201" s="473">
        <f t="shared" si="202"/>
        <v>0.16025641025641027</v>
      </c>
      <c r="AS201" s="473">
        <f t="shared" si="202"/>
        <v>6.6432200078155529E-3</v>
      </c>
      <c r="AT201" s="2819">
        <f t="shared" si="202"/>
        <v>-3.9478727481793791E-2</v>
      </c>
      <c r="AU201" s="473">
        <f t="shared" si="202"/>
        <v>5.8039961941008564E-2</v>
      </c>
      <c r="AV201" s="473">
        <f t="shared" si="202"/>
        <v>0.11495222034851039</v>
      </c>
      <c r="AW201" s="486">
        <f t="shared" si="202"/>
        <v>2.7666545322169639E-2</v>
      </c>
      <c r="AX201" s="2819">
        <f t="shared" si="202"/>
        <v>-0.58895427795382527</v>
      </c>
      <c r="AY201" s="473">
        <f t="shared" si="202"/>
        <v>-1.3003533568904593</v>
      </c>
      <c r="AZ201" s="473">
        <f t="shared" si="202"/>
        <v>-0.1276595744680851</v>
      </c>
      <c r="BA201" s="473">
        <f t="shared" si="202"/>
        <v>-0.41630434782608694</v>
      </c>
      <c r="BB201" s="2819">
        <f t="shared" si="202"/>
        <v>-0.463884430176565</v>
      </c>
      <c r="BC201" s="473">
        <f t="shared" si="202"/>
        <v>-8.1477972524869727E-2</v>
      </c>
      <c r="BD201" s="473">
        <f t="shared" si="202"/>
        <v>0.12694125590817015</v>
      </c>
      <c r="BE201" s="486">
        <f t="shared" si="202"/>
        <v>0.16937253181219833</v>
      </c>
      <c r="BF201" s="473">
        <f t="shared" si="202"/>
        <v>-5.42463317029791E-2</v>
      </c>
      <c r="BG201" s="473">
        <f t="shared" si="202"/>
        <v>-5.8157812008802261E-2</v>
      </c>
      <c r="BH201" s="473">
        <f t="shared" si="202"/>
        <v>0.13152804642166344</v>
      </c>
      <c r="BI201" s="486">
        <f t="shared" si="202"/>
        <v>6.760886172650879E-2</v>
      </c>
      <c r="BJ201" s="473">
        <f t="shared" si="202"/>
        <v>-5.4409005628517824E-2</v>
      </c>
      <c r="BK201" s="486">
        <f t="shared" si="202"/>
        <v>0.11524717093508041</v>
      </c>
      <c r="BL201" s="486">
        <f t="shared" si="202"/>
        <v>7.7627895138712141E-2</v>
      </c>
      <c r="BM201" s="486">
        <f t="shared" si="202"/>
        <v>4.57222029788708E-2</v>
      </c>
      <c r="BN201" s="486">
        <f t="shared" si="202"/>
        <v>-4.6728971962616821E-2</v>
      </c>
      <c r="BO201" s="486">
        <f t="shared" si="202"/>
        <v>0.10848791455874086</v>
      </c>
      <c r="BP201" s="486">
        <f t="shared" si="202"/>
        <v>0.16847290640394089</v>
      </c>
      <c r="BQ201" s="3334">
        <f t="shared" si="202"/>
        <v>9.4535175879396985E-2</v>
      </c>
      <c r="BR201" s="486">
        <f t="shared" si="202"/>
        <v>-6.6934404283801874E-2</v>
      </c>
      <c r="BS201" s="486">
        <f t="shared" si="202"/>
        <v>8.7163232963549928E-2</v>
      </c>
      <c r="BT201" s="486">
        <f>BT197/BT59</f>
        <v>0.21736174070716227</v>
      </c>
      <c r="BU201" s="486">
        <f>BU197/BU59</f>
        <v>5.8923033549478435E-2</v>
      </c>
      <c r="BV201" s="486">
        <f>BV197/BV59</f>
        <v>-1.7513134851138354E-3</v>
      </c>
      <c r="BW201" s="486">
        <f>BW197/BW59</f>
        <v>0.20625724217844726</v>
      </c>
      <c r="BX201" s="486"/>
      <c r="BY201" s="451">
        <f>BY197/BY59</f>
        <v>3.2124061189447821E-2</v>
      </c>
      <c r="BZ201" s="489">
        <v>3.7571721107775506E-2</v>
      </c>
      <c r="CA201" s="2819">
        <f t="shared" ref="CA201:CG201" si="203">CA197/CA59</f>
        <v>3.6175710594315243E-2</v>
      </c>
      <c r="CB201" s="2819">
        <f t="shared" si="203"/>
        <v>3.6463081130355512E-2</v>
      </c>
      <c r="CC201" s="2819">
        <f t="shared" si="203"/>
        <v>-0.50240430852086937</v>
      </c>
      <c r="CD201" s="2819">
        <f t="shared" si="203"/>
        <v>1.3956734124214933E-3</v>
      </c>
      <c r="CE201" s="2819">
        <f t="shared" si="203"/>
        <v>3.0170566555241279E-2</v>
      </c>
      <c r="CF201" s="2819">
        <f t="shared" si="203"/>
        <v>6.2076485707609624E-2</v>
      </c>
      <c r="CG201" s="3374">
        <f t="shared" si="203"/>
        <v>9.013220363742605E-2</v>
      </c>
      <c r="CH201" s="3374">
        <f>CH197/CH59</f>
        <v>8.8101540758840705E-2</v>
      </c>
    </row>
    <row r="202" spans="1:86" s="473" customFormat="1" ht="11.5">
      <c r="A202" s="67" t="s">
        <v>81</v>
      </c>
      <c r="B202" s="466" t="s">
        <v>156</v>
      </c>
      <c r="C202" s="466" t="s">
        <v>156</v>
      </c>
      <c r="D202" s="466" t="s">
        <v>156</v>
      </c>
      <c r="E202" s="467"/>
      <c r="F202" s="466" t="s">
        <v>156</v>
      </c>
      <c r="G202" s="466" t="s">
        <v>156</v>
      </c>
      <c r="H202" s="211" t="s">
        <v>156</v>
      </c>
      <c r="I202" s="211" t="s">
        <v>156</v>
      </c>
      <c r="J202" s="211"/>
      <c r="K202" s="211"/>
      <c r="L202" s="467"/>
      <c r="M202" s="211"/>
      <c r="N202" s="211"/>
      <c r="O202" s="211"/>
      <c r="P202" s="211"/>
      <c r="Q202" s="211">
        <f>Q197/Q143</f>
        <v>0.10072328152829392</v>
      </c>
      <c r="R202" s="211">
        <f>R197/R143</f>
        <v>0.11253084783798378</v>
      </c>
      <c r="S202" s="2">
        <f>-S191/S190</f>
        <v>0.44935982467967067</v>
      </c>
      <c r="T202" s="2">
        <f>-T191/T190</f>
        <v>0.3623063772739793</v>
      </c>
      <c r="U202" s="2">
        <f>-U191/U190</f>
        <v>0.40869323760925891</v>
      </c>
      <c r="V202" s="1544" t="s">
        <v>156</v>
      </c>
      <c r="W202" s="23">
        <f t="shared" ref="W202:AB202" si="204">-W191/W190</f>
        <v>0.33710097527853389</v>
      </c>
      <c r="X202" s="2">
        <f t="shared" si="204"/>
        <v>0.28259976188183794</v>
      </c>
      <c r="Y202" s="2">
        <f t="shared" si="204"/>
        <v>0.18835183748184409</v>
      </c>
      <c r="Z202" s="2">
        <f t="shared" si="204"/>
        <v>0.13448666931385461</v>
      </c>
      <c r="AA202" s="2">
        <f t="shared" si="204"/>
        <v>0.28046878377614376</v>
      </c>
      <c r="AB202" s="480">
        <f t="shared" si="204"/>
        <v>0.19733729911910486</v>
      </c>
      <c r="AC202" s="211"/>
      <c r="AD202" s="211">
        <f t="shared" ref="AD202:AN202" si="205">AD197/AD143</f>
        <v>0.33517552503954473</v>
      </c>
      <c r="AE202" s="211">
        <f t="shared" si="205"/>
        <v>0.17594476441693324</v>
      </c>
      <c r="AF202" s="211">
        <f t="shared" si="205"/>
        <v>-9.2186160458916193E-3</v>
      </c>
      <c r="AG202" s="446">
        <f t="shared" si="205"/>
        <v>0.14255071737341124</v>
      </c>
      <c r="AH202" s="211">
        <f t="shared" si="205"/>
        <v>-7.2325596729965747E-2</v>
      </c>
      <c r="AI202" s="211">
        <f t="shared" si="205"/>
        <v>1.7686054510533455E-2</v>
      </c>
      <c r="AJ202" s="211">
        <f t="shared" si="205"/>
        <v>0.12908098806006291</v>
      </c>
      <c r="AK202" s="486">
        <f t="shared" si="205"/>
        <v>4.6138016292340017E-2</v>
      </c>
      <c r="AL202" s="473">
        <f t="shared" si="205"/>
        <v>-4.8730473888892345E-2</v>
      </c>
      <c r="AM202" s="473">
        <f t="shared" si="205"/>
        <v>2.6403905369044054E-2</v>
      </c>
      <c r="AN202" s="473">
        <f t="shared" si="205"/>
        <v>0.14047708400716111</v>
      </c>
      <c r="AO202" s="486">
        <v>2.9308714133900106E-2</v>
      </c>
      <c r="AP202" s="473">
        <f t="shared" ref="AP202:BS202" si="206">AP197/AP143</f>
        <v>-6.7788223651657598E-2</v>
      </c>
      <c r="AQ202" s="473">
        <f t="shared" si="206"/>
        <v>4.1981528127623844E-4</v>
      </c>
      <c r="AR202" s="473">
        <f t="shared" si="206"/>
        <v>0.18939393939393939</v>
      </c>
      <c r="AS202" s="473">
        <f t="shared" si="206"/>
        <v>8.1613058089294293E-3</v>
      </c>
      <c r="AT202" s="2819">
        <f t="shared" si="206"/>
        <v>-4.8607833883907506E-2</v>
      </c>
      <c r="AU202" s="473">
        <f t="shared" si="206"/>
        <v>6.8978514888805131E-2</v>
      </c>
      <c r="AV202" s="473">
        <f t="shared" si="206"/>
        <v>0.13588039867109636</v>
      </c>
      <c r="AW202" s="486">
        <f t="shared" si="206"/>
        <v>3.4420289855072464E-2</v>
      </c>
      <c r="AX202" s="2819">
        <f t="shared" si="206"/>
        <v>-0.82341772151898729</v>
      </c>
      <c r="AY202" s="473">
        <f t="shared" si="206"/>
        <v>-4.1581920903954801</v>
      </c>
      <c r="AZ202" s="473">
        <f t="shared" si="206"/>
        <v>-0.17006200177147918</v>
      </c>
      <c r="BA202" s="473">
        <f t="shared" si="206"/>
        <v>-0.60505529225908372</v>
      </c>
      <c r="BB202" s="2819">
        <f t="shared" si="206"/>
        <v>-0.61818181818181817</v>
      </c>
      <c r="BC202" s="473">
        <f t="shared" si="206"/>
        <v>-9.9021301093839956E-2</v>
      </c>
      <c r="BD202" s="473">
        <f t="shared" si="206"/>
        <v>0.1492063492063492</v>
      </c>
      <c r="BE202" s="486">
        <f t="shared" si="206"/>
        <v>0.20488322717622082</v>
      </c>
      <c r="BF202" s="473">
        <f t="shared" si="206"/>
        <v>-6.4962726304579346E-2</v>
      </c>
      <c r="BG202" s="473">
        <f t="shared" si="206"/>
        <v>-6.69804489500362E-2</v>
      </c>
      <c r="BH202" s="473">
        <f t="shared" si="206"/>
        <v>0.15044247787610621</v>
      </c>
      <c r="BI202" s="486">
        <f t="shared" si="206"/>
        <v>8.0235720761559381E-2</v>
      </c>
      <c r="BJ202" s="473">
        <f t="shared" si="206"/>
        <v>-6.4415815193247447E-2</v>
      </c>
      <c r="BK202" s="486">
        <f t="shared" si="206"/>
        <v>0.13114198576753644</v>
      </c>
      <c r="BL202" s="486">
        <f t="shared" si="206"/>
        <v>8.6573942662503553E-2</v>
      </c>
      <c r="BM202" s="486">
        <f t="shared" si="206"/>
        <v>5.1825677267373381E-2</v>
      </c>
      <c r="BN202" s="486">
        <f t="shared" si="206"/>
        <v>-5.3338601343342555E-2</v>
      </c>
      <c r="BO202" s="486">
        <f t="shared" si="206"/>
        <v>0.12077596996245307</v>
      </c>
      <c r="BP202" s="486">
        <f t="shared" si="206"/>
        <v>0.18627450980392157</v>
      </c>
      <c r="BQ202" s="3334">
        <f t="shared" si="206"/>
        <v>0.10565110565110565</v>
      </c>
      <c r="BR202" s="486">
        <f t="shared" si="206"/>
        <v>-7.6016723679209419E-2</v>
      </c>
      <c r="BS202" s="486">
        <f t="shared" si="206"/>
        <v>9.6802581402170726E-2</v>
      </c>
      <c r="BT202" s="486">
        <f>BT197/BT143</f>
        <v>0.23761149653121902</v>
      </c>
      <c r="BU202" s="486">
        <f>BU197/BU143</f>
        <v>6.5210608424336972E-2</v>
      </c>
      <c r="BV202" s="486">
        <f>BV197/BV143</f>
        <v>-1.9678583142013774E-3</v>
      </c>
      <c r="BW202" s="486">
        <f>BW197/BW143</f>
        <v>0.22750511247443764</v>
      </c>
      <c r="BX202" s="486"/>
      <c r="BY202" s="451">
        <f>BY197/BY143</f>
        <v>3.9270802143001354E-2</v>
      </c>
      <c r="BZ202" s="489">
        <v>4.5517282739948609E-2</v>
      </c>
      <c r="CA202" s="2819">
        <f t="shared" ref="CA202:CG202" si="207">CA197/CA143</f>
        <v>4.3853964139122924E-2</v>
      </c>
      <c r="CB202" s="2819">
        <f t="shared" si="207"/>
        <v>4.4426494345718902E-2</v>
      </c>
      <c r="CC202" s="2819">
        <f t="shared" si="207"/>
        <v>-0.74225632281898268</v>
      </c>
      <c r="CD202" s="2819">
        <f t="shared" si="207"/>
        <v>1.6958733747880158E-3</v>
      </c>
      <c r="CE202" s="2819">
        <f t="shared" si="207"/>
        <v>3.5164835164835165E-2</v>
      </c>
      <c r="CF202" s="2819">
        <f t="shared" si="207"/>
        <v>7.0743830995916912E-2</v>
      </c>
      <c r="CG202" s="3374">
        <f t="shared" si="207"/>
        <v>0.10075114304376225</v>
      </c>
      <c r="CH202" s="3374">
        <f>CH197/CH143</f>
        <v>9.7763048881524442E-2</v>
      </c>
    </row>
    <row r="203" spans="1:86" ht="11.5">
      <c r="A203" s="476" t="s">
        <v>1028</v>
      </c>
      <c r="B203" s="2">
        <f t="shared" ref="B203:H203" si="208">-B192/B191</f>
        <v>0.15965417867435158</v>
      </c>
      <c r="C203" s="2">
        <f t="shared" si="208"/>
        <v>0.25043695308917679</v>
      </c>
      <c r="D203" s="2">
        <f t="shared" si="208"/>
        <v>0.21212874363116688</v>
      </c>
      <c r="E203" s="480">
        <f t="shared" si="208"/>
        <v>1.6533762057877814</v>
      </c>
      <c r="F203" s="2">
        <f t="shared" si="208"/>
        <v>3.4299825035766563E-3</v>
      </c>
      <c r="G203" s="2">
        <f t="shared" si="208"/>
        <v>1.3596708525320158E-3</v>
      </c>
      <c r="H203" s="2">
        <f t="shared" si="208"/>
        <v>1.2590078438892967</v>
      </c>
      <c r="I203" s="2" t="s">
        <v>156</v>
      </c>
      <c r="J203" s="2"/>
      <c r="K203" s="2"/>
      <c r="L203" s="504"/>
      <c r="M203" s="2"/>
      <c r="N203" s="2"/>
      <c r="O203" s="2"/>
      <c r="P203" s="2"/>
      <c r="Q203" s="2">
        <f>-Q192/Q191</f>
        <v>0.38044133417874099</v>
      </c>
      <c r="R203" s="2">
        <f>-R192/R191</f>
        <v>0.39463462230516116</v>
      </c>
      <c r="S203" s="10"/>
      <c r="T203" s="10"/>
      <c r="U203" s="10"/>
      <c r="V203" s="10"/>
      <c r="W203" s="100"/>
      <c r="X203" s="10"/>
      <c r="Y203" s="10"/>
      <c r="Z203" s="10"/>
      <c r="AA203" s="10"/>
      <c r="AB203" s="101"/>
      <c r="AC203" s="2"/>
      <c r="AD203" s="2">
        <f t="shared" ref="AD203:AJ203" si="209">-AD192/AD191</f>
        <v>0.23513906285558644</v>
      </c>
      <c r="AE203" s="2">
        <f t="shared" si="209"/>
        <v>0.19273087522319668</v>
      </c>
      <c r="AF203" s="2">
        <f t="shared" si="209"/>
        <v>-1.1719197707736391</v>
      </c>
      <c r="AG203" s="480">
        <f t="shared" si="209"/>
        <v>0.21946256973828299</v>
      </c>
      <c r="AH203" s="2">
        <f t="shared" si="209"/>
        <v>0.34574346237777753</v>
      </c>
      <c r="AI203" s="2">
        <f t="shared" si="209"/>
        <v>1.4925789257892581</v>
      </c>
      <c r="AJ203" s="2">
        <f t="shared" si="209"/>
        <v>0.17854839422184918</v>
      </c>
      <c r="AK203" s="486">
        <f>-AK192/AK191</f>
        <v>0.26270347271684935</v>
      </c>
      <c r="AL203" s="473">
        <f>-AL192/AL191</f>
        <v>0.79963027626579031</v>
      </c>
      <c r="AM203" s="473">
        <f>-AM192/AM191</f>
        <v>5.3138562506615854E-2</v>
      </c>
      <c r="AN203" s="473">
        <f>-AN192/AN191</f>
        <v>0.15905890508893175</v>
      </c>
      <c r="AO203" s="486">
        <v>0.30341474982214839</v>
      </c>
      <c r="AP203" s="473">
        <f t="shared" ref="AP203:AU203" si="210">-AP192/AP191</f>
        <v>0.11834319526627218</v>
      </c>
      <c r="AQ203" s="473">
        <f t="shared" si="210"/>
        <v>0.35714285714285715</v>
      </c>
      <c r="AR203" s="473">
        <f t="shared" si="210"/>
        <v>0.13235294117647059</v>
      </c>
      <c r="AS203" s="473">
        <f t="shared" si="210"/>
        <v>0.5535714285714286</v>
      </c>
      <c r="AT203" s="2819">
        <f t="shared" si="210"/>
        <v>0.29078014184397161</v>
      </c>
      <c r="AU203" s="473">
        <f t="shared" si="210"/>
        <v>0.20425531914893616</v>
      </c>
      <c r="AV203" s="473">
        <f t="shared" ref="AV203:BI203" si="211">-AV192/AV191</f>
        <v>0.27450980392156865</v>
      </c>
      <c r="AW203" s="486">
        <f t="shared" si="211"/>
        <v>0.35</v>
      </c>
      <c r="AX203" s="2819">
        <f t="shared" si="211"/>
        <v>5.544286680189317E-2</v>
      </c>
      <c r="AY203" s="473">
        <f t="shared" si="211"/>
        <v>0.22350472193074503</v>
      </c>
      <c r="AZ203" s="473">
        <f t="shared" si="211"/>
        <v>0.10714285714285714</v>
      </c>
      <c r="BA203" s="473">
        <f t="shared" si="211"/>
        <v>0.21010101010101009</v>
      </c>
      <c r="BB203" s="2819">
        <f t="shared" si="211"/>
        <v>0.22533333333333333</v>
      </c>
      <c r="BC203" s="473">
        <f t="shared" si="211"/>
        <v>0.20982142857142858</v>
      </c>
      <c r="BD203" s="473">
        <f t="shared" si="211"/>
        <v>0.18709677419354839</v>
      </c>
      <c r="BE203" s="486">
        <f t="shared" si="211"/>
        <v>0.16135881104033969</v>
      </c>
      <c r="BF203" s="473">
        <f t="shared" si="211"/>
        <v>0.40865384615384615</v>
      </c>
      <c r="BG203" s="473">
        <f t="shared" si="211"/>
        <v>-0.45669291338582679</v>
      </c>
      <c r="BH203" s="473">
        <f t="shared" si="211"/>
        <v>0.31014492753623191</v>
      </c>
      <c r="BI203" s="486">
        <f t="shared" si="211"/>
        <v>4.3715846994535519E-2</v>
      </c>
      <c r="BJ203" s="473">
        <f t="shared" ref="BJ203:BY203" si="212">-BJ192/BJ191</f>
        <v>-1.2950819672131149</v>
      </c>
      <c r="BK203" s="486">
        <f t="shared" si="212"/>
        <v>0.16594827586206898</v>
      </c>
      <c r="BL203" s="486">
        <f t="shared" si="212"/>
        <v>0.31306306306306309</v>
      </c>
      <c r="BM203" s="486">
        <f t="shared" si="212"/>
        <v>0.2046783625730994</v>
      </c>
      <c r="BN203" s="486">
        <f t="shared" si="212"/>
        <v>0.12258064516129032</v>
      </c>
      <c r="BO203" s="486">
        <f t="shared" si="212"/>
        <v>0.23155737704918034</v>
      </c>
      <c r="BP203" s="486">
        <f t="shared" ref="BP203:BU203" si="213">-BP192/BP191</f>
        <v>0.21739130434782608</v>
      </c>
      <c r="BQ203" s="3334">
        <f t="shared" si="213"/>
        <v>0.10149253731343283</v>
      </c>
      <c r="BR203" s="486">
        <f t="shared" si="213"/>
        <v>9.2165898617511524E-2</v>
      </c>
      <c r="BS203" s="486">
        <f t="shared" si="213"/>
        <v>0.23877068557919623</v>
      </c>
      <c r="BT203" s="486">
        <f t="shared" si="213"/>
        <v>0.14765694076038904</v>
      </c>
      <c r="BU203" s="486">
        <f t="shared" si="213"/>
        <v>0.16279069767441862</v>
      </c>
      <c r="BV203" s="486">
        <f t="shared" ref="BV203:BW203" si="214">-BV192/BV191</f>
        <v>1.48</v>
      </c>
      <c r="BW203" s="486">
        <f t="shared" si="214"/>
        <v>0.14629451395572665</v>
      </c>
      <c r="BX203" s="486"/>
      <c r="BY203" s="67">
        <f t="shared" si="212"/>
        <v>5.5368763557483741E-2</v>
      </c>
      <c r="BZ203" s="489">
        <v>0.10894655008589993</v>
      </c>
      <c r="CA203" s="2819">
        <f t="shared" ref="CA203:CG203" si="215">-CA192/CA191</f>
        <v>0.17938144329896907</v>
      </c>
      <c r="CB203" s="2819">
        <f t="shared" si="215"/>
        <v>0.26193548387096777</v>
      </c>
      <c r="CC203" s="2819">
        <f t="shared" si="215"/>
        <v>0.1342430974293875</v>
      </c>
      <c r="CD203" s="2819">
        <f t="shared" si="215"/>
        <v>1.3947368421052631</v>
      </c>
      <c r="CE203" s="2819">
        <f t="shared" si="215"/>
        <v>0.36245353159851301</v>
      </c>
      <c r="CF203" s="2819">
        <f t="shared" si="215"/>
        <v>0.32416502946954812</v>
      </c>
      <c r="CG203" s="3374">
        <f t="shared" si="215"/>
        <v>0.20622568093385213</v>
      </c>
      <c r="CH203" s="3374">
        <f>-CH192/CH191</f>
        <v>0.18181818181818182</v>
      </c>
    </row>
    <row r="204" spans="1:86" s="424" customFormat="1">
      <c r="A204" s="66"/>
      <c r="B204" s="10"/>
      <c r="C204" s="10"/>
      <c r="D204" s="10"/>
      <c r="E204" s="101"/>
      <c r="F204" s="10"/>
      <c r="G204" s="10"/>
      <c r="H204" s="10"/>
      <c r="I204" s="10"/>
      <c r="J204" s="10"/>
      <c r="K204" s="10"/>
      <c r="L204" s="228"/>
      <c r="M204" s="10"/>
      <c r="N204" s="10"/>
      <c r="O204" s="10"/>
      <c r="P204" s="10"/>
      <c r="Q204" s="10"/>
      <c r="R204" s="10"/>
      <c r="S204" s="424" t="e">
        <f>#REF!+S157</f>
        <v>#REF!</v>
      </c>
      <c r="T204" s="424" t="e">
        <f>#REF!+T157</f>
        <v>#REF!</v>
      </c>
      <c r="U204" s="424" t="e">
        <f>#REF!+U157</f>
        <v>#REF!</v>
      </c>
      <c r="V204" s="424" t="e">
        <f>#REF!+V157</f>
        <v>#REF!</v>
      </c>
      <c r="W204" s="425">
        <f t="shared" ref="W204:AB204" si="216">W196+W157</f>
        <v>365.28400000000028</v>
      </c>
      <c r="X204" s="424">
        <f t="shared" si="216"/>
        <v>478.06700000000006</v>
      </c>
      <c r="Y204" s="424">
        <f t="shared" si="216"/>
        <v>538.44999999999993</v>
      </c>
      <c r="Z204" s="424">
        <f t="shared" si="216"/>
        <v>345.036</v>
      </c>
      <c r="AA204" s="424">
        <f t="shared" si="216"/>
        <v>363.02300000000002</v>
      </c>
      <c r="AB204" s="425">
        <f t="shared" si="216"/>
        <v>483.10800000000006</v>
      </c>
      <c r="AC204" s="10"/>
      <c r="AD204" s="10"/>
      <c r="AE204" s="10"/>
      <c r="AF204" s="10"/>
      <c r="AG204" s="101"/>
      <c r="AH204" s="10"/>
      <c r="AI204" s="133"/>
      <c r="AJ204" s="133"/>
      <c r="AK204" s="136"/>
      <c r="AL204" s="133"/>
      <c r="AM204" s="133"/>
      <c r="AN204" s="133"/>
      <c r="AO204" s="136"/>
      <c r="AP204" s="133"/>
      <c r="AQ204" s="133"/>
      <c r="AR204" s="133"/>
      <c r="AS204" s="133"/>
      <c r="AT204" s="137"/>
      <c r="AU204" s="133"/>
      <c r="AV204" s="133"/>
      <c r="AW204" s="136"/>
      <c r="AX204" s="137"/>
      <c r="AY204" s="133"/>
      <c r="AZ204" s="133"/>
      <c r="BA204" s="133"/>
      <c r="BB204" s="137"/>
      <c r="BC204" s="133"/>
      <c r="BD204" s="133"/>
      <c r="BE204" s="136"/>
      <c r="BF204" s="133"/>
      <c r="BG204" s="133"/>
      <c r="BH204" s="133"/>
      <c r="BI204" s="136"/>
      <c r="BJ204" s="133"/>
      <c r="BK204" s="136"/>
      <c r="BL204" s="136"/>
      <c r="BM204" s="136"/>
      <c r="BN204" s="133"/>
      <c r="BO204" s="136"/>
      <c r="BP204" s="136"/>
      <c r="BQ204" s="3332"/>
      <c r="BR204" s="133"/>
      <c r="BS204" s="133"/>
      <c r="BT204" s="133"/>
      <c r="BU204" s="133"/>
      <c r="BV204" s="133"/>
      <c r="BW204" s="133"/>
      <c r="BX204" s="133"/>
      <c r="BY204" s="448"/>
      <c r="BZ204" s="159"/>
      <c r="CA204" s="137"/>
      <c r="CB204" s="423"/>
      <c r="CC204" s="423"/>
      <c r="CD204" s="423"/>
      <c r="CE204" s="423"/>
      <c r="CF204" s="423"/>
      <c r="CG204" s="3373"/>
      <c r="CH204" s="3373"/>
    </row>
    <row r="205" spans="1:86" s="1563" customFormat="1" ht="11.5">
      <c r="A205" s="1579" t="s">
        <v>1062</v>
      </c>
      <c r="B205" s="1563">
        <f>B197+B157</f>
        <v>4.4630000000000001</v>
      </c>
      <c r="C205" s="1563">
        <f>C197+C157</f>
        <v>5.9355159999999998</v>
      </c>
      <c r="D205" s="1563">
        <f>D197+D157</f>
        <v>9.7230000000000008</v>
      </c>
      <c r="E205" s="1564">
        <f>E197+E157</f>
        <v>4.8770000000000007</v>
      </c>
      <c r="F205" s="1563" t="e">
        <f>F197+F157</f>
        <v>#VALUE!</v>
      </c>
      <c r="G205" s="1564" t="e">
        <f>G197-G157</f>
        <v>#VALUE!</v>
      </c>
      <c r="H205" s="1564">
        <f>H197+H157</f>
        <v>5.3569760000000004</v>
      </c>
      <c r="I205" s="1564">
        <f>I197-I157</f>
        <v>0.15390599999999655</v>
      </c>
      <c r="J205" s="1564"/>
      <c r="K205" s="1564"/>
      <c r="L205" s="1564"/>
      <c r="Q205" s="1563" t="e">
        <f>#REF!+Q157</f>
        <v>#REF!</v>
      </c>
      <c r="R205" s="1563" t="e">
        <f>#REF!+R157</f>
        <v>#REF!</v>
      </c>
      <c r="S205" s="1598" t="e">
        <f>S204/S62</f>
        <v>#REF!</v>
      </c>
      <c r="T205" s="1598" t="e">
        <f>T204/T62</f>
        <v>#REF!</v>
      </c>
      <c r="U205" s="1598" t="e">
        <f>U204/U62</f>
        <v>#REF!</v>
      </c>
      <c r="V205" s="1599" t="s">
        <v>156</v>
      </c>
      <c r="W205" s="1600">
        <f t="shared" ref="W205:AB205" si="217">W204/W62</f>
        <v>0.12359774868326945</v>
      </c>
      <c r="X205" s="1598">
        <f t="shared" si="217"/>
        <v>0.15758831372820487</v>
      </c>
      <c r="Y205" s="1598">
        <f t="shared" si="217"/>
        <v>0.15611730789916753</v>
      </c>
      <c r="Z205" s="1598">
        <f t="shared" si="217"/>
        <v>8.5609502109867952E-2</v>
      </c>
      <c r="AA205" s="1598">
        <f t="shared" si="217"/>
        <v>7.6089499056801513E-2</v>
      </c>
      <c r="AB205" s="1601">
        <f t="shared" si="217"/>
        <v>8.3822201324372334E-2</v>
      </c>
      <c r="AD205" s="1563">
        <f t="shared" ref="AD205:AN205" si="218">AD197+AD157</f>
        <v>491.13800000000003</v>
      </c>
      <c r="AE205" s="1563">
        <f t="shared" si="218"/>
        <v>346.87200000000001</v>
      </c>
      <c r="AF205" s="1563">
        <f t="shared" si="218"/>
        <v>31.494</v>
      </c>
      <c r="AG205" s="1564">
        <f t="shared" si="218"/>
        <v>942.53300000000002</v>
      </c>
      <c r="AH205" s="1563">
        <f t="shared" si="218"/>
        <v>-59.680999999999997</v>
      </c>
      <c r="AI205" s="1563">
        <f t="shared" si="218"/>
        <v>132.07999999999998</v>
      </c>
      <c r="AJ205" s="1563">
        <f t="shared" si="218"/>
        <v>327.59399999999999</v>
      </c>
      <c r="AK205" s="1564">
        <f t="shared" si="218"/>
        <v>124.27199999999999</v>
      </c>
      <c r="AL205" s="1563">
        <f t="shared" si="218"/>
        <v>-38.911000000000001</v>
      </c>
      <c r="AM205" s="1563">
        <f t="shared" si="218"/>
        <v>106.791</v>
      </c>
      <c r="AN205" s="1563">
        <f t="shared" si="218"/>
        <v>358.517</v>
      </c>
      <c r="AO205" s="1564">
        <v>100.917</v>
      </c>
      <c r="AP205" s="1563">
        <f t="shared" ref="AP205:BS205" si="219">AP197+AP157</f>
        <v>-87</v>
      </c>
      <c r="AQ205" s="1563">
        <f t="shared" si="219"/>
        <v>51</v>
      </c>
      <c r="AR205" s="1563">
        <f t="shared" si="219"/>
        <v>579</v>
      </c>
      <c r="AS205" s="1563">
        <f t="shared" si="219"/>
        <v>66</v>
      </c>
      <c r="AT205" s="1588">
        <f t="shared" si="219"/>
        <v>-47</v>
      </c>
      <c r="AU205" s="1563">
        <f t="shared" si="219"/>
        <v>242</v>
      </c>
      <c r="AV205" s="1563">
        <f t="shared" si="219"/>
        <v>469</v>
      </c>
      <c r="AW205" s="1564">
        <f t="shared" si="219"/>
        <v>142</v>
      </c>
      <c r="AX205" s="1588">
        <f t="shared" si="219"/>
        <v>-1246</v>
      </c>
      <c r="AY205" s="1563">
        <f t="shared" si="219"/>
        <v>-682</v>
      </c>
      <c r="AZ205" s="1563">
        <f t="shared" si="219"/>
        <v>-145</v>
      </c>
      <c r="BA205" s="1563">
        <f t="shared" si="219"/>
        <v>-334</v>
      </c>
      <c r="BB205" s="1588">
        <f t="shared" si="219"/>
        <v>-495</v>
      </c>
      <c r="BC205" s="1563">
        <f t="shared" si="219"/>
        <v>-52</v>
      </c>
      <c r="BD205" s="1563">
        <f t="shared" si="219"/>
        <v>492</v>
      </c>
      <c r="BE205" s="1564">
        <f t="shared" si="219"/>
        <v>485</v>
      </c>
      <c r="BF205" s="1563">
        <f t="shared" si="219"/>
        <v>-32</v>
      </c>
      <c r="BG205" s="1563">
        <f t="shared" si="219"/>
        <v>-92</v>
      </c>
      <c r="BH205" s="1563">
        <f t="shared" si="219"/>
        <v>573</v>
      </c>
      <c r="BI205" s="1564">
        <f t="shared" si="219"/>
        <v>271</v>
      </c>
      <c r="BJ205" s="1563">
        <f t="shared" si="219"/>
        <v>-42</v>
      </c>
      <c r="BK205" s="1564">
        <f t="shared" si="219"/>
        <v>493</v>
      </c>
      <c r="BL205" s="1564">
        <f t="shared" si="219"/>
        <v>410</v>
      </c>
      <c r="BM205" s="1564">
        <f t="shared" si="219"/>
        <v>231</v>
      </c>
      <c r="BN205" s="1564">
        <f t="shared" si="219"/>
        <v>-31</v>
      </c>
      <c r="BO205" s="1564">
        <f t="shared" si="219"/>
        <v>500</v>
      </c>
      <c r="BP205" s="1564">
        <f t="shared" si="219"/>
        <v>831</v>
      </c>
      <c r="BQ205" s="3344">
        <f t="shared" si="219"/>
        <v>394</v>
      </c>
      <c r="BR205" s="1564">
        <f t="shared" si="219"/>
        <v>-102</v>
      </c>
      <c r="BS205" s="1564">
        <f t="shared" si="219"/>
        <v>435</v>
      </c>
      <c r="BT205" s="1564">
        <f>BT197+BT157</f>
        <v>1049</v>
      </c>
      <c r="BU205" s="1564">
        <f>BU197+BU157</f>
        <v>314</v>
      </c>
      <c r="BV205" s="1564">
        <f>BV197+BV157</f>
        <v>97</v>
      </c>
      <c r="BW205" s="1564">
        <f>BW197+BW157</f>
        <v>1004</v>
      </c>
      <c r="BX205" s="1564"/>
      <c r="BY205" s="1567">
        <f>BY197+BY157</f>
        <v>524.26499999999999</v>
      </c>
      <c r="BZ205" s="1567">
        <v>527.31399999999996</v>
      </c>
      <c r="CA205" s="1588">
        <f t="shared" ref="CA205:CG205" si="220">CA197+CA157</f>
        <v>609</v>
      </c>
      <c r="CB205" s="1588">
        <f t="shared" si="220"/>
        <v>681</v>
      </c>
      <c r="CC205" s="1588">
        <f t="shared" si="220"/>
        <v>-2407</v>
      </c>
      <c r="CD205" s="1588">
        <f t="shared" si="220"/>
        <v>430</v>
      </c>
      <c r="CE205" s="1588">
        <f t="shared" si="220"/>
        <v>726</v>
      </c>
      <c r="CF205" s="1588">
        <f t="shared" si="220"/>
        <v>1210</v>
      </c>
      <c r="CG205" s="3380">
        <f t="shared" si="220"/>
        <v>1692</v>
      </c>
      <c r="CH205" s="3380">
        <f>CH197+CH157</f>
        <v>1696</v>
      </c>
    </row>
    <row r="206" spans="1:86" s="473" customFormat="1" ht="11.5">
      <c r="A206" s="476" t="s">
        <v>1928</v>
      </c>
      <c r="B206" s="2">
        <f t="shared" ref="B206:I206" si="221">B205/B62</f>
        <v>8.5188012979576261E-2</v>
      </c>
      <c r="C206" s="2">
        <f t="shared" si="221"/>
        <v>8.1288759795026061E-2</v>
      </c>
      <c r="D206" s="2">
        <f t="shared" si="221"/>
        <v>0.10454838709677421</v>
      </c>
      <c r="E206" s="480">
        <f t="shared" si="221"/>
        <v>4.0825380880629508E-2</v>
      </c>
      <c r="F206" s="2" t="e">
        <f t="shared" si="221"/>
        <v>#VALUE!</v>
      </c>
      <c r="G206" s="2" t="e">
        <f t="shared" si="221"/>
        <v>#VALUE!</v>
      </c>
      <c r="H206" s="2">
        <f t="shared" si="221"/>
        <v>4.2951542865699535E-2</v>
      </c>
      <c r="I206" s="2">
        <f t="shared" si="221"/>
        <v>7.8284120482284092E-4</v>
      </c>
      <c r="J206" s="2"/>
      <c r="K206" s="2"/>
      <c r="L206" s="504"/>
      <c r="M206" s="2"/>
      <c r="N206" s="2"/>
      <c r="O206" s="2"/>
      <c r="P206" s="2"/>
      <c r="Q206" s="2" t="e">
        <f>Q205/Q62</f>
        <v>#REF!</v>
      </c>
      <c r="R206" s="2" t="e">
        <f>R205/R62</f>
        <v>#REF!</v>
      </c>
      <c r="S206" s="2"/>
      <c r="T206" s="2"/>
      <c r="U206" s="2"/>
      <c r="V206" s="1544"/>
      <c r="W206" s="23"/>
      <c r="X206" s="2">
        <f>X204/X143</f>
        <v>0.20359234770403017</v>
      </c>
      <c r="Y206" s="2">
        <f>Y204/Y143</f>
        <v>0.20033582154801602</v>
      </c>
      <c r="Z206" s="2">
        <f>Z204/Z143</f>
        <v>0.11017379139986901</v>
      </c>
      <c r="AA206" s="2">
        <f>AA204/AA143</f>
        <v>9.7246986338065902E-2</v>
      </c>
      <c r="AB206" s="480">
        <f>AB204/AB143</f>
        <v>0.10538076487150785</v>
      </c>
      <c r="AC206" s="2"/>
      <c r="AD206" s="2">
        <f t="shared" ref="AD206:AN206" si="222">AD205/AD62</f>
        <v>0.29540358474678219</v>
      </c>
      <c r="AE206" s="2">
        <f t="shared" si="222"/>
        <v>0.17900733478415465</v>
      </c>
      <c r="AF206" s="2">
        <f t="shared" si="222"/>
        <v>1.854151175667489E-2</v>
      </c>
      <c r="AG206" s="480">
        <f t="shared" si="222"/>
        <v>0.14126022489638906</v>
      </c>
      <c r="AH206" s="2">
        <f t="shared" si="222"/>
        <v>-3.134570508534576E-2</v>
      </c>
      <c r="AI206" s="2">
        <f t="shared" si="222"/>
        <v>6.0149307631739403E-2</v>
      </c>
      <c r="AJ206" s="2">
        <f t="shared" si="222"/>
        <v>0.12692989474622274</v>
      </c>
      <c r="AK206" s="486">
        <f t="shared" si="222"/>
        <v>5.9375059722885808E-2</v>
      </c>
      <c r="AL206" s="473">
        <f t="shared" si="222"/>
        <v>-1.7775696665143902E-2</v>
      </c>
      <c r="AM206" s="473">
        <f t="shared" si="222"/>
        <v>4.1295823665893273E-2</v>
      </c>
      <c r="AN206" s="473">
        <f t="shared" si="222"/>
        <v>0.12087559002022927</v>
      </c>
      <c r="AO206" s="486">
        <v>4.3517464424320827E-2</v>
      </c>
      <c r="AP206" s="473">
        <f>AP205/AP62</f>
        <v>-3.4688995215311005E-2</v>
      </c>
      <c r="AQ206" s="473">
        <f>AQ205/AQ62</f>
        <v>1.7708333333333333E-2</v>
      </c>
      <c r="AR206" s="473">
        <f>AR205/AR59</f>
        <v>0.17673992673992675</v>
      </c>
      <c r="AS206" s="473">
        <f t="shared" ref="AS206:BS206" si="223">AS205/AS62</f>
        <v>2.5791324736225089E-2</v>
      </c>
      <c r="AT206" s="2819">
        <f t="shared" si="223"/>
        <v>-1.8014564967420467E-2</v>
      </c>
      <c r="AU206" s="473">
        <f t="shared" si="223"/>
        <v>7.6752299397399304E-2</v>
      </c>
      <c r="AV206" s="473">
        <f t="shared" si="223"/>
        <v>0.13181562675660483</v>
      </c>
      <c r="AW206" s="486">
        <f t="shared" si="223"/>
        <v>5.1692755733527482E-2</v>
      </c>
      <c r="AX206" s="2819">
        <f t="shared" si="223"/>
        <v>-0.56405613399728383</v>
      </c>
      <c r="AY206" s="473">
        <f t="shared" si="223"/>
        <v>-1.204946996466431</v>
      </c>
      <c r="AZ206" s="473">
        <f t="shared" si="223"/>
        <v>-9.640957446808511E-2</v>
      </c>
      <c r="BA206" s="473">
        <f t="shared" si="223"/>
        <v>-0.36304347826086958</v>
      </c>
      <c r="BB206" s="2819">
        <f t="shared" si="223"/>
        <v>-0.3972712680577849</v>
      </c>
      <c r="BC206" s="473">
        <f t="shared" si="223"/>
        <v>-2.4632875414495499E-2</v>
      </c>
      <c r="BD206" s="473">
        <f t="shared" si="223"/>
        <v>0.16610398379473329</v>
      </c>
      <c r="BE206" s="486">
        <f t="shared" si="223"/>
        <v>0.21281263712154452</v>
      </c>
      <c r="BF206" s="473">
        <f t="shared" si="223"/>
        <v>-1.4228546020453535E-2</v>
      </c>
      <c r="BG206" s="473">
        <f t="shared" si="223"/>
        <v>-2.8921722728701665E-2</v>
      </c>
      <c r="BH206" s="473">
        <f t="shared" si="223"/>
        <v>0.15833103067145621</v>
      </c>
      <c r="BI206" s="486">
        <f t="shared" si="223"/>
        <v>0.10351413292589763</v>
      </c>
      <c r="BJ206" s="473">
        <f t="shared" si="223"/>
        <v>-1.5759849906191371E-2</v>
      </c>
      <c r="BK206" s="486">
        <f t="shared" si="223"/>
        <v>0.14681357951161406</v>
      </c>
      <c r="BL206" s="486">
        <f t="shared" si="223"/>
        <v>0.10435225248154746</v>
      </c>
      <c r="BM206" s="486">
        <f t="shared" si="223"/>
        <v>8.0013855213023899E-2</v>
      </c>
      <c r="BN206" s="486">
        <f t="shared" si="223"/>
        <v>-1.0730356524749048E-2</v>
      </c>
      <c r="BO206" s="486">
        <f t="shared" si="223"/>
        <v>0.1405283867341203</v>
      </c>
      <c r="BP206" s="486">
        <f t="shared" si="223"/>
        <v>0.20467980295566501</v>
      </c>
      <c r="BQ206" s="3334">
        <f t="shared" si="223"/>
        <v>0.12374371859296482</v>
      </c>
      <c r="BR206" s="486">
        <f t="shared" si="223"/>
        <v>-3.4136546184738957E-2</v>
      </c>
      <c r="BS206" s="486">
        <f t="shared" si="223"/>
        <v>0.11489698890649762</v>
      </c>
      <c r="BT206" s="486">
        <f>BT205/BT62</f>
        <v>0.23776065276518585</v>
      </c>
      <c r="BU206" s="486">
        <f>BU205/BU62</f>
        <v>8.8525514519312093E-2</v>
      </c>
      <c r="BV206" s="486">
        <f>BV205/BV62</f>
        <v>2.8312901342673672E-2</v>
      </c>
      <c r="BW206" s="486">
        <f>BW205/BW62</f>
        <v>0.23267670915411356</v>
      </c>
      <c r="BX206" s="486"/>
      <c r="BY206" s="67">
        <f>BY205/BY62</f>
        <v>5.9753913242193882E-2</v>
      </c>
      <c r="BZ206" s="489">
        <v>5.2417940714527128E-2</v>
      </c>
      <c r="CA206" s="2819">
        <f t="shared" ref="CA206:CG206" si="224">CA205/CA62</f>
        <v>5.4263565891472867E-2</v>
      </c>
      <c r="CB206" s="2819">
        <f t="shared" si="224"/>
        <v>5.6434905113118425E-2</v>
      </c>
      <c r="CC206" s="2819">
        <f t="shared" si="224"/>
        <v>-0.46297364877861125</v>
      </c>
      <c r="CD206" s="2819">
        <f t="shared" si="224"/>
        <v>5.0011630611770178E-2</v>
      </c>
      <c r="CE206" s="2819">
        <f t="shared" si="224"/>
        <v>6.222679352018514E-2</v>
      </c>
      <c r="CF206" s="2819">
        <f t="shared" si="224"/>
        <v>9.4244100007788767E-2</v>
      </c>
      <c r="CG206" s="3374">
        <f t="shared" si="224"/>
        <v>0.12358483675407202</v>
      </c>
      <c r="CH206" s="3374">
        <f>CH205/CH62</f>
        <v>0.11511572660014932</v>
      </c>
    </row>
    <row r="207" spans="1:86" ht="11.5">
      <c r="A207" s="476" t="s">
        <v>1929</v>
      </c>
      <c r="B207" s="2">
        <f t="shared" ref="B207:I207" si="225">B205/B143</f>
        <v>0.12152815597429473</v>
      </c>
      <c r="C207" s="2">
        <f t="shared" si="225"/>
        <v>0.11354016851148141</v>
      </c>
      <c r="D207" s="2">
        <f t="shared" si="225"/>
        <v>0.14298529411764707</v>
      </c>
      <c r="E207" s="480">
        <f t="shared" si="225"/>
        <v>5.6274808455644795E-2</v>
      </c>
      <c r="F207" s="2" t="e">
        <f t="shared" si="225"/>
        <v>#VALUE!</v>
      </c>
      <c r="G207" s="2" t="e">
        <f t="shared" si="225"/>
        <v>#VALUE!</v>
      </c>
      <c r="H207" s="2">
        <f t="shared" si="225"/>
        <v>8.7717918476726747E-2</v>
      </c>
      <c r="I207" s="2">
        <f t="shared" si="225"/>
        <v>1.7452645018171313E-3</v>
      </c>
      <c r="J207" s="2"/>
      <c r="K207" s="2"/>
      <c r="L207" s="480"/>
      <c r="M207" s="2"/>
      <c r="N207" s="2"/>
      <c r="O207" s="2"/>
      <c r="P207" s="2"/>
      <c r="Q207" s="2"/>
      <c r="R207" s="2"/>
      <c r="S207" s="10"/>
      <c r="T207" s="10"/>
      <c r="U207" s="10"/>
      <c r="V207" s="10"/>
      <c r="W207" s="100"/>
      <c r="X207" s="10"/>
      <c r="Y207" s="10"/>
      <c r="Z207" s="10"/>
      <c r="AA207" s="10"/>
      <c r="AB207" s="101"/>
      <c r="AC207" s="2"/>
      <c r="AD207" s="2">
        <f t="shared" ref="AD207:AN207" si="226">AD205/AD143</f>
        <v>0.3661061573530881</v>
      </c>
      <c r="AE207" s="2">
        <f t="shared" si="226"/>
        <v>0.21549034066871386</v>
      </c>
      <c r="AF207" s="2">
        <f t="shared" si="226"/>
        <v>2.3156092977293881E-2</v>
      </c>
      <c r="AG207" s="480">
        <f t="shared" si="226"/>
        <v>0.17575527368566699</v>
      </c>
      <c r="AH207" s="2">
        <f t="shared" si="226"/>
        <v>-3.9750471396191929E-2</v>
      </c>
      <c r="AI207" s="2">
        <f t="shared" si="226"/>
        <v>7.3808780048382511E-2</v>
      </c>
      <c r="AJ207" s="2">
        <f t="shared" si="226"/>
        <v>0.15138368889435203</v>
      </c>
      <c r="AK207" s="486">
        <f t="shared" si="226"/>
        <v>7.216058447564945E-2</v>
      </c>
      <c r="AL207" s="473">
        <f t="shared" si="226"/>
        <v>-2.2017039426519242E-2</v>
      </c>
      <c r="AM207" s="473">
        <f t="shared" si="226"/>
        <v>4.9739798872190079E-2</v>
      </c>
      <c r="AN207" s="473">
        <f t="shared" si="226"/>
        <v>0.14298123066504856</v>
      </c>
      <c r="AO207" s="486">
        <v>5.3622210414452712E-2</v>
      </c>
      <c r="AP207" s="473">
        <f t="shared" ref="AP207:BS207" si="227">AP205/AP143</f>
        <v>-4.3047996041563584E-2</v>
      </c>
      <c r="AQ207" s="473">
        <f t="shared" si="227"/>
        <v>2.1410579345088162E-2</v>
      </c>
      <c r="AR207" s="473">
        <f t="shared" si="227"/>
        <v>0.20887445887445888</v>
      </c>
      <c r="AS207" s="473">
        <f t="shared" si="227"/>
        <v>3.1685069611137782E-2</v>
      </c>
      <c r="AT207" s="2819">
        <f t="shared" si="227"/>
        <v>-2.2180273714016045E-2</v>
      </c>
      <c r="AU207" s="473">
        <f t="shared" si="227"/>
        <v>9.1217489634376175E-2</v>
      </c>
      <c r="AV207" s="473">
        <f t="shared" si="227"/>
        <v>0.1558139534883721</v>
      </c>
      <c r="AW207" s="486">
        <f t="shared" si="227"/>
        <v>6.4311594202898545E-2</v>
      </c>
      <c r="AX207" s="2819">
        <f t="shared" si="227"/>
        <v>-0.78860759493670884</v>
      </c>
      <c r="AY207" s="473">
        <f t="shared" si="227"/>
        <v>-3.8531073446327682</v>
      </c>
      <c r="AZ207" s="473">
        <f t="shared" si="227"/>
        <v>-0.12843224092116917</v>
      </c>
      <c r="BA207" s="473">
        <f t="shared" si="227"/>
        <v>-0.52764612954186418</v>
      </c>
      <c r="BB207" s="2819">
        <f t="shared" si="227"/>
        <v>-0.52941176470588236</v>
      </c>
      <c r="BC207" s="473">
        <f t="shared" si="227"/>
        <v>-2.9936672423719057E-2</v>
      </c>
      <c r="BD207" s="473">
        <f t="shared" si="227"/>
        <v>0.19523809523809524</v>
      </c>
      <c r="BE207" s="486">
        <f t="shared" si="227"/>
        <v>0.25743099787685775</v>
      </c>
      <c r="BF207" s="473">
        <f t="shared" si="227"/>
        <v>-1.7039403620873271E-2</v>
      </c>
      <c r="BG207" s="473">
        <f t="shared" si="227"/>
        <v>-3.3309196234612599E-2</v>
      </c>
      <c r="BH207" s="473">
        <f t="shared" si="227"/>
        <v>0.18109987357774968</v>
      </c>
      <c r="BI207" s="486">
        <f t="shared" si="227"/>
        <v>0.1228467815049864</v>
      </c>
      <c r="BJ207" s="473">
        <f t="shared" si="227"/>
        <v>-1.8658374055975122E-2</v>
      </c>
      <c r="BK207" s="486">
        <f t="shared" si="227"/>
        <v>0.16706201287699085</v>
      </c>
      <c r="BL207" s="486">
        <f t="shared" si="227"/>
        <v>0.11637808685779165</v>
      </c>
      <c r="BM207" s="486">
        <f t="shared" si="227"/>
        <v>9.0694935217903422E-2</v>
      </c>
      <c r="BN207" s="486">
        <f t="shared" si="227"/>
        <v>-1.2248123271434215E-2</v>
      </c>
      <c r="BO207" s="486">
        <f t="shared" si="227"/>
        <v>0.15644555694618273</v>
      </c>
      <c r="BP207" s="486">
        <f t="shared" si="227"/>
        <v>0.22630718954248366</v>
      </c>
      <c r="BQ207" s="3334">
        <f t="shared" si="227"/>
        <v>0.13829413829413831</v>
      </c>
      <c r="BR207" s="486">
        <f t="shared" si="227"/>
        <v>-3.8768529076396809E-2</v>
      </c>
      <c r="BS207" s="486">
        <f t="shared" si="227"/>
        <v>0.12760340275740686</v>
      </c>
      <c r="BT207" s="486">
        <f>BT205/BT143</f>
        <v>0.25991080277502476</v>
      </c>
      <c r="BU207" s="486">
        <f>BU205/BU143</f>
        <v>9.7971918876755076E-2</v>
      </c>
      <c r="BV207" s="486">
        <f>BV205/BV143</f>
        <v>3.1813709412922268E-2</v>
      </c>
      <c r="BW207" s="486">
        <f>BW205/BW143</f>
        <v>0.25664621676891614</v>
      </c>
      <c r="BX207" s="486"/>
      <c r="BY207" s="67">
        <f>BY205/BY143</f>
        <v>7.3047554304095125E-2</v>
      </c>
      <c r="BZ207" s="489">
        <v>6.3503139004596365E-2</v>
      </c>
      <c r="CA207" s="2819">
        <f t="shared" ref="CA207:CG207" si="228">CA205/CA143</f>
        <v>6.5780946208684382E-2</v>
      </c>
      <c r="CB207" s="2819">
        <f t="shared" si="228"/>
        <v>6.8760096930533116E-2</v>
      </c>
      <c r="CC207" s="2819">
        <f t="shared" si="228"/>
        <v>-0.68400113668655871</v>
      </c>
      <c r="CD207" s="2819">
        <f t="shared" si="228"/>
        <v>6.0768795929903897E-2</v>
      </c>
      <c r="CE207" s="2819">
        <f t="shared" si="228"/>
        <v>7.2527472527472533E-2</v>
      </c>
      <c r="CF207" s="2819">
        <f t="shared" si="228"/>
        <v>0.10740280489969821</v>
      </c>
      <c r="CG207" s="3374">
        <f t="shared" si="228"/>
        <v>0.13814500326583931</v>
      </c>
      <c r="CH207" s="3374">
        <f>CH205/CH143</f>
        <v>0.12773970023348649</v>
      </c>
    </row>
    <row r="208" spans="1:86" ht="11.5">
      <c r="A208" s="67" t="s">
        <v>1029</v>
      </c>
      <c r="B208" s="10"/>
      <c r="C208" s="10"/>
      <c r="D208" s="10"/>
      <c r="E208" s="101"/>
      <c r="F208" s="10"/>
      <c r="G208" s="10"/>
      <c r="H208" s="10"/>
      <c r="I208" s="10"/>
      <c r="J208" s="10"/>
      <c r="K208" s="10"/>
      <c r="L208" s="101"/>
      <c r="M208" s="10"/>
      <c r="N208" s="10"/>
      <c r="O208" s="10"/>
      <c r="P208" s="10"/>
      <c r="Q208" s="10"/>
      <c r="R208" s="10"/>
      <c r="S208" s="10"/>
      <c r="T208" s="10"/>
      <c r="U208" s="10"/>
      <c r="V208" s="10"/>
      <c r="W208" s="100"/>
      <c r="X208" s="10"/>
      <c r="Y208" s="10"/>
      <c r="Z208" s="10"/>
      <c r="AA208" s="10"/>
      <c r="AB208" s="101"/>
      <c r="AC208" s="10"/>
      <c r="AD208" s="10"/>
      <c r="AE208" s="10"/>
      <c r="AF208" s="10"/>
      <c r="AG208" s="101"/>
      <c r="BY208" s="448"/>
    </row>
    <row r="209" spans="1:86">
      <c r="A209" s="67"/>
      <c r="B209" s="10"/>
      <c r="C209" s="10"/>
      <c r="D209" s="10"/>
      <c r="E209" s="101"/>
      <c r="F209" s="10"/>
      <c r="G209" s="10"/>
      <c r="H209" s="10"/>
      <c r="I209" s="10"/>
      <c r="J209" s="10"/>
      <c r="K209" s="10"/>
      <c r="L209" s="228"/>
      <c r="M209" s="10"/>
      <c r="N209" s="10"/>
      <c r="O209" s="10"/>
      <c r="P209" s="10"/>
      <c r="Q209" s="10"/>
      <c r="R209" s="10"/>
      <c r="S209" s="6">
        <v>349530</v>
      </c>
      <c r="T209" s="6">
        <v>352181</v>
      </c>
      <c r="U209" s="6">
        <v>314233</v>
      </c>
      <c r="V209" s="6">
        <v>286167</v>
      </c>
      <c r="W209" s="21">
        <v>288214</v>
      </c>
      <c r="X209" s="57">
        <f>X336</f>
        <v>144.01400000000001</v>
      </c>
      <c r="Y209" s="57">
        <v>135.88800000000001</v>
      </c>
      <c r="Z209" s="57">
        <v>139929</v>
      </c>
      <c r="AA209" s="57">
        <v>139593</v>
      </c>
      <c r="AB209" s="421"/>
      <c r="AC209" s="10"/>
      <c r="AD209" s="10"/>
      <c r="AE209" s="10"/>
      <c r="AF209" s="10"/>
      <c r="AG209" s="101"/>
      <c r="BY209" s="448"/>
    </row>
    <row r="210" spans="1:86" ht="11.5">
      <c r="A210" s="62" t="s">
        <v>1030</v>
      </c>
      <c r="B210" s="6"/>
      <c r="C210" s="6"/>
      <c r="D210" s="6"/>
      <c r="E210" s="111"/>
      <c r="F210" s="6">
        <v>29.762</v>
      </c>
      <c r="G210" s="6">
        <v>29.846</v>
      </c>
      <c r="H210" s="6">
        <v>36.512999999999998</v>
      </c>
      <c r="I210" s="6">
        <v>38.234070000000003</v>
      </c>
      <c r="J210" s="6">
        <v>37.315434000000003</v>
      </c>
      <c r="K210" s="6"/>
      <c r="L210" s="229"/>
      <c r="M210" s="6"/>
      <c r="N210" s="6"/>
      <c r="O210" s="6"/>
      <c r="P210" s="6"/>
      <c r="Q210" s="6">
        <v>340549</v>
      </c>
      <c r="R210" s="6">
        <v>340549</v>
      </c>
      <c r="S210" s="1"/>
      <c r="T210" s="1"/>
      <c r="U210" s="1"/>
      <c r="V210" s="1"/>
      <c r="W210" s="98"/>
      <c r="X210" s="1"/>
      <c r="Y210" s="1"/>
      <c r="Z210" s="1"/>
      <c r="AA210" s="1"/>
      <c r="AB210" s="102"/>
      <c r="AC210" s="57"/>
      <c r="AD210" s="57"/>
      <c r="AE210" s="57"/>
      <c r="AF210" s="57"/>
      <c r="AG210" s="421"/>
      <c r="BY210" s="2893"/>
    </row>
    <row r="211" spans="1:86" s="636" customFormat="1">
      <c r="A211" s="65" t="s">
        <v>1063</v>
      </c>
      <c r="B211" s="1"/>
      <c r="C211" s="1"/>
      <c r="D211" s="1"/>
      <c r="E211" s="102"/>
      <c r="F211" s="133"/>
      <c r="G211" s="133"/>
      <c r="H211" s="1"/>
      <c r="I211" s="1"/>
      <c r="J211" s="1"/>
      <c r="K211" s="1"/>
      <c r="L211" s="219"/>
      <c r="M211" s="27"/>
      <c r="N211" s="27"/>
      <c r="O211" s="27"/>
      <c r="P211" s="27"/>
      <c r="Q211" s="1"/>
      <c r="R211" s="1"/>
      <c r="S211" s="634">
        <v>0.68</v>
      </c>
      <c r="T211" s="634">
        <v>0.7</v>
      </c>
      <c r="U211" s="634">
        <v>0.94</v>
      </c>
      <c r="V211" s="636">
        <v>-8.8000000000000007</v>
      </c>
      <c r="W211" s="633">
        <v>1.04</v>
      </c>
      <c r="X211" s="634">
        <v>2.14</v>
      </c>
      <c r="Y211" s="634">
        <v>2.39</v>
      </c>
      <c r="Z211" s="634">
        <v>2.09</v>
      </c>
      <c r="AA211" s="634">
        <v>1.73</v>
      </c>
      <c r="AB211" s="635">
        <v>5.87</v>
      </c>
      <c r="AC211" s="1"/>
      <c r="AD211" s="1"/>
      <c r="AE211" s="1"/>
      <c r="AF211" s="1"/>
      <c r="AG211" s="102"/>
      <c r="AH211" s="133"/>
      <c r="AI211" s="133"/>
      <c r="AJ211" s="133"/>
      <c r="AK211" s="136"/>
      <c r="AL211" s="133"/>
      <c r="AM211" s="133"/>
      <c r="AN211" s="133"/>
      <c r="AO211" s="136"/>
      <c r="AP211" s="133"/>
      <c r="AQ211" s="133"/>
      <c r="AR211" s="133"/>
      <c r="AS211" s="133"/>
      <c r="AT211" s="137"/>
      <c r="AU211" s="133"/>
      <c r="AV211" s="133"/>
      <c r="AW211" s="136"/>
      <c r="AX211" s="137"/>
      <c r="AY211" s="133"/>
      <c r="AZ211" s="133"/>
      <c r="BA211" s="133"/>
      <c r="BB211" s="137"/>
      <c r="BC211" s="133"/>
      <c r="BD211" s="133"/>
      <c r="BE211" s="136"/>
      <c r="BF211" s="133"/>
      <c r="BG211" s="133"/>
      <c r="BH211" s="133"/>
      <c r="BI211" s="136"/>
      <c r="BJ211" s="133"/>
      <c r="BK211" s="133"/>
      <c r="BL211" s="133"/>
      <c r="BM211" s="136"/>
      <c r="BN211" s="133"/>
      <c r="BO211" s="136"/>
      <c r="BP211" s="97"/>
      <c r="BQ211" s="3393">
        <f>BQ212/BM212-1</f>
        <v>1.4166666666666665</v>
      </c>
      <c r="BR211" s="133"/>
      <c r="BS211" s="133"/>
      <c r="BT211" s="133"/>
      <c r="BU211" s="133"/>
      <c r="BV211" s="133"/>
      <c r="BW211" s="133"/>
      <c r="BX211" s="133"/>
      <c r="BY211" s="66"/>
      <c r="BZ211" s="159"/>
      <c r="CA211" s="137"/>
      <c r="CB211" s="2920"/>
      <c r="CC211" s="2920"/>
      <c r="CD211" s="2920"/>
      <c r="CE211" s="2920"/>
      <c r="CF211" s="2920"/>
      <c r="CG211" s="3382"/>
      <c r="CH211" s="3382"/>
    </row>
    <row r="212" spans="1:86" s="1903" customFormat="1">
      <c r="A212" s="1602" t="s">
        <v>88</v>
      </c>
      <c r="B212" s="1898">
        <v>0.124</v>
      </c>
      <c r="C212" s="1899">
        <v>0.14000000000000001</v>
      </c>
      <c r="D212" s="1899">
        <v>0.2</v>
      </c>
      <c r="E212" s="1900">
        <v>2E-3</v>
      </c>
      <c r="F212" s="1901">
        <v>-0.42</v>
      </c>
      <c r="G212" s="1901">
        <v>-0.35</v>
      </c>
      <c r="H212" s="1898">
        <v>0.17</v>
      </c>
      <c r="I212" s="1898">
        <v>0.2</v>
      </c>
      <c r="J212" s="1898">
        <v>-0.74</v>
      </c>
      <c r="K212" s="1898"/>
      <c r="L212" s="1902"/>
      <c r="M212" s="1898"/>
      <c r="N212" s="1898"/>
      <c r="O212" s="1898"/>
      <c r="P212" s="1898"/>
      <c r="Q212" s="1898">
        <v>0.33</v>
      </c>
      <c r="R212" s="1898">
        <v>0.49</v>
      </c>
      <c r="S212" s="1898">
        <v>0.65</v>
      </c>
      <c r="T212" s="1898">
        <v>0.72</v>
      </c>
      <c r="U212" s="1898">
        <v>1</v>
      </c>
      <c r="V212" s="1903">
        <v>-8.8000000000000007</v>
      </c>
      <c r="W212" s="1904">
        <v>1.49</v>
      </c>
      <c r="X212" s="1898">
        <v>2.09</v>
      </c>
      <c r="Y212" s="1898">
        <v>2.34</v>
      </c>
      <c r="Z212" s="1898">
        <v>2</v>
      </c>
      <c r="AA212" s="1898">
        <v>1.67</v>
      </c>
      <c r="AB212" s="1900">
        <v>5.7</v>
      </c>
      <c r="AC212" s="1898"/>
      <c r="AD212" s="1898">
        <v>3.49</v>
      </c>
      <c r="AE212" s="1898">
        <v>2.1800000000000002</v>
      </c>
      <c r="AF212" s="1898">
        <v>-0.09</v>
      </c>
      <c r="AG212" s="1900">
        <v>3.09</v>
      </c>
      <c r="AH212" s="1903">
        <v>-0.72</v>
      </c>
      <c r="AI212" s="1903">
        <v>0.21</v>
      </c>
      <c r="AJ212" s="1903">
        <v>1.86</v>
      </c>
      <c r="AK212" s="1905">
        <v>0.53</v>
      </c>
      <c r="AL212" s="1903">
        <v>-0.56999999999999995</v>
      </c>
      <c r="AM212" s="1903">
        <v>0.37</v>
      </c>
      <c r="AN212" s="1903">
        <v>2.3199999999999998</v>
      </c>
      <c r="AO212" s="1905">
        <v>0.36</v>
      </c>
      <c r="AP212" s="1903">
        <v>-0.91</v>
      </c>
      <c r="AQ212" s="1903">
        <v>0.01</v>
      </c>
      <c r="AR212" s="1903">
        <v>3.51</v>
      </c>
      <c r="AS212" s="1903">
        <v>0.11</v>
      </c>
      <c r="AT212" s="2841">
        <v>-0.69</v>
      </c>
      <c r="AU212" s="1903">
        <v>1.23</v>
      </c>
      <c r="AV212" s="1903">
        <v>2.77</v>
      </c>
      <c r="AW212" s="1905">
        <v>0.52</v>
      </c>
      <c r="AX212" s="2841">
        <v>-9.24</v>
      </c>
      <c r="AY212" s="1903">
        <v>-5.34</v>
      </c>
      <c r="AZ212" s="1903">
        <v>-1.56</v>
      </c>
      <c r="BA212" s="1903">
        <v>-2.89</v>
      </c>
      <c r="BB212" s="2841">
        <v>-4.17</v>
      </c>
      <c r="BC212" s="1903">
        <v>-2.02</v>
      </c>
      <c r="BD212" s="1903">
        <v>2.4</v>
      </c>
      <c r="BE212" s="1905">
        <v>1.8</v>
      </c>
      <c r="BF212" s="1903">
        <v>0.78</v>
      </c>
      <c r="BG212" s="1903">
        <v>-1.17</v>
      </c>
      <c r="BH212" s="1903">
        <v>3.05</v>
      </c>
      <c r="BI212" s="1905">
        <v>1.1399999999999999</v>
      </c>
      <c r="BJ212" s="1903">
        <v>0.95</v>
      </c>
      <c r="BK212" s="1903">
        <v>2.62</v>
      </c>
      <c r="BL212" s="1903">
        <v>2.98</v>
      </c>
      <c r="BM212" s="1905">
        <v>0.96</v>
      </c>
      <c r="BN212" s="1903">
        <v>0.99</v>
      </c>
      <c r="BO212" s="1905">
        <v>2.92</v>
      </c>
      <c r="BP212" s="3483">
        <v>5.28</v>
      </c>
      <c r="BQ212" s="3351">
        <v>2.3199999999999998</v>
      </c>
      <c r="BR212" s="1903">
        <v>-1.56</v>
      </c>
      <c r="BS212" s="1903">
        <v>2.61</v>
      </c>
      <c r="BT212" s="1903">
        <v>7.76</v>
      </c>
      <c r="BU212" s="1903">
        <v>1.67</v>
      </c>
      <c r="BV212" s="1903">
        <v>-0.05</v>
      </c>
      <c r="BW212" s="1903">
        <v>7.3</v>
      </c>
      <c r="BY212" s="2894">
        <v>1.87</v>
      </c>
      <c r="BZ212" s="1906">
        <v>2.4900000000000002</v>
      </c>
      <c r="CA212" s="2841">
        <v>2.71</v>
      </c>
      <c r="CB212" s="2841">
        <v>3.84</v>
      </c>
      <c r="CC212" s="2841">
        <v>-19</v>
      </c>
      <c r="CD212" s="2841">
        <v>-1.8</v>
      </c>
      <c r="CE212" s="3160">
        <v>2.2400000000000002</v>
      </c>
      <c r="CF212" s="3161">
        <v>5.5</v>
      </c>
      <c r="CG212" s="3161">
        <v>9.39</v>
      </c>
      <c r="CH212" s="3161">
        <v>9.39</v>
      </c>
    </row>
    <row r="213" spans="1:86" s="1903" customFormat="1">
      <c r="A213" s="1602" t="s">
        <v>1064</v>
      </c>
      <c r="B213" s="1898">
        <v>0.11799999999999999</v>
      </c>
      <c r="C213" s="1898">
        <v>0.12</v>
      </c>
      <c r="D213" s="1898">
        <v>0.2</v>
      </c>
      <c r="E213" s="1900">
        <v>2E-3</v>
      </c>
      <c r="F213" s="1898">
        <v>-0.55000000000000004</v>
      </c>
      <c r="G213" s="1901">
        <v>-0.35</v>
      </c>
      <c r="H213" s="1898">
        <v>0.15</v>
      </c>
      <c r="I213" s="1898">
        <v>0.19</v>
      </c>
      <c r="J213" s="1898">
        <v>-0.74</v>
      </c>
      <c r="K213" s="1898">
        <v>-0.59</v>
      </c>
      <c r="L213" s="1907"/>
      <c r="M213" s="1898"/>
      <c r="N213" s="1898"/>
      <c r="O213" s="1898"/>
      <c r="P213" s="1898"/>
      <c r="Q213" s="1898">
        <v>0.33</v>
      </c>
      <c r="R213" s="1898">
        <v>0.48</v>
      </c>
      <c r="S213" s="1898"/>
      <c r="T213" s="1898"/>
      <c r="U213" s="1898"/>
      <c r="W213" s="1904"/>
      <c r="X213" s="1908">
        <f>X212/W212-1</f>
        <v>0.40268456375838912</v>
      </c>
      <c r="Y213" s="1908">
        <f>Y212/X212-1</f>
        <v>0.11961722488038284</v>
      </c>
      <c r="Z213" s="1908">
        <f>Z212/Y212-1</f>
        <v>-0.14529914529914523</v>
      </c>
      <c r="AA213" s="1908">
        <f>AA212/Z212-1</f>
        <v>-0.16500000000000004</v>
      </c>
      <c r="AB213" s="1909">
        <f>AB212/AA212-1</f>
        <v>2.4131736526946108</v>
      </c>
      <c r="AC213" s="1898"/>
      <c r="AD213" s="1898">
        <v>3.38</v>
      </c>
      <c r="AE213" s="1898">
        <v>2.12</v>
      </c>
      <c r="AF213" s="1898">
        <v>-0.09</v>
      </c>
      <c r="AG213" s="1900">
        <v>2.99</v>
      </c>
      <c r="AH213" s="1903">
        <v>-0.72</v>
      </c>
      <c r="AI213" s="1903">
        <v>0.21</v>
      </c>
      <c r="AJ213" s="1903">
        <v>1.81</v>
      </c>
      <c r="AK213" s="1905">
        <v>0.51</v>
      </c>
      <c r="AL213" s="1903">
        <v>-0.56999999999999995</v>
      </c>
      <c r="AM213" s="1903">
        <v>0.36</v>
      </c>
      <c r="AN213" s="1903">
        <v>2.23</v>
      </c>
      <c r="AO213" s="1905">
        <v>0.35</v>
      </c>
      <c r="AP213" s="1903">
        <v>-0.91</v>
      </c>
      <c r="AQ213" s="1903">
        <v>0.01</v>
      </c>
      <c r="AR213" s="1903">
        <v>3.43</v>
      </c>
      <c r="AS213" s="1903">
        <v>0.11</v>
      </c>
      <c r="AT213" s="2841">
        <v>-0.69</v>
      </c>
      <c r="AU213" s="1903">
        <v>1.21</v>
      </c>
      <c r="AV213" s="1903">
        <v>2.71</v>
      </c>
      <c r="AW213" s="1905">
        <v>0.52</v>
      </c>
      <c r="AX213" s="2841">
        <v>-9.24</v>
      </c>
      <c r="AY213" s="1903">
        <v>-5.34</v>
      </c>
      <c r="AZ213" s="1903">
        <v>-1.56</v>
      </c>
      <c r="BA213" s="1903">
        <v>-2.89</v>
      </c>
      <c r="BB213" s="2841">
        <v>-4.17</v>
      </c>
      <c r="BC213" s="1903">
        <v>-2.02</v>
      </c>
      <c r="BD213" s="1903">
        <v>2.2599999999999998</v>
      </c>
      <c r="BE213" s="1905">
        <v>1.7</v>
      </c>
      <c r="BF213" s="1903">
        <v>0.78</v>
      </c>
      <c r="BG213" s="1903">
        <v>-1.17</v>
      </c>
      <c r="BH213" s="1903">
        <v>2.98</v>
      </c>
      <c r="BI213" s="1905">
        <v>1.1100000000000001</v>
      </c>
      <c r="BJ213" s="1903">
        <v>0.95</v>
      </c>
      <c r="BK213" s="1903">
        <v>2.54</v>
      </c>
      <c r="BL213" s="1903">
        <v>2.87</v>
      </c>
      <c r="BM213" s="1905">
        <v>0.92</v>
      </c>
      <c r="BN213" s="1903">
        <v>0.99</v>
      </c>
      <c r="BO213" s="1905">
        <v>2.8</v>
      </c>
      <c r="BP213" s="3483">
        <v>5.04</v>
      </c>
      <c r="BQ213" s="3351">
        <v>2.2000000000000002</v>
      </c>
      <c r="BR213" s="1903">
        <v>-1.56</v>
      </c>
      <c r="BS213" s="1903">
        <v>2.48</v>
      </c>
      <c r="BT213" s="1903">
        <v>7.33</v>
      </c>
      <c r="BU213" s="1903">
        <v>1.6</v>
      </c>
      <c r="BV213" s="1903">
        <v>-0.05</v>
      </c>
      <c r="BW213" s="1903">
        <v>7.16</v>
      </c>
      <c r="BY213" s="2894">
        <v>1.82</v>
      </c>
      <c r="BZ213" s="1906">
        <v>2.42</v>
      </c>
      <c r="CA213" s="2841">
        <v>2.65</v>
      </c>
      <c r="CB213" s="2841">
        <v>3.77</v>
      </c>
      <c r="CC213" s="2841">
        <v>-19</v>
      </c>
      <c r="CD213" s="2841">
        <v>-1.8</v>
      </c>
      <c r="CE213" s="3161">
        <v>2.17</v>
      </c>
      <c r="CF213" s="3161">
        <v>5.31</v>
      </c>
      <c r="CG213" s="3161">
        <v>8.9499999999999993</v>
      </c>
      <c r="CH213" s="3161">
        <v>8.9499999999999993</v>
      </c>
    </row>
    <row r="214" spans="1:86">
      <c r="A214" s="70" t="s">
        <v>1065</v>
      </c>
      <c r="B214" s="483"/>
      <c r="C214" s="483"/>
      <c r="D214" s="483"/>
      <c r="E214" s="480">
        <f>E213/D213-1</f>
        <v>-0.99</v>
      </c>
      <c r="F214" s="483"/>
      <c r="G214" s="484"/>
      <c r="H214" s="2">
        <f>H213/G213-1</f>
        <v>-1.4285714285714286</v>
      </c>
      <c r="I214" s="2">
        <f>I213/H213-1</f>
        <v>0.26666666666666683</v>
      </c>
      <c r="J214" s="2">
        <f>J213/H213-1</f>
        <v>-5.9333333333333336</v>
      </c>
      <c r="K214" s="2"/>
      <c r="L214" s="481"/>
      <c r="M214" s="483"/>
      <c r="N214" s="483"/>
      <c r="O214" s="483"/>
      <c r="P214" s="483"/>
      <c r="Q214" s="483"/>
      <c r="R214" s="483"/>
      <c r="S214" s="7"/>
      <c r="T214" s="7"/>
      <c r="U214" s="7"/>
      <c r="V214" s="156"/>
      <c r="W214" s="103"/>
      <c r="X214" s="7"/>
      <c r="Y214" s="7"/>
      <c r="Z214" s="7"/>
      <c r="AA214" s="7"/>
      <c r="AB214" s="113"/>
      <c r="AC214" s="2"/>
      <c r="AD214" s="2"/>
      <c r="AE214" s="2"/>
      <c r="AF214" s="2"/>
      <c r="AG214" s="480">
        <f>AG213/AB212-1</f>
        <v>-0.47543859649122799</v>
      </c>
      <c r="AH214" s="2"/>
      <c r="AI214" s="473"/>
      <c r="AJ214" s="473"/>
      <c r="AK214" s="486"/>
      <c r="AL214" s="473"/>
      <c r="AM214" s="473"/>
      <c r="AN214" s="473"/>
      <c r="AO214" s="486"/>
      <c r="AP214" s="473"/>
      <c r="AQ214" s="473"/>
      <c r="AR214" s="473"/>
      <c r="AS214" s="473"/>
      <c r="AT214" s="2819"/>
      <c r="AU214" s="473"/>
      <c r="AV214" s="473"/>
      <c r="AW214" s="486"/>
      <c r="AX214" s="2819"/>
      <c r="AY214" s="473"/>
      <c r="AZ214" s="473"/>
      <c r="BA214" s="473"/>
      <c r="BB214" s="2819"/>
      <c r="BC214" s="473"/>
      <c r="BD214" s="473"/>
      <c r="BE214" s="486"/>
      <c r="BF214" s="473"/>
      <c r="BG214" s="473"/>
      <c r="BH214" s="473"/>
      <c r="BI214" s="486"/>
      <c r="BJ214" s="473"/>
      <c r="BK214" s="473"/>
      <c r="BL214" s="473"/>
      <c r="BM214" s="486"/>
      <c r="BN214" s="473"/>
      <c r="BO214" s="486"/>
      <c r="BP214" s="486"/>
      <c r="BQ214" s="3334"/>
      <c r="BR214" s="473"/>
      <c r="BS214" s="473"/>
      <c r="BT214" s="473"/>
      <c r="BU214" s="473"/>
      <c r="BV214" s="473"/>
      <c r="BW214" s="473"/>
      <c r="BX214" s="473"/>
      <c r="BY214" s="67"/>
      <c r="BZ214" s="489"/>
      <c r="CA214" s="2819"/>
    </row>
    <row r="215" spans="1:86">
      <c r="A215" s="67" t="s">
        <v>90</v>
      </c>
      <c r="B215" s="7"/>
      <c r="C215" s="7"/>
      <c r="D215" s="7"/>
      <c r="E215" s="113"/>
      <c r="H215" s="7"/>
      <c r="I215" s="7"/>
      <c r="J215" s="7"/>
      <c r="K215" s="7"/>
      <c r="M215" s="7"/>
      <c r="N215" s="7"/>
      <c r="O215" s="7"/>
      <c r="P215" s="7"/>
      <c r="Q215" s="7"/>
      <c r="R215" s="7"/>
      <c r="S215" s="6" t="s">
        <v>26</v>
      </c>
      <c r="T215" s="6" t="s">
        <v>26</v>
      </c>
      <c r="U215" s="6" t="s">
        <v>26</v>
      </c>
      <c r="V215" s="6" t="s">
        <v>26</v>
      </c>
      <c r="W215" s="21" t="s">
        <v>26</v>
      </c>
      <c r="X215" s="6" t="s">
        <v>26</v>
      </c>
      <c r="Y215" s="6" t="s">
        <v>26</v>
      </c>
      <c r="Z215" s="6" t="s">
        <v>26</v>
      </c>
      <c r="AA215" s="6" t="s">
        <v>26</v>
      </c>
      <c r="AB215" s="111" t="s">
        <v>26</v>
      </c>
      <c r="AC215" s="7"/>
      <c r="AD215" s="7"/>
      <c r="AE215" s="7"/>
      <c r="AF215" s="7"/>
      <c r="AG215" s="113"/>
      <c r="BW215" s="1800">
        <v>5.76</v>
      </c>
      <c r="BY215" s="2895"/>
    </row>
    <row r="216" spans="1:86" ht="12.75" customHeight="1">
      <c r="A216" s="1415"/>
      <c r="B216" s="1427" t="s">
        <v>16</v>
      </c>
      <c r="C216" s="1427" t="s">
        <v>16</v>
      </c>
      <c r="D216" s="1427" t="s">
        <v>16</v>
      </c>
      <c r="E216" s="1428" t="s">
        <v>16</v>
      </c>
      <c r="F216" s="1427" t="s">
        <v>10</v>
      </c>
      <c r="G216" s="1427" t="s">
        <v>10</v>
      </c>
      <c r="H216" s="1427" t="s">
        <v>1053</v>
      </c>
      <c r="I216" s="1427" t="s">
        <v>1053</v>
      </c>
      <c r="J216" s="1427" t="s">
        <v>1053</v>
      </c>
      <c r="K216" s="1427"/>
      <c r="L216" s="1429"/>
      <c r="M216" s="1427" t="s">
        <v>26</v>
      </c>
      <c r="N216" s="1427"/>
      <c r="O216" s="1427"/>
      <c r="P216" s="1427"/>
      <c r="Q216" s="1427"/>
      <c r="R216" s="1427"/>
      <c r="S216" s="1427">
        <v>2005</v>
      </c>
      <c r="T216" s="1427">
        <v>2006</v>
      </c>
      <c r="U216" s="1427">
        <v>2007</v>
      </c>
      <c r="V216" s="1427">
        <v>2008</v>
      </c>
      <c r="W216" s="1430">
        <v>2009</v>
      </c>
      <c r="X216" s="1427">
        <v>2010</v>
      </c>
      <c r="Y216" s="1427">
        <v>2011</v>
      </c>
      <c r="Z216" s="1427">
        <v>2012</v>
      </c>
      <c r="AA216" s="1427">
        <v>2013</v>
      </c>
      <c r="AB216" s="1428">
        <v>2014</v>
      </c>
      <c r="AC216" s="1427" t="s">
        <v>702</v>
      </c>
      <c r="AD216" s="1427" t="s">
        <v>702</v>
      </c>
      <c r="AE216" s="1427" t="s">
        <v>702</v>
      </c>
      <c r="AF216" s="1427" t="s">
        <v>702</v>
      </c>
      <c r="AG216" s="1428" t="s">
        <v>26</v>
      </c>
      <c r="AH216" s="1427" t="s">
        <v>26</v>
      </c>
      <c r="AI216" s="1427" t="s">
        <v>26</v>
      </c>
      <c r="AJ216" s="1427" t="s">
        <v>26</v>
      </c>
      <c r="AK216" s="1428" t="s">
        <v>26</v>
      </c>
      <c r="AL216" s="1427" t="s">
        <v>26</v>
      </c>
      <c r="AM216" s="1427" t="s">
        <v>26</v>
      </c>
      <c r="AN216" s="1427" t="s">
        <v>26</v>
      </c>
      <c r="AO216" s="1428" t="s">
        <v>702</v>
      </c>
      <c r="AP216" s="1427" t="s">
        <v>26</v>
      </c>
      <c r="AQ216" s="1427" t="s">
        <v>26</v>
      </c>
      <c r="AR216" s="1427" t="s">
        <v>26</v>
      </c>
      <c r="AS216" s="6" t="s">
        <v>702</v>
      </c>
      <c r="AT216" s="21" t="s">
        <v>702</v>
      </c>
      <c r="AU216" s="6" t="s">
        <v>702</v>
      </c>
      <c r="AV216" s="6" t="s">
        <v>702</v>
      </c>
      <c r="AW216" s="111" t="s">
        <v>702</v>
      </c>
      <c r="AX216" s="21" t="s">
        <v>702</v>
      </c>
      <c r="AY216" s="6" t="s">
        <v>702</v>
      </c>
      <c r="AZ216" s="6" t="s">
        <v>702</v>
      </c>
      <c r="BA216" s="6" t="s">
        <v>702</v>
      </c>
      <c r="BB216" s="21" t="s">
        <v>702</v>
      </c>
      <c r="BC216" s="6" t="s">
        <v>702</v>
      </c>
      <c r="BD216" s="6" t="s">
        <v>702</v>
      </c>
      <c r="BE216" s="111" t="s">
        <v>702</v>
      </c>
      <c r="BF216" s="6" t="s">
        <v>702</v>
      </c>
      <c r="BG216" s="14" t="s">
        <v>702</v>
      </c>
      <c r="BH216" s="6" t="s">
        <v>702</v>
      </c>
      <c r="BI216" s="111" t="s">
        <v>702</v>
      </c>
      <c r="BJ216" s="6" t="s">
        <v>702</v>
      </c>
      <c r="BK216" s="6" t="s">
        <v>702</v>
      </c>
      <c r="BL216" s="6" t="s">
        <v>702</v>
      </c>
      <c r="BM216" s="111" t="s">
        <v>702</v>
      </c>
      <c r="BN216" s="1427" t="s">
        <v>702</v>
      </c>
      <c r="BO216" s="1427" t="s">
        <v>702</v>
      </c>
      <c r="BP216" s="1427" t="s">
        <v>702</v>
      </c>
      <c r="BQ216" s="3402" t="s">
        <v>702</v>
      </c>
      <c r="BR216" s="3154" t="s">
        <v>702</v>
      </c>
      <c r="BS216" s="3154" t="s">
        <v>26</v>
      </c>
      <c r="BT216" s="3154" t="s">
        <v>26</v>
      </c>
      <c r="BU216" s="3154" t="s">
        <v>702</v>
      </c>
      <c r="BV216" s="3154" t="s">
        <v>702</v>
      </c>
      <c r="BW216" s="3154" t="s">
        <v>702</v>
      </c>
      <c r="BX216" s="6"/>
      <c r="BY216" s="2875" t="s">
        <v>26</v>
      </c>
      <c r="BZ216" s="2875" t="s">
        <v>26</v>
      </c>
      <c r="CA216" s="2875" t="s">
        <v>26</v>
      </c>
      <c r="CB216" s="2875" t="s">
        <v>26</v>
      </c>
      <c r="CC216" s="2875" t="s">
        <v>26</v>
      </c>
      <c r="CD216" s="2876" t="s">
        <v>26</v>
      </c>
      <c r="CE216" s="2876" t="s">
        <v>26</v>
      </c>
      <c r="CF216" s="2876" t="s">
        <v>26</v>
      </c>
      <c r="CG216" s="2876" t="s">
        <v>26</v>
      </c>
      <c r="CH216" s="2876" t="s">
        <v>26</v>
      </c>
    </row>
    <row r="217" spans="1:86" ht="11.5">
      <c r="A217" s="1431" t="s">
        <v>91</v>
      </c>
      <c r="B217" s="1427">
        <v>2009</v>
      </c>
      <c r="C217" s="1427">
        <v>2010</v>
      </c>
      <c r="D217" s="1427">
        <v>2011</v>
      </c>
      <c r="E217" s="1428">
        <v>2012</v>
      </c>
      <c r="F217" s="1427">
        <v>2009</v>
      </c>
      <c r="G217" s="1427">
        <v>2010</v>
      </c>
      <c r="H217" s="1427">
        <v>2011</v>
      </c>
      <c r="I217" s="1427">
        <v>2012</v>
      </c>
      <c r="J217" s="1427">
        <v>2013</v>
      </c>
      <c r="K217" s="1427"/>
      <c r="L217" s="1429"/>
      <c r="M217" s="1427">
        <v>2005</v>
      </c>
      <c r="N217" s="1427"/>
      <c r="O217" s="1427"/>
      <c r="P217" s="1427"/>
      <c r="Q217" s="1427"/>
      <c r="R217" s="1427"/>
      <c r="S217" s="1412"/>
      <c r="T217" s="1412"/>
      <c r="U217" s="1412"/>
      <c r="V217" s="1412"/>
      <c r="W217" s="1413"/>
      <c r="X217" s="1412"/>
      <c r="Y217" s="1412"/>
      <c r="Z217" s="1412"/>
      <c r="AA217" s="1412"/>
      <c r="AB217" s="1414"/>
      <c r="AC217" s="1427" t="s">
        <v>1379</v>
      </c>
      <c r="AD217" s="1427" t="s">
        <v>698</v>
      </c>
      <c r="AE217" s="1427" t="s">
        <v>699</v>
      </c>
      <c r="AF217" s="1427" t="s">
        <v>700</v>
      </c>
      <c r="AG217" s="1428">
        <v>2015</v>
      </c>
      <c r="AH217" s="1427" t="s">
        <v>695</v>
      </c>
      <c r="AI217" s="1427" t="s">
        <v>983</v>
      </c>
      <c r="AJ217" s="1427" t="s">
        <v>760</v>
      </c>
      <c r="AK217" s="1428" t="s">
        <v>1054</v>
      </c>
      <c r="AL217" s="1427" t="s">
        <v>771</v>
      </c>
      <c r="AM217" s="1427" t="s">
        <v>772</v>
      </c>
      <c r="AN217" s="1427" t="s">
        <v>773</v>
      </c>
      <c r="AO217" s="1428" t="s">
        <v>774</v>
      </c>
      <c r="AP217" s="1427" t="s">
        <v>1176</v>
      </c>
      <c r="AQ217" s="1427" t="s">
        <v>1177</v>
      </c>
      <c r="AR217" s="1427" t="s">
        <v>1178</v>
      </c>
      <c r="AS217" s="6" t="s">
        <v>1179</v>
      </c>
      <c r="AT217" s="21" t="str">
        <f t="shared" ref="AT217:BA217" si="229">AT3</f>
        <v>2019Q1</v>
      </c>
      <c r="AU217" s="6" t="str">
        <f t="shared" si="229"/>
        <v>2019Q2</v>
      </c>
      <c r="AV217" s="6" t="str">
        <f t="shared" si="229"/>
        <v>2019Q3</v>
      </c>
      <c r="AW217" s="111" t="str">
        <f t="shared" si="229"/>
        <v>2019Q4</v>
      </c>
      <c r="AX217" s="21" t="str">
        <f t="shared" si="229"/>
        <v>2020Q1</v>
      </c>
      <c r="AY217" s="6" t="str">
        <f t="shared" si="229"/>
        <v>2020Q2</v>
      </c>
      <c r="AZ217" s="6" t="str">
        <f t="shared" si="229"/>
        <v>2020Q3</v>
      </c>
      <c r="BA217" s="6" t="str">
        <f t="shared" si="229"/>
        <v>2020Q4</v>
      </c>
      <c r="BB217" s="21" t="s">
        <v>2700</v>
      </c>
      <c r="BC217" s="6" t="s">
        <v>2703</v>
      </c>
      <c r="BD217" s="6" t="s">
        <v>2706</v>
      </c>
      <c r="BE217" s="111" t="s">
        <v>2708</v>
      </c>
      <c r="BF217" s="6" t="s">
        <v>2717</v>
      </c>
      <c r="BG217" s="14" t="s">
        <v>2721</v>
      </c>
      <c r="BH217" s="6" t="s">
        <v>2737</v>
      </c>
      <c r="BI217" s="111" t="s">
        <v>2747</v>
      </c>
      <c r="BJ217" s="6" t="s">
        <v>2752</v>
      </c>
      <c r="BK217" s="6" t="s">
        <v>2753</v>
      </c>
      <c r="BL217" s="6" t="s">
        <v>2754</v>
      </c>
      <c r="BM217" s="6" t="s">
        <v>2755</v>
      </c>
      <c r="BN217" s="1427" t="s">
        <v>2785</v>
      </c>
      <c r="BO217" s="1427" t="s">
        <v>2797</v>
      </c>
      <c r="BP217" s="1427" t="s">
        <v>2874</v>
      </c>
      <c r="BQ217" s="3402" t="s">
        <v>2819</v>
      </c>
      <c r="BR217" s="3154" t="s">
        <v>2824</v>
      </c>
      <c r="BS217" s="3154" t="s">
        <v>2828</v>
      </c>
      <c r="BT217" s="3154" t="s">
        <v>2852</v>
      </c>
      <c r="BU217" s="3154" t="s">
        <v>2875</v>
      </c>
      <c r="BV217" s="3154" t="s">
        <v>2881</v>
      </c>
      <c r="BW217" s="3154" t="s">
        <v>2885</v>
      </c>
      <c r="BX217" s="6"/>
      <c r="BY217" s="2877">
        <v>2016</v>
      </c>
      <c r="BZ217" s="2877">
        <v>2017</v>
      </c>
      <c r="CA217" s="2877">
        <v>2018</v>
      </c>
      <c r="CB217" s="2877">
        <v>2019</v>
      </c>
      <c r="CC217" s="2877">
        <v>2020</v>
      </c>
      <c r="CD217" s="2878">
        <v>2021</v>
      </c>
      <c r="CE217" s="2878">
        <v>2022</v>
      </c>
      <c r="CF217" s="2878">
        <v>2023</v>
      </c>
      <c r="CG217" s="2878">
        <v>2024</v>
      </c>
      <c r="CH217" s="2878">
        <v>2024</v>
      </c>
    </row>
    <row r="218" spans="1:86" s="488" customFormat="1" hidden="1">
      <c r="A218" s="160" t="s">
        <v>92</v>
      </c>
      <c r="B218" s="133"/>
      <c r="C218" s="133"/>
      <c r="D218" s="133"/>
      <c r="E218" s="136"/>
      <c r="F218" s="133"/>
      <c r="G218" s="133"/>
      <c r="H218" s="133"/>
      <c r="I218" s="133"/>
      <c r="J218" s="133"/>
      <c r="K218" s="133"/>
      <c r="L218" s="219"/>
      <c r="M218" s="133"/>
      <c r="N218" s="133"/>
      <c r="O218" s="133"/>
      <c r="P218" s="133"/>
      <c r="Q218" s="133"/>
      <c r="R218" s="133"/>
      <c r="S218" s="444"/>
      <c r="T218" s="444"/>
      <c r="U218" s="444"/>
      <c r="V218" s="444"/>
      <c r="W218" s="475">
        <f t="shared" ref="W218:AB218" si="230">W53/W59</f>
        <v>0.58258894437333686</v>
      </c>
      <c r="X218" s="444">
        <f t="shared" si="230"/>
        <v>0.63</v>
      </c>
      <c r="Y218" s="444">
        <f t="shared" si="230"/>
        <v>0.72</v>
      </c>
      <c r="Z218" s="444">
        <f t="shared" si="230"/>
        <v>0.56904172767257999</v>
      </c>
      <c r="AA218" s="444">
        <f t="shared" si="230"/>
        <v>0.72</v>
      </c>
      <c r="AB218" s="445">
        <f t="shared" si="230"/>
        <v>0.7</v>
      </c>
      <c r="AC218" s="133"/>
      <c r="AD218" s="133"/>
      <c r="AE218" s="133"/>
      <c r="AF218" s="133"/>
      <c r="AG218" s="136"/>
      <c r="AH218" s="133"/>
      <c r="AI218" s="133"/>
      <c r="AJ218" s="133"/>
      <c r="AK218" s="136"/>
      <c r="AL218" s="133"/>
      <c r="AM218" s="133"/>
      <c r="AN218" s="133"/>
      <c r="AO218" s="136"/>
      <c r="AP218" s="133"/>
      <c r="AQ218" s="133"/>
      <c r="AR218" s="133"/>
      <c r="AS218" s="133"/>
      <c r="AT218" s="137"/>
      <c r="AU218" s="133"/>
      <c r="AV218" s="133"/>
      <c r="AW218" s="136"/>
      <c r="AX218" s="137"/>
      <c r="AY218" s="133"/>
      <c r="AZ218" s="133"/>
      <c r="BA218" s="133"/>
      <c r="BB218" s="137"/>
      <c r="BC218" s="133"/>
      <c r="BD218" s="133"/>
      <c r="BE218" s="136"/>
      <c r="BF218" s="133"/>
      <c r="BG218" s="133"/>
      <c r="BH218" s="133"/>
      <c r="BI218" s="136"/>
      <c r="BJ218" s="133"/>
      <c r="BK218" s="133"/>
      <c r="BL218" s="133"/>
      <c r="BM218" s="136"/>
      <c r="BN218" s="133"/>
      <c r="BO218" s="136"/>
      <c r="BP218" s="136"/>
      <c r="BQ218" s="3332"/>
      <c r="BR218" s="133"/>
      <c r="BS218" s="133"/>
      <c r="BT218" s="133"/>
      <c r="BU218" s="133"/>
      <c r="BV218" s="133"/>
      <c r="BW218" s="133"/>
      <c r="BX218" s="133"/>
      <c r="BY218" s="159"/>
      <c r="BZ218" s="159"/>
      <c r="CA218" s="137"/>
      <c r="CB218" s="506"/>
      <c r="CC218" s="506"/>
      <c r="CD218" s="506"/>
      <c r="CE218" s="506"/>
      <c r="CF218" s="506"/>
      <c r="CG218" s="3383"/>
      <c r="CH218" s="3383"/>
    </row>
    <row r="219" spans="1:86" s="1479" customFormat="1" hidden="1">
      <c r="A219" s="492" t="s">
        <v>47</v>
      </c>
      <c r="B219" s="1474">
        <f>B53/B59</f>
        <v>0.67674586033117345</v>
      </c>
      <c r="C219" s="1474">
        <f>C53/C59</f>
        <v>0.67663339205788176</v>
      </c>
      <c r="D219" s="1474">
        <f>D53/D59</f>
        <v>0.71717171717171713</v>
      </c>
      <c r="E219" s="478">
        <f>E53/E59</f>
        <v>0.76306062003266617</v>
      </c>
      <c r="F219" s="1516" t="s">
        <v>156</v>
      </c>
      <c r="G219" s="1516" t="s">
        <v>156</v>
      </c>
      <c r="H219" s="1474" t="s">
        <v>156</v>
      </c>
      <c r="I219" s="1474"/>
      <c r="J219" s="1474"/>
      <c r="K219" s="1474"/>
      <c r="L219" s="1517"/>
      <c r="M219" s="1474"/>
      <c r="N219" s="1474"/>
      <c r="O219" s="1474"/>
      <c r="P219" s="1474"/>
      <c r="Q219" s="1474"/>
      <c r="R219" s="1474"/>
      <c r="S219" s="1474"/>
      <c r="T219" s="1474"/>
      <c r="U219" s="1474"/>
      <c r="V219" s="1474"/>
      <c r="W219" s="1515">
        <f t="shared" ref="W219:AB219" si="231">W54/W59</f>
        <v>0.109978525213334</v>
      </c>
      <c r="X219" s="1474">
        <f t="shared" si="231"/>
        <v>0.12</v>
      </c>
      <c r="Y219" s="1474">
        <f t="shared" si="231"/>
        <v>0.11</v>
      </c>
      <c r="Z219" s="1474">
        <f t="shared" si="231"/>
        <v>8.3098157056948188E-2</v>
      </c>
      <c r="AA219" s="1474">
        <f t="shared" si="231"/>
        <v>0.08</v>
      </c>
      <c r="AB219" s="478">
        <f t="shared" si="231"/>
        <v>0.08</v>
      </c>
      <c r="AC219" s="1474"/>
      <c r="AD219" s="1474">
        <f t="shared" ref="AD219:AN219" si="232">AD53/AD59</f>
        <v>0.7</v>
      </c>
      <c r="AE219" s="1474">
        <f t="shared" si="232"/>
        <v>0.72</v>
      </c>
      <c r="AF219" s="1474">
        <f t="shared" si="232"/>
        <v>0.67</v>
      </c>
      <c r="AG219" s="478">
        <f t="shared" si="232"/>
        <v>0.69</v>
      </c>
      <c r="AH219" s="1474">
        <f t="shared" si="232"/>
        <v>0.57999999999999996</v>
      </c>
      <c r="AI219" s="1479">
        <f t="shared" si="232"/>
        <v>0.61</v>
      </c>
      <c r="AJ219" s="1479">
        <f t="shared" si="232"/>
        <v>0.63</v>
      </c>
      <c r="AK219" s="1480">
        <f t="shared" si="232"/>
        <v>0.61</v>
      </c>
      <c r="AL219" s="1479">
        <f t="shared" si="232"/>
        <v>0.55548652352672456</v>
      </c>
      <c r="AM219" s="1479">
        <f t="shared" si="232"/>
        <v>0.5833797370456304</v>
      </c>
      <c r="AN219" s="1479">
        <f t="shared" si="232"/>
        <v>0.60716790289952782</v>
      </c>
      <c r="AO219" s="1480">
        <v>0.60677447175506682</v>
      </c>
      <c r="AP219" s="1479">
        <f>AP53/AP59</f>
        <v>0.54669856459330146</v>
      </c>
      <c r="AQ219" s="1479">
        <f>AQ53/AQ59</f>
        <v>0.58687499999999992</v>
      </c>
      <c r="AR219" s="1479">
        <f>AR53/AR59</f>
        <v>0.59484737484737482</v>
      </c>
      <c r="AS219" s="1479">
        <f>AS53/AS59</f>
        <v>0</v>
      </c>
      <c r="AT219" s="1518">
        <f>AT53/AT59</f>
        <v>0</v>
      </c>
      <c r="AW219" s="1480"/>
      <c r="AX219" s="1518"/>
      <c r="BB219" s="1518"/>
      <c r="BE219" s="1480"/>
      <c r="BI219" s="1480"/>
      <c r="BM219" s="1480"/>
      <c r="BO219" s="1480"/>
      <c r="BP219" s="1480"/>
      <c r="BQ219" s="3352"/>
      <c r="BY219" s="2896">
        <f>BY53/BY59</f>
        <v>0.60937304580090457</v>
      </c>
      <c r="BZ219" s="1481">
        <v>0.58972842402433445</v>
      </c>
      <c r="CA219" s="1518">
        <f>CA53/CA59</f>
        <v>0</v>
      </c>
      <c r="CB219" s="1518"/>
      <c r="CC219" s="1518"/>
      <c r="CD219" s="1518"/>
      <c r="CE219" s="1518"/>
      <c r="CF219" s="1518"/>
      <c r="CG219" s="3384"/>
      <c r="CH219" s="3384"/>
    </row>
    <row r="220" spans="1:86" s="1479" customFormat="1" hidden="1">
      <c r="A220" s="492" t="s">
        <v>48</v>
      </c>
      <c r="B220" s="1474">
        <f t="shared" ref="B220:I220" si="233">B54/B59</f>
        <v>0.25305975521958241</v>
      </c>
      <c r="C220" s="1474">
        <f t="shared" si="233"/>
        <v>0.24040542741099405</v>
      </c>
      <c r="D220" s="1474">
        <f t="shared" si="233"/>
        <v>0.20202020202020202</v>
      </c>
      <c r="E220" s="478">
        <f t="shared" si="233"/>
        <v>0.15523479810254687</v>
      </c>
      <c r="F220" s="1474">
        <f t="shared" si="233"/>
        <v>0.28044665149884468</v>
      </c>
      <c r="G220" s="1474">
        <f t="shared" si="233"/>
        <v>0.38438737214218921</v>
      </c>
      <c r="H220" s="1474">
        <f t="shared" si="233"/>
        <v>0.38183282070139263</v>
      </c>
      <c r="I220" s="1474">
        <f t="shared" si="233"/>
        <v>0.38754115236793013</v>
      </c>
      <c r="J220" s="1474"/>
      <c r="K220" s="1474"/>
      <c r="L220" s="1517"/>
      <c r="M220" s="1474"/>
      <c r="N220" s="1474"/>
      <c r="O220" s="1474"/>
      <c r="P220" s="1474"/>
      <c r="Q220" s="1474"/>
      <c r="R220" s="1474"/>
      <c r="S220" s="1474"/>
      <c r="T220" s="1474"/>
      <c r="U220" s="1474"/>
      <c r="V220" s="1474"/>
      <c r="W220" s="1518" t="s">
        <v>156</v>
      </c>
      <c r="X220" s="1474" t="s">
        <v>12</v>
      </c>
      <c r="Y220" s="1474" t="s">
        <v>156</v>
      </c>
      <c r="Z220" s="1474"/>
      <c r="AA220" s="1474"/>
      <c r="AB220" s="478"/>
      <c r="AC220" s="1474"/>
      <c r="AD220" s="1474">
        <f t="shared" ref="AD220:AN220" si="234">AD54/AD59</f>
        <v>7.9999999999999988E-2</v>
      </c>
      <c r="AE220" s="1474">
        <f t="shared" si="234"/>
        <v>6.9999999999999993E-2</v>
      </c>
      <c r="AF220" s="1474">
        <f t="shared" si="234"/>
        <v>0.1</v>
      </c>
      <c r="AG220" s="478">
        <f t="shared" si="234"/>
        <v>0.08</v>
      </c>
      <c r="AH220" s="1474">
        <f t="shared" si="234"/>
        <v>0.11</v>
      </c>
      <c r="AI220" s="1479">
        <f t="shared" si="234"/>
        <v>0.09</v>
      </c>
      <c r="AJ220" s="1479">
        <f t="shared" si="234"/>
        <v>0.08</v>
      </c>
      <c r="AK220" s="1480">
        <f t="shared" si="234"/>
        <v>0.08</v>
      </c>
      <c r="AL220" s="1479">
        <f t="shared" si="234"/>
        <v>0.1</v>
      </c>
      <c r="AM220" s="1479">
        <f t="shared" si="234"/>
        <v>0.08</v>
      </c>
      <c r="AN220" s="1479">
        <f t="shared" si="234"/>
        <v>5.9999999999999991E-2</v>
      </c>
      <c r="AO220" s="1480">
        <v>0.08</v>
      </c>
      <c r="AP220" s="1479">
        <f>AP54/AP59</f>
        <v>0.1</v>
      </c>
      <c r="AQ220" s="1479">
        <f>AQ54/AQ59</f>
        <v>0.08</v>
      </c>
      <c r="AR220" s="1479">
        <f>AR54/AR59</f>
        <v>0.06</v>
      </c>
      <c r="AS220" s="1479">
        <f>AS54/AS59</f>
        <v>0</v>
      </c>
      <c r="AT220" s="1518">
        <f>AT54/AT59</f>
        <v>0</v>
      </c>
      <c r="AW220" s="1480"/>
      <c r="AX220" s="1518"/>
      <c r="BB220" s="1518"/>
      <c r="BE220" s="1480"/>
      <c r="BI220" s="1480"/>
      <c r="BM220" s="1480"/>
      <c r="BO220" s="1480"/>
      <c r="BP220" s="1480"/>
      <c r="BQ220" s="3352"/>
      <c r="BY220" s="2896">
        <f>BY54/BY59</f>
        <v>8.9012982498331658E-2</v>
      </c>
      <c r="BZ220" s="1481">
        <v>7.8456828167558001E-2</v>
      </c>
      <c r="CA220" s="1518">
        <f>CA54/CA59</f>
        <v>0</v>
      </c>
      <c r="CB220" s="1518"/>
      <c r="CC220" s="1518"/>
      <c r="CD220" s="1518"/>
      <c r="CE220" s="1518"/>
      <c r="CF220" s="1518"/>
      <c r="CG220" s="3384"/>
      <c r="CH220" s="3384"/>
    </row>
    <row r="221" spans="1:86" s="1479" customFormat="1" hidden="1">
      <c r="A221" s="492" t="s">
        <v>1012</v>
      </c>
      <c r="B221" s="1479" t="s">
        <v>156</v>
      </c>
      <c r="C221" s="1479" t="s">
        <v>156</v>
      </c>
      <c r="D221" s="1479" t="s">
        <v>156</v>
      </c>
      <c r="E221" s="1480" t="s">
        <v>12</v>
      </c>
      <c r="F221" s="1474">
        <f>F55/F59</f>
        <v>0.70928604674594442</v>
      </c>
      <c r="G221" s="1474">
        <f>G55/G59</f>
        <v>0.60181632390901474</v>
      </c>
      <c r="H221" s="1474">
        <f>H55/H59</f>
        <v>0.5977962384270149</v>
      </c>
      <c r="I221" s="1474">
        <f>I55/I59</f>
        <v>0.59359907146750268</v>
      </c>
      <c r="J221" s="1474"/>
      <c r="K221" s="1474"/>
      <c r="L221" s="1517"/>
      <c r="Q221" s="1474"/>
      <c r="R221" s="1474"/>
      <c r="S221" s="1474"/>
      <c r="T221" s="1474"/>
      <c r="U221" s="1474"/>
      <c r="V221" s="1474"/>
      <c r="W221" s="1518" t="s">
        <v>156</v>
      </c>
      <c r="X221" s="1474" t="s">
        <v>12</v>
      </c>
      <c r="Y221" s="1474" t="s">
        <v>156</v>
      </c>
      <c r="Z221" s="1474"/>
      <c r="AA221" s="1474"/>
      <c r="AB221" s="478"/>
      <c r="AC221" s="1474"/>
      <c r="AD221" s="1474"/>
      <c r="AE221" s="1474"/>
      <c r="AF221" s="1474"/>
      <c r="AG221" s="478"/>
      <c r="AH221" s="1474"/>
      <c r="AK221" s="1480"/>
      <c r="AO221" s="1480"/>
      <c r="AT221" s="1518"/>
      <c r="AW221" s="1480"/>
      <c r="AX221" s="1518"/>
      <c r="BB221" s="1518"/>
      <c r="BE221" s="1480"/>
      <c r="BI221" s="1480"/>
      <c r="BM221" s="1480"/>
      <c r="BO221" s="1480"/>
      <c r="BP221" s="1480"/>
      <c r="BQ221" s="3352"/>
      <c r="BY221" s="2896"/>
      <c r="BZ221" s="1481"/>
      <c r="CA221" s="1518"/>
      <c r="CB221" s="1518"/>
      <c r="CC221" s="1518"/>
      <c r="CD221" s="1518"/>
      <c r="CE221" s="1518"/>
      <c r="CF221" s="1518"/>
      <c r="CG221" s="3384"/>
      <c r="CH221" s="3384"/>
    </row>
    <row r="222" spans="1:86" s="1479" customFormat="1" hidden="1">
      <c r="A222" s="492" t="s">
        <v>1013</v>
      </c>
      <c r="B222" s="1479" t="s">
        <v>156</v>
      </c>
      <c r="C222" s="1479" t="s">
        <v>156</v>
      </c>
      <c r="D222" s="1479" t="s">
        <v>156</v>
      </c>
      <c r="E222" s="1480" t="s">
        <v>12</v>
      </c>
      <c r="F222" s="1516" t="s">
        <v>156</v>
      </c>
      <c r="G222" s="1516" t="s">
        <v>156</v>
      </c>
      <c r="H222" s="1474" t="s">
        <v>156</v>
      </c>
      <c r="I222" s="1474" t="s">
        <v>156</v>
      </c>
      <c r="J222" s="1474"/>
      <c r="K222" s="1474"/>
      <c r="L222" s="1517"/>
      <c r="Q222" s="1474"/>
      <c r="R222" s="1474"/>
      <c r="S222" s="1474"/>
      <c r="T222" s="1474"/>
      <c r="U222" s="1474"/>
      <c r="V222" s="1474"/>
      <c r="W222" s="1515">
        <f t="shared" ref="W222:AB222" si="235">W57/W59</f>
        <v>0.19623619204732146</v>
      </c>
      <c r="X222" s="1474">
        <f t="shared" si="235"/>
        <v>0.26</v>
      </c>
      <c r="Y222" s="1474">
        <f t="shared" si="235"/>
        <v>0.17</v>
      </c>
      <c r="Z222" s="1474">
        <f t="shared" si="235"/>
        <v>0.23484261776963619</v>
      </c>
      <c r="AA222" s="1474">
        <f t="shared" si="235"/>
        <v>0.2</v>
      </c>
      <c r="AB222" s="478">
        <f t="shared" si="235"/>
        <v>0.22</v>
      </c>
      <c r="AC222" s="1474"/>
      <c r="AD222" s="1474"/>
      <c r="AE222" s="1474"/>
      <c r="AF222" s="1474"/>
      <c r="AG222" s="478"/>
      <c r="AH222" s="1474"/>
      <c r="AK222" s="1480"/>
      <c r="AO222" s="1480"/>
      <c r="AT222" s="1518"/>
      <c r="AW222" s="1480"/>
      <c r="AX222" s="1518"/>
      <c r="BB222" s="1518"/>
      <c r="BE222" s="1480"/>
      <c r="BI222" s="1480"/>
      <c r="BM222" s="1480"/>
      <c r="BO222" s="1480"/>
      <c r="BP222" s="1480"/>
      <c r="BQ222" s="3352"/>
      <c r="BY222" s="2896"/>
      <c r="BZ222" s="1481"/>
      <c r="CA222" s="1518"/>
      <c r="CB222" s="1518"/>
      <c r="CC222" s="1518"/>
      <c r="CD222" s="1518"/>
      <c r="CE222" s="1518"/>
      <c r="CF222" s="1518"/>
      <c r="CG222" s="3384"/>
      <c r="CH222" s="3384"/>
    </row>
    <row r="223" spans="1:86" s="1408" customFormat="1" hidden="1">
      <c r="A223" s="508" t="s">
        <v>669</v>
      </c>
      <c r="B223" s="1479"/>
      <c r="C223" s="1479"/>
      <c r="D223" s="1479"/>
      <c r="E223" s="1480"/>
      <c r="F223" s="1516" t="s">
        <v>156</v>
      </c>
      <c r="G223" s="1516" t="s">
        <v>156</v>
      </c>
      <c r="H223" s="1474" t="s">
        <v>156</v>
      </c>
      <c r="I223" s="1474" t="s">
        <v>156</v>
      </c>
      <c r="J223" s="1474"/>
      <c r="K223" s="1474"/>
      <c r="L223" s="1517"/>
      <c r="M223" s="1474"/>
      <c r="N223" s="1474"/>
      <c r="O223" s="1474"/>
      <c r="P223" s="1474"/>
      <c r="Q223" s="1474"/>
      <c r="R223" s="1474"/>
      <c r="S223" s="1519"/>
      <c r="T223" s="1519"/>
      <c r="U223" s="1519"/>
      <c r="V223" s="1520"/>
      <c r="W223" s="1521"/>
      <c r="X223" s="1519"/>
      <c r="Y223" s="1519"/>
      <c r="Z223" s="1519"/>
      <c r="AA223" s="1519"/>
      <c r="AB223" s="1522"/>
      <c r="AC223" s="1474"/>
      <c r="AD223" s="1474">
        <f t="shared" ref="AD223:AN223" si="236">AD57/AD59</f>
        <v>0.22</v>
      </c>
      <c r="AE223" s="1474">
        <f t="shared" si="236"/>
        <v>0.21</v>
      </c>
      <c r="AF223" s="1474">
        <f t="shared" si="236"/>
        <v>0.23</v>
      </c>
      <c r="AG223" s="478">
        <f t="shared" si="236"/>
        <v>0.23</v>
      </c>
      <c r="AH223" s="1474">
        <f t="shared" si="236"/>
        <v>0.31000000000000005</v>
      </c>
      <c r="AI223" s="1479">
        <f t="shared" si="236"/>
        <v>0.3</v>
      </c>
      <c r="AJ223" s="1479">
        <f t="shared" si="236"/>
        <v>0.21</v>
      </c>
      <c r="AK223" s="1480">
        <f t="shared" si="236"/>
        <v>0.23</v>
      </c>
      <c r="AL223" s="1479">
        <f t="shared" si="236"/>
        <v>0.26</v>
      </c>
      <c r="AM223" s="1479">
        <f t="shared" si="236"/>
        <v>0.13</v>
      </c>
      <c r="AN223" s="1479">
        <f t="shared" si="236"/>
        <v>0.13</v>
      </c>
      <c r="AO223" s="1480">
        <v>0.23</v>
      </c>
      <c r="AP223" s="1479">
        <f>AP57/AP59</f>
        <v>0.15</v>
      </c>
      <c r="AQ223" s="1479">
        <f>AQ57/AQ59</f>
        <v>0.13</v>
      </c>
      <c r="AR223" s="1479">
        <f>AR57/AR59</f>
        <v>0.13</v>
      </c>
      <c r="AS223" s="1479">
        <f>AS57/AS59</f>
        <v>0</v>
      </c>
      <c r="AT223" s="1518">
        <f>AT57/AT59</f>
        <v>0</v>
      </c>
      <c r="AU223" s="1479"/>
      <c r="AV223" s="1479"/>
      <c r="AW223" s="1480"/>
      <c r="AX223" s="1518"/>
      <c r="AY223" s="1479"/>
      <c r="AZ223" s="1479"/>
      <c r="BA223" s="1479"/>
      <c r="BB223" s="1518"/>
      <c r="BC223" s="1479"/>
      <c r="BD223" s="1479"/>
      <c r="BE223" s="1480"/>
      <c r="BF223" s="1479"/>
      <c r="BG223" s="1479"/>
      <c r="BH223" s="1479"/>
      <c r="BI223" s="1480"/>
      <c r="BJ223" s="1479"/>
      <c r="BK223" s="1479"/>
      <c r="BL223" s="1479"/>
      <c r="BM223" s="1480"/>
      <c r="BN223" s="1479"/>
      <c r="BO223" s="1480"/>
      <c r="BP223" s="1480"/>
      <c r="BQ223" s="3352"/>
      <c r="BR223" s="1479"/>
      <c r="BS223" s="1479"/>
      <c r="BT223" s="1479"/>
      <c r="BU223" s="1479"/>
      <c r="BV223" s="1479"/>
      <c r="BW223" s="1479"/>
      <c r="BX223" s="1479"/>
      <c r="BY223" s="2896">
        <f>BY57/BY59</f>
        <v>0.25899672830328246</v>
      </c>
      <c r="BZ223" s="1481">
        <v>0.24167379073142609</v>
      </c>
      <c r="CA223" s="1518">
        <f>CA57/CA59</f>
        <v>0</v>
      </c>
      <c r="CB223" s="1559"/>
      <c r="CC223" s="1559"/>
      <c r="CD223" s="1559"/>
      <c r="CE223" s="1559"/>
      <c r="CF223" s="1559"/>
      <c r="CG223" s="3385"/>
      <c r="CH223" s="3385"/>
    </row>
    <row r="224" spans="1:86" s="488" customFormat="1" ht="11.5">
      <c r="A224" s="70" t="s">
        <v>93</v>
      </c>
      <c r="B224" s="7"/>
      <c r="C224" s="7"/>
      <c r="D224" s="7"/>
      <c r="E224" s="113"/>
      <c r="F224" s="133"/>
      <c r="G224" s="7"/>
      <c r="H224" s="7"/>
      <c r="I224" s="7"/>
      <c r="J224" s="7"/>
      <c r="K224" s="7"/>
      <c r="L224" s="113"/>
      <c r="M224" s="7"/>
      <c r="N224" s="7"/>
      <c r="O224" s="7"/>
      <c r="P224" s="7"/>
      <c r="Q224" s="7"/>
      <c r="R224" s="7"/>
      <c r="S224" s="469"/>
      <c r="T224" s="469"/>
      <c r="U224" s="469"/>
      <c r="V224" s="469"/>
      <c r="W224" s="470">
        <f t="shared" ref="W224:AB224" si="237">-W147/W59</f>
        <v>0.10817662157672026</v>
      </c>
      <c r="X224" s="469">
        <f t="shared" si="237"/>
        <v>0.10178514625145657</v>
      </c>
      <c r="Y224" s="469">
        <f t="shared" si="237"/>
        <v>0.11046622377616296</v>
      </c>
      <c r="Z224" s="469">
        <f t="shared" si="237"/>
        <v>0.12031172502020297</v>
      </c>
      <c r="AA224" s="469">
        <f t="shared" si="237"/>
        <v>0.12111087822259485</v>
      </c>
      <c r="AB224" s="504">
        <f t="shared" si="237"/>
        <v>0.11905192778327696</v>
      </c>
      <c r="AC224" s="7"/>
      <c r="AD224" s="7"/>
      <c r="AE224" s="7"/>
      <c r="AF224" s="7"/>
      <c r="AG224" s="113"/>
      <c r="AH224" s="7"/>
      <c r="AI224" s="133"/>
      <c r="AJ224" s="133"/>
      <c r="AK224" s="136"/>
      <c r="AL224" s="133"/>
      <c r="AM224" s="133"/>
      <c r="AN224" s="133"/>
      <c r="AO224" s="136"/>
      <c r="AP224" s="133"/>
      <c r="AQ224" s="133"/>
      <c r="AR224" s="133"/>
      <c r="AS224" s="133"/>
      <c r="AT224" s="137"/>
      <c r="AU224" s="133"/>
      <c r="AV224" s="133"/>
      <c r="AW224" s="136"/>
      <c r="AX224" s="137"/>
      <c r="AY224" s="133"/>
      <c r="AZ224" s="133"/>
      <c r="BA224" s="133"/>
      <c r="BB224" s="137"/>
      <c r="BC224" s="133"/>
      <c r="BD224" s="133"/>
      <c r="BE224" s="136"/>
      <c r="BF224" s="133"/>
      <c r="BG224" s="133"/>
      <c r="BH224" s="133"/>
      <c r="BI224" s="136"/>
      <c r="BJ224" s="133"/>
      <c r="BK224" s="133"/>
      <c r="BL224" s="133"/>
      <c r="BM224" s="136"/>
      <c r="BN224" s="133"/>
      <c r="BO224" s="136"/>
      <c r="BP224" s="136"/>
      <c r="BQ224" s="3332"/>
      <c r="BR224" s="133"/>
      <c r="BS224" s="133"/>
      <c r="BT224" s="133"/>
      <c r="BU224" s="133"/>
      <c r="BV224" s="133"/>
      <c r="BW224" s="133"/>
      <c r="BX224" s="133"/>
      <c r="BY224" s="2895"/>
      <c r="BZ224" s="159"/>
      <c r="CA224" s="137"/>
      <c r="CB224" s="506"/>
      <c r="CC224" s="506"/>
      <c r="CD224" s="506"/>
      <c r="CE224" s="506"/>
      <c r="CF224" s="506"/>
      <c r="CG224" s="3383"/>
      <c r="CH224" s="3383"/>
    </row>
    <row r="225" spans="1:86" s="488" customFormat="1" ht="11.5">
      <c r="A225" s="492" t="s">
        <v>1033</v>
      </c>
      <c r="B225" s="469">
        <f>-B147/B62</f>
        <v>0.16253101736972705</v>
      </c>
      <c r="C225" s="469">
        <f>-C147/C62</f>
        <v>0.16609892739390544</v>
      </c>
      <c r="D225" s="469">
        <f>-D147/D62</f>
        <v>0.16129032258064516</v>
      </c>
      <c r="E225" s="504">
        <f>-E147/E62</f>
        <v>0.17127071823204421</v>
      </c>
      <c r="F225" s="485" t="s">
        <v>156</v>
      </c>
      <c r="G225" s="485" t="s">
        <v>156</v>
      </c>
      <c r="H225" s="469" t="s">
        <v>156</v>
      </c>
      <c r="I225" s="469" t="s">
        <v>156</v>
      </c>
      <c r="J225" s="469"/>
      <c r="K225" s="469"/>
      <c r="L225" s="519"/>
      <c r="M225" s="469"/>
      <c r="N225" s="469"/>
      <c r="O225" s="469"/>
      <c r="P225" s="469"/>
      <c r="Q225" s="469"/>
      <c r="R225" s="469"/>
      <c r="S225" s="469"/>
      <c r="T225" s="469"/>
      <c r="U225" s="469"/>
      <c r="V225" s="469"/>
      <c r="W225" s="470">
        <f t="shared" ref="W225:AB225" si="238">-W148/W59</f>
        <v>0.34751741373324857</v>
      </c>
      <c r="X225" s="469">
        <f t="shared" si="238"/>
        <v>0.40702883824574065</v>
      </c>
      <c r="Y225" s="469">
        <f t="shared" si="238"/>
        <v>0.42755498753410037</v>
      </c>
      <c r="Z225" s="469">
        <f t="shared" si="238"/>
        <v>0.42701955935804037</v>
      </c>
      <c r="AA225" s="469">
        <f t="shared" si="238"/>
        <v>0.4603112555019912</v>
      </c>
      <c r="AB225" s="504">
        <f t="shared" si="238"/>
        <v>0.48726230744072385</v>
      </c>
      <c r="AC225" s="469"/>
      <c r="AD225" s="469">
        <f>-AD148/AD59</f>
        <v>0.53258751353302058</v>
      </c>
      <c r="AE225" s="469">
        <f t="shared" ref="AE225:AN225" si="239">-AE147/AE59</f>
        <v>0.10460724354445587</v>
      </c>
      <c r="AF225" s="469">
        <f t="shared" si="239"/>
        <v>0.1475184670372143</v>
      </c>
      <c r="AG225" s="504">
        <f t="shared" si="239"/>
        <v>0.12520645453174484</v>
      </c>
      <c r="AH225" s="469">
        <f t="shared" si="239"/>
        <v>0.15313023743658613</v>
      </c>
      <c r="AI225" s="488">
        <f t="shared" si="239"/>
        <v>0.14478140544813919</v>
      </c>
      <c r="AJ225" s="488">
        <f t="shared" si="239"/>
        <v>0.11679856484450223</v>
      </c>
      <c r="AK225" s="507">
        <f t="shared" si="239"/>
        <v>0.15484854276158624</v>
      </c>
      <c r="AL225" s="488">
        <f t="shared" si="239"/>
        <v>0.14711740520785749</v>
      </c>
      <c r="AM225" s="488">
        <f t="shared" si="239"/>
        <v>0.13245552977571537</v>
      </c>
      <c r="AN225" s="488">
        <f t="shared" si="239"/>
        <v>0.11802461227242077</v>
      </c>
      <c r="AO225" s="507">
        <v>0.16041397153945666</v>
      </c>
      <c r="AP225" s="488">
        <f t="shared" ref="AP225:BS225" si="240">-AP147/AP59</f>
        <v>0.15789473684210525</v>
      </c>
      <c r="AQ225" s="488">
        <f t="shared" si="240"/>
        <v>0.1388888888888889</v>
      </c>
      <c r="AR225" s="488">
        <f t="shared" si="240"/>
        <v>0.12332112332112333</v>
      </c>
      <c r="AS225" s="488">
        <f t="shared" si="240"/>
        <v>0.16295427901524032</v>
      </c>
      <c r="AT225" s="506">
        <f t="shared" si="240"/>
        <v>0.11383671904944423</v>
      </c>
      <c r="AU225" s="488">
        <f t="shared" si="240"/>
        <v>9.6416111639708216E-2</v>
      </c>
      <c r="AV225" s="488">
        <f t="shared" si="240"/>
        <v>8.5441259134345138E-2</v>
      </c>
      <c r="AW225" s="507">
        <f t="shared" si="240"/>
        <v>0.11685475063705861</v>
      </c>
      <c r="AX225" s="506">
        <f t="shared" si="240"/>
        <v>0.13942960615663197</v>
      </c>
      <c r="AY225" s="488">
        <f t="shared" si="240"/>
        <v>0.45053003533568903</v>
      </c>
      <c r="AZ225" s="488">
        <f t="shared" si="240"/>
        <v>0.14893617021276595</v>
      </c>
      <c r="BA225" s="488">
        <f t="shared" si="240"/>
        <v>0.24239130434782608</v>
      </c>
      <c r="BB225" s="506">
        <f t="shared" si="240"/>
        <v>0.19823434991974317</v>
      </c>
      <c r="BC225" s="488">
        <f t="shared" si="240"/>
        <v>0.13074372335386072</v>
      </c>
      <c r="BD225" s="488">
        <f t="shared" si="240"/>
        <v>9.3517893315327477E-2</v>
      </c>
      <c r="BE225" s="507">
        <f t="shared" si="240"/>
        <v>0.12022817025010969</v>
      </c>
      <c r="BF225" s="488">
        <f t="shared" si="240"/>
        <v>0.12005335704757671</v>
      </c>
      <c r="BG225" s="488">
        <f t="shared" si="240"/>
        <v>8.928010059729645E-2</v>
      </c>
      <c r="BH225" s="488">
        <f t="shared" si="240"/>
        <v>8.56590218292346E-2</v>
      </c>
      <c r="BI225" s="507">
        <f t="shared" si="240"/>
        <v>0.12108479755538579</v>
      </c>
      <c r="BJ225" s="488">
        <f t="shared" si="240"/>
        <v>0.11894934333958725</v>
      </c>
      <c r="BK225" s="507">
        <f t="shared" si="240"/>
        <v>0.10244192972007148</v>
      </c>
      <c r="BL225" s="507">
        <f t="shared" si="240"/>
        <v>8.6536014252990581E-2</v>
      </c>
      <c r="BM225" s="507">
        <f t="shared" si="240"/>
        <v>0.12365777623830966</v>
      </c>
      <c r="BN225" s="507">
        <f t="shared" si="240"/>
        <v>0.11803392177223954</v>
      </c>
      <c r="BO225" s="507">
        <f t="shared" si="240"/>
        <v>9.3029792017987639E-2</v>
      </c>
      <c r="BP225" s="507">
        <f t="shared" si="240"/>
        <v>7.8817733990147784E-2</v>
      </c>
      <c r="BQ225" s="3353">
        <f t="shared" si="240"/>
        <v>0.10113065326633165</v>
      </c>
      <c r="BR225" s="507">
        <f t="shared" si="240"/>
        <v>0.107095046854083</v>
      </c>
      <c r="BS225" s="507">
        <f t="shared" si="240"/>
        <v>8.5842577918647647E-2</v>
      </c>
      <c r="BT225" s="507">
        <f>-BT147/BT59</f>
        <v>7.0262919310970076E-2</v>
      </c>
      <c r="BU225" s="507">
        <f>-BU147/BU59</f>
        <v>9.0780941640823232E-2</v>
      </c>
      <c r="BV225" s="507">
        <f>-BV147/BV59</f>
        <v>9.4570928196147111E-2</v>
      </c>
      <c r="BW225" s="507">
        <f>-BW147/BW59</f>
        <v>7.5318655851680183E-2</v>
      </c>
      <c r="BX225" s="507"/>
      <c r="BY225" s="505">
        <f>-BY147/BY59</f>
        <v>0.14076319834141332</v>
      </c>
      <c r="BZ225" s="1015">
        <v>0.13785433110002188</v>
      </c>
      <c r="CA225" s="506">
        <f t="shared" ref="CA225:CG225" si="241">-CA147/CA59</f>
        <v>0.14407912322908314</v>
      </c>
      <c r="CB225" s="506">
        <f t="shared" si="241"/>
        <v>0.14610093643821995</v>
      </c>
      <c r="CC225" s="506">
        <f t="shared" si="241"/>
        <v>0.19426812848624736</v>
      </c>
      <c r="CD225" s="506">
        <f t="shared" si="241"/>
        <v>0.12491277041172366</v>
      </c>
      <c r="CE225" s="506">
        <f t="shared" si="241"/>
        <v>0.10122567926630667</v>
      </c>
      <c r="CF225" s="506">
        <f t="shared" si="241"/>
        <v>0.10577147752940261</v>
      </c>
      <c r="CG225" s="3383">
        <f t="shared" si="241"/>
        <v>9.5975458330289976E-2</v>
      </c>
      <c r="CH225" s="3383">
        <f>-CH147/CH59</f>
        <v>8.6676169144098286E-2</v>
      </c>
    </row>
    <row r="226" spans="1:86" s="488" customFormat="1" ht="11.5">
      <c r="A226" s="492" t="s">
        <v>58</v>
      </c>
      <c r="B226" s="469">
        <f>-B148/B62</f>
        <v>0.37245657568238216</v>
      </c>
      <c r="C226" s="469">
        <f>-C148/C62</f>
        <v>0.34720241423199583</v>
      </c>
      <c r="D226" s="469">
        <f>-D148/D62</f>
        <v>0.39784946236559138</v>
      </c>
      <c r="E226" s="504">
        <f>-E148/E62</f>
        <v>0.55404319437468619</v>
      </c>
      <c r="F226" s="485" t="s">
        <v>156</v>
      </c>
      <c r="G226" s="485" t="s">
        <v>156</v>
      </c>
      <c r="H226" s="469" t="s">
        <v>156</v>
      </c>
      <c r="I226" s="469" t="s">
        <v>156</v>
      </c>
      <c r="J226" s="469"/>
      <c r="K226" s="469"/>
      <c r="L226" s="519"/>
      <c r="M226" s="469"/>
      <c r="N226" s="469"/>
      <c r="O226" s="469"/>
      <c r="P226" s="469"/>
      <c r="Q226" s="469"/>
      <c r="R226" s="469"/>
      <c r="S226" s="469"/>
      <c r="T226" s="469"/>
      <c r="U226" s="469"/>
      <c r="V226" s="469"/>
      <c r="W226" s="470">
        <f t="shared" ref="W226:AB226" si="242">-W149/W59</f>
        <v>9.8288368580367089E-2</v>
      </c>
      <c r="X226" s="469">
        <f t="shared" si="242"/>
        <v>8.52453072129402E-2</v>
      </c>
      <c r="Y226" s="469">
        <f t="shared" si="242"/>
        <v>8.9796228423874802E-2</v>
      </c>
      <c r="Z226" s="469">
        <f t="shared" si="242"/>
        <v>8.5688403504710631E-2</v>
      </c>
      <c r="AA226" s="469">
        <f t="shared" si="242"/>
        <v>7.9035422343324252E-2</v>
      </c>
      <c r="AB226" s="504">
        <f t="shared" si="242"/>
        <v>7.3804824685064677E-2</v>
      </c>
      <c r="AC226" s="469"/>
      <c r="AD226" s="469">
        <f t="shared" ref="AD226:AN226" si="243">-AD148/AD59</f>
        <v>0.53258751353302058</v>
      </c>
      <c r="AE226" s="469">
        <f t="shared" si="243"/>
        <v>0.48679527266891087</v>
      </c>
      <c r="AF226" s="469">
        <f t="shared" si="243"/>
        <v>0.46447152217133619</v>
      </c>
      <c r="AG226" s="504">
        <f t="shared" si="243"/>
        <v>0.50989081586487706</v>
      </c>
      <c r="AH226" s="469">
        <f t="shared" si="243"/>
        <v>0.54588723193384736</v>
      </c>
      <c r="AI226" s="488">
        <f t="shared" si="243"/>
        <v>0.52598447357287703</v>
      </c>
      <c r="AJ226" s="488">
        <f t="shared" si="243"/>
        <v>0.46670489615076877</v>
      </c>
      <c r="AK226" s="507">
        <f t="shared" si="243"/>
        <v>0.46275919732441467</v>
      </c>
      <c r="AL226" s="488">
        <f t="shared" si="243"/>
        <v>0.58020100502512562</v>
      </c>
      <c r="AM226" s="488">
        <f t="shared" si="243"/>
        <v>0.55816202629543699</v>
      </c>
      <c r="AN226" s="488">
        <f t="shared" si="243"/>
        <v>0.49248381658799734</v>
      </c>
      <c r="AO226" s="507">
        <v>0.48469167744717551</v>
      </c>
      <c r="AP226" s="488">
        <f t="shared" ref="AP226:BS226" si="244">-AP148/AP59</f>
        <v>0.6044657097288676</v>
      </c>
      <c r="AQ226" s="488">
        <f t="shared" si="244"/>
        <v>0.53506944444444449</v>
      </c>
      <c r="AR226" s="488">
        <f t="shared" si="244"/>
        <v>0.45818070818070816</v>
      </c>
      <c r="AS226" s="488">
        <f t="shared" si="244"/>
        <v>0.47245017584994137</v>
      </c>
      <c r="AT226" s="506">
        <f t="shared" si="244"/>
        <v>0.58298198543503255</v>
      </c>
      <c r="AU226" s="488">
        <f t="shared" si="244"/>
        <v>0.52109102442118616</v>
      </c>
      <c r="AV226" s="488">
        <f t="shared" si="244"/>
        <v>0.46261944912872399</v>
      </c>
      <c r="AW226" s="507">
        <f t="shared" si="244"/>
        <v>0.46159446669093557</v>
      </c>
      <c r="AX226" s="506">
        <f t="shared" si="244"/>
        <v>0.54775916704391125</v>
      </c>
      <c r="AY226" s="488">
        <f t="shared" si="244"/>
        <v>0.52296819787985871</v>
      </c>
      <c r="AZ226" s="488">
        <f t="shared" si="244"/>
        <v>0.35172872340425532</v>
      </c>
      <c r="BA226" s="488">
        <f t="shared" si="244"/>
        <v>0.55543478260869561</v>
      </c>
      <c r="BB226" s="506">
        <f t="shared" si="244"/>
        <v>0.5329052969502408</v>
      </c>
      <c r="BC226" s="488">
        <f t="shared" si="244"/>
        <v>0.56797726196115583</v>
      </c>
      <c r="BD226" s="488">
        <f t="shared" si="244"/>
        <v>0.44361917623227548</v>
      </c>
      <c r="BE226" s="507">
        <f t="shared" si="244"/>
        <v>0.45809565598946905</v>
      </c>
      <c r="BF226" s="488">
        <f t="shared" si="244"/>
        <v>0.59537572254335258</v>
      </c>
      <c r="BG226" s="488">
        <f t="shared" si="244"/>
        <v>0.53945300220056591</v>
      </c>
      <c r="BH226" s="488">
        <f t="shared" si="244"/>
        <v>0.46117712075158884</v>
      </c>
      <c r="BI226" s="507">
        <f t="shared" si="244"/>
        <v>0.52559205500381967</v>
      </c>
      <c r="BJ226" s="488">
        <f t="shared" si="244"/>
        <v>0.62814258911819887</v>
      </c>
      <c r="BK226" s="507">
        <f t="shared" si="244"/>
        <v>0.52709946396664686</v>
      </c>
      <c r="BL226" s="507">
        <f t="shared" si="244"/>
        <v>0.47238483074573684</v>
      </c>
      <c r="BM226" s="507">
        <f t="shared" si="244"/>
        <v>0.54139244890890192</v>
      </c>
      <c r="BN226" s="507">
        <f t="shared" si="244"/>
        <v>0.63551401869158874</v>
      </c>
      <c r="BO226" s="507">
        <f t="shared" si="244"/>
        <v>0.55930297920179872</v>
      </c>
      <c r="BP226" s="507">
        <f t="shared" si="244"/>
        <v>0.50541871921182269</v>
      </c>
      <c r="BQ226" s="3353">
        <f t="shared" si="244"/>
        <v>0.54930904522613067</v>
      </c>
      <c r="BR226" s="507">
        <f t="shared" si="244"/>
        <v>0.65461847389558236</v>
      </c>
      <c r="BS226" s="507">
        <f t="shared" si="244"/>
        <v>0.56339144215530901</v>
      </c>
      <c r="BT226" s="507">
        <f>-BT148/BT59</f>
        <v>0.4956935630099728</v>
      </c>
      <c r="BU226" s="507">
        <f>-BU148/BU59</f>
        <v>0.53820129687059481</v>
      </c>
      <c r="BV226" s="507">
        <f>-BV148/BV59</f>
        <v>0.6007005253940455</v>
      </c>
      <c r="BW226" s="507">
        <f>-BW148/BW59</f>
        <v>0.54136732329084591</v>
      </c>
      <c r="BX226" s="507"/>
      <c r="BY226" s="505">
        <f>-BY148/BY59</f>
        <v>0.49778309921601233</v>
      </c>
      <c r="BZ226" s="1015">
        <v>0.52663392910395845</v>
      </c>
      <c r="CA226" s="506">
        <f t="shared" ref="CA226:CG226" si="245">-CA148/CA59</f>
        <v>0.51385547536309362</v>
      </c>
      <c r="CB226" s="506">
        <f t="shared" si="245"/>
        <v>0.50841136985166158</v>
      </c>
      <c r="CC226" s="506">
        <f t="shared" si="245"/>
        <v>0.48970955953067896</v>
      </c>
      <c r="CD226" s="506">
        <f t="shared" si="245"/>
        <v>0.49092812281926029</v>
      </c>
      <c r="CE226" s="506">
        <f t="shared" si="245"/>
        <v>0.52284220450844265</v>
      </c>
      <c r="CF226" s="506">
        <f t="shared" si="245"/>
        <v>0.53454318872186313</v>
      </c>
      <c r="CG226" s="3383">
        <f t="shared" si="245"/>
        <v>0.55708129428091446</v>
      </c>
      <c r="CH226" s="3383">
        <f>-CH148/CH59</f>
        <v>0.55555555555555558</v>
      </c>
    </row>
    <row r="227" spans="1:86" s="488" customFormat="1" ht="11.5">
      <c r="A227" s="492" t="s">
        <v>28</v>
      </c>
      <c r="B227" s="469">
        <f>-B149/B62</f>
        <v>0.1333078831838137</v>
      </c>
      <c r="C227" s="469">
        <f>-C149/C62</f>
        <v>0.10363825349019619</v>
      </c>
      <c r="D227" s="469">
        <f>-D149/D62</f>
        <v>8.6021505376344093E-2</v>
      </c>
      <c r="E227" s="504">
        <f>-E149/E62</f>
        <v>8.4605725765946757E-2</v>
      </c>
      <c r="F227" s="444">
        <f>-F149/F59</f>
        <v>0.1412039359898597</v>
      </c>
      <c r="G227" s="444">
        <f>-G149/G59</f>
        <v>0.1982048009790689</v>
      </c>
      <c r="H227" s="469">
        <f>-H149/H59</f>
        <v>0.1154496461781651</v>
      </c>
      <c r="I227" s="469">
        <f>-I149/I59</f>
        <v>0.1348974826751381</v>
      </c>
      <c r="J227" s="469"/>
      <c r="K227" s="469"/>
      <c r="L227" s="445"/>
      <c r="M227" s="469"/>
      <c r="N227" s="469"/>
      <c r="O227" s="469"/>
      <c r="P227" s="469"/>
      <c r="Q227" s="469"/>
      <c r="R227" s="469"/>
      <c r="S227" s="444"/>
      <c r="T227" s="444"/>
      <c r="U227" s="444"/>
      <c r="V227" s="444"/>
      <c r="W227" s="475">
        <f t="shared" ref="W227:AB227" si="246">W157/W62</f>
        <v>2.0863658910762781E-2</v>
      </c>
      <c r="X227" s="444">
        <f t="shared" si="246"/>
        <v>1.7308221627777804E-2</v>
      </c>
      <c r="Y227" s="444">
        <f t="shared" si="246"/>
        <v>1.8511694228690038E-2</v>
      </c>
      <c r="Z227" s="444">
        <f t="shared" si="246"/>
        <v>1.6027404092004982E-2</v>
      </c>
      <c r="AA227" s="444">
        <f t="shared" si="246"/>
        <v>2.7284217145252566E-2</v>
      </c>
      <c r="AB227" s="445">
        <f t="shared" si="246"/>
        <v>1.4749929946898447E-2</v>
      </c>
      <c r="AC227" s="469"/>
      <c r="AD227" s="469">
        <f t="shared" ref="AD227:AN227" si="247">-AD149/AD59</f>
        <v>8.5043907133405511E-2</v>
      </c>
      <c r="AE227" s="469">
        <f t="shared" si="247"/>
        <v>6.717471215371619E-2</v>
      </c>
      <c r="AF227" s="469">
        <f t="shared" si="247"/>
        <v>0.10947698854387257</v>
      </c>
      <c r="AG227" s="504">
        <f t="shared" si="247"/>
        <v>8.6549992459659178E-2</v>
      </c>
      <c r="AH227" s="469">
        <f t="shared" si="247"/>
        <v>7.7738462079843015E-2</v>
      </c>
      <c r="AI227" s="488">
        <f t="shared" si="247"/>
        <v>8.7689657260975037E-2</v>
      </c>
      <c r="AJ227" s="488">
        <f t="shared" si="247"/>
        <v>6.4252268099755705E-2</v>
      </c>
      <c r="AK227" s="507">
        <f t="shared" si="247"/>
        <v>8.3085045389393208E-2</v>
      </c>
      <c r="AL227" s="488">
        <f t="shared" si="247"/>
        <v>7.2248972133394235E-2</v>
      </c>
      <c r="AM227" s="488">
        <f t="shared" si="247"/>
        <v>6.9200309358081982E-2</v>
      </c>
      <c r="AN227" s="488">
        <f t="shared" si="247"/>
        <v>4.763924477410654E-2</v>
      </c>
      <c r="AO227" s="507">
        <v>8.538163001293661E-2</v>
      </c>
      <c r="AP227" s="488">
        <f t="shared" ref="AP227:BS227" si="248">-AP149/AP59</f>
        <v>7.9346092503987234E-2</v>
      </c>
      <c r="AQ227" s="488">
        <f t="shared" si="248"/>
        <v>6.805555555555555E-2</v>
      </c>
      <c r="AR227" s="488">
        <f t="shared" si="248"/>
        <v>6.1660561660561664E-2</v>
      </c>
      <c r="AS227" s="488">
        <f t="shared" si="248"/>
        <v>8.2454083626416569E-2</v>
      </c>
      <c r="AT227" s="506">
        <f t="shared" si="248"/>
        <v>7.0525105404369487E-2</v>
      </c>
      <c r="AU227" s="488">
        <f t="shared" si="248"/>
        <v>6.7871868062163013E-2</v>
      </c>
      <c r="AV227" s="488">
        <f t="shared" si="248"/>
        <v>5.9021922428330521E-2</v>
      </c>
      <c r="AW227" s="507">
        <f t="shared" si="248"/>
        <v>7.863123407353477E-2</v>
      </c>
      <c r="AX227" s="506">
        <f t="shared" si="248"/>
        <v>8.4653689452240832E-2</v>
      </c>
      <c r="AY227" s="488">
        <f t="shared" si="248"/>
        <v>0.26855123674911663</v>
      </c>
      <c r="AZ227" s="488">
        <f t="shared" si="248"/>
        <v>8.9095744680851061E-2</v>
      </c>
      <c r="BA227" s="488">
        <f t="shared" si="248"/>
        <v>0.13478260869565217</v>
      </c>
      <c r="BB227" s="506">
        <f t="shared" si="248"/>
        <v>0.12520064205457465</v>
      </c>
      <c r="BC227" s="488">
        <f t="shared" si="248"/>
        <v>8.7162482235907154E-2</v>
      </c>
      <c r="BD227" s="488">
        <f t="shared" si="248"/>
        <v>6.1444969615124918E-2</v>
      </c>
      <c r="BE227" s="507">
        <f t="shared" si="248"/>
        <v>8.0298376480912675E-2</v>
      </c>
      <c r="BF227" s="488">
        <f t="shared" si="248"/>
        <v>8.2703423743886173E-2</v>
      </c>
      <c r="BG227" s="488">
        <f t="shared" si="248"/>
        <v>5.9415278214397987E-2</v>
      </c>
      <c r="BH227" s="488">
        <f t="shared" si="248"/>
        <v>5.1671732522796353E-2</v>
      </c>
      <c r="BI227" s="507">
        <f t="shared" si="248"/>
        <v>7.1046600458365167E-2</v>
      </c>
      <c r="BJ227" s="488">
        <f t="shared" si="248"/>
        <v>6.9043151969981245E-2</v>
      </c>
      <c r="BK227" s="507">
        <f t="shared" si="248"/>
        <v>5.7772483621203095E-2</v>
      </c>
      <c r="BL227" s="507">
        <f t="shared" si="248"/>
        <v>4.9376431662000508E-2</v>
      </c>
      <c r="BM227" s="507">
        <f t="shared" si="248"/>
        <v>6.8929684793903712E-2</v>
      </c>
      <c r="BN227" s="507">
        <f t="shared" si="248"/>
        <v>6.4382139148494291E-2</v>
      </c>
      <c r="BO227" s="507">
        <f t="shared" si="248"/>
        <v>5.0590219224283306E-2</v>
      </c>
      <c r="BP227" s="507">
        <f t="shared" si="248"/>
        <v>5.6403940886699505E-2</v>
      </c>
      <c r="BQ227" s="3353">
        <f t="shared" si="248"/>
        <v>6.5954773869346728E-2</v>
      </c>
      <c r="BR227" s="507">
        <f t="shared" si="248"/>
        <v>6.0240963855421686E-2</v>
      </c>
      <c r="BS227" s="507">
        <f t="shared" si="248"/>
        <v>5.2033808769149495E-2</v>
      </c>
      <c r="BT227" s="507">
        <f>-BT149/BT59</f>
        <v>4.2157751586582047E-2</v>
      </c>
      <c r="BU227" s="507">
        <f>-BU149/BU59</f>
        <v>5.6949534818156192E-2</v>
      </c>
      <c r="BV227" s="507">
        <f>-BV149/BV59</f>
        <v>5.7209573847051956E-2</v>
      </c>
      <c r="BW227" s="507">
        <f>-BW149/BW59</f>
        <v>4.7276940903823873E-2</v>
      </c>
      <c r="BX227" s="507"/>
      <c r="BY227" s="505">
        <f>-BY149/BY59</f>
        <v>7.7309378502997864E-2</v>
      </c>
      <c r="BZ227" s="1015">
        <v>6.7194278216266737E-2</v>
      </c>
      <c r="CA227" s="506">
        <f t="shared" ref="CA227:CG227" si="249">-CA149/CA59</f>
        <v>7.1995010246814581E-2</v>
      </c>
      <c r="CB227" s="506">
        <f t="shared" si="249"/>
        <v>7.0191431175934363E-2</v>
      </c>
      <c r="CC227" s="506">
        <f t="shared" si="249"/>
        <v>0.11482977495672245</v>
      </c>
      <c r="CD227" s="506">
        <f t="shared" si="249"/>
        <v>8.1995812979762731E-2</v>
      </c>
      <c r="CE227" s="506">
        <f t="shared" si="249"/>
        <v>6.4112453929887722E-2</v>
      </c>
      <c r="CF227" s="506">
        <f t="shared" si="249"/>
        <v>6.0051405872731521E-2</v>
      </c>
      <c r="CG227" s="3383">
        <f t="shared" si="249"/>
        <v>5.8797750346943248E-2</v>
      </c>
      <c r="CH227" s="3383">
        <f>-CH149/CH59</f>
        <v>5.1924251679902257E-2</v>
      </c>
    </row>
    <row r="228" spans="1:86" s="488" customFormat="1" ht="11.5">
      <c r="A228" s="492" t="s">
        <v>1034</v>
      </c>
      <c r="B228" s="444">
        <f>B157/B62</f>
        <v>2.952853598014888E-2</v>
      </c>
      <c r="C228" s="444">
        <f>C157/C62</f>
        <v>3.8483834433943612E-2</v>
      </c>
      <c r="D228" s="444">
        <f>D157/D62</f>
        <v>3.7451612903225809E-2</v>
      </c>
      <c r="E228" s="445">
        <f>E157/E62</f>
        <v>4.0239410681399634E-2</v>
      </c>
      <c r="G228" s="444"/>
      <c r="H228" s="444">
        <f>H157/H62</f>
        <v>4.227703144449476E-3</v>
      </c>
      <c r="I228" s="444">
        <f>I157/I62</f>
        <v>3.5068545375690076E-2</v>
      </c>
      <c r="J228" s="444"/>
      <c r="K228" s="444"/>
      <c r="L228" s="445"/>
      <c r="M228" s="444"/>
      <c r="N228" s="444"/>
      <c r="O228" s="444"/>
      <c r="P228" s="444"/>
      <c r="Q228" s="444"/>
      <c r="R228" s="444"/>
      <c r="S228" s="469"/>
      <c r="T228" s="469"/>
      <c r="U228" s="469"/>
      <c r="V228" s="469"/>
      <c r="W228" s="470">
        <f t="shared" ref="W228:AB228" si="250">-W285/W59</f>
        <v>3.1134936215625089E-2</v>
      </c>
      <c r="X228" s="469">
        <f t="shared" si="250"/>
        <v>4.4954501927549205E-2</v>
      </c>
      <c r="Y228" s="469">
        <f t="shared" si="250"/>
        <v>6.0259918138804505E-2</v>
      </c>
      <c r="Z228" s="469">
        <f t="shared" si="250"/>
        <v>5.8480572516460737E-2</v>
      </c>
      <c r="AA228" s="469">
        <f t="shared" si="250"/>
        <v>4.438147138964578E-2</v>
      </c>
      <c r="AB228" s="504">
        <f t="shared" si="250"/>
        <v>4.6120879988409795E-2</v>
      </c>
      <c r="AC228" s="444"/>
      <c r="AD228" s="444">
        <f t="shared" ref="AD228:AN228" si="251">AD157/AD62</f>
        <v>2.4957295801756287E-2</v>
      </c>
      <c r="AE228" s="444">
        <f t="shared" si="251"/>
        <v>3.2850420048375621E-2</v>
      </c>
      <c r="AF228" s="444">
        <f t="shared" si="251"/>
        <v>2.5923028058357424E-2</v>
      </c>
      <c r="AG228" s="445">
        <f t="shared" si="251"/>
        <v>2.6687580940773649E-2</v>
      </c>
      <c r="AH228" s="444">
        <f t="shared" si="251"/>
        <v>2.5687500951962778E-2</v>
      </c>
      <c r="AI228" s="488">
        <f t="shared" si="251"/>
        <v>4.5736334908867513E-2</v>
      </c>
      <c r="AJ228" s="488">
        <f t="shared" si="251"/>
        <v>1.8700029640765545E-2</v>
      </c>
      <c r="AK228" s="507">
        <f t="shared" si="251"/>
        <v>2.141184902054467E-2</v>
      </c>
      <c r="AL228" s="488">
        <f t="shared" si="251"/>
        <v>2.1567382366377341E-2</v>
      </c>
      <c r="AM228" s="488">
        <f t="shared" si="251"/>
        <v>1.9374323279195669E-2</v>
      </c>
      <c r="AN228" s="488">
        <f t="shared" si="251"/>
        <v>2.1169925826028321E-3</v>
      </c>
      <c r="AO228" s="507">
        <v>1.9731780940060371E-2</v>
      </c>
      <c r="AP228" s="488">
        <f t="shared" ref="AP228:BS228" si="252">AP157/AP62</f>
        <v>1.9936204146730464E-2</v>
      </c>
      <c r="AQ228" s="488">
        <f t="shared" si="252"/>
        <v>1.7361111111111112E-2</v>
      </c>
      <c r="AR228" s="488">
        <f t="shared" si="252"/>
        <v>1.6483516483516484E-2</v>
      </c>
      <c r="AS228" s="488">
        <f t="shared" si="252"/>
        <v>1.9148104728409537E-2</v>
      </c>
      <c r="AT228" s="506">
        <f t="shared" si="252"/>
        <v>2.1464162514373324E-2</v>
      </c>
      <c r="AU228" s="488">
        <f t="shared" si="252"/>
        <v>1.871233745639074E-2</v>
      </c>
      <c r="AV228" s="488">
        <f t="shared" si="252"/>
        <v>1.6863406408094434E-2</v>
      </c>
      <c r="AW228" s="507">
        <f t="shared" si="252"/>
        <v>2.4026210411357846E-2</v>
      </c>
      <c r="AX228" s="506">
        <f t="shared" si="252"/>
        <v>2.489814395654142E-2</v>
      </c>
      <c r="AY228" s="488">
        <f t="shared" si="252"/>
        <v>9.5406360424028266E-2</v>
      </c>
      <c r="AZ228" s="488">
        <f t="shared" si="252"/>
        <v>3.125E-2</v>
      </c>
      <c r="BA228" s="488">
        <f t="shared" si="252"/>
        <v>5.3260869565217389E-2</v>
      </c>
      <c r="BB228" s="506">
        <f t="shared" si="252"/>
        <v>6.66131621187801E-2</v>
      </c>
      <c r="BC228" s="488">
        <f t="shared" si="252"/>
        <v>5.6845097110374228E-2</v>
      </c>
      <c r="BD228" s="488">
        <f t="shared" si="252"/>
        <v>3.916272788656313E-2</v>
      </c>
      <c r="BE228" s="507">
        <f t="shared" si="252"/>
        <v>4.3440105309346201E-2</v>
      </c>
      <c r="BF228" s="488">
        <f t="shared" si="252"/>
        <v>4.0017785682525564E-2</v>
      </c>
      <c r="BG228" s="488">
        <f t="shared" si="252"/>
        <v>2.9236089280100599E-2</v>
      </c>
      <c r="BH228" s="488">
        <f t="shared" si="252"/>
        <v>2.6802984249792761E-2</v>
      </c>
      <c r="BI228" s="507">
        <f t="shared" si="252"/>
        <v>3.5905271199388848E-2</v>
      </c>
      <c r="BJ228" s="488">
        <f t="shared" si="252"/>
        <v>3.8649155722326453E-2</v>
      </c>
      <c r="BK228" s="507">
        <f t="shared" si="252"/>
        <v>3.1566408576533651E-2</v>
      </c>
      <c r="BL228" s="507">
        <f t="shared" si="252"/>
        <v>2.6724357342835327E-2</v>
      </c>
      <c r="BM228" s="507">
        <f t="shared" si="252"/>
        <v>3.4291652234153099E-2</v>
      </c>
      <c r="BN228" s="507">
        <f t="shared" si="252"/>
        <v>3.5998615437867774E-2</v>
      </c>
      <c r="BO228" s="507">
        <f t="shared" si="252"/>
        <v>3.2040472175379427E-2</v>
      </c>
      <c r="BP228" s="507">
        <f t="shared" si="252"/>
        <v>3.6206896551724141E-2</v>
      </c>
      <c r="BQ228" s="3353">
        <f t="shared" si="252"/>
        <v>2.9208542713567841E-2</v>
      </c>
      <c r="BR228" s="507">
        <f t="shared" si="252"/>
        <v>3.2797858099062917E-2</v>
      </c>
      <c r="BS228" s="507">
        <f t="shared" si="252"/>
        <v>2.7733755942947701E-2</v>
      </c>
      <c r="BT228" s="507">
        <f>BT157/BT62</f>
        <v>2.0398912058023574E-2</v>
      </c>
      <c r="BU228" s="507">
        <f>BU157/BU62</f>
        <v>2.9602480969833662E-2</v>
      </c>
      <c r="BV228" s="507">
        <f>BV157/BV62</f>
        <v>3.0064214827787508E-2</v>
      </c>
      <c r="BW228" s="507">
        <f>BW157/BW62</f>
        <v>2.6419466975666279E-2</v>
      </c>
      <c r="BX228" s="507"/>
      <c r="BY228" s="450">
        <f>BY157/BY62</f>
        <v>2.7629852052746064E-2</v>
      </c>
      <c r="BZ228" s="1015">
        <v>1.4846219606751625E-2</v>
      </c>
      <c r="CA228" s="506">
        <f t="shared" ref="CA228:CG228" si="253">CA157/CA62</f>
        <v>1.8087855297157621E-2</v>
      </c>
      <c r="CB228" s="506">
        <f t="shared" si="253"/>
        <v>1.9971823982762905E-2</v>
      </c>
      <c r="CC228" s="506">
        <f t="shared" si="253"/>
        <v>3.943065974225813E-2</v>
      </c>
      <c r="CD228" s="506">
        <f t="shared" si="253"/>
        <v>4.8615957199348685E-2</v>
      </c>
      <c r="CE228" s="506">
        <f t="shared" si="253"/>
        <v>3.2056226964943861E-2</v>
      </c>
      <c r="CF228" s="506">
        <f t="shared" si="253"/>
        <v>3.2167614300179143E-2</v>
      </c>
      <c r="CG228" s="3383">
        <f t="shared" si="253"/>
        <v>3.3452633116645973E-2</v>
      </c>
      <c r="CH228" s="3383">
        <f>CH157/CH62</f>
        <v>2.7014185841308627E-2</v>
      </c>
    </row>
    <row r="229" spans="1:86" ht="11.5">
      <c r="A229" s="508" t="s">
        <v>1066</v>
      </c>
      <c r="B229" s="469">
        <f>-B286/B62</f>
        <v>3.3517846917350637E-2</v>
      </c>
      <c r="C229" s="469">
        <f>-C286/C62</f>
        <v>3.6505820125297891E-2</v>
      </c>
      <c r="D229" s="469" t="s">
        <v>156</v>
      </c>
      <c r="E229" s="507" t="s">
        <v>12</v>
      </c>
      <c r="F229" s="444">
        <f>F286/F59</f>
        <v>6.2234779557111212E-4</v>
      </c>
      <c r="G229" s="444">
        <f>G286/G59</f>
        <v>1.3918108339752057E-4</v>
      </c>
      <c r="H229" s="469">
        <f>H286/H59</f>
        <v>3.3623744097714377E-4</v>
      </c>
      <c r="I229" s="469">
        <f>I286/I59</f>
        <v>0</v>
      </c>
      <c r="J229" s="469"/>
      <c r="K229" s="469"/>
      <c r="L229" s="445"/>
      <c r="M229" s="469"/>
      <c r="N229" s="469"/>
      <c r="O229" s="469"/>
      <c r="P229" s="469"/>
      <c r="Q229" s="469"/>
      <c r="R229" s="469"/>
      <c r="S229" s="7"/>
      <c r="T229" s="7"/>
      <c r="U229" s="7"/>
      <c r="V229" s="156"/>
      <c r="W229" s="103"/>
      <c r="X229" s="7"/>
      <c r="Y229" s="7"/>
      <c r="Z229" s="7"/>
      <c r="AA229" s="7"/>
      <c r="AB229" s="113"/>
      <c r="AC229" s="469"/>
      <c r="AD229" s="469">
        <f t="shared" ref="AD229:AN229" si="254">-AD286/AD59</f>
        <v>0.28192409479129077</v>
      </c>
      <c r="AE229" s="469">
        <f t="shared" si="254"/>
        <v>0.32276507893420886</v>
      </c>
      <c r="AF229" s="469">
        <f t="shared" si="254"/>
        <v>0.19821414168531473</v>
      </c>
      <c r="AG229" s="504">
        <f t="shared" si="254"/>
        <v>5.0773638968481374E-2</v>
      </c>
      <c r="AH229" s="469">
        <f t="shared" si="254"/>
        <v>5.5282119749301584E-2</v>
      </c>
      <c r="AI229" s="488">
        <f t="shared" si="254"/>
        <v>0.17304356498497861</v>
      </c>
      <c r="AJ229" s="488">
        <f t="shared" si="254"/>
        <v>0.21970742820832226</v>
      </c>
      <c r="AK229" s="507">
        <f t="shared" si="254"/>
        <v>0.3580258002866698</v>
      </c>
      <c r="AL229" s="488">
        <f t="shared" si="254"/>
        <v>7.6230698949291908E-2</v>
      </c>
      <c r="AM229" s="488">
        <f t="shared" si="254"/>
        <v>0.13800928074245938</v>
      </c>
      <c r="AN229" s="488">
        <f t="shared" si="254"/>
        <v>0.17720701281186785</v>
      </c>
      <c r="AO229" s="507">
        <v>0.30630875377317812</v>
      </c>
      <c r="AP229" s="488">
        <f t="shared" ref="AP229:BS229" si="255">-AP286/AP59</f>
        <v>7.6555023923444973E-2</v>
      </c>
      <c r="AQ229" s="488">
        <f t="shared" si="255"/>
        <v>0.14270833333333333</v>
      </c>
      <c r="AR229" s="488">
        <f t="shared" si="255"/>
        <v>0.19352869352869354</v>
      </c>
      <c r="AS229" s="488">
        <f t="shared" si="255"/>
        <v>9.5349745994529111E-2</v>
      </c>
      <c r="AT229" s="506">
        <f t="shared" si="255"/>
        <v>0.10502108087389804</v>
      </c>
      <c r="AU229" s="488">
        <f t="shared" si="255"/>
        <v>0.18173168411037108</v>
      </c>
      <c r="AV229" s="488">
        <f t="shared" si="255"/>
        <v>0.24283305227655985</v>
      </c>
      <c r="AW229" s="507">
        <f t="shared" si="255"/>
        <v>0.10775391336002912</v>
      </c>
      <c r="AX229" s="506">
        <f t="shared" si="255"/>
        <v>0.12992304210049796</v>
      </c>
      <c r="AY229" s="488">
        <f t="shared" si="255"/>
        <v>0.87102473498233213</v>
      </c>
      <c r="AZ229" s="488">
        <f t="shared" si="255"/>
        <v>0.44481382978723405</v>
      </c>
      <c r="BA229" s="488">
        <f t="shared" si="255"/>
        <v>0.86630434782608701</v>
      </c>
      <c r="BB229" s="506">
        <f t="shared" si="255"/>
        <v>0.1348314606741573</v>
      </c>
      <c r="BC229" s="488">
        <f t="shared" si="255"/>
        <v>0.16627190904784461</v>
      </c>
      <c r="BD229" s="488">
        <f t="shared" si="255"/>
        <v>0.17893315327481432</v>
      </c>
      <c r="BE229" s="507">
        <f t="shared" si="255"/>
        <v>-0.29530495831505044</v>
      </c>
      <c r="BF229" s="488">
        <f t="shared" si="255"/>
        <v>6.9364161849710976E-2</v>
      </c>
      <c r="BG229" s="488">
        <f t="shared" si="255"/>
        <v>0</v>
      </c>
      <c r="BH229" s="488">
        <f t="shared" si="255"/>
        <v>0</v>
      </c>
      <c r="BI229" s="507">
        <f t="shared" si="255"/>
        <v>0</v>
      </c>
      <c r="BJ229" s="488">
        <f t="shared" si="255"/>
        <v>5.8536585365853662E-2</v>
      </c>
      <c r="BK229" s="507">
        <f t="shared" si="255"/>
        <v>0</v>
      </c>
      <c r="BL229" s="507">
        <f t="shared" si="255"/>
        <v>0</v>
      </c>
      <c r="BM229" s="507">
        <f t="shared" si="255"/>
        <v>0</v>
      </c>
      <c r="BN229" s="507">
        <f t="shared" si="255"/>
        <v>0</v>
      </c>
      <c r="BO229" s="507">
        <f t="shared" si="255"/>
        <v>0</v>
      </c>
      <c r="BP229" s="507">
        <f t="shared" si="255"/>
        <v>0</v>
      </c>
      <c r="BQ229" s="3353">
        <f t="shared" si="255"/>
        <v>0</v>
      </c>
      <c r="BR229" s="507">
        <f t="shared" si="255"/>
        <v>0</v>
      </c>
      <c r="BS229" s="507">
        <f t="shared" si="255"/>
        <v>0</v>
      </c>
      <c r="BT229" s="507">
        <f>-BT286/BT59</f>
        <v>0</v>
      </c>
      <c r="BU229" s="507">
        <f>-BU286/BU59</f>
        <v>0</v>
      </c>
      <c r="BV229" s="507">
        <f>-BV286/BV59</f>
        <v>0</v>
      </c>
      <c r="BW229" s="507">
        <f>-BW286/BW59</f>
        <v>0</v>
      </c>
      <c r="BX229" s="507"/>
      <c r="BY229" s="505">
        <f>-BY286/BY59</f>
        <v>8.5408095867951325E-2</v>
      </c>
      <c r="BZ229" s="1015">
        <v>7.0610747728583084E-2</v>
      </c>
      <c r="CA229" s="506">
        <f t="shared" ref="CA229:CG229" si="256">-CA286/CA59</f>
        <v>7.8232201728593062E-2</v>
      </c>
      <c r="CB229" s="506">
        <f t="shared" si="256"/>
        <v>9.6129941161846352E-2</v>
      </c>
      <c r="CC229" s="506">
        <f t="shared" si="256"/>
        <v>0.15329871129063283</v>
      </c>
      <c r="CD229" s="506">
        <f t="shared" si="256"/>
        <v>-7.8274017213305416E-2</v>
      </c>
      <c r="CE229" s="506">
        <f t="shared" si="256"/>
        <v>0</v>
      </c>
      <c r="CF229" s="506">
        <f t="shared" si="256"/>
        <v>0</v>
      </c>
      <c r="CG229" s="3383">
        <f t="shared" si="256"/>
        <v>0</v>
      </c>
      <c r="CH229" s="3383">
        <f>-CH286/CH59</f>
        <v>0</v>
      </c>
    </row>
    <row r="230" spans="1:86" s="654" customFormat="1" ht="12" customHeight="1">
      <c r="A230" s="70" t="s">
        <v>97</v>
      </c>
      <c r="B230" s="7"/>
      <c r="C230" s="7"/>
      <c r="D230" s="7"/>
      <c r="E230" s="113"/>
      <c r="F230" s="133"/>
      <c r="G230" s="7"/>
      <c r="H230" s="7"/>
      <c r="I230" s="7"/>
      <c r="J230" s="7"/>
      <c r="K230" s="7"/>
      <c r="L230" s="113"/>
      <c r="M230" s="7"/>
      <c r="N230" s="7"/>
      <c r="O230" s="7"/>
      <c r="P230" s="7"/>
      <c r="Q230" s="7"/>
      <c r="R230" s="7"/>
      <c r="S230" s="1545"/>
      <c r="T230" s="1545"/>
      <c r="U230" s="1545"/>
      <c r="V230" s="1545"/>
      <c r="W230" s="1546"/>
      <c r="X230" s="1545"/>
      <c r="Y230" s="1545"/>
      <c r="Z230" s="1545"/>
      <c r="AA230" s="1545"/>
      <c r="AB230" s="1547"/>
      <c r="AC230" s="7"/>
      <c r="AD230" s="7"/>
      <c r="AE230" s="7"/>
      <c r="AF230" s="7"/>
      <c r="AG230" s="113"/>
      <c r="AH230" s="133"/>
      <c r="AI230" s="133"/>
      <c r="AJ230" s="133"/>
      <c r="AK230" s="136"/>
      <c r="AL230" s="133"/>
      <c r="AM230" s="133"/>
      <c r="AN230" s="133"/>
      <c r="AO230" s="136"/>
      <c r="AP230" s="133"/>
      <c r="AQ230" s="133"/>
      <c r="AR230" s="133"/>
      <c r="AS230" s="133"/>
      <c r="AT230" s="137"/>
      <c r="AU230" s="133"/>
      <c r="AV230" s="133"/>
      <c r="AW230" s="136"/>
      <c r="AX230" s="137"/>
      <c r="AY230" s="133"/>
      <c r="AZ230" s="133"/>
      <c r="BA230" s="133"/>
      <c r="BB230" s="137"/>
      <c r="BC230" s="133"/>
      <c r="BD230" s="133"/>
      <c r="BE230" s="136"/>
      <c r="BF230" s="133"/>
      <c r="BG230" s="133"/>
      <c r="BH230" s="133"/>
      <c r="BI230" s="136"/>
      <c r="BJ230" s="133"/>
      <c r="BK230" s="136"/>
      <c r="BL230" s="136"/>
      <c r="BM230" s="136"/>
      <c r="BN230" s="136"/>
      <c r="BO230" s="136"/>
      <c r="BP230" s="136"/>
      <c r="BQ230" s="3332"/>
      <c r="BR230" s="136"/>
      <c r="BS230" s="136"/>
      <c r="BT230" s="136"/>
      <c r="BU230" s="136"/>
      <c r="BV230" s="136"/>
      <c r="BW230" s="136"/>
      <c r="BX230" s="136"/>
      <c r="BY230" s="2895"/>
      <c r="BZ230" s="159"/>
      <c r="CA230" s="137"/>
      <c r="CB230" s="2921"/>
      <c r="CC230" s="2921"/>
      <c r="CD230" s="2921"/>
      <c r="CE230" s="2921"/>
      <c r="CF230" s="2921"/>
      <c r="CG230" s="3386"/>
      <c r="CH230" s="3386"/>
    </row>
    <row r="231" spans="1:86" s="27" customFormat="1" ht="11.5">
      <c r="A231" s="3453" t="s">
        <v>1162</v>
      </c>
      <c r="B231" s="10"/>
      <c r="C231" s="10"/>
      <c r="D231" s="10"/>
      <c r="E231" s="101"/>
      <c r="G231" s="10"/>
      <c r="H231" s="10"/>
      <c r="I231" s="10"/>
      <c r="J231" s="10"/>
      <c r="K231" s="10"/>
      <c r="L231" s="101"/>
      <c r="M231" s="10"/>
      <c r="N231" s="10"/>
      <c r="O231" s="10"/>
      <c r="P231" s="10"/>
      <c r="Q231" s="10"/>
      <c r="R231" s="10"/>
      <c r="S231" s="10"/>
      <c r="T231" s="10"/>
      <c r="U231" s="10"/>
      <c r="V231" s="10"/>
      <c r="W231" s="100"/>
      <c r="X231" s="10"/>
      <c r="Y231" s="10"/>
      <c r="Z231" s="10"/>
      <c r="AA231" s="10"/>
      <c r="AB231" s="101"/>
      <c r="AC231" s="10">
        <f t="shared" ref="AC231:BJ231" si="257">-AC159/AC$59</f>
        <v>0.233552279493839</v>
      </c>
      <c r="AD231" s="10">
        <f t="shared" si="257"/>
        <v>0.19232888247323471</v>
      </c>
      <c r="AE231" s="10">
        <f t="shared" si="257"/>
        <v>0.16872841894710006</v>
      </c>
      <c r="AF231" s="10">
        <f t="shared" si="257"/>
        <v>0.19826830498885237</v>
      </c>
      <c r="AG231" s="101">
        <f t="shared" si="257"/>
        <v>0.19669009199215803</v>
      </c>
      <c r="AH231" s="10">
        <f t="shared" si="257"/>
        <v>0.21017342266989714</v>
      </c>
      <c r="AI231" s="10">
        <f t="shared" si="257"/>
        <v>0.18375230945015389</v>
      </c>
      <c r="AJ231" s="10">
        <f t="shared" si="257"/>
        <v>0.16018838353213308</v>
      </c>
      <c r="AK231" s="101">
        <f t="shared" si="257"/>
        <v>0.17592976588628761</v>
      </c>
      <c r="AL231" s="10">
        <f t="shared" si="257"/>
        <v>0.19134216537231613</v>
      </c>
      <c r="AM231" s="10">
        <f t="shared" si="257"/>
        <v>0.16870843000773397</v>
      </c>
      <c r="AN231" s="10">
        <f t="shared" si="257"/>
        <v>0.15383344571813892</v>
      </c>
      <c r="AO231" s="101">
        <f t="shared" si="257"/>
        <v>0.18756360500215613</v>
      </c>
      <c r="AP231" s="10">
        <f t="shared" si="257"/>
        <v>0.19338118022328549</v>
      </c>
      <c r="AQ231" s="10">
        <f t="shared" si="257"/>
        <v>0.171875</v>
      </c>
      <c r="AR231" s="10">
        <f t="shared" si="257"/>
        <v>0.15293040293040294</v>
      </c>
      <c r="AS231" s="10">
        <f t="shared" si="257"/>
        <v>0.18483782727627979</v>
      </c>
      <c r="AT231" s="100">
        <f t="shared" si="257"/>
        <v>0.18666155615178229</v>
      </c>
      <c r="AU231" s="10">
        <f t="shared" si="257"/>
        <v>0.15762765620044403</v>
      </c>
      <c r="AV231" s="10">
        <f t="shared" si="257"/>
        <v>0.15317594154019112</v>
      </c>
      <c r="AW231" s="101">
        <f t="shared" si="257"/>
        <v>0.1951219512195122</v>
      </c>
      <c r="AX231" s="100">
        <f t="shared" si="257"/>
        <v>0.28338614757808961</v>
      </c>
      <c r="AY231" s="10">
        <f t="shared" si="257"/>
        <v>0.6819787985865724</v>
      </c>
      <c r="AZ231" s="10">
        <f t="shared" si="257"/>
        <v>0.2473404255319149</v>
      </c>
      <c r="BA231" s="10">
        <f t="shared" si="257"/>
        <v>0.30869565217391304</v>
      </c>
      <c r="BB231" s="100">
        <f t="shared" si="257"/>
        <v>0.24558587479935795</v>
      </c>
      <c r="BC231" s="10">
        <f t="shared" si="257"/>
        <v>0.17432496447181431</v>
      </c>
      <c r="BD231" s="10">
        <f t="shared" si="257"/>
        <v>0.14719783929777178</v>
      </c>
      <c r="BE231" s="101">
        <f t="shared" si="257"/>
        <v>0.17112768758227292</v>
      </c>
      <c r="BF231" s="10">
        <f t="shared" si="257"/>
        <v>0.16362827923521564</v>
      </c>
      <c r="BG231" s="10">
        <f t="shared" si="257"/>
        <v>0.13077648538195535</v>
      </c>
      <c r="BH231" s="10">
        <f t="shared" si="257"/>
        <v>0.12462006079027356</v>
      </c>
      <c r="BI231" s="101">
        <f t="shared" si="257"/>
        <v>0.15584415584415584</v>
      </c>
      <c r="BJ231" s="10">
        <f t="shared" si="257"/>
        <v>0.15422138836772983</v>
      </c>
      <c r="BK231" s="101">
        <f t="shared" ref="BK231:BQ231" si="258">-BK159/BK$59</f>
        <v>0.12001191185229303</v>
      </c>
      <c r="BL231" s="101">
        <f t="shared" si="258"/>
        <v>0.10409773479256808</v>
      </c>
      <c r="BM231" s="101">
        <f t="shared" si="258"/>
        <v>0.11638378940076204</v>
      </c>
      <c r="BN231" s="101">
        <f t="shared" si="258"/>
        <v>0.12322602976808585</v>
      </c>
      <c r="BO231" s="101">
        <f t="shared" si="258"/>
        <v>0.10061832490163013</v>
      </c>
      <c r="BP231" s="1547">
        <f t="shared" si="258"/>
        <v>9.4827586206896547E-2</v>
      </c>
      <c r="BQ231" s="101">
        <f t="shared" si="258"/>
        <v>0.10427135678391959</v>
      </c>
      <c r="BR231" s="101">
        <f t="shared" ref="BR231:BW231" si="259">-BR159/BR$59</f>
        <v>0.11847389558232932</v>
      </c>
      <c r="BS231" s="101">
        <f t="shared" si="259"/>
        <v>9.8520866349709454E-2</v>
      </c>
      <c r="BT231" s="1547">
        <f t="shared" si="259"/>
        <v>8.4542157751586577E-2</v>
      </c>
      <c r="BU231" s="1547">
        <f t="shared" si="259"/>
        <v>9.5291795883845509E-2</v>
      </c>
      <c r="BV231" s="1547">
        <f t="shared" si="259"/>
        <v>0.1088733216579101</v>
      </c>
      <c r="BW231" s="1547">
        <f t="shared" si="259"/>
        <v>9.2468134414831982E-2</v>
      </c>
      <c r="BX231" s="1547"/>
      <c r="BY231" s="448">
        <f t="shared" ref="BY231:CG231" si="260">-BY159/BY$59</f>
        <v>0.18068815618433881</v>
      </c>
      <c r="BZ231" s="448">
        <f t="shared" si="260"/>
        <v>0.17359423459244536</v>
      </c>
      <c r="CA231" s="100">
        <f t="shared" si="260"/>
        <v>0.17410674507707385</v>
      </c>
      <c r="CB231" s="100">
        <f t="shared" si="260"/>
        <v>0.1782547443440789</v>
      </c>
      <c r="CC231" s="100">
        <f t="shared" si="260"/>
        <v>0.32083092902481247</v>
      </c>
      <c r="CD231" s="100">
        <f t="shared" si="260"/>
        <v>0.17445917655268667</v>
      </c>
      <c r="CE231" s="100">
        <f t="shared" si="260"/>
        <v>0.14082454787006085</v>
      </c>
      <c r="CF231" s="100">
        <f t="shared" si="260"/>
        <v>0.1214269024067295</v>
      </c>
      <c r="CG231" s="100">
        <f t="shared" si="260"/>
        <v>-0.10627419472646264</v>
      </c>
      <c r="CH231" s="100">
        <f>-CH159/CH$59</f>
        <v>-9.9776013031969049E-2</v>
      </c>
    </row>
    <row r="232" spans="1:86" s="27" customFormat="1" ht="11.5">
      <c r="A232" s="3453" t="s">
        <v>1345</v>
      </c>
      <c r="B232" s="10"/>
      <c r="C232" s="10">
        <v>0.33680056736556896</v>
      </c>
      <c r="D232" s="10">
        <v>0.21709380781369014</v>
      </c>
      <c r="E232" s="78">
        <v>0.29659889796693917</v>
      </c>
      <c r="H232" s="10"/>
      <c r="I232" s="10"/>
      <c r="J232" s="10"/>
      <c r="K232" s="10"/>
      <c r="L232" s="97"/>
      <c r="M232" s="10"/>
      <c r="N232" s="10"/>
      <c r="O232" s="10"/>
      <c r="P232" s="10"/>
      <c r="Q232" s="10"/>
      <c r="R232" s="10"/>
      <c r="S232" s="10"/>
      <c r="T232" s="10"/>
      <c r="U232" s="10"/>
      <c r="V232" s="10"/>
      <c r="W232" s="100"/>
      <c r="X232" s="10"/>
      <c r="Y232" s="10"/>
      <c r="Z232" s="10"/>
      <c r="AA232" s="10"/>
      <c r="AB232" s="101"/>
      <c r="AC232" s="10">
        <f t="shared" ref="AC232:BJ232" si="261">-AC162/AC$59</f>
        <v>0.13373481957511196</v>
      </c>
      <c r="AD232" s="10">
        <f t="shared" si="261"/>
        <v>0.10883976903644894</v>
      </c>
      <c r="AE232" s="10">
        <f t="shared" si="261"/>
        <v>0.10096281621032195</v>
      </c>
      <c r="AF232" s="10">
        <f t="shared" si="261"/>
        <v>0.1431848140226438</v>
      </c>
      <c r="AG232" s="101">
        <f t="shared" si="261"/>
        <v>0.12116995928215957</v>
      </c>
      <c r="AH232" s="10">
        <f t="shared" si="261"/>
        <v>0.14755186687122271</v>
      </c>
      <c r="AI232" s="10">
        <f t="shared" si="261"/>
        <v>0.1316567609452112</v>
      </c>
      <c r="AJ232" s="10">
        <f t="shared" si="261"/>
        <v>0.11232106567270009</v>
      </c>
      <c r="AK232" s="101">
        <f t="shared" si="261"/>
        <v>0.14885762064022934</v>
      </c>
      <c r="AL232" s="10">
        <f t="shared" si="261"/>
        <v>0.14116126084970307</v>
      </c>
      <c r="AM232" s="10">
        <f t="shared" si="261"/>
        <v>0.12681013147718484</v>
      </c>
      <c r="AN232" s="10">
        <f t="shared" si="261"/>
        <v>0.11332333108563721</v>
      </c>
      <c r="AO232" s="101">
        <f t="shared" si="261"/>
        <v>0.15485295385942216</v>
      </c>
      <c r="AP232" s="10">
        <f t="shared" si="261"/>
        <v>0.15191387559808611</v>
      </c>
      <c r="AQ232" s="10">
        <f t="shared" si="261"/>
        <v>0.13333333333333333</v>
      </c>
      <c r="AR232" s="10">
        <f t="shared" si="261"/>
        <v>0.11874236874236874</v>
      </c>
      <c r="AS232" s="10">
        <f t="shared" si="261"/>
        <v>0.15709261430246191</v>
      </c>
      <c r="AT232" s="100">
        <f t="shared" si="261"/>
        <v>0.10655423533921042</v>
      </c>
      <c r="AU232" s="10">
        <f t="shared" si="261"/>
        <v>9.0390104662226453E-2</v>
      </c>
      <c r="AV232" s="10">
        <f t="shared" si="261"/>
        <v>8.0382237211916813E-2</v>
      </c>
      <c r="AW232" s="101">
        <f t="shared" si="261"/>
        <v>0.11030214779759738</v>
      </c>
      <c r="AX232" s="100">
        <f t="shared" si="261"/>
        <v>0.13037573562698054</v>
      </c>
      <c r="AY232" s="10">
        <f t="shared" si="261"/>
        <v>0.41872791519434627</v>
      </c>
      <c r="AZ232" s="10">
        <f t="shared" si="261"/>
        <v>0.1389627659574468</v>
      </c>
      <c r="BA232" s="10">
        <f t="shared" si="261"/>
        <v>0.22500000000000001</v>
      </c>
      <c r="BB232" s="100">
        <f t="shared" si="261"/>
        <v>0.17656500802568217</v>
      </c>
      <c r="BC232" s="10">
        <f t="shared" si="261"/>
        <v>0.11558503079109426</v>
      </c>
      <c r="BD232" s="10">
        <f t="shared" si="261"/>
        <v>8.271438217420661E-2</v>
      </c>
      <c r="BE232" s="101">
        <f t="shared" si="261"/>
        <v>0.10881965774462483</v>
      </c>
      <c r="BF232" s="10">
        <f t="shared" si="261"/>
        <v>0.10804802134281903</v>
      </c>
      <c r="BG232" s="10">
        <f t="shared" si="261"/>
        <v>8.0792203709525306E-2</v>
      </c>
      <c r="BH232" s="10">
        <f t="shared" si="261"/>
        <v>7.792207792207792E-2</v>
      </c>
      <c r="BI232" s="101">
        <f t="shared" si="261"/>
        <v>0.11000763941940413</v>
      </c>
      <c r="BJ232" s="10">
        <f t="shared" si="261"/>
        <v>0.10619136960600375</v>
      </c>
      <c r="BK232" s="101">
        <f t="shared" ref="BK232:BQ232" si="262">-BK162/BK$59</f>
        <v>9.1721262656343061E-2</v>
      </c>
      <c r="BL232" s="101">
        <f t="shared" si="262"/>
        <v>7.7627895138712141E-2</v>
      </c>
      <c r="BM232" s="101">
        <f t="shared" si="262"/>
        <v>0.11222722549359196</v>
      </c>
      <c r="BN232" s="101">
        <f t="shared" si="262"/>
        <v>0.10418830044998269</v>
      </c>
      <c r="BO232" s="101">
        <f t="shared" si="262"/>
        <v>8.1787521079258005E-2</v>
      </c>
      <c r="BP232" s="1547">
        <f t="shared" si="262"/>
        <v>6.8965517241379309E-2</v>
      </c>
      <c r="BQ232" s="101">
        <f t="shared" si="262"/>
        <v>9.0452261306532666E-2</v>
      </c>
      <c r="BR232" s="1547">
        <f t="shared" ref="BR232:BW232" si="263">-BR162/BR$59</f>
        <v>9.4377510040160636E-2</v>
      </c>
      <c r="BS232" s="1547">
        <f t="shared" si="263"/>
        <v>7.5541468568409931E-2</v>
      </c>
      <c r="BT232" s="1547">
        <f t="shared" si="263"/>
        <v>6.2556663644605617E-2</v>
      </c>
      <c r="BU232" s="1547">
        <f t="shared" si="263"/>
        <v>8.0631519594023121E-2</v>
      </c>
      <c r="BV232" s="1547">
        <f t="shared" si="263"/>
        <v>8.347927612375948E-2</v>
      </c>
      <c r="BW232" s="1547">
        <f t="shared" si="263"/>
        <v>6.6048667439165695E-2</v>
      </c>
      <c r="BX232" s="1547"/>
      <c r="BY232" s="448">
        <f t="shared" ref="BY232:CG232" si="264">-BY162/BY$59</f>
        <v>0.13352158459310659</v>
      </c>
      <c r="BZ232" s="448">
        <f t="shared" si="264"/>
        <v>0.13242087475149106</v>
      </c>
      <c r="CA232" s="100">
        <f t="shared" si="264"/>
        <v>0.13864385636639046</v>
      </c>
      <c r="CB232" s="100">
        <f t="shared" si="264"/>
        <v>0.1399685091572056</v>
      </c>
      <c r="CC232" s="100">
        <f t="shared" si="264"/>
        <v>0.18099634545104828</v>
      </c>
      <c r="CD232" s="100">
        <f t="shared" si="264"/>
        <v>0.1113049546406141</v>
      </c>
      <c r="CE232" s="100">
        <f t="shared" si="264"/>
        <v>9.1711665380989113E-2</v>
      </c>
      <c r="CF232" s="100">
        <f t="shared" si="264"/>
        <v>9.5022976867357264E-2</v>
      </c>
      <c r="CG232" s="100">
        <f t="shared" si="264"/>
        <v>8.4727193046526914E-2</v>
      </c>
      <c r="CH232" s="100">
        <f>-CH162/CH$59</f>
        <v>7.6698567840901372E-2</v>
      </c>
    </row>
    <row r="233" spans="1:86" s="27" customFormat="1" ht="11.5">
      <c r="A233" s="3453" t="s">
        <v>1346</v>
      </c>
      <c r="B233" s="10"/>
      <c r="C233" s="10">
        <v>0.24926078341716207</v>
      </c>
      <c r="D233" s="10">
        <v>0.38674296032404465</v>
      </c>
      <c r="E233" s="78">
        <v>0.79487608104660268</v>
      </c>
      <c r="H233" s="10"/>
      <c r="I233" s="10"/>
      <c r="J233" s="10"/>
      <c r="K233" s="10"/>
      <c r="L233" s="97"/>
      <c r="M233" s="10"/>
      <c r="N233" s="10"/>
      <c r="O233" s="10"/>
      <c r="P233" s="10"/>
      <c r="Q233" s="10"/>
      <c r="R233" s="10"/>
      <c r="S233" s="10"/>
      <c r="T233" s="10"/>
      <c r="U233" s="10"/>
      <c r="V233" s="10"/>
      <c r="W233" s="100"/>
      <c r="X233" s="10"/>
      <c r="Y233" s="10"/>
      <c r="Z233" s="10"/>
      <c r="AA233" s="10"/>
      <c r="AB233" s="101"/>
      <c r="AC233" s="10">
        <f t="shared" ref="AC233:BJ233" si="265">-AC165/AC$59</f>
        <v>0.55112178051939831</v>
      </c>
      <c r="AD233" s="10">
        <f t="shared" si="265"/>
        <v>0.52846144592806454</v>
      </c>
      <c r="AE233" s="10">
        <f t="shared" si="265"/>
        <v>0.48134669382527084</v>
      </c>
      <c r="AF233" s="10">
        <f t="shared" si="265"/>
        <v>0.45901162568211912</v>
      </c>
      <c r="AG233" s="101">
        <f t="shared" si="265"/>
        <v>0.50488945860352896</v>
      </c>
      <c r="AH233" s="10">
        <f t="shared" si="265"/>
        <v>0.54218862676283808</v>
      </c>
      <c r="AI233" s="10">
        <f t="shared" si="265"/>
        <v>0.51439270739739029</v>
      </c>
      <c r="AJ233" s="10">
        <f t="shared" si="265"/>
        <v>0.46481563637561241</v>
      </c>
      <c r="AK233" s="101">
        <f t="shared" si="265"/>
        <v>0.458324414715719</v>
      </c>
      <c r="AL233" s="10">
        <f t="shared" si="265"/>
        <v>0.57529876656007306</v>
      </c>
      <c r="AM233" s="10">
        <f t="shared" si="265"/>
        <v>0.55415467904098992</v>
      </c>
      <c r="AN233" s="10">
        <f t="shared" si="265"/>
        <v>0.48926635198921115</v>
      </c>
      <c r="AO233" s="101">
        <f t="shared" si="265"/>
        <v>0.48056921086675286</v>
      </c>
      <c r="AP233" s="10">
        <f t="shared" si="265"/>
        <v>0.60007974481658688</v>
      </c>
      <c r="AQ233" s="10">
        <f t="shared" si="265"/>
        <v>0.53090277777777772</v>
      </c>
      <c r="AR233" s="10">
        <f t="shared" si="265"/>
        <v>0.45482295482295482</v>
      </c>
      <c r="AS233" s="10">
        <f t="shared" si="265"/>
        <v>0.46854239937475578</v>
      </c>
      <c r="AT233" s="100">
        <f t="shared" si="265"/>
        <v>0.57876581065542354</v>
      </c>
      <c r="AU233" s="10">
        <f t="shared" si="265"/>
        <v>0.51728512527751347</v>
      </c>
      <c r="AV233" s="10">
        <f t="shared" si="265"/>
        <v>0.45952782462057334</v>
      </c>
      <c r="AW233" s="101">
        <f t="shared" si="265"/>
        <v>0.45759009828904257</v>
      </c>
      <c r="AX233" s="100">
        <f t="shared" si="265"/>
        <v>0.54232684472612047</v>
      </c>
      <c r="AY233" s="10">
        <f t="shared" si="265"/>
        <v>0.5</v>
      </c>
      <c r="AZ233" s="10">
        <f t="shared" si="265"/>
        <v>0.34375</v>
      </c>
      <c r="BA233" s="10">
        <f t="shared" si="265"/>
        <v>0.54347826086956519</v>
      </c>
      <c r="BB233" s="100">
        <f t="shared" si="265"/>
        <v>0.5192616372391653</v>
      </c>
      <c r="BC233" s="10">
        <f t="shared" si="265"/>
        <v>0.55281856939838936</v>
      </c>
      <c r="BD233" s="10">
        <f t="shared" si="265"/>
        <v>0.43382849426063469</v>
      </c>
      <c r="BE233" s="101">
        <f t="shared" si="265"/>
        <v>0.45019745502413339</v>
      </c>
      <c r="BF233" s="10">
        <f t="shared" si="265"/>
        <v>0.58870609159626497</v>
      </c>
      <c r="BG233" s="10">
        <f t="shared" si="265"/>
        <v>0.53410877082678399</v>
      </c>
      <c r="BH233" s="10">
        <f t="shared" si="265"/>
        <v>0.45620337109698811</v>
      </c>
      <c r="BI233" s="101">
        <f t="shared" si="265"/>
        <v>0.51909854851031323</v>
      </c>
      <c r="BJ233" s="10">
        <f t="shared" si="265"/>
        <v>0.62063789868667918</v>
      </c>
      <c r="BK233" s="101">
        <f t="shared" ref="BK233:BQ233" si="266">-BK165/BK$59</f>
        <v>0.52114353782013101</v>
      </c>
      <c r="BL233" s="101">
        <f t="shared" si="266"/>
        <v>0.46729447696614917</v>
      </c>
      <c r="BM233" s="101">
        <f t="shared" si="266"/>
        <v>0.53481122272254933</v>
      </c>
      <c r="BN233" s="101">
        <f t="shared" si="266"/>
        <v>0.6289373485635168</v>
      </c>
      <c r="BO233" s="101">
        <f t="shared" si="266"/>
        <v>0.55283867341202919</v>
      </c>
      <c r="BP233" s="1547">
        <f t="shared" si="266"/>
        <v>0.50073891625615763</v>
      </c>
      <c r="BQ233" s="101">
        <f t="shared" si="266"/>
        <v>0.54302763819095479</v>
      </c>
      <c r="BR233" s="1547">
        <f t="shared" ref="BR233:BW233" si="267">-BR165/BR$59</f>
        <v>0.64792503346720209</v>
      </c>
      <c r="BS233" s="1547">
        <f t="shared" si="267"/>
        <v>0.55731642894875855</v>
      </c>
      <c r="BT233" s="1547">
        <f t="shared" si="267"/>
        <v>0.49116047144152314</v>
      </c>
      <c r="BU233" s="1547">
        <f t="shared" si="267"/>
        <v>0.53256272906681701</v>
      </c>
      <c r="BV233" s="1547">
        <f t="shared" si="267"/>
        <v>0.59544658493870406</v>
      </c>
      <c r="BW233" s="1547">
        <f t="shared" si="267"/>
        <v>0.53580533024333721</v>
      </c>
      <c r="BX233" s="1547"/>
      <c r="BY233" s="448">
        <f t="shared" ref="BY233:CG233" si="268">-BY165/BY$59</f>
        <v>0.49246563749645955</v>
      </c>
      <c r="BZ233" s="448">
        <f t="shared" si="268"/>
        <v>0.52266172962226642</v>
      </c>
      <c r="CA233" s="100">
        <f t="shared" si="268"/>
        <v>0.50993495500311858</v>
      </c>
      <c r="CB233" s="100">
        <f t="shared" si="268"/>
        <v>0.50468219109969337</v>
      </c>
      <c r="CC233" s="100">
        <f t="shared" si="268"/>
        <v>0.4804770148105405</v>
      </c>
      <c r="CD233" s="100">
        <f t="shared" si="268"/>
        <v>0.47976273551988835</v>
      </c>
      <c r="CE233" s="100">
        <f t="shared" si="268"/>
        <v>0.51709951144253019</v>
      </c>
      <c r="CF233" s="100">
        <f t="shared" si="268"/>
        <v>0.52839006153127188</v>
      </c>
      <c r="CG233" s="100">
        <f t="shared" si="268"/>
        <v>0.55116499890438975</v>
      </c>
      <c r="CH233" s="100">
        <f>-CH165/CH$59</f>
        <v>0.54992194393538318</v>
      </c>
    </row>
    <row r="234" spans="1:86" s="27" customFormat="1" ht="11.5">
      <c r="A234" s="3453" t="s">
        <v>1347</v>
      </c>
      <c r="B234" s="10"/>
      <c r="C234" s="10">
        <v>3.5637582308656324E-3</v>
      </c>
      <c r="D234" s="10">
        <v>3.3276891961808053E-2</v>
      </c>
      <c r="E234" s="78">
        <v>0.15467601338279824</v>
      </c>
      <c r="H234" s="10"/>
      <c r="I234" s="10"/>
      <c r="J234" s="10"/>
      <c r="K234" s="10"/>
      <c r="L234" s="97"/>
      <c r="M234" s="10"/>
      <c r="N234" s="10"/>
      <c r="O234" s="10"/>
      <c r="P234" s="10"/>
      <c r="Q234" s="10"/>
      <c r="R234" s="10"/>
      <c r="S234" s="10"/>
      <c r="T234" s="10"/>
      <c r="U234" s="10"/>
      <c r="V234" s="10"/>
      <c r="W234" s="100"/>
      <c r="X234" s="10"/>
      <c r="Y234" s="10"/>
      <c r="Z234" s="10"/>
      <c r="AA234" s="10"/>
      <c r="AB234" s="101"/>
      <c r="AC234" s="10">
        <f t="shared" ref="AC234:BJ234" si="269">-AC168/AC$59</f>
        <v>7.4213792515929494E-2</v>
      </c>
      <c r="AD234" s="10">
        <f t="shared" si="269"/>
        <v>6.8347768555274871E-2</v>
      </c>
      <c r="AE234" s="10">
        <f t="shared" si="269"/>
        <v>5.907564070343331E-2</v>
      </c>
      <c r="AF234" s="10">
        <f t="shared" si="269"/>
        <v>9.643246336470683E-2</v>
      </c>
      <c r="AG234" s="101">
        <f t="shared" si="269"/>
        <v>7.4473080983260442E-2</v>
      </c>
      <c r="AH234" s="10">
        <f t="shared" si="269"/>
        <v>6.7410519438160746E-2</v>
      </c>
      <c r="AI234" s="10">
        <f t="shared" si="269"/>
        <v>6.8197146551092075E-2</v>
      </c>
      <c r="AJ234" s="10">
        <f t="shared" si="269"/>
        <v>5.3671483452509876E-2</v>
      </c>
      <c r="AK234" s="101">
        <f t="shared" si="269"/>
        <v>7.3350692785475388E-2</v>
      </c>
      <c r="AL234" s="10">
        <f t="shared" si="269"/>
        <v>6.2836911831886694E-2</v>
      </c>
      <c r="AM234" s="10">
        <f t="shared" si="269"/>
        <v>6.0533255993812832E-2</v>
      </c>
      <c r="AN234" s="10">
        <f t="shared" si="269"/>
        <v>5.4212744436952127E-2</v>
      </c>
      <c r="AO234" s="101">
        <f t="shared" si="269"/>
        <v>7.6062095730918489E-2</v>
      </c>
      <c r="AP234" s="10">
        <f t="shared" si="269"/>
        <v>7.0574162679425831E-2</v>
      </c>
      <c r="AQ234" s="10">
        <f t="shared" si="269"/>
        <v>6.145833333333333E-2</v>
      </c>
      <c r="AR234" s="10">
        <f t="shared" si="269"/>
        <v>5.4029304029304032E-2</v>
      </c>
      <c r="AS234" s="10">
        <f t="shared" si="269"/>
        <v>7.4247753028526764E-2</v>
      </c>
      <c r="AT234" s="100">
        <f t="shared" si="269"/>
        <v>6.1709467228823305E-2</v>
      </c>
      <c r="AU234" s="10">
        <f t="shared" si="269"/>
        <v>5.9942911512844907E-2</v>
      </c>
      <c r="AV234" s="10">
        <f t="shared" si="269"/>
        <v>5.1152332771219784E-2</v>
      </c>
      <c r="AW234" s="101">
        <f t="shared" si="269"/>
        <v>6.6254095376774666E-2</v>
      </c>
      <c r="AX234" s="100">
        <f t="shared" si="269"/>
        <v>7.5599818922589407E-2</v>
      </c>
      <c r="AY234" s="10">
        <f t="shared" si="269"/>
        <v>0.2332155477031802</v>
      </c>
      <c r="AZ234" s="10">
        <f t="shared" si="269"/>
        <v>7.7792553191489366E-2</v>
      </c>
      <c r="BA234" s="10">
        <f t="shared" si="269"/>
        <v>0.11413043478260869</v>
      </c>
      <c r="BB234" s="100">
        <f t="shared" si="269"/>
        <v>9.7913322632423749E-2</v>
      </c>
      <c r="BC234" s="10">
        <f t="shared" si="269"/>
        <v>6.3477025106584553E-2</v>
      </c>
      <c r="BD234" s="10">
        <f t="shared" si="269"/>
        <v>4.4902093180283591E-2</v>
      </c>
      <c r="BE234" s="101">
        <f t="shared" si="269"/>
        <v>5.8358929354980257E-2</v>
      </c>
      <c r="BF234" s="10">
        <f t="shared" si="269"/>
        <v>6.2694530902623391E-2</v>
      </c>
      <c r="BG234" s="10">
        <f t="shared" si="269"/>
        <v>4.4954416850047155E-2</v>
      </c>
      <c r="BH234" s="10">
        <f t="shared" si="269"/>
        <v>3.8684719535783368E-2</v>
      </c>
      <c r="BI234" s="101">
        <f t="shared" si="269"/>
        <v>5.4239877769289534E-2</v>
      </c>
      <c r="BJ234" s="10">
        <f t="shared" si="269"/>
        <v>5.178236397748593E-2</v>
      </c>
      <c r="BK234" s="101">
        <f t="shared" ref="BK234:BQ234" si="270">-BK168/BK$59</f>
        <v>4.4073853484216795E-2</v>
      </c>
      <c r="BL234" s="101">
        <f t="shared" si="270"/>
        <v>3.7414100279969456E-2</v>
      </c>
      <c r="BM234" s="101">
        <f t="shared" si="270"/>
        <v>5.4035330793210948E-2</v>
      </c>
      <c r="BN234" s="101">
        <f t="shared" si="270"/>
        <v>4.9498096227068189E-2</v>
      </c>
      <c r="BO234" s="101">
        <f t="shared" si="270"/>
        <v>3.9629005059021921E-2</v>
      </c>
      <c r="BP234" s="1547">
        <f t="shared" si="270"/>
        <v>3.5467980295566505E-2</v>
      </c>
      <c r="BQ234" s="101">
        <f t="shared" si="270"/>
        <v>5.4648241206030151E-2</v>
      </c>
      <c r="BR234" s="1547">
        <f t="shared" ref="BR234:BW234" si="271">-BR168/BR$59</f>
        <v>4.7858099062918338E-2</v>
      </c>
      <c r="BS234" s="1547">
        <f t="shared" si="271"/>
        <v>4.2525092445853147E-2</v>
      </c>
      <c r="BT234" s="1547">
        <f t="shared" si="271"/>
        <v>3.4678150498640072E-2</v>
      </c>
      <c r="BU234" s="1547">
        <f t="shared" si="271"/>
        <v>4.5390470820411616E-2</v>
      </c>
      <c r="BV234" s="1547">
        <f t="shared" si="271"/>
        <v>4.5826036193812023E-2</v>
      </c>
      <c r="BW234" s="1547">
        <f t="shared" si="271"/>
        <v>3.7079953650057937E-2</v>
      </c>
      <c r="BX234" s="1547"/>
      <c r="BY234" s="448">
        <f t="shared" ref="BY234:CG234" si="272">-BY168/BY$59</f>
        <v>6.4982929163007547E-2</v>
      </c>
      <c r="BZ234" s="448">
        <f t="shared" si="272"/>
        <v>6.275069582504969E-2</v>
      </c>
      <c r="CA234" s="100">
        <f t="shared" si="272"/>
        <v>6.4243072262318457E-2</v>
      </c>
      <c r="CB234" s="100">
        <f t="shared" si="272"/>
        <v>6.1075660893345485E-2</v>
      </c>
      <c r="CC234" s="100">
        <f t="shared" si="272"/>
        <v>0.10021157914983651</v>
      </c>
      <c r="CD234" s="100">
        <f t="shared" si="272"/>
        <v>6.0711793440334963E-2</v>
      </c>
      <c r="CE234" s="100">
        <f t="shared" si="272"/>
        <v>4.8512899631439101E-2</v>
      </c>
      <c r="CF234" s="100">
        <f t="shared" si="272"/>
        <v>4.5875847028584778E-2</v>
      </c>
      <c r="CG234" s="100">
        <f t="shared" si="272"/>
        <v>4.3970491563801034E-2</v>
      </c>
      <c r="CH234" s="100">
        <f>-CH168/CH$59</f>
        <v>4.1946650376705356E-2</v>
      </c>
    </row>
    <row r="235" spans="1:86">
      <c r="A235" s="69"/>
      <c r="B235" s="10"/>
      <c r="C235" s="10"/>
      <c r="D235" s="10"/>
      <c r="E235" s="141"/>
      <c r="F235" s="27"/>
      <c r="G235" s="27"/>
      <c r="H235" s="10"/>
      <c r="I235" s="10"/>
      <c r="J235" s="10"/>
      <c r="K235" s="10"/>
      <c r="L235" s="223"/>
      <c r="M235" s="10"/>
      <c r="N235" s="10"/>
      <c r="O235" s="10"/>
      <c r="P235" s="10"/>
      <c r="Q235" s="10"/>
      <c r="R235" s="10"/>
      <c r="S235" s="10"/>
      <c r="T235" s="10"/>
      <c r="U235" s="10"/>
      <c r="V235" s="10"/>
      <c r="W235" s="100"/>
      <c r="X235" s="10"/>
      <c r="Y235" s="10"/>
      <c r="Z235" s="10"/>
      <c r="AA235" s="10"/>
      <c r="AB235" s="101"/>
      <c r="BT235" s="211"/>
      <c r="BU235" s="211"/>
      <c r="BV235" s="211"/>
      <c r="BW235" s="211"/>
      <c r="BX235" s="211"/>
    </row>
    <row r="236" spans="1:86" s="163" customFormat="1">
      <c r="A236" s="69"/>
      <c r="B236" s="10"/>
      <c r="C236" s="10"/>
      <c r="D236" s="10"/>
      <c r="E236" s="141"/>
      <c r="F236" s="27"/>
      <c r="G236" s="27"/>
      <c r="H236" s="10"/>
      <c r="I236" s="10"/>
      <c r="J236" s="10"/>
      <c r="K236" s="10"/>
      <c r="L236" s="223"/>
      <c r="M236" s="10"/>
      <c r="N236" s="10"/>
      <c r="O236" s="10"/>
      <c r="P236" s="10"/>
      <c r="Q236" s="10"/>
      <c r="R236" s="10"/>
      <c r="W236" s="162"/>
      <c r="AB236" s="164"/>
      <c r="AC236" s="10"/>
      <c r="AD236" s="10"/>
      <c r="AE236" s="10"/>
      <c r="AF236" s="10"/>
      <c r="AG236" s="101"/>
      <c r="AH236" s="133"/>
      <c r="AI236" s="133"/>
      <c r="AJ236" s="133"/>
      <c r="AK236" s="136"/>
      <c r="AL236" s="133"/>
      <c r="AM236" s="133"/>
      <c r="AN236" s="133"/>
      <c r="AO236" s="136"/>
      <c r="AP236" s="133"/>
      <c r="AQ236" s="133"/>
      <c r="AR236" s="133"/>
      <c r="AS236" s="133"/>
      <c r="AT236" s="137"/>
      <c r="AU236" s="133"/>
      <c r="AV236" s="133"/>
      <c r="AW236" s="136"/>
      <c r="AX236" s="137"/>
      <c r="AY236" s="133"/>
      <c r="AZ236" s="133"/>
      <c r="BA236" s="133"/>
      <c r="BB236" s="137"/>
      <c r="BC236" s="133"/>
      <c r="BD236" s="133"/>
      <c r="BE236" s="136"/>
      <c r="BF236" s="133"/>
      <c r="BG236" s="133"/>
      <c r="BH236" s="133"/>
      <c r="BI236" s="136"/>
      <c r="BJ236" s="133"/>
      <c r="BK236" s="133"/>
      <c r="BL236" s="133"/>
      <c r="BM236" s="136"/>
      <c r="BN236" s="133"/>
      <c r="BO236" s="136"/>
      <c r="BP236" s="136"/>
      <c r="BQ236" s="3332"/>
      <c r="BR236" s="133"/>
      <c r="BS236" s="133"/>
      <c r="BT236" s="211"/>
      <c r="BU236" s="211"/>
      <c r="BV236" s="211"/>
      <c r="BW236" s="211"/>
      <c r="BX236" s="211"/>
      <c r="BY236" s="448"/>
      <c r="BZ236" s="159"/>
      <c r="CA236" s="137"/>
      <c r="CB236" s="162"/>
      <c r="CC236" s="162"/>
      <c r="CD236" s="162"/>
      <c r="CE236" s="162"/>
      <c r="CF236" s="162"/>
      <c r="CG236" s="3387"/>
      <c r="CH236" s="3387"/>
    </row>
    <row r="237" spans="1:86" s="163" customFormat="1">
      <c r="A237" s="69"/>
      <c r="B237" s="10"/>
      <c r="C237" s="10"/>
      <c r="D237" s="10"/>
      <c r="E237" s="432"/>
      <c r="F237" s="27"/>
      <c r="G237" s="27"/>
      <c r="H237" s="10"/>
      <c r="I237" s="10"/>
      <c r="J237" s="10"/>
      <c r="K237" s="10"/>
      <c r="L237" s="223"/>
      <c r="M237" s="10"/>
      <c r="N237" s="10"/>
      <c r="O237" s="10"/>
      <c r="P237" s="10"/>
      <c r="Q237" s="10"/>
      <c r="R237" s="10"/>
      <c r="W237" s="162"/>
      <c r="AB237" s="164"/>
      <c r="AC237" s="10"/>
      <c r="AD237" s="10"/>
      <c r="AE237" s="10"/>
      <c r="AF237" s="10"/>
      <c r="AG237" s="101"/>
      <c r="AH237" s="133"/>
      <c r="AI237" s="133"/>
      <c r="AJ237" s="133"/>
      <c r="AK237" s="136"/>
      <c r="AL237" s="133"/>
      <c r="AM237" s="133"/>
      <c r="AN237" s="133"/>
      <c r="AO237" s="136"/>
      <c r="AP237" s="133"/>
      <c r="AQ237" s="133"/>
      <c r="AR237" s="133"/>
      <c r="AS237" s="133"/>
      <c r="AT237" s="137"/>
      <c r="AU237" s="133"/>
      <c r="AV237" s="133"/>
      <c r="AW237" s="136"/>
      <c r="AX237" s="137"/>
      <c r="AY237" s="133"/>
      <c r="AZ237" s="133"/>
      <c r="BA237" s="133"/>
      <c r="BB237" s="137"/>
      <c r="BC237" s="133"/>
      <c r="BD237" s="133"/>
      <c r="BE237" s="136"/>
      <c r="BF237" s="133"/>
      <c r="BG237" s="133"/>
      <c r="BH237" s="133"/>
      <c r="BI237" s="136"/>
      <c r="BJ237" s="133"/>
      <c r="BK237" s="133"/>
      <c r="BL237" s="133"/>
      <c r="BM237" s="136"/>
      <c r="BN237" s="133"/>
      <c r="BO237" s="136"/>
      <c r="BP237" s="136"/>
      <c r="BQ237" s="3332"/>
      <c r="BR237" s="133"/>
      <c r="BS237" s="133"/>
      <c r="BT237" s="211"/>
      <c r="BU237" s="211"/>
      <c r="BV237" s="211"/>
      <c r="BW237" s="211"/>
      <c r="BX237" s="211"/>
      <c r="BY237" s="448"/>
      <c r="BZ237" s="159"/>
      <c r="CA237" s="137"/>
      <c r="CB237" s="162"/>
      <c r="CC237" s="162"/>
      <c r="CD237" s="162"/>
      <c r="CE237" s="162"/>
      <c r="CF237" s="162"/>
      <c r="CG237" s="3387"/>
      <c r="CH237" s="3387"/>
    </row>
    <row r="238" spans="1:86" ht="11.5">
      <c r="A238" s="161" t="s">
        <v>98</v>
      </c>
      <c r="B238" s="163"/>
      <c r="C238" s="163"/>
      <c r="D238" s="163"/>
      <c r="E238" s="164"/>
      <c r="F238" s="163"/>
      <c r="G238" s="163"/>
      <c r="H238" s="163"/>
      <c r="I238" s="163"/>
      <c r="J238" s="163"/>
      <c r="K238" s="163"/>
      <c r="L238" s="230"/>
      <c r="M238" s="163"/>
      <c r="N238" s="163"/>
      <c r="O238" s="163"/>
      <c r="P238" s="163"/>
      <c r="Q238" s="163"/>
      <c r="R238" s="163"/>
      <c r="S238" s="1"/>
      <c r="T238" s="1"/>
      <c r="U238" s="1"/>
      <c r="W238" s="17"/>
      <c r="X238" s="1"/>
      <c r="Y238" s="1"/>
      <c r="Z238" s="1"/>
      <c r="AA238" s="1"/>
      <c r="AB238" s="102"/>
      <c r="AC238" s="163"/>
      <c r="AD238" s="163"/>
      <c r="AE238" s="163"/>
      <c r="AF238" s="163"/>
      <c r="AG238" s="164"/>
      <c r="AH238" s="163"/>
      <c r="AI238" s="163"/>
      <c r="AJ238" s="163"/>
      <c r="AK238" s="164"/>
      <c r="AL238" s="163"/>
      <c r="AM238" s="163"/>
      <c r="AN238" s="163"/>
      <c r="AO238" s="164"/>
      <c r="AP238" s="163"/>
      <c r="AQ238" s="163"/>
      <c r="AR238" s="163"/>
      <c r="AS238" s="163"/>
      <c r="AT238" s="162"/>
      <c r="AU238" s="163"/>
      <c r="AV238" s="163"/>
      <c r="AW238" s="164"/>
      <c r="AX238" s="162"/>
      <c r="AY238" s="163"/>
      <c r="AZ238" s="163"/>
      <c r="BA238" s="163"/>
      <c r="BB238" s="162"/>
      <c r="BC238" s="163"/>
      <c r="BD238" s="163"/>
      <c r="BE238" s="164"/>
      <c r="BF238" s="163"/>
      <c r="BH238" s="163"/>
      <c r="BI238" s="164"/>
      <c r="BJ238" s="163"/>
      <c r="BK238" s="163"/>
      <c r="BL238" s="163"/>
      <c r="BM238" s="164"/>
      <c r="BN238" s="163"/>
      <c r="BO238" s="164"/>
      <c r="BP238" s="164"/>
      <c r="BQ238" s="3354"/>
      <c r="BR238" s="163"/>
      <c r="BS238" s="163"/>
      <c r="BT238" s="211"/>
      <c r="BU238" s="211"/>
      <c r="BV238" s="211"/>
      <c r="BW238" s="211"/>
      <c r="BX238" s="211"/>
      <c r="BY238" s="160"/>
      <c r="BZ238" s="160"/>
      <c r="CA238" s="162"/>
    </row>
    <row r="239" spans="1:86" s="473" customFormat="1" hidden="1">
      <c r="A239" s="66" t="s">
        <v>217</v>
      </c>
      <c r="B239" s="1"/>
      <c r="C239" s="1"/>
      <c r="D239" s="1"/>
      <c r="E239" s="102"/>
      <c r="F239" s="133"/>
      <c r="G239" s="1"/>
      <c r="H239" s="1"/>
      <c r="I239" s="1"/>
      <c r="J239" s="1"/>
      <c r="K239" s="1"/>
      <c r="L239" s="231"/>
      <c r="M239" s="1"/>
      <c r="N239" s="1"/>
      <c r="O239" s="1"/>
      <c r="P239" s="1"/>
      <c r="Q239" s="1"/>
      <c r="R239" s="1"/>
      <c r="S239" s="466"/>
      <c r="T239" s="466"/>
      <c r="U239" s="466"/>
      <c r="V239" s="466"/>
      <c r="W239" s="465" t="s">
        <v>156</v>
      </c>
      <c r="X239" s="211">
        <f t="shared" ref="X239:AB240" si="273">X53/W53-1</f>
        <v>0.1100000000000001</v>
      </c>
      <c r="Y239" s="211">
        <f t="shared" si="273"/>
        <v>0.29933613571415618</v>
      </c>
      <c r="Z239" s="211">
        <f t="shared" si="273"/>
        <v>-7.6451453156544447E-2</v>
      </c>
      <c r="AA239" s="211">
        <f t="shared" si="273"/>
        <v>0.49780528829494686</v>
      </c>
      <c r="AB239" s="446">
        <f t="shared" si="273"/>
        <v>0.17446828640629719</v>
      </c>
      <c r="AC239" s="1"/>
      <c r="AD239" s="1"/>
      <c r="AE239" s="1"/>
      <c r="AF239" s="1"/>
      <c r="AG239" s="102"/>
      <c r="AH239" s="133"/>
      <c r="AI239" s="133"/>
      <c r="AJ239" s="133"/>
      <c r="AK239" s="136"/>
      <c r="AL239" s="133"/>
      <c r="AM239" s="133"/>
      <c r="AN239" s="133"/>
      <c r="AO239" s="136"/>
      <c r="AP239" s="133"/>
      <c r="AQ239" s="133"/>
      <c r="AR239" s="133"/>
      <c r="AS239" s="133"/>
      <c r="AT239" s="137"/>
      <c r="AU239" s="133"/>
      <c r="AV239" s="133"/>
      <c r="AW239" s="136"/>
      <c r="AX239" s="137"/>
      <c r="AY239" s="133"/>
      <c r="AZ239" s="133"/>
      <c r="BA239" s="133"/>
      <c r="BB239" s="137"/>
      <c r="BC239" s="133"/>
      <c r="BD239" s="133"/>
      <c r="BE239" s="136"/>
      <c r="BF239" s="133"/>
      <c r="BG239" s="133"/>
      <c r="BH239" s="133"/>
      <c r="BI239" s="136"/>
      <c r="BJ239" s="133"/>
      <c r="BK239" s="133"/>
      <c r="BL239" s="133"/>
      <c r="BM239" s="136"/>
      <c r="BN239" s="133"/>
      <c r="BO239" s="136"/>
      <c r="BP239" s="136"/>
      <c r="BQ239" s="3332"/>
      <c r="BR239" s="133"/>
      <c r="BS239" s="133"/>
      <c r="BT239" s="133"/>
      <c r="BU239" s="133"/>
      <c r="BV239" s="133"/>
      <c r="BW239" s="133"/>
      <c r="BX239" s="133"/>
      <c r="BY239" s="66"/>
      <c r="BZ239" s="159"/>
      <c r="CA239" s="137"/>
      <c r="CB239" s="2819"/>
      <c r="CC239" s="2819"/>
      <c r="CD239" s="2819"/>
      <c r="CE239" s="2819"/>
      <c r="CF239" s="2819"/>
      <c r="CG239" s="3374"/>
      <c r="CH239" s="3374"/>
    </row>
    <row r="240" spans="1:86" s="473" customFormat="1" hidden="1">
      <c r="A240" s="476" t="s">
        <v>47</v>
      </c>
      <c r="B240" s="466" t="s">
        <v>156</v>
      </c>
      <c r="C240" s="211">
        <f t="shared" ref="C240:E241" si="274">C53/B53-1</f>
        <v>0.3960705585106381</v>
      </c>
      <c r="D240" s="211">
        <f t="shared" si="274"/>
        <v>0.35258054174203579</v>
      </c>
      <c r="E240" s="446">
        <f t="shared" si="274"/>
        <v>0.37523943661971826</v>
      </c>
      <c r="F240" s="487" t="s">
        <v>156</v>
      </c>
      <c r="G240" s="211"/>
      <c r="H240" s="466"/>
      <c r="I240" s="466"/>
      <c r="J240" s="466"/>
      <c r="K240" s="466"/>
      <c r="L240" s="468"/>
      <c r="M240" s="466"/>
      <c r="N240" s="466"/>
      <c r="O240" s="466"/>
      <c r="P240" s="466"/>
      <c r="Q240" s="466"/>
      <c r="R240" s="466"/>
      <c r="S240" s="466"/>
      <c r="T240" s="466"/>
      <c r="U240" s="466"/>
      <c r="V240" s="466"/>
      <c r="W240" s="465" t="s">
        <v>156</v>
      </c>
      <c r="X240" s="211">
        <f t="shared" si="273"/>
        <v>0.12000000000000011</v>
      </c>
      <c r="Y240" s="211">
        <f t="shared" si="273"/>
        <v>4.2175858854062831E-2</v>
      </c>
      <c r="Z240" s="211">
        <f t="shared" si="273"/>
        <v>-0.11723151886132033</v>
      </c>
      <c r="AA240" s="211">
        <f t="shared" si="273"/>
        <v>0.13963445848528577</v>
      </c>
      <c r="AB240" s="446">
        <f t="shared" si="273"/>
        <v>0.20802452316076292</v>
      </c>
      <c r="AC240" s="211"/>
      <c r="AD240" s="211"/>
      <c r="AE240" s="211"/>
      <c r="AF240" s="211"/>
      <c r="AG240" s="446">
        <f>AG53/AB53-1</f>
        <v>0.13408318553295939</v>
      </c>
      <c r="AH240" s="211"/>
      <c r="AI240" s="473">
        <f t="shared" ref="AI240:AK241" si="275">AI53/AD53-1</f>
        <v>0.15093407056073982</v>
      </c>
      <c r="AJ240" s="473">
        <f t="shared" si="275"/>
        <v>0.16541781898931407</v>
      </c>
      <c r="AK240" s="486">
        <f t="shared" si="275"/>
        <v>0.12186752961708569</v>
      </c>
      <c r="AL240" s="473">
        <f t="shared" ref="AL240:AN241" si="276">AL53/AH53-1</f>
        <v>0.10111644021105981</v>
      </c>
      <c r="AM240" s="473">
        <f t="shared" si="276"/>
        <v>0.12627280633936122</v>
      </c>
      <c r="AN240" s="473">
        <f t="shared" si="276"/>
        <v>0.10756030791832161</v>
      </c>
      <c r="AO240" s="486">
        <v>0.10212026035261945</v>
      </c>
      <c r="AP240" s="473">
        <f t="shared" ref="AP240:AT241" si="277">AP53/AL53-1</f>
        <v>0.12760288167373934</v>
      </c>
      <c r="AQ240" s="473">
        <f t="shared" si="277"/>
        <v>0.12036165502247065</v>
      </c>
      <c r="AR240" s="473">
        <f t="shared" si="277"/>
        <v>8.2105216396610503E-2</v>
      </c>
      <c r="AS240" s="473">
        <f t="shared" si="277"/>
        <v>-1</v>
      </c>
      <c r="AT240" s="2819">
        <f t="shared" si="277"/>
        <v>-1</v>
      </c>
      <c r="AW240" s="486"/>
      <c r="AX240" s="2819"/>
      <c r="BB240" s="2819"/>
      <c r="BE240" s="486"/>
      <c r="BI240" s="486"/>
      <c r="BM240" s="486"/>
      <c r="BO240" s="486"/>
      <c r="BP240" s="486"/>
      <c r="BQ240" s="3334"/>
      <c r="BY240" s="451">
        <f>BY53/AG53-1</f>
        <v>0.16852937563792381</v>
      </c>
      <c r="BZ240" s="489">
        <v>0.10961841078463164</v>
      </c>
      <c r="CA240" s="2819">
        <f>CA53/BZ53-1</f>
        <v>-1</v>
      </c>
      <c r="CB240" s="2819"/>
      <c r="CC240" s="2819"/>
      <c r="CD240" s="2819"/>
      <c r="CE240" s="2819"/>
      <c r="CF240" s="2819"/>
      <c r="CG240" s="3374"/>
      <c r="CH240" s="3374"/>
    </row>
    <row r="241" spans="1:86" s="473" customFormat="1" hidden="1">
      <c r="A241" s="476" t="s">
        <v>48</v>
      </c>
      <c r="B241" s="466" t="s">
        <v>156</v>
      </c>
      <c r="C241" s="211">
        <f t="shared" si="274"/>
        <v>0.32648008534850637</v>
      </c>
      <c r="D241" s="211">
        <f t="shared" si="274"/>
        <v>7.2368234093695971E-2</v>
      </c>
      <c r="E241" s="446">
        <f t="shared" si="274"/>
        <v>-6.7999999999999172E-3</v>
      </c>
      <c r="F241" s="487" t="s">
        <v>156</v>
      </c>
      <c r="G241" s="211">
        <f>G54/F54-1</f>
        <v>0.67070633461109019</v>
      </c>
      <c r="H241" s="466">
        <f>H54/G54-1</f>
        <v>0.48267366528383016</v>
      </c>
      <c r="I241" s="466">
        <f>I54/G54-1</f>
        <v>1.3720895862349987</v>
      </c>
      <c r="J241" s="466"/>
      <c r="K241" s="466"/>
      <c r="L241" s="468"/>
      <c r="M241" s="466"/>
      <c r="N241" s="466"/>
      <c r="O241" s="466"/>
      <c r="P241" s="466"/>
      <c r="Q241" s="466"/>
      <c r="R241" s="466"/>
      <c r="S241" s="466"/>
      <c r="T241" s="466"/>
      <c r="U241" s="466"/>
      <c r="V241" s="466"/>
      <c r="W241" s="465" t="s">
        <v>156</v>
      </c>
      <c r="X241" s="466" t="s">
        <v>156</v>
      </c>
      <c r="Y241" s="466" t="s">
        <v>156</v>
      </c>
      <c r="Z241" s="466" t="s">
        <v>156</v>
      </c>
      <c r="AA241" s="466" t="s">
        <v>156</v>
      </c>
      <c r="AB241" s="467" t="s">
        <v>156</v>
      </c>
      <c r="AC241" s="211"/>
      <c r="AD241" s="211"/>
      <c r="AE241" s="211"/>
      <c r="AF241" s="211"/>
      <c r="AG241" s="446">
        <f>AG54/AB54-1</f>
        <v>0.15051917372908918</v>
      </c>
      <c r="AH241" s="211"/>
      <c r="AI241" s="473">
        <f t="shared" si="275"/>
        <v>0.48583701732226658</v>
      </c>
      <c r="AJ241" s="473">
        <f t="shared" si="275"/>
        <v>0.5221783758227776</v>
      </c>
      <c r="AK241" s="486">
        <f t="shared" si="275"/>
        <v>-1.4227875615151042E-2</v>
      </c>
      <c r="AL241" s="473">
        <f t="shared" si="276"/>
        <v>4.5189476044940058E-2</v>
      </c>
      <c r="AM241" s="473">
        <f t="shared" si="276"/>
        <v>4.6814116264069838E-2</v>
      </c>
      <c r="AN241" s="473">
        <f t="shared" si="276"/>
        <v>-0.13809303325771405</v>
      </c>
      <c r="AO241" s="486">
        <v>0.10797897754419505</v>
      </c>
      <c r="AP241" s="473">
        <f t="shared" si="277"/>
        <v>0.14572864321608048</v>
      </c>
      <c r="AQ241" s="473">
        <f t="shared" si="277"/>
        <v>0.11368909512761016</v>
      </c>
      <c r="AR241" s="473">
        <f t="shared" si="277"/>
        <v>0.10451786918408645</v>
      </c>
      <c r="AS241" s="473">
        <f t="shared" si="277"/>
        <v>-1</v>
      </c>
      <c r="AT241" s="2819">
        <f t="shared" si="277"/>
        <v>-1</v>
      </c>
      <c r="AW241" s="486"/>
      <c r="AX241" s="2819"/>
      <c r="BB241" s="2819"/>
      <c r="BE241" s="486"/>
      <c r="BI241" s="486"/>
      <c r="BM241" s="486"/>
      <c r="BO241" s="486"/>
      <c r="BP241" s="486"/>
      <c r="BQ241" s="3334"/>
      <c r="BY241" s="451">
        <f>BY54/AG54-1</f>
        <v>0.47220690695219414</v>
      </c>
      <c r="BZ241" s="489">
        <v>1.0606826081487331E-2</v>
      </c>
      <c r="CA241" s="2819">
        <f>CA54/BZ54-1</f>
        <v>-1</v>
      </c>
      <c r="CB241" s="2819"/>
      <c r="CC241" s="2819"/>
      <c r="CD241" s="2819"/>
      <c r="CE241" s="2819"/>
      <c r="CF241" s="2819"/>
      <c r="CG241" s="3374"/>
      <c r="CH241" s="3374"/>
    </row>
    <row r="242" spans="1:86" s="473" customFormat="1" hidden="1">
      <c r="A242" s="476" t="s">
        <v>1012</v>
      </c>
      <c r="B242" s="466" t="s">
        <v>156</v>
      </c>
      <c r="C242" s="466" t="s">
        <v>156</v>
      </c>
      <c r="D242" s="466" t="s">
        <v>156</v>
      </c>
      <c r="E242" s="467" t="s">
        <v>12</v>
      </c>
      <c r="F242" s="487" t="s">
        <v>156</v>
      </c>
      <c r="G242" s="211">
        <f>G55/F55-1</f>
        <v>3.4245913411135698E-2</v>
      </c>
      <c r="H242" s="466">
        <f>H55/G55-1</f>
        <v>0.48262269711979977</v>
      </c>
      <c r="I242" s="466">
        <f>I55/G55-1</f>
        <v>1.3206605621360654</v>
      </c>
      <c r="J242" s="466"/>
      <c r="K242" s="466"/>
      <c r="L242" s="468"/>
      <c r="M242" s="466"/>
      <c r="N242" s="466"/>
      <c r="O242" s="466"/>
      <c r="P242" s="466"/>
      <c r="Q242" s="466"/>
      <c r="R242" s="466"/>
      <c r="S242" s="466"/>
      <c r="T242" s="466"/>
      <c r="U242" s="466"/>
      <c r="V242" s="466"/>
      <c r="W242" s="465" t="s">
        <v>156</v>
      </c>
      <c r="X242" s="466" t="s">
        <v>156</v>
      </c>
      <c r="Y242" s="466" t="s">
        <v>156</v>
      </c>
      <c r="Z242" s="466" t="s">
        <v>156</v>
      </c>
      <c r="AA242" s="466" t="s">
        <v>156</v>
      </c>
      <c r="AB242" s="467" t="s">
        <v>156</v>
      </c>
      <c r="AC242" s="466"/>
      <c r="AD242" s="466"/>
      <c r="AE242" s="466"/>
      <c r="AF242" s="466"/>
      <c r="AG242" s="467" t="s">
        <v>156</v>
      </c>
      <c r="AH242" s="466"/>
      <c r="AI242" s="466" t="s">
        <v>156</v>
      </c>
      <c r="AJ242" s="466" t="s">
        <v>156</v>
      </c>
      <c r="AK242" s="486" t="s">
        <v>156</v>
      </c>
      <c r="AL242" s="473" t="s">
        <v>156</v>
      </c>
      <c r="AM242" s="473" t="s">
        <v>156</v>
      </c>
      <c r="AN242" s="473" t="s">
        <v>156</v>
      </c>
      <c r="AO242" s="486" t="s">
        <v>12</v>
      </c>
      <c r="AP242" s="473" t="s">
        <v>140</v>
      </c>
      <c r="AQ242" s="473" t="s">
        <v>140</v>
      </c>
      <c r="AR242" s="473" t="s">
        <v>140</v>
      </c>
      <c r="AS242" s="473" t="s">
        <v>140</v>
      </c>
      <c r="AT242" s="2819" t="s">
        <v>12</v>
      </c>
      <c r="AW242" s="486"/>
      <c r="AX242" s="2819"/>
      <c r="BB242" s="2819"/>
      <c r="BE242" s="486"/>
      <c r="BI242" s="486"/>
      <c r="BM242" s="486"/>
      <c r="BO242" s="486"/>
      <c r="BP242" s="486"/>
      <c r="BQ242" s="3334"/>
      <c r="BY242" s="2897" t="s">
        <v>156</v>
      </c>
      <c r="BZ242" s="489" t="s">
        <v>12</v>
      </c>
      <c r="CA242" s="2819" t="s">
        <v>140</v>
      </c>
      <c r="CB242" s="2819"/>
      <c r="CC242" s="2819"/>
      <c r="CD242" s="2819"/>
      <c r="CE242" s="2819"/>
      <c r="CF242" s="2819"/>
      <c r="CG242" s="3374"/>
      <c r="CH242" s="3374"/>
    </row>
    <row r="243" spans="1:86" s="473" customFormat="1" hidden="1">
      <c r="A243" s="476" t="s">
        <v>1013</v>
      </c>
      <c r="B243" s="466" t="s">
        <v>156</v>
      </c>
      <c r="C243" s="466" t="s">
        <v>156</v>
      </c>
      <c r="D243" s="466" t="s">
        <v>156</v>
      </c>
      <c r="E243" s="467" t="s">
        <v>12</v>
      </c>
      <c r="F243" s="487" t="s">
        <v>156</v>
      </c>
      <c r="G243" s="211"/>
      <c r="H243" s="466"/>
      <c r="I243" s="466"/>
      <c r="J243" s="466"/>
      <c r="K243" s="466"/>
      <c r="L243" s="468"/>
      <c r="M243" s="466"/>
      <c r="N243" s="466"/>
      <c r="O243" s="466"/>
      <c r="P243" s="466"/>
      <c r="Q243" s="466"/>
      <c r="R243" s="466"/>
      <c r="S243" s="466"/>
      <c r="T243" s="466"/>
      <c r="U243" s="466"/>
      <c r="V243" s="466"/>
      <c r="W243" s="465" t="s">
        <v>156</v>
      </c>
      <c r="X243" s="211">
        <f>X57/W57-1</f>
        <v>0.3600000000000001</v>
      </c>
      <c r="Y243" s="211">
        <f>Y57/X57-1</f>
        <v>-0.25662980697122784</v>
      </c>
      <c r="Z243" s="211">
        <f>Z57/Y57-1</f>
        <v>0.61426972893646004</v>
      </c>
      <c r="AA243" s="211">
        <f>AA57/Z57-1</f>
        <v>8.1381748139066623E-3</v>
      </c>
      <c r="AB243" s="446">
        <f>AB57/AA57-1</f>
        <v>0.32882697547683915</v>
      </c>
      <c r="AC243" s="466"/>
      <c r="AD243" s="466"/>
      <c r="AE243" s="466"/>
      <c r="AF243" s="466"/>
      <c r="AG243" s="467" t="s">
        <v>156</v>
      </c>
      <c r="AH243" s="466"/>
      <c r="AI243" s="466" t="s">
        <v>156</v>
      </c>
      <c r="AJ243" s="466" t="s">
        <v>156</v>
      </c>
      <c r="AK243" s="486" t="s">
        <v>156</v>
      </c>
      <c r="AL243" s="473" t="s">
        <v>156</v>
      </c>
      <c r="AM243" s="473" t="s">
        <v>156</v>
      </c>
      <c r="AN243" s="473" t="s">
        <v>156</v>
      </c>
      <c r="AO243" s="486" t="s">
        <v>12</v>
      </c>
      <c r="AP243" s="473" t="s">
        <v>140</v>
      </c>
      <c r="AQ243" s="473" t="s">
        <v>140</v>
      </c>
      <c r="AR243" s="473" t="s">
        <v>140</v>
      </c>
      <c r="AS243" s="473" t="s">
        <v>140</v>
      </c>
      <c r="AT243" s="2819" t="s">
        <v>12</v>
      </c>
      <c r="AW243" s="486"/>
      <c r="AX243" s="2819"/>
      <c r="BB243" s="2819"/>
      <c r="BE243" s="486"/>
      <c r="BI243" s="486"/>
      <c r="BM243" s="486"/>
      <c r="BO243" s="486"/>
      <c r="BP243" s="486"/>
      <c r="BQ243" s="3334"/>
      <c r="BY243" s="2897" t="s">
        <v>156</v>
      </c>
      <c r="BZ243" s="489" t="s">
        <v>12</v>
      </c>
      <c r="CA243" s="2819" t="s">
        <v>140</v>
      </c>
      <c r="CB243" s="2819"/>
      <c r="CC243" s="2819"/>
      <c r="CD243" s="2819"/>
      <c r="CE243" s="2819"/>
      <c r="CF243" s="2819"/>
      <c r="CG243" s="3374"/>
      <c r="CH243" s="3374"/>
    </row>
    <row r="244" spans="1:86" s="473" customFormat="1" hidden="1">
      <c r="A244" s="476" t="s">
        <v>669</v>
      </c>
      <c r="B244" s="466" t="s">
        <v>156</v>
      </c>
      <c r="C244" s="211">
        <f>C57/B57-1</f>
        <v>0.6502589743589744</v>
      </c>
      <c r="D244" s="211">
        <f>D57/C57-1</f>
        <v>0.24300614821916078</v>
      </c>
      <c r="E244" s="446">
        <f>E57/D57-1</f>
        <v>0.30687500000000001</v>
      </c>
      <c r="F244" s="487" t="s">
        <v>156</v>
      </c>
      <c r="G244" s="211"/>
      <c r="H244" s="466"/>
      <c r="I244" s="466"/>
      <c r="J244" s="466"/>
      <c r="K244" s="466"/>
      <c r="L244" s="468"/>
      <c r="M244" s="466"/>
      <c r="N244" s="466"/>
      <c r="O244" s="466"/>
      <c r="P244" s="466"/>
      <c r="Q244" s="466"/>
      <c r="R244" s="466"/>
      <c r="S244" s="211"/>
      <c r="T244" s="211"/>
      <c r="U244" s="211"/>
      <c r="V244" s="211"/>
      <c r="W244" s="465" t="s">
        <v>156</v>
      </c>
      <c r="X244" s="211">
        <f>X59/W59-1</f>
        <v>2.6466235324450693E-2</v>
      </c>
      <c r="Y244" s="211">
        <f>Y62/X62-1</f>
        <v>0.1369191187498866</v>
      </c>
      <c r="Z244" s="211">
        <f>Z62/Y62-1</f>
        <v>0.16855218412013429</v>
      </c>
      <c r="AA244" s="211">
        <f>AA62/Z62-1</f>
        <v>0.18376904023400464</v>
      </c>
      <c r="AB244" s="446">
        <v>0.21</v>
      </c>
      <c r="AC244" s="211"/>
      <c r="AD244" s="211"/>
      <c r="AE244" s="211"/>
      <c r="AF244" s="211"/>
      <c r="AG244" s="446">
        <f>AG57/AB57-1</f>
        <v>0.20281549980768432</v>
      </c>
      <c r="AH244" s="211"/>
      <c r="AI244" s="473">
        <f>AI57/AD57-1</f>
        <v>0.80101456645123204</v>
      </c>
      <c r="AJ244" s="473">
        <f>AJ57/AE57-1</f>
        <v>0.3319060788449304</v>
      </c>
      <c r="AK244" s="486">
        <f>AK57/AF57-1</f>
        <v>0.23221515548106142</v>
      </c>
      <c r="AL244" s="473">
        <f>AL57/AH57-1</f>
        <v>-3.5728418874668377E-2</v>
      </c>
      <c r="AM244" s="473">
        <f>AM57/AI57-1</f>
        <v>-0.48967811832126595</v>
      </c>
      <c r="AN244" s="473">
        <f>AN57/AJ57-1</f>
        <v>-0.28858472586350981</v>
      </c>
      <c r="AO244" s="486">
        <v>0.10797897754419483</v>
      </c>
      <c r="AP244" s="473">
        <f>AP57/AL57-1</f>
        <v>-0.33900270583687675</v>
      </c>
      <c r="AQ244" s="473">
        <f>AQ57/AM57-1</f>
        <v>0.11368909512761038</v>
      </c>
      <c r="AR244" s="473">
        <f>AR57/AN57-1</f>
        <v>0.10451786918408623</v>
      </c>
      <c r="AS244" s="473">
        <f>AS57/AO57-1</f>
        <v>-1</v>
      </c>
      <c r="AT244" s="2819">
        <f>AT57/AP57-1</f>
        <v>-1</v>
      </c>
      <c r="AW244" s="486"/>
      <c r="AX244" s="2819"/>
      <c r="BB244" s="2819"/>
      <c r="BE244" s="486"/>
      <c r="BI244" s="486"/>
      <c r="BM244" s="486"/>
      <c r="BO244" s="486"/>
      <c r="BP244" s="486"/>
      <c r="BQ244" s="3334"/>
      <c r="BY244" s="451">
        <f>BY57/AG57-1</f>
        <v>0.48995079763692262</v>
      </c>
      <c r="BZ244" s="489">
        <v>6.9892417896662895E-2</v>
      </c>
      <c r="CA244" s="2819">
        <f>CA57/BZ57-1</f>
        <v>-1</v>
      </c>
      <c r="CB244" s="2819"/>
      <c r="CC244" s="2819"/>
      <c r="CD244" s="2819"/>
      <c r="CE244" s="2819"/>
      <c r="CF244" s="2819"/>
      <c r="CG244" s="3374"/>
      <c r="CH244" s="3374"/>
    </row>
    <row r="245" spans="1:86" s="1827" customFormat="1">
      <c r="A245" s="3323" t="s">
        <v>757</v>
      </c>
      <c r="B245" s="3324" t="s">
        <v>156</v>
      </c>
      <c r="C245" s="1945">
        <f>C59/B59-1</f>
        <v>0.39630260979121656</v>
      </c>
      <c r="D245" s="1945">
        <f>D59/C59-1</f>
        <v>0.27612556111337616</v>
      </c>
      <c r="E245" s="3325">
        <f>E59/D59-1</f>
        <v>0.29253535353535343</v>
      </c>
      <c r="F245" s="3326" t="s">
        <v>156</v>
      </c>
      <c r="G245" s="1945">
        <f>G59/F59-1</f>
        <v>0.21893701806174026</v>
      </c>
      <c r="H245" s="1945">
        <f>H59/G59-1</f>
        <v>0.49259310107493004</v>
      </c>
      <c r="I245" s="1945">
        <f>I59/G59-1</f>
        <v>1.3527857028021204</v>
      </c>
      <c r="J245" s="1945"/>
      <c r="K245" s="1945"/>
      <c r="L245" s="3325"/>
      <c r="M245" s="3324"/>
      <c r="N245" s="3324"/>
      <c r="O245" s="3324"/>
      <c r="P245" s="3324"/>
      <c r="Q245" s="1945"/>
      <c r="R245" s="1945"/>
      <c r="S245" s="1945"/>
      <c r="T245" s="1945"/>
      <c r="U245" s="1945"/>
      <c r="V245" s="1945"/>
      <c r="W245" s="3327"/>
      <c r="X245" s="1945"/>
      <c r="Y245" s="1945">
        <v>0.11</v>
      </c>
      <c r="Z245" s="1945">
        <v>0.19</v>
      </c>
      <c r="AA245" s="1945">
        <v>0.19</v>
      </c>
      <c r="AB245" s="3325">
        <v>0.21</v>
      </c>
      <c r="AC245" s="1945">
        <v>0.14000000000000001</v>
      </c>
      <c r="AD245" s="1945">
        <v>0.15</v>
      </c>
      <c r="AE245" s="1945">
        <v>0.16</v>
      </c>
      <c r="AF245" s="1945">
        <v>0.28999999999999998</v>
      </c>
      <c r="AG245" s="3325">
        <v>0.19</v>
      </c>
      <c r="AH245" s="1945">
        <v>0.42</v>
      </c>
      <c r="AI245" s="3328">
        <v>0.32</v>
      </c>
      <c r="AJ245" s="3328">
        <v>0.33</v>
      </c>
      <c r="AK245" s="3329">
        <v>0.23</v>
      </c>
      <c r="AL245" s="3328">
        <v>0.15</v>
      </c>
      <c r="AM245" s="3328">
        <v>0.18</v>
      </c>
      <c r="AN245" s="3328">
        <v>0.15</v>
      </c>
      <c r="AO245" s="3329">
        <v>0.11</v>
      </c>
      <c r="AP245" s="3328">
        <v>0.11</v>
      </c>
      <c r="AQ245" s="3328">
        <v>0.11</v>
      </c>
      <c r="AR245" s="3328">
        <v>0.1</v>
      </c>
      <c r="AS245" s="3328">
        <v>0.1</v>
      </c>
      <c r="AT245" s="3330">
        <v>0.04</v>
      </c>
      <c r="AU245" s="3328">
        <v>0.09</v>
      </c>
      <c r="AV245" s="3328">
        <v>0.09</v>
      </c>
      <c r="AW245" s="3329">
        <v>7.0000000000000007E-2</v>
      </c>
      <c r="AX245" s="3330">
        <v>-0.15</v>
      </c>
      <c r="AY245" s="3328">
        <v>-0.82</v>
      </c>
      <c r="AZ245" s="3328">
        <v>-0.57999999999999996</v>
      </c>
      <c r="BA245" s="3328">
        <v>-0.67</v>
      </c>
      <c r="BB245" s="3330">
        <v>-0.44</v>
      </c>
      <c r="BC245" s="3328">
        <v>2.73</v>
      </c>
      <c r="BD245" s="3328">
        <v>0.97</v>
      </c>
      <c r="BE245" s="3329">
        <v>1.48</v>
      </c>
      <c r="BF245" s="3328">
        <v>0.81</v>
      </c>
      <c r="BG245" s="3328">
        <v>0.51</v>
      </c>
      <c r="BH245" s="3328">
        <v>0.28000000000000003</v>
      </c>
      <c r="BI245" s="3329">
        <v>0.15</v>
      </c>
      <c r="BJ245" s="3328">
        <f t="shared" ref="BJ245:BW245" si="278">BJ59/BF59-1</f>
        <v>0.18497109826589586</v>
      </c>
      <c r="BK245" s="3328">
        <f t="shared" si="278"/>
        <v>5.5642879597610717E-2</v>
      </c>
      <c r="BL245" s="3328">
        <f t="shared" si="278"/>
        <v>8.5659021829234572E-2</v>
      </c>
      <c r="BM245" s="3328">
        <f t="shared" si="278"/>
        <v>0.1027501909854851</v>
      </c>
      <c r="BN245" s="1827">
        <f t="shared" si="278"/>
        <v>8.405253283302061E-2</v>
      </c>
      <c r="BO245" s="1827">
        <f t="shared" si="278"/>
        <v>5.9559261465157887E-2</v>
      </c>
      <c r="BP245" s="3328">
        <f t="shared" si="278"/>
        <v>3.3341817256299366E-2</v>
      </c>
      <c r="BQ245" s="3485">
        <f t="shared" si="278"/>
        <v>0.10287495670245939</v>
      </c>
      <c r="BR245" s="3328">
        <f t="shared" si="278"/>
        <v>3.4267912772585563E-2</v>
      </c>
      <c r="BS245" s="3328">
        <f t="shared" si="278"/>
        <v>6.4080944350758839E-2</v>
      </c>
      <c r="BT245" s="3328">
        <f t="shared" si="278"/>
        <v>8.6699507389162545E-2</v>
      </c>
      <c r="BU245" s="3328">
        <f t="shared" si="278"/>
        <v>0.11400753768844218</v>
      </c>
      <c r="BV245" s="3328">
        <f t="shared" si="278"/>
        <v>0.14658634538152615</v>
      </c>
      <c r="BW245" s="3328">
        <f t="shared" si="278"/>
        <v>0.13972530375066028</v>
      </c>
      <c r="BX245" s="3328"/>
      <c r="BY245" s="1784">
        <v>0.31</v>
      </c>
      <c r="BZ245" s="1913">
        <v>0.15</v>
      </c>
      <c r="CA245" s="2842">
        <v>0.12</v>
      </c>
      <c r="CB245" s="2842">
        <v>0.08</v>
      </c>
      <c r="CC245" s="2842">
        <f t="shared" ref="CC245:CH245" si="279">CC59/CB59-1</f>
        <v>-0.56915554818927649</v>
      </c>
      <c r="CD245" s="2842">
        <f t="shared" si="279"/>
        <v>0.6537795729948066</v>
      </c>
      <c r="CE245" s="3162">
        <f t="shared" si="279"/>
        <v>0.35694347522679704</v>
      </c>
      <c r="CF245" s="3162">
        <f t="shared" si="279"/>
        <v>0.1004542727350648</v>
      </c>
      <c r="CG245" s="3162">
        <f t="shared" si="279"/>
        <v>6.6360308435236437E-2</v>
      </c>
      <c r="CH245" s="3162">
        <f t="shared" si="279"/>
        <v>7.6108392374552691E-2</v>
      </c>
    </row>
    <row r="246" spans="1:86" s="1827" customFormat="1">
      <c r="A246" s="642" t="s">
        <v>684</v>
      </c>
      <c r="B246" s="1805"/>
      <c r="C246" s="1780"/>
      <c r="D246" s="1780"/>
      <c r="E246" s="1781"/>
      <c r="F246" s="1910"/>
      <c r="G246" s="1780"/>
      <c r="H246" s="1780"/>
      <c r="I246" s="1780"/>
      <c r="J246" s="1780"/>
      <c r="K246" s="1780"/>
      <c r="L246" s="1781"/>
      <c r="M246" s="1805"/>
      <c r="N246" s="1805"/>
      <c r="O246" s="1805"/>
      <c r="P246" s="1805"/>
      <c r="Q246" s="1780"/>
      <c r="R246" s="1780"/>
      <c r="S246" s="1805"/>
      <c r="T246" s="1805"/>
      <c r="U246" s="1805"/>
      <c r="V246" s="1805"/>
      <c r="W246" s="1911" t="s">
        <v>156</v>
      </c>
      <c r="X246" s="1805" t="s">
        <v>156</v>
      </c>
      <c r="Y246" s="1805" t="s">
        <v>156</v>
      </c>
      <c r="Z246" s="1805" t="s">
        <v>156</v>
      </c>
      <c r="AA246" s="1805" t="s">
        <v>156</v>
      </c>
      <c r="AB246" s="1914" t="s">
        <v>156</v>
      </c>
      <c r="AC246" s="1780">
        <v>0.23</v>
      </c>
      <c r="AD246" s="1780">
        <v>0.25</v>
      </c>
      <c r="AE246" s="1780">
        <v>0.27</v>
      </c>
      <c r="AF246" s="1780">
        <v>0.34</v>
      </c>
      <c r="AG246" s="1781">
        <v>0.28000000000000003</v>
      </c>
      <c r="AH246" s="1780">
        <v>0.44</v>
      </c>
      <c r="AI246" s="1827">
        <v>0.32</v>
      </c>
      <c r="AJ246" s="1827">
        <v>0.33</v>
      </c>
      <c r="AK246" s="1912">
        <v>0.24</v>
      </c>
      <c r="AL246" s="1827">
        <v>0.15</v>
      </c>
      <c r="AM246" s="1827">
        <v>0.2</v>
      </c>
      <c r="AN246" s="1827">
        <v>0.13</v>
      </c>
      <c r="AO246" s="1912">
        <v>0.08</v>
      </c>
      <c r="AP246" s="1827">
        <v>0.15</v>
      </c>
      <c r="AQ246" s="1827">
        <v>0.08</v>
      </c>
      <c r="AR246" s="1827">
        <v>0.11</v>
      </c>
      <c r="AS246" s="1827">
        <v>0.12</v>
      </c>
      <c r="AT246" s="2842">
        <v>7.0000000000000007E-2</v>
      </c>
      <c r="AU246" s="1827">
        <v>0.12</v>
      </c>
      <c r="AV246" s="1827">
        <v>0.09</v>
      </c>
      <c r="AW246" s="1912">
        <v>0.08</v>
      </c>
      <c r="AX246" s="2842">
        <v>-0.15</v>
      </c>
      <c r="AY246" s="1827">
        <v>-0.82</v>
      </c>
      <c r="AZ246" s="1827">
        <v>-0.57999999999999996</v>
      </c>
      <c r="BA246" s="1827">
        <v>-0.67</v>
      </c>
      <c r="BB246" s="2842">
        <v>-0.44</v>
      </c>
      <c r="BC246" s="1827">
        <v>2.73</v>
      </c>
      <c r="BD246" s="1827">
        <v>0.97</v>
      </c>
      <c r="BE246" s="1912">
        <v>1.48</v>
      </c>
      <c r="BF246" s="1827">
        <v>0.81</v>
      </c>
      <c r="BG246" s="1827">
        <v>0.51</v>
      </c>
      <c r="BH246" s="1827">
        <v>0.28000000000000003</v>
      </c>
      <c r="BI246" s="1912">
        <v>0.15</v>
      </c>
      <c r="BJ246" s="1827">
        <v>0.185</v>
      </c>
      <c r="BK246" s="1827">
        <v>5.6000000000000001E-2</v>
      </c>
      <c r="BL246" s="1827">
        <v>8.5999999999999993E-2</v>
      </c>
      <c r="BM246" s="1827">
        <v>0.10299999999999999</v>
      </c>
      <c r="BO246" s="1483"/>
      <c r="BP246" s="1483"/>
      <c r="BQ246" s="3355"/>
      <c r="BY246" s="1784">
        <v>0.31</v>
      </c>
      <c r="BZ246" s="1913">
        <v>0.15</v>
      </c>
      <c r="CA246" s="2842">
        <v>0.1</v>
      </c>
      <c r="CB246" s="2842">
        <v>0.09</v>
      </c>
      <c r="CC246" s="2842"/>
      <c r="CD246" s="2842"/>
      <c r="CE246" s="2842"/>
      <c r="CF246" s="2842"/>
      <c r="CG246" s="3388"/>
      <c r="CH246" s="3388"/>
    </row>
    <row r="247" spans="1:86" s="1827" customFormat="1">
      <c r="A247" s="2956" t="s">
        <v>2715</v>
      </c>
      <c r="B247" s="1805"/>
      <c r="C247" s="1780"/>
      <c r="D247" s="1780"/>
      <c r="E247" s="1781"/>
      <c r="F247" s="1910"/>
      <c r="G247" s="1780"/>
      <c r="H247" s="1780"/>
      <c r="I247" s="1780"/>
      <c r="J247" s="1780"/>
      <c r="K247" s="1780"/>
      <c r="L247" s="1781"/>
      <c r="M247" s="1805"/>
      <c r="N247" s="1805"/>
      <c r="O247" s="1805"/>
      <c r="P247" s="1805"/>
      <c r="Q247" s="1780"/>
      <c r="R247" s="1780"/>
      <c r="S247" s="1805"/>
      <c r="T247" s="1805"/>
      <c r="U247" s="1805"/>
      <c r="V247" s="1805"/>
      <c r="W247" s="1911"/>
      <c r="X247" s="1805"/>
      <c r="Y247" s="1805"/>
      <c r="Z247" s="1805"/>
      <c r="AA247" s="1805"/>
      <c r="AB247" s="1914"/>
      <c r="AC247" s="1780"/>
      <c r="AD247" s="1780"/>
      <c r="AE247" s="1780"/>
      <c r="AF247" s="1780"/>
      <c r="AG247" s="1780"/>
      <c r="AH247" s="1780"/>
      <c r="AK247" s="1912"/>
      <c r="AO247" s="1912"/>
      <c r="AT247" s="2842"/>
      <c r="AW247" s="1912"/>
      <c r="AX247" s="2842"/>
      <c r="BB247" s="2959">
        <f>BB59/AT59-1</f>
        <v>-0.52242238405519359</v>
      </c>
      <c r="BC247" s="2960">
        <f>BC59/AU59-1</f>
        <v>-0.33047890897557886</v>
      </c>
      <c r="BD247" s="2960">
        <f>BD59/AV59-1</f>
        <v>-0.16750983698707134</v>
      </c>
      <c r="BE247" s="3000">
        <f>BE59/AW59-1</f>
        <v>-0.17036767382599194</v>
      </c>
      <c r="BF247" s="2996">
        <f>BF59/AT59-1</f>
        <v>-0.13798390187811427</v>
      </c>
      <c r="BG247" s="2996">
        <f>BG59/AU59-1</f>
        <v>8.8804313352361941E-3</v>
      </c>
      <c r="BH247" s="2996">
        <f>BH59/AV59-1</f>
        <v>1.7144463181562708E-2</v>
      </c>
      <c r="BI247" s="3029">
        <f>BI59/AW59-1</f>
        <v>-4.6960320349472173E-2</v>
      </c>
      <c r="BJ247" s="2996">
        <f>BJ59/AT59-1</f>
        <v>2.146416251437322E-2</v>
      </c>
      <c r="BK247" s="2996">
        <f>BK59/AU59-1</f>
        <v>6.5017443704408429E-2</v>
      </c>
      <c r="BL247" s="2996">
        <f>BL59/AV59-1</f>
        <v>0.10427206295671732</v>
      </c>
      <c r="BM247" s="2996">
        <f>BM59/AW59-1</f>
        <v>5.0964688751365061E-2</v>
      </c>
      <c r="BN247" s="2996"/>
      <c r="BO247" s="2996">
        <f>BO59/AU59-1</f>
        <v>0.12844909609895327</v>
      </c>
      <c r="BP247" s="2996">
        <f>BP59/AV59-1</f>
        <v>0.14109050028105674</v>
      </c>
      <c r="BQ247" s="3356">
        <f>BQ59/AW59-1</f>
        <v>0.15908263560247549</v>
      </c>
      <c r="BR247" s="2996"/>
      <c r="BS247" s="2996"/>
      <c r="BT247" s="2996"/>
      <c r="BU247" s="2996"/>
      <c r="BV247" s="2996"/>
      <c r="BW247" s="2996"/>
      <c r="BX247" s="3328"/>
      <c r="BY247" s="1784"/>
      <c r="BZ247" s="1913"/>
      <c r="CA247" s="2842"/>
      <c r="CB247" s="2842"/>
      <c r="CC247" s="2842"/>
      <c r="CD247" s="2960">
        <f>CD59/CB59-1</f>
        <v>-0.28747824645728015</v>
      </c>
      <c r="CE247" s="2960">
        <f>CE59/CC59-1</f>
        <v>1.2440854010386615</v>
      </c>
      <c r="CF247" s="2960">
        <f>CF59/CD59-1</f>
        <v>0.49325424517329619</v>
      </c>
      <c r="CG247" s="3389">
        <f>CG59/CE59-1</f>
        <v>0.17348075769263738</v>
      </c>
      <c r="CH247" s="3389">
        <f>CH59/CF59-1</f>
        <v>0.14751927720227442</v>
      </c>
    </row>
    <row r="248" spans="1:86" s="988" customFormat="1">
      <c r="A248" s="476" t="s">
        <v>1014</v>
      </c>
      <c r="B248" s="986" t="s">
        <v>156</v>
      </c>
      <c r="C248" s="987">
        <f t="shared" ref="C248:E249" si="280">C61/B61-1</f>
        <v>0.43877003154574146</v>
      </c>
      <c r="D248" s="987">
        <f t="shared" si="280"/>
        <v>0.31552954120249477</v>
      </c>
      <c r="E248" s="468">
        <f t="shared" si="280"/>
        <v>0.41683333333333317</v>
      </c>
      <c r="F248" s="1526" t="s">
        <v>156</v>
      </c>
      <c r="G248" s="987"/>
      <c r="H248" s="986"/>
      <c r="I248" s="986"/>
      <c r="J248" s="986"/>
      <c r="K248" s="986"/>
      <c r="L248" s="468"/>
      <c r="M248" s="986"/>
      <c r="N248" s="986"/>
      <c r="O248" s="986"/>
      <c r="P248" s="986"/>
      <c r="Q248" s="986"/>
      <c r="R248" s="986"/>
      <c r="S248" s="986"/>
      <c r="T248" s="986"/>
      <c r="U248" s="986"/>
      <c r="V248" s="986"/>
      <c r="W248" s="1527" t="s">
        <v>156</v>
      </c>
      <c r="X248" s="986" t="s">
        <v>156</v>
      </c>
      <c r="Y248" s="986" t="s">
        <v>156</v>
      </c>
      <c r="Z248" s="986" t="s">
        <v>156</v>
      </c>
      <c r="AA248" s="986" t="s">
        <v>156</v>
      </c>
      <c r="AB248" s="477" t="s">
        <v>156</v>
      </c>
      <c r="AK248" s="989"/>
      <c r="AO248" s="989"/>
      <c r="AT248" s="2829"/>
      <c r="AW248" s="989"/>
      <c r="AX248" s="2829"/>
      <c r="BB248" s="2829"/>
      <c r="BE248" s="989"/>
      <c r="BI248" s="989"/>
      <c r="BM248" s="989"/>
      <c r="BO248" s="989"/>
      <c r="BP248" s="989"/>
      <c r="BQ248" s="3335"/>
      <c r="BY248" s="1009"/>
      <c r="BZ248" s="1009"/>
      <c r="CA248" s="2829"/>
      <c r="CB248" s="2829"/>
      <c r="CC248" s="2829"/>
      <c r="CD248" s="2829"/>
      <c r="CE248" s="2829"/>
      <c r="CF248" s="2829"/>
      <c r="CG248" s="3372"/>
      <c r="CH248" s="3372"/>
    </row>
    <row r="249" spans="1:86" s="988" customFormat="1">
      <c r="A249" s="476" t="s">
        <v>1015</v>
      </c>
      <c r="B249" s="986" t="s">
        <v>156</v>
      </c>
      <c r="C249" s="987">
        <f t="shared" si="280"/>
        <v>0.39373300248138943</v>
      </c>
      <c r="D249" s="987">
        <f t="shared" si="280"/>
        <v>0.27366427130133664</v>
      </c>
      <c r="E249" s="468">
        <f t="shared" si="280"/>
        <v>0.28451612903225798</v>
      </c>
      <c r="F249" s="1526" t="s">
        <v>156</v>
      </c>
      <c r="G249" s="987"/>
      <c r="H249" s="986"/>
      <c r="I249" s="986"/>
      <c r="J249" s="986"/>
      <c r="K249" s="986"/>
      <c r="L249" s="468"/>
      <c r="M249" s="986"/>
      <c r="N249" s="986"/>
      <c r="O249" s="986"/>
      <c r="P249" s="986"/>
      <c r="Q249" s="986"/>
      <c r="R249" s="986"/>
      <c r="S249" s="986"/>
      <c r="T249" s="986"/>
      <c r="U249" s="986"/>
      <c r="V249" s="986"/>
      <c r="W249" s="1527" t="s">
        <v>156</v>
      </c>
      <c r="X249" s="986"/>
      <c r="Y249" s="986"/>
      <c r="Z249" s="986"/>
      <c r="AA249" s="986"/>
      <c r="AB249" s="477"/>
      <c r="AC249" s="986"/>
      <c r="AD249" s="986"/>
      <c r="AE249" s="986"/>
      <c r="AF249" s="986"/>
      <c r="AG249" s="477" t="s">
        <v>156</v>
      </c>
      <c r="AH249" s="986"/>
      <c r="AK249" s="989"/>
      <c r="AO249" s="989"/>
      <c r="AT249" s="2829"/>
      <c r="AW249" s="989"/>
      <c r="AX249" s="2829"/>
      <c r="BB249" s="2829"/>
      <c r="BE249" s="989"/>
      <c r="BI249" s="989"/>
      <c r="BM249" s="989"/>
      <c r="BO249" s="989"/>
      <c r="BP249" s="989"/>
      <c r="BQ249" s="3335"/>
      <c r="BY249" s="2898"/>
      <c r="BZ249" s="1009"/>
      <c r="CA249" s="2829"/>
      <c r="CB249" s="2829"/>
      <c r="CC249" s="2829"/>
      <c r="CD249" s="2829"/>
      <c r="CE249" s="2829"/>
      <c r="CF249" s="2829"/>
      <c r="CG249" s="3372"/>
      <c r="CH249" s="3372"/>
    </row>
    <row r="250" spans="1:86" s="988" customFormat="1">
      <c r="A250" s="476" t="s">
        <v>27</v>
      </c>
      <c r="B250" s="986"/>
      <c r="C250" s="1524"/>
      <c r="D250" s="1524"/>
      <c r="E250" s="1525"/>
      <c r="F250" s="1526" t="s">
        <v>156</v>
      </c>
      <c r="G250" s="1524"/>
      <c r="H250" s="986"/>
      <c r="I250" s="986"/>
      <c r="J250" s="986"/>
      <c r="K250" s="986"/>
      <c r="L250" s="1525"/>
      <c r="M250" s="986"/>
      <c r="N250" s="986"/>
      <c r="O250" s="986"/>
      <c r="P250" s="986"/>
      <c r="Q250" s="986"/>
      <c r="R250" s="986"/>
      <c r="S250" s="987"/>
      <c r="T250" s="987"/>
      <c r="U250" s="987"/>
      <c r="V250" s="987"/>
      <c r="W250" s="1527" t="s">
        <v>156</v>
      </c>
      <c r="X250" s="987">
        <f t="shared" ref="X250:AB252" si="281">X147/W147-1</f>
        <v>-3.4181190336181944E-2</v>
      </c>
      <c r="Y250" s="987">
        <f t="shared" si="281"/>
        <v>0.23388496664291747</v>
      </c>
      <c r="Z250" s="987">
        <f t="shared" si="281"/>
        <v>0.27270150315355157</v>
      </c>
      <c r="AA250" s="987">
        <f t="shared" si="281"/>
        <v>0.19163205457642651</v>
      </c>
      <c r="AB250" s="468">
        <f t="shared" si="281"/>
        <v>0.18748745283998458</v>
      </c>
      <c r="AC250" s="986"/>
      <c r="AD250" s="986"/>
      <c r="AE250" s="986"/>
      <c r="AF250" s="986"/>
      <c r="AG250" s="477"/>
      <c r="AH250" s="986"/>
      <c r="AK250" s="989"/>
      <c r="AO250" s="989"/>
      <c r="AT250" s="2829"/>
      <c r="AW250" s="989"/>
      <c r="AX250" s="2829"/>
      <c r="BB250" s="2829"/>
      <c r="BE250" s="989"/>
      <c r="BI250" s="989"/>
      <c r="BM250" s="989"/>
      <c r="BO250" s="989"/>
      <c r="BP250" s="989"/>
      <c r="BQ250" s="3335"/>
      <c r="BY250" s="2898"/>
      <c r="BZ250" s="1009"/>
      <c r="CA250" s="2829"/>
      <c r="CB250" s="2829"/>
      <c r="CC250" s="2829"/>
      <c r="CD250" s="2829"/>
      <c r="CE250" s="2829"/>
      <c r="CF250" s="2829"/>
      <c r="CG250" s="3372"/>
      <c r="CH250" s="3372"/>
    </row>
    <row r="251" spans="1:86" s="988" customFormat="1">
      <c r="A251" s="490" t="s">
        <v>1033</v>
      </c>
      <c r="B251" s="986" t="s">
        <v>156</v>
      </c>
      <c r="C251" s="987">
        <f t="shared" ref="C251:E253" si="282">C147/B147-1</f>
        <v>0.42432847915443328</v>
      </c>
      <c r="D251" s="987">
        <f t="shared" si="282"/>
        <v>0.23679137728840427</v>
      </c>
      <c r="E251" s="468">
        <f t="shared" si="282"/>
        <v>0.3640000000000001</v>
      </c>
      <c r="F251" s="1526" t="s">
        <v>156</v>
      </c>
      <c r="G251" s="987"/>
      <c r="H251" s="987"/>
      <c r="I251" s="987"/>
      <c r="J251" s="987"/>
      <c r="K251" s="987"/>
      <c r="L251" s="468"/>
      <c r="M251" s="986"/>
      <c r="N251" s="986"/>
      <c r="O251" s="986"/>
      <c r="P251" s="986"/>
      <c r="Q251" s="987"/>
      <c r="R251" s="987"/>
      <c r="S251" s="987"/>
      <c r="T251" s="987"/>
      <c r="U251" s="987"/>
      <c r="V251" s="987"/>
      <c r="W251" s="1527" t="s">
        <v>156</v>
      </c>
      <c r="X251" s="987">
        <f t="shared" si="281"/>
        <v>0.20224582352379894</v>
      </c>
      <c r="Y251" s="987">
        <f t="shared" si="281"/>
        <v>0.19425306997759129</v>
      </c>
      <c r="Z251" s="987">
        <f t="shared" si="281"/>
        <v>0.16708880330873743</v>
      </c>
      <c r="AA251" s="987">
        <f t="shared" si="281"/>
        <v>0.27605914341179183</v>
      </c>
      <c r="AB251" s="468">
        <f t="shared" si="281"/>
        <v>0.27875390741503869</v>
      </c>
      <c r="AC251" s="987"/>
      <c r="AD251" s="987"/>
      <c r="AE251" s="987"/>
      <c r="AF251" s="987"/>
      <c r="AG251" s="468">
        <f>AG147/AB147-1</f>
        <v>0.20999658968686341</v>
      </c>
      <c r="AH251" s="987"/>
      <c r="AI251" s="988">
        <f t="shared" ref="AI251:AK253" si="283">AI147/AD147-1</f>
        <v>0.704524008664136</v>
      </c>
      <c r="AJ251" s="988">
        <f t="shared" si="283"/>
        <v>0.48713141887391909</v>
      </c>
      <c r="AK251" s="989">
        <f t="shared" si="283"/>
        <v>0.29344295007383181</v>
      </c>
      <c r="AL251" s="988">
        <f t="shared" ref="AL251:AN253" si="284">AL147/AH147-1</f>
        <v>0.10456382008135723</v>
      </c>
      <c r="AM251" s="988">
        <f t="shared" si="284"/>
        <v>7.7406022250810613E-2</v>
      </c>
      <c r="AN251" s="988">
        <f t="shared" si="284"/>
        <v>0.16127266575107968</v>
      </c>
      <c r="AO251" s="989">
        <v>0.14780097377953583</v>
      </c>
      <c r="AP251" s="988">
        <f t="shared" ref="AP251:AY253" si="285">AP147/AL147-1</f>
        <v>0.22966091168798908</v>
      </c>
      <c r="AQ251" s="988">
        <f t="shared" si="285"/>
        <v>0.1677809242986017</v>
      </c>
      <c r="AR251" s="988">
        <f t="shared" si="285"/>
        <v>0.15408457383141805</v>
      </c>
      <c r="AS251" s="988">
        <f t="shared" si="285"/>
        <v>0.12096774193548376</v>
      </c>
      <c r="AT251" s="2829">
        <f t="shared" si="285"/>
        <v>-0.25</v>
      </c>
      <c r="AU251" s="988">
        <f t="shared" si="285"/>
        <v>-0.24</v>
      </c>
      <c r="AV251" s="988">
        <f t="shared" si="285"/>
        <v>-0.24752475247524752</v>
      </c>
      <c r="AW251" s="989">
        <f t="shared" si="285"/>
        <v>-0.23021582733812951</v>
      </c>
      <c r="AX251" s="2829">
        <f t="shared" si="285"/>
        <v>3.7037037037036979E-2</v>
      </c>
      <c r="AY251" s="988">
        <f t="shared" si="285"/>
        <v>-0.16118421052631582</v>
      </c>
      <c r="AZ251" s="988">
        <f t="shared" ref="AZ251:BI253" si="286">AZ147/AV147-1</f>
        <v>-0.26315789473684215</v>
      </c>
      <c r="BA251" s="988">
        <f t="shared" si="286"/>
        <v>-0.30529595015576327</v>
      </c>
      <c r="BB251" s="2829">
        <f t="shared" si="286"/>
        <v>-0.19805194805194803</v>
      </c>
      <c r="BC251" s="988">
        <f t="shared" si="286"/>
        <v>8.2352941176470518E-2</v>
      </c>
      <c r="BD251" s="988">
        <f t="shared" si="286"/>
        <v>0.23660714285714279</v>
      </c>
      <c r="BE251" s="989">
        <f t="shared" si="286"/>
        <v>0.22869955156950672</v>
      </c>
      <c r="BF251" s="988">
        <f t="shared" si="286"/>
        <v>9.3117408906882693E-2</v>
      </c>
      <c r="BG251" s="988">
        <f t="shared" si="286"/>
        <v>2.8985507246376718E-2</v>
      </c>
      <c r="BH251" s="988">
        <f t="shared" si="286"/>
        <v>0.11913357400722013</v>
      </c>
      <c r="BI251" s="989">
        <f t="shared" si="286"/>
        <v>0.15693430656934315</v>
      </c>
      <c r="BJ251" s="988">
        <f t="shared" ref="BJ251:BS253" si="287">BJ147/BF147-1</f>
        <v>0.17407407407407405</v>
      </c>
      <c r="BK251" s="988">
        <f t="shared" si="287"/>
        <v>0.21126760563380276</v>
      </c>
      <c r="BL251" s="988">
        <f t="shared" si="287"/>
        <v>9.6774193548387011E-2</v>
      </c>
      <c r="BM251" s="988">
        <f t="shared" si="287"/>
        <v>0.12618296529968465</v>
      </c>
      <c r="BN251" s="988">
        <f t="shared" si="287"/>
        <v>7.5709779179810699E-2</v>
      </c>
      <c r="BO251" s="988">
        <f t="shared" si="287"/>
        <v>-3.7790697674418561E-2</v>
      </c>
      <c r="BP251" s="988">
        <f t="shared" si="287"/>
        <v>-5.8823529411764719E-2</v>
      </c>
      <c r="BQ251" s="3336">
        <f t="shared" si="287"/>
        <v>-9.8039215686274495E-2</v>
      </c>
      <c r="BR251" s="988">
        <f t="shared" si="287"/>
        <v>-6.1583577712609916E-2</v>
      </c>
      <c r="BS251" s="988">
        <f t="shared" si="287"/>
        <v>-1.8126888217522619E-2</v>
      </c>
      <c r="BT251" s="988">
        <f t="shared" ref="BT251:BW253" si="288">BT147/BP147-1</f>
        <v>-3.125E-2</v>
      </c>
      <c r="BU251" s="988">
        <f t="shared" si="288"/>
        <v>0</v>
      </c>
      <c r="BV251" s="988">
        <f t="shared" si="288"/>
        <v>1.2499999999999956E-2</v>
      </c>
      <c r="BW251" s="988">
        <f t="shared" si="288"/>
        <v>0</v>
      </c>
      <c r="BY251" s="1014">
        <f>BY147/AG147-1</f>
        <v>0.48753739864425394</v>
      </c>
      <c r="BZ251" s="1009">
        <v>0.1228871782539378</v>
      </c>
      <c r="CA251" s="2829">
        <f t="shared" ref="CA251:CH253" si="289">CA147/BZ147-1</f>
        <v>0.16600458469829893</v>
      </c>
      <c r="CB251" s="2829">
        <f t="shared" si="289"/>
        <v>9.0290661719233167E-2</v>
      </c>
      <c r="CC251" s="2829">
        <f t="shared" si="289"/>
        <v>-0.42711287577992063</v>
      </c>
      <c r="CD251" s="2829">
        <f t="shared" si="289"/>
        <v>6.3366336633663423E-2</v>
      </c>
      <c r="CE251" s="2829">
        <f t="shared" si="289"/>
        <v>9.9627560521415193E-2</v>
      </c>
      <c r="CF251" s="2829">
        <f t="shared" si="289"/>
        <v>0.14987298899237933</v>
      </c>
      <c r="CG251" s="3372">
        <f t="shared" si="289"/>
        <v>-3.2400589101620025E-2</v>
      </c>
      <c r="CH251" s="3372">
        <f t="shared" si="289"/>
        <v>-2.8158295281582979E-2</v>
      </c>
    </row>
    <row r="252" spans="1:86" s="988" customFormat="1">
      <c r="A252" s="490" t="s">
        <v>58</v>
      </c>
      <c r="B252" s="986" t="s">
        <v>156</v>
      </c>
      <c r="C252" s="987">
        <f t="shared" si="282"/>
        <v>0.29923189668426153</v>
      </c>
      <c r="D252" s="987">
        <f t="shared" si="282"/>
        <v>0.45945599684946847</v>
      </c>
      <c r="E252" s="468">
        <f t="shared" si="282"/>
        <v>0.78881081081081095</v>
      </c>
      <c r="F252" s="1526" t="s">
        <v>156</v>
      </c>
      <c r="G252" s="987"/>
      <c r="H252" s="987"/>
      <c r="I252" s="987"/>
      <c r="J252" s="987"/>
      <c r="K252" s="987"/>
      <c r="L252" s="468"/>
      <c r="M252" s="986"/>
      <c r="N252" s="986"/>
      <c r="O252" s="986"/>
      <c r="P252" s="986"/>
      <c r="Q252" s="987"/>
      <c r="R252" s="987"/>
      <c r="S252" s="987"/>
      <c r="T252" s="987"/>
      <c r="U252" s="987"/>
      <c r="V252" s="987"/>
      <c r="W252" s="1527" t="s">
        <v>156</v>
      </c>
      <c r="X252" s="987">
        <f t="shared" si="281"/>
        <v>-0.10974786907368395</v>
      </c>
      <c r="Y252" s="987">
        <f t="shared" si="281"/>
        <v>0.19761488608064859</v>
      </c>
      <c r="Z252" s="987">
        <f t="shared" si="281"/>
        <v>0.11509550931845469</v>
      </c>
      <c r="AA252" s="987">
        <f t="shared" si="281"/>
        <v>9.1859367489590449E-2</v>
      </c>
      <c r="AB252" s="468">
        <f t="shared" si="281"/>
        <v>0.12807694959663518</v>
      </c>
      <c r="AC252" s="987"/>
      <c r="AD252" s="987"/>
      <c r="AE252" s="987"/>
      <c r="AF252" s="987"/>
      <c r="AG252" s="468">
        <f>AG148/AB148-1</f>
        <v>0.20394939481805707</v>
      </c>
      <c r="AH252" s="987"/>
      <c r="AI252" s="988">
        <f t="shared" si="283"/>
        <v>0.3043693815783528</v>
      </c>
      <c r="AJ252" s="988">
        <f t="shared" si="283"/>
        <v>0.27693739670450945</v>
      </c>
      <c r="AK252" s="989">
        <f t="shared" si="283"/>
        <v>0.22767246012350806</v>
      </c>
      <c r="AL252" s="988">
        <f t="shared" si="284"/>
        <v>0.22197762443377966</v>
      </c>
      <c r="AM252" s="988">
        <f t="shared" si="284"/>
        <v>0.24971060430669278</v>
      </c>
      <c r="AN252" s="988">
        <f t="shared" si="284"/>
        <v>0.21268703492923757</v>
      </c>
      <c r="AO252" s="989">
        <v>0.1604916602567743</v>
      </c>
      <c r="AP252" s="988">
        <f t="shared" si="285"/>
        <v>0.19364439475300377</v>
      </c>
      <c r="AQ252" s="988">
        <f t="shared" si="285"/>
        <v>6.7612946313825528E-2</v>
      </c>
      <c r="AR252" s="988">
        <f t="shared" si="285"/>
        <v>2.7584587463467924E-2</v>
      </c>
      <c r="AS252" s="988">
        <f t="shared" si="285"/>
        <v>7.562277580071175E-2</v>
      </c>
      <c r="AT252" s="2829">
        <f t="shared" si="285"/>
        <v>3.2981530343008103E-3</v>
      </c>
      <c r="AU252" s="988">
        <f t="shared" si="285"/>
        <v>6.6190785204412794E-2</v>
      </c>
      <c r="AV252" s="988">
        <f t="shared" si="285"/>
        <v>9.6602265156562339E-2</v>
      </c>
      <c r="AW252" s="989">
        <f t="shared" si="285"/>
        <v>4.8800661703887416E-2</v>
      </c>
      <c r="AX252" s="2829">
        <f t="shared" si="285"/>
        <v>-0.2044707429322814</v>
      </c>
      <c r="AY252" s="988">
        <f t="shared" si="285"/>
        <v>-0.81984175289105299</v>
      </c>
      <c r="AZ252" s="988">
        <f t="shared" si="286"/>
        <v>-0.6786148238153098</v>
      </c>
      <c r="BA252" s="988">
        <f t="shared" si="286"/>
        <v>-0.59700315457413256</v>
      </c>
      <c r="BB252" s="2829">
        <f t="shared" si="286"/>
        <v>-0.45123966942148763</v>
      </c>
      <c r="BC252" s="988">
        <f t="shared" si="286"/>
        <v>3.0506756756756754</v>
      </c>
      <c r="BD252" s="988">
        <f t="shared" si="286"/>
        <v>1.4839319470699435</v>
      </c>
      <c r="BE252" s="989">
        <f t="shared" si="286"/>
        <v>1.0430528375733856</v>
      </c>
      <c r="BF252" s="988">
        <f t="shared" si="286"/>
        <v>1.0165662650602409</v>
      </c>
      <c r="BG252" s="988">
        <f t="shared" si="286"/>
        <v>0.4311926605504588</v>
      </c>
      <c r="BH252" s="988">
        <f t="shared" si="286"/>
        <v>0.27016742770167435</v>
      </c>
      <c r="BI252" s="989">
        <f t="shared" si="286"/>
        <v>0.31800766283524906</v>
      </c>
      <c r="BJ252" s="988">
        <f t="shared" si="287"/>
        <v>0.25018670649738617</v>
      </c>
      <c r="BK252" s="988">
        <f t="shared" si="287"/>
        <v>3.1468531468531458E-2</v>
      </c>
      <c r="BL252" s="988">
        <f t="shared" si="287"/>
        <v>0.11204313960455359</v>
      </c>
      <c r="BM252" s="988">
        <f t="shared" si="287"/>
        <v>0.13590116279069764</v>
      </c>
      <c r="BN252" s="988">
        <f t="shared" si="287"/>
        <v>9.6774193548387011E-2</v>
      </c>
      <c r="BO252" s="988">
        <f t="shared" si="287"/>
        <v>0.12429378531073443</v>
      </c>
      <c r="BP252" s="988">
        <f t="shared" si="287"/>
        <v>0.1056034482758621</v>
      </c>
      <c r="BQ252" s="3336">
        <f t="shared" si="287"/>
        <v>0.11900191938579652</v>
      </c>
      <c r="BR252" s="988">
        <f t="shared" si="287"/>
        <v>6.5359477124182996E-2</v>
      </c>
      <c r="BS252" s="988">
        <f t="shared" si="287"/>
        <v>7.1859296482412072E-2</v>
      </c>
      <c r="BT252" s="988">
        <f t="shared" si="288"/>
        <v>6.578947368421062E-2</v>
      </c>
      <c r="BU252" s="988">
        <f t="shared" si="288"/>
        <v>9.148084619782737E-2</v>
      </c>
      <c r="BV252" s="988">
        <f t="shared" si="288"/>
        <v>5.2147239263803602E-2</v>
      </c>
      <c r="BW252" s="988">
        <f t="shared" si="288"/>
        <v>9.5171120487576255E-2</v>
      </c>
      <c r="BY252" s="1014">
        <f>BY148/AG148-1</f>
        <v>0.29172017511533288</v>
      </c>
      <c r="BZ252" s="1009">
        <v>0.21303553107019546</v>
      </c>
      <c r="CA252" s="2829">
        <f t="shared" si="289"/>
        <v>8.8558489585928601E-2</v>
      </c>
      <c r="CB252" s="2829">
        <f t="shared" si="289"/>
        <v>6.3811340384948956E-2</v>
      </c>
      <c r="CC252" s="2829">
        <f t="shared" si="289"/>
        <v>-0.58500407497962503</v>
      </c>
      <c r="CD252" s="2829">
        <f t="shared" si="289"/>
        <v>0.65789473684210531</v>
      </c>
      <c r="CE252" s="2829">
        <f t="shared" si="289"/>
        <v>0.44515517649846004</v>
      </c>
      <c r="CF252" s="2829">
        <f t="shared" si="289"/>
        <v>0.12508196721311471</v>
      </c>
      <c r="CG252" s="3372">
        <f t="shared" si="289"/>
        <v>0.11132157948419064</v>
      </c>
      <c r="CH252" s="3372">
        <f t="shared" si="289"/>
        <v>7.3161138062147524E-2</v>
      </c>
    </row>
    <row r="253" spans="1:86" s="988" customFormat="1">
      <c r="A253" s="490" t="s">
        <v>28</v>
      </c>
      <c r="B253" s="986" t="s">
        <v>156</v>
      </c>
      <c r="C253" s="987">
        <f t="shared" si="282"/>
        <v>8.3537227949599169E-2</v>
      </c>
      <c r="D253" s="987">
        <f t="shared" si="282"/>
        <v>5.7162913033550034E-2</v>
      </c>
      <c r="E253" s="468">
        <f t="shared" si="282"/>
        <v>0.26337499999999991</v>
      </c>
      <c r="F253" s="1526" t="s">
        <v>156</v>
      </c>
      <c r="G253" s="987">
        <f>G149/F149-1</f>
        <v>0.71099457941665989</v>
      </c>
      <c r="H253" s="987">
        <f>H149/G149-1</f>
        <v>-0.13059953867985064</v>
      </c>
      <c r="I253" s="987">
        <f>I149/G149-1</f>
        <v>0.60129758216895346</v>
      </c>
      <c r="J253" s="987"/>
      <c r="K253" s="987"/>
      <c r="L253" s="468"/>
      <c r="M253" s="986"/>
      <c r="N253" s="986"/>
      <c r="O253" s="986"/>
      <c r="P253" s="986"/>
      <c r="Q253" s="987"/>
      <c r="R253" s="987"/>
      <c r="S253" s="987"/>
      <c r="T253" s="987"/>
      <c r="U253" s="987"/>
      <c r="V253" s="987"/>
      <c r="W253" s="1527" t="s">
        <v>156</v>
      </c>
      <c r="X253" s="987"/>
      <c r="Y253" s="987"/>
      <c r="Z253" s="987"/>
      <c r="AA253" s="987"/>
      <c r="AB253" s="468"/>
      <c r="AC253" s="987"/>
      <c r="AD253" s="987"/>
      <c r="AE253" s="987"/>
      <c r="AF253" s="987"/>
      <c r="AG253" s="468">
        <f>AG149/AB149-1</f>
        <v>0.34919940851911146</v>
      </c>
      <c r="AH253" s="987"/>
      <c r="AI253" s="988">
        <f t="shared" si="283"/>
        <v>0.36183289248482953</v>
      </c>
      <c r="AJ253" s="988">
        <f t="shared" si="283"/>
        <v>0.27396134226538016</v>
      </c>
      <c r="AK253" s="989">
        <f t="shared" si="283"/>
        <v>-6.4838616001806959E-2</v>
      </c>
      <c r="AL253" s="988">
        <f t="shared" si="284"/>
        <v>6.8521934180567623E-2</v>
      </c>
      <c r="AM253" s="988">
        <f t="shared" si="284"/>
        <v>-7.0644750850406446E-2</v>
      </c>
      <c r="AN253" s="988">
        <f t="shared" si="284"/>
        <v>-0.14792949363500962</v>
      </c>
      <c r="AO253" s="989">
        <v>0.13860503631460008</v>
      </c>
      <c r="AP253" s="988">
        <f t="shared" si="285"/>
        <v>0.25827521450747071</v>
      </c>
      <c r="AQ253" s="988">
        <f t="shared" si="285"/>
        <v>9.5265769591845961E-2</v>
      </c>
      <c r="AR253" s="988">
        <f t="shared" si="285"/>
        <v>0.42960268368979038</v>
      </c>
      <c r="AS253" s="988">
        <f t="shared" si="285"/>
        <v>6.5656565656565746E-2</v>
      </c>
      <c r="AT253" s="2829">
        <f t="shared" si="285"/>
        <v>-7.5376884422110546E-2</v>
      </c>
      <c r="AU253" s="988">
        <f t="shared" si="285"/>
        <v>9.1836734693877542E-2</v>
      </c>
      <c r="AV253" s="988">
        <f t="shared" si="285"/>
        <v>3.9603960396039639E-2</v>
      </c>
      <c r="AW253" s="989">
        <f t="shared" si="285"/>
        <v>2.3696682464454888E-2</v>
      </c>
      <c r="AX253" s="2829">
        <f t="shared" si="285"/>
        <v>1.6304347826086918E-2</v>
      </c>
      <c r="AY253" s="988">
        <f t="shared" si="285"/>
        <v>-0.28971962616822433</v>
      </c>
      <c r="AZ253" s="988">
        <f t="shared" si="286"/>
        <v>-0.36190476190476195</v>
      </c>
      <c r="BA253" s="988">
        <f t="shared" si="286"/>
        <v>-0.42592592592592593</v>
      </c>
      <c r="BB253" s="2829">
        <f t="shared" si="286"/>
        <v>-0.16577540106951871</v>
      </c>
      <c r="BC253" s="988">
        <f t="shared" si="286"/>
        <v>0.21052631578947367</v>
      </c>
      <c r="BD253" s="988">
        <f t="shared" si="286"/>
        <v>0.35820895522388052</v>
      </c>
      <c r="BE253" s="989">
        <f t="shared" si="286"/>
        <v>0.47580645161290325</v>
      </c>
      <c r="BF253" s="988">
        <f t="shared" si="286"/>
        <v>0.19230769230769229</v>
      </c>
      <c r="BG253" s="988">
        <f t="shared" si="286"/>
        <v>2.7173913043478271E-2</v>
      </c>
      <c r="BH253" s="988">
        <f t="shared" si="286"/>
        <v>2.7472527472527375E-2</v>
      </c>
      <c r="BI253" s="989">
        <f t="shared" si="286"/>
        <v>1.6393442622950838E-2</v>
      </c>
      <c r="BJ253" s="988">
        <f t="shared" si="287"/>
        <v>-1.0752688172043001E-2</v>
      </c>
      <c r="BK253" s="988">
        <f t="shared" si="287"/>
        <v>2.6455026455026509E-2</v>
      </c>
      <c r="BL253" s="988">
        <f t="shared" si="287"/>
        <v>3.7433155080213831E-2</v>
      </c>
      <c r="BM253" s="988">
        <f t="shared" si="287"/>
        <v>6.9892473118279508E-2</v>
      </c>
      <c r="BN253" s="988">
        <f t="shared" si="287"/>
        <v>1.0869565217391353E-2</v>
      </c>
      <c r="BO253" s="988">
        <f t="shared" si="287"/>
        <v>-7.2164948453608213E-2</v>
      </c>
      <c r="BP253" s="988">
        <f t="shared" si="287"/>
        <v>0.18041237113402064</v>
      </c>
      <c r="BQ253" s="3336">
        <f t="shared" si="287"/>
        <v>5.5276381909547645E-2</v>
      </c>
      <c r="BR253" s="988">
        <f t="shared" si="287"/>
        <v>-3.2258064516129004E-2</v>
      </c>
      <c r="BS253" s="988">
        <f t="shared" si="287"/>
        <v>9.4444444444444553E-2</v>
      </c>
      <c r="BT253" s="988">
        <f t="shared" si="288"/>
        <v>-0.18777292576419213</v>
      </c>
      <c r="BU253" s="988">
        <f t="shared" si="288"/>
        <v>-3.8095238095238071E-2</v>
      </c>
      <c r="BV253" s="988">
        <f t="shared" si="288"/>
        <v>8.8888888888888795E-2</v>
      </c>
      <c r="BW253" s="988">
        <f t="shared" si="288"/>
        <v>3.5532994923857864E-2</v>
      </c>
      <c r="BY253" s="1014">
        <f>BY149/AG149-1</f>
        <v>0.18187251377822067</v>
      </c>
      <c r="BZ253" s="1009">
        <v>-3.436573039339974E-3</v>
      </c>
      <c r="CA253" s="2829">
        <f t="shared" si="289"/>
        <v>0.19533523383745499</v>
      </c>
      <c r="CB253" s="2829">
        <f t="shared" si="289"/>
        <v>4.8267326732673199E-2</v>
      </c>
      <c r="CC253" s="2829">
        <f t="shared" si="289"/>
        <v>-0.29515938606847703</v>
      </c>
      <c r="CD253" s="2829">
        <f t="shared" si="289"/>
        <v>0.18090452261306522</v>
      </c>
      <c r="CE253" s="2829">
        <f t="shared" si="289"/>
        <v>6.0992907801418417E-2</v>
      </c>
      <c r="CF253" s="2829">
        <f t="shared" si="289"/>
        <v>3.074866310160429E-2</v>
      </c>
      <c r="CG253" s="3372">
        <f t="shared" si="289"/>
        <v>4.4098573281452724E-2</v>
      </c>
      <c r="CH253" s="3372">
        <f t="shared" si="289"/>
        <v>-4.9689440993788803E-2</v>
      </c>
    </row>
    <row r="254" spans="1:86" s="988" customFormat="1">
      <c r="A254" s="490" t="s">
        <v>21</v>
      </c>
      <c r="B254" s="986" t="s">
        <v>156</v>
      </c>
      <c r="C254" s="987">
        <f>C157/B157-1</f>
        <v>0.81641887524240486</v>
      </c>
      <c r="D254" s="987">
        <f>D157/C157-1</f>
        <v>0.23950177935943051</v>
      </c>
      <c r="E254" s="468">
        <f>E157/D157-1</f>
        <v>0.38013207005455074</v>
      </c>
      <c r="F254" s="1526" t="s">
        <v>156</v>
      </c>
      <c r="G254" s="987"/>
      <c r="H254" s="987"/>
      <c r="I254" s="987"/>
      <c r="J254" s="987"/>
      <c r="K254" s="987"/>
      <c r="L254" s="468"/>
      <c r="M254" s="986"/>
      <c r="N254" s="986"/>
      <c r="O254" s="986"/>
      <c r="P254" s="986"/>
      <c r="Q254" s="987"/>
      <c r="R254" s="987"/>
      <c r="S254" s="987"/>
      <c r="T254" s="987"/>
      <c r="U254" s="987"/>
      <c r="V254" s="987"/>
      <c r="W254" s="1527" t="s">
        <v>156</v>
      </c>
      <c r="X254" s="987">
        <f>X156/W156-1</f>
        <v>3.9740854284847416E-2</v>
      </c>
      <c r="Y254" s="987">
        <f>Y156/X156-1</f>
        <v>0.19528129433665486</v>
      </c>
      <c r="Z254" s="987">
        <f>Z156/Y156-1</f>
        <v>0.22276380717059863</v>
      </c>
      <c r="AA254" s="987">
        <f>AA156/Z156-1</f>
        <v>0.24708937233404682</v>
      </c>
      <c r="AB254" s="468">
        <f>AB156/AA156-1</f>
        <v>0.18770152338836965</v>
      </c>
      <c r="AC254" s="987"/>
      <c r="AD254" s="987"/>
      <c r="AE254" s="987"/>
      <c r="AF254" s="987"/>
      <c r="AG254" s="468">
        <f>AG157/AB157-1</f>
        <v>1.0946465751490986</v>
      </c>
      <c r="AH254" s="987"/>
      <c r="AI254" s="988">
        <f>AI157/AD157-1</f>
        <v>1.4203740299802381</v>
      </c>
      <c r="AJ254" s="988">
        <f>AJ157/AE157-1</f>
        <v>-0.24181538268191538</v>
      </c>
      <c r="AK254" s="989">
        <f>AK157/AF157-1</f>
        <v>1.7782521802325535E-2</v>
      </c>
      <c r="AL254" s="988">
        <f>AL157/AH157-1</f>
        <v>-3.4697799950928365E-2</v>
      </c>
      <c r="AM254" s="988">
        <f>AM157/AI157-1</f>
        <v>-0.50113012914339206</v>
      </c>
      <c r="AN254" s="988">
        <f>AN157/AJ157-1</f>
        <v>-0.86990033773283881</v>
      </c>
      <c r="AO254" s="989">
        <v>2.104206180966206E-2</v>
      </c>
      <c r="AP254" s="988">
        <f t="shared" ref="AP254:BW254" si="290">AP157/AL157-1</f>
        <v>5.907521552180639E-2</v>
      </c>
      <c r="AQ254" s="988">
        <f t="shared" si="290"/>
        <v>-2.0358468723802314E-3</v>
      </c>
      <c r="AR254" s="988">
        <f t="shared" si="290"/>
        <v>7.6000955566172959</v>
      </c>
      <c r="AS254" s="988">
        <f t="shared" si="290"/>
        <v>7.0850998732461923E-2</v>
      </c>
      <c r="AT254" s="2829">
        <f t="shared" si="290"/>
        <v>0.12000000000000011</v>
      </c>
      <c r="AU254" s="988">
        <f t="shared" si="290"/>
        <v>0.17999999999999994</v>
      </c>
      <c r="AV254" s="988">
        <f t="shared" si="290"/>
        <v>0.11111111111111116</v>
      </c>
      <c r="AW254" s="989">
        <f t="shared" si="290"/>
        <v>0.34693877551020402</v>
      </c>
      <c r="AX254" s="2829">
        <f t="shared" si="290"/>
        <v>-1.7857142857142905E-2</v>
      </c>
      <c r="AY254" s="988">
        <f t="shared" si="290"/>
        <v>-8.4745762711864403E-2</v>
      </c>
      <c r="AZ254" s="988">
        <f t="shared" si="290"/>
        <v>-0.21666666666666667</v>
      </c>
      <c r="BA254" s="988">
        <f t="shared" si="290"/>
        <v>-0.25757575757575757</v>
      </c>
      <c r="BB254" s="2829">
        <f t="shared" si="290"/>
        <v>0.50909090909090904</v>
      </c>
      <c r="BC254" s="988">
        <f t="shared" si="290"/>
        <v>1.2222222222222223</v>
      </c>
      <c r="BD254" s="988">
        <f t="shared" si="290"/>
        <v>1.4680851063829787</v>
      </c>
      <c r="BE254" s="989">
        <f t="shared" si="290"/>
        <v>1.0204081632653059</v>
      </c>
      <c r="BF254" s="988">
        <f t="shared" si="290"/>
        <v>8.43373493975903E-2</v>
      </c>
      <c r="BG254" s="988">
        <f t="shared" si="290"/>
        <v>-0.22499999999999998</v>
      </c>
      <c r="BH254" s="988">
        <f t="shared" si="290"/>
        <v>-0.16379310344827591</v>
      </c>
      <c r="BI254" s="989">
        <f t="shared" si="290"/>
        <v>-5.0505050505050497E-2</v>
      </c>
      <c r="BJ254" s="988">
        <f t="shared" si="290"/>
        <v>0.14444444444444438</v>
      </c>
      <c r="BK254" s="988">
        <f t="shared" si="290"/>
        <v>0.13978494623655924</v>
      </c>
      <c r="BL254" s="988">
        <f t="shared" si="290"/>
        <v>8.247422680412364E-2</v>
      </c>
      <c r="BM254" s="988">
        <f t="shared" si="290"/>
        <v>5.3191489361702038E-2</v>
      </c>
      <c r="BN254" s="988">
        <f t="shared" si="290"/>
        <v>9.7087378640776656E-3</v>
      </c>
      <c r="BO254" s="988">
        <f t="shared" si="290"/>
        <v>7.547169811320753E-2</v>
      </c>
      <c r="BP254" s="988">
        <f t="shared" si="290"/>
        <v>0.39999999999999991</v>
      </c>
      <c r="BQ254" s="3336">
        <f t="shared" si="290"/>
        <v>-6.0606060606060552E-2</v>
      </c>
      <c r="BR254" s="988">
        <f t="shared" si="290"/>
        <v>-5.7692307692307709E-2</v>
      </c>
      <c r="BS254" s="988">
        <f t="shared" si="290"/>
        <v>-7.8947368421052655E-2</v>
      </c>
      <c r="BT254" s="988">
        <f t="shared" si="290"/>
        <v>-0.38775510204081631</v>
      </c>
      <c r="BU254" s="988">
        <f t="shared" si="290"/>
        <v>0.12903225806451624</v>
      </c>
      <c r="BV254" s="988">
        <f t="shared" si="290"/>
        <v>5.1020408163265252E-2</v>
      </c>
      <c r="BW254" s="988">
        <f t="shared" si="290"/>
        <v>8.5714285714285632E-2</v>
      </c>
      <c r="BY254" s="1014">
        <f>BY157/AG157-1</f>
        <v>0.36137318327829804</v>
      </c>
      <c r="BZ254" s="1009">
        <v>-0.38391284439622642</v>
      </c>
      <c r="CA254" s="2829">
        <f t="shared" ref="CA254:CH254" si="291">CA157/BZ157-1</f>
        <v>0.35922330097087385</v>
      </c>
      <c r="CB254" s="2829">
        <f t="shared" si="291"/>
        <v>0.18719211822660098</v>
      </c>
      <c r="CC254" s="2829">
        <f t="shared" si="291"/>
        <v>-0.14937759336099588</v>
      </c>
      <c r="CD254" s="2829">
        <f t="shared" si="291"/>
        <v>1.0390243902439025</v>
      </c>
      <c r="CE254" s="2829">
        <f t="shared" si="291"/>
        <v>-0.10526315789473684</v>
      </c>
      <c r="CF254" s="2829">
        <f t="shared" si="291"/>
        <v>0.10427807486631013</v>
      </c>
      <c r="CG254" s="3372">
        <f t="shared" si="291"/>
        <v>0.10895883777239712</v>
      </c>
      <c r="CH254" s="3372">
        <f t="shared" si="291"/>
        <v>-0.13100436681222705</v>
      </c>
    </row>
    <row r="255" spans="1:86" s="988" customFormat="1">
      <c r="A255" s="492" t="s">
        <v>203</v>
      </c>
      <c r="B255" s="986" t="s">
        <v>156</v>
      </c>
      <c r="C255" s="987">
        <f>C156/B156-1</f>
        <v>0.28549461814454125</v>
      </c>
      <c r="D255" s="987">
        <f>D156/C156-1</f>
        <v>0.34438685096579835</v>
      </c>
      <c r="E255" s="468">
        <f>E156/D156-1</f>
        <v>0.60290652650310572</v>
      </c>
      <c r="F255" s="1526" t="s">
        <v>156</v>
      </c>
      <c r="G255" s="987">
        <f>G156/F156-1</f>
        <v>0.30962830258040808</v>
      </c>
      <c r="H255" s="987">
        <f>H156/G156-1</f>
        <v>0.20582195830771943</v>
      </c>
      <c r="I255" s="987">
        <f>I156/G156-1</f>
        <v>0.78053143751347465</v>
      </c>
      <c r="J255" s="987"/>
      <c r="K255" s="987"/>
      <c r="L255" s="468"/>
      <c r="M255" s="986"/>
      <c r="N255" s="986"/>
      <c r="O255" s="986"/>
      <c r="P255" s="986"/>
      <c r="Q255" s="987"/>
      <c r="R255" s="987"/>
      <c r="S255" s="987"/>
      <c r="T255" s="987"/>
      <c r="U255" s="987"/>
      <c r="V255" s="987"/>
      <c r="W255" s="1527" t="s">
        <v>156</v>
      </c>
      <c r="X255" s="987">
        <f>X172/W172-1</f>
        <v>-0.12360040181024645</v>
      </c>
      <c r="Y255" s="987">
        <f>Y172/X172-1</f>
        <v>-4.2289436427064064E-2</v>
      </c>
      <c r="Z255" s="987">
        <f>Z172/Y172-1</f>
        <v>-9.9841746089001537E-2</v>
      </c>
      <c r="AA255" s="987">
        <f>AA172/Z172-1</f>
        <v>-0.15209717319398497</v>
      </c>
      <c r="AB255" s="468">
        <f>AB172/AA172-1</f>
        <v>0.41442386494017369</v>
      </c>
      <c r="AC255" s="987"/>
      <c r="AD255" s="987"/>
      <c r="AE255" s="987"/>
      <c r="AF255" s="987"/>
      <c r="AG255" s="468">
        <f>AG156/AB156-1</f>
        <v>0.25427418122733458</v>
      </c>
      <c r="AH255" s="987"/>
      <c r="AI255" s="988">
        <f>AI156/AD156-1</f>
        <v>0.40945369522448782</v>
      </c>
      <c r="AJ255" s="988">
        <f>AJ156/AE156-1</f>
        <v>0.40575746290194692</v>
      </c>
      <c r="AK255" s="989">
        <f>AK156/AF156-1</f>
        <v>0.17715450095828644</v>
      </c>
      <c r="AL255" s="988">
        <f>AL156/AH156-1</f>
        <v>0.14943127615670493</v>
      </c>
      <c r="AM255" s="988">
        <f>AM156/AI156-1</f>
        <v>0.15900085439218237</v>
      </c>
      <c r="AN255" s="988">
        <f>AN156/AJ156-1</f>
        <v>0.13933434054468163</v>
      </c>
      <c r="AO255" s="989">
        <v>0.12336852505902351</v>
      </c>
      <c r="AP255" s="988">
        <f t="shared" ref="AP255:BW255" si="292">AP156/AL156-1</f>
        <v>0.18866318600866805</v>
      </c>
      <c r="AQ255" s="988">
        <f t="shared" si="292"/>
        <v>0.11090620302434573</v>
      </c>
      <c r="AR255" s="988">
        <f t="shared" si="292"/>
        <v>0.11376551977452176</v>
      </c>
      <c r="AS255" s="988">
        <f t="shared" si="292"/>
        <v>0.12318076653271781</v>
      </c>
      <c r="AT255" s="2829">
        <f t="shared" si="292"/>
        <v>2.8806584362139898E-2</v>
      </c>
      <c r="AU255" s="988">
        <f t="shared" si="292"/>
        <v>5.5482166446499281E-2</v>
      </c>
      <c r="AV255" s="988">
        <f t="shared" si="292"/>
        <v>9.0868794326241176E-2</v>
      </c>
      <c r="AW255" s="989">
        <f t="shared" si="292"/>
        <v>3.0699547055863086E-2</v>
      </c>
      <c r="AX255" s="2829">
        <f t="shared" si="292"/>
        <v>0.27733333333333343</v>
      </c>
      <c r="AY255" s="988">
        <f t="shared" si="292"/>
        <v>-0.57196495619524401</v>
      </c>
      <c r="AZ255" s="988">
        <f t="shared" si="292"/>
        <v>-0.49532710280373837</v>
      </c>
      <c r="BA255" s="988">
        <f t="shared" si="292"/>
        <v>-0.46484375</v>
      </c>
      <c r="BB255" s="2829">
        <f t="shared" si="292"/>
        <v>-0.54627696590118302</v>
      </c>
      <c r="BC255" s="988">
        <f t="shared" si="292"/>
        <v>0.82163742690058483</v>
      </c>
      <c r="BD255" s="988">
        <f t="shared" si="292"/>
        <v>0.60708534621578103</v>
      </c>
      <c r="BE255" s="989">
        <f t="shared" si="292"/>
        <v>0.57025547445255476</v>
      </c>
      <c r="BF255" s="988">
        <f t="shared" si="292"/>
        <v>0.54371165644171771</v>
      </c>
      <c r="BG255" s="988">
        <f t="shared" si="292"/>
        <v>0.2776886035313002</v>
      </c>
      <c r="BH255" s="988">
        <f t="shared" si="292"/>
        <v>0.18486973947895802</v>
      </c>
      <c r="BI255" s="989">
        <f t="shared" si="292"/>
        <v>0.20743753631609518</v>
      </c>
      <c r="BJ255" s="988">
        <f t="shared" si="292"/>
        <v>0.17834078489816196</v>
      </c>
      <c r="BK255" s="988">
        <f t="shared" si="292"/>
        <v>5.0251256281407031E-2</v>
      </c>
      <c r="BL255" s="988">
        <f t="shared" si="292"/>
        <v>9.8520084566596111E-2</v>
      </c>
      <c r="BM255" s="988">
        <f t="shared" si="292"/>
        <v>0.11982675649663133</v>
      </c>
      <c r="BN255" s="988">
        <f t="shared" si="292"/>
        <v>0.11340640809443503</v>
      </c>
      <c r="BO255" s="988">
        <f t="shared" si="292"/>
        <v>9.4497607655502414E-2</v>
      </c>
      <c r="BP255" s="988">
        <f t="shared" si="292"/>
        <v>0.10739030023094687</v>
      </c>
      <c r="BQ255" s="3336">
        <f t="shared" si="292"/>
        <v>7.4774387623549599E-2</v>
      </c>
      <c r="BR255" s="988">
        <f t="shared" si="292"/>
        <v>2.2718667171526041E-2</v>
      </c>
      <c r="BS255" s="988">
        <f t="shared" si="292"/>
        <v>6.520947176684877E-2</v>
      </c>
      <c r="BT255" s="988">
        <f t="shared" si="292"/>
        <v>4.2752867570385877E-2</v>
      </c>
      <c r="BU255" s="988">
        <f t="shared" si="292"/>
        <v>0.11195521791283491</v>
      </c>
      <c r="BV255" s="988">
        <f t="shared" si="292"/>
        <v>3.591262495372094E-2</v>
      </c>
      <c r="BW255" s="988">
        <f t="shared" si="292"/>
        <v>6.0191518467852312E-2</v>
      </c>
      <c r="BY255" s="1014">
        <f>BY156/AG156-1</f>
        <v>0.33872825317474198</v>
      </c>
      <c r="BZ255" s="1009">
        <v>0.14340841117208747</v>
      </c>
      <c r="CA255" s="2829">
        <f t="shared" ref="CA255:CH255" si="293">CA156/BZ156-1</f>
        <v>0.11654136562399264</v>
      </c>
      <c r="CB255" s="2829">
        <f t="shared" si="293"/>
        <v>4.9924180566895959E-2</v>
      </c>
      <c r="CC255" s="2829">
        <f t="shared" si="293"/>
        <v>-0.30696589267859131</v>
      </c>
      <c r="CD255" s="2829">
        <f t="shared" si="293"/>
        <v>0.10452067970503376</v>
      </c>
      <c r="CE255" s="2829">
        <f t="shared" si="293"/>
        <v>0.28359941944847611</v>
      </c>
      <c r="CF255" s="2829">
        <f t="shared" si="293"/>
        <v>0.14246947082767969</v>
      </c>
      <c r="CG255" s="3372">
        <f t="shared" si="293"/>
        <v>5.4631828978622288E-2</v>
      </c>
      <c r="CH255" s="3372">
        <f t="shared" si="293"/>
        <v>5.2364864864864913E-2</v>
      </c>
    </row>
    <row r="256" spans="1:86" s="988" customFormat="1" ht="12.75" customHeight="1">
      <c r="A256" s="476" t="s">
        <v>202</v>
      </c>
      <c r="B256" s="986" t="s">
        <v>156</v>
      </c>
      <c r="C256" s="987">
        <f>C173/B173-1</f>
        <v>3.3276456310679619</v>
      </c>
      <c r="D256" s="987">
        <f>D173/C173-1</f>
        <v>9.8996629257595448E-2</v>
      </c>
      <c r="E256" s="468">
        <f>E173/D173-1</f>
        <v>-2.354682316917581</v>
      </c>
      <c r="F256" s="1526" t="s">
        <v>156</v>
      </c>
      <c r="G256" s="1526" t="s">
        <v>156</v>
      </c>
      <c r="H256" s="987" t="s">
        <v>156</v>
      </c>
      <c r="I256" s="987" t="s">
        <v>156</v>
      </c>
      <c r="J256" s="987"/>
      <c r="K256" s="987"/>
      <c r="L256" s="1528"/>
      <c r="M256" s="986"/>
      <c r="N256" s="986"/>
      <c r="O256" s="986"/>
      <c r="P256" s="986"/>
      <c r="Q256" s="987"/>
      <c r="R256" s="987"/>
      <c r="S256" s="987"/>
      <c r="T256" s="987"/>
      <c r="U256" s="987"/>
      <c r="V256" s="987"/>
      <c r="W256" s="1527" t="s">
        <v>156</v>
      </c>
      <c r="X256" s="987">
        <f>X196/W196-1</f>
        <v>0.40160659765564422</v>
      </c>
      <c r="Y256" s="987">
        <f>Y196/X196-1</f>
        <v>0.11524344393270014</v>
      </c>
      <c r="Z256" s="987">
        <f>Z196/Y196-1</f>
        <v>-0.40910613712934796</v>
      </c>
      <c r="AA256" s="987">
        <f>AA196/Z196-1</f>
        <v>-0.16969761802881189</v>
      </c>
      <c r="AB256" s="468">
        <f>AB196/AA196-1</f>
        <v>0.70967146231479505</v>
      </c>
      <c r="AC256" s="987"/>
      <c r="AD256" s="987"/>
      <c r="AE256" s="987"/>
      <c r="AF256" s="987"/>
      <c r="AG256" s="468">
        <f>AG173/AB172-1</f>
        <v>-0.20143926576587012</v>
      </c>
      <c r="AH256" s="987"/>
      <c r="AI256" s="988">
        <f>AI173/AD173-1</f>
        <v>-0.71515783865382054</v>
      </c>
      <c r="AJ256" s="988">
        <f>AJ173/AE173-1</f>
        <v>0.11928764804433656</v>
      </c>
      <c r="AK256" s="989">
        <f>AK173/AF173-1</f>
        <v>2.2128778369576279</v>
      </c>
      <c r="AL256" s="988">
        <f>AL173/AH173-1</f>
        <v>-0.25144401734876365</v>
      </c>
      <c r="AM256" s="988">
        <f>AM173/AI173-1</f>
        <v>3.0046761748889415</v>
      </c>
      <c r="AN256" s="988">
        <f>AN173/AJ173-1</f>
        <v>0.24750875302989495</v>
      </c>
      <c r="AO256" s="989">
        <v>0.19818174138914113</v>
      </c>
      <c r="AP256" s="988">
        <f t="shared" ref="AP256:BW256" si="294">AP173/AL173-1</f>
        <v>1.2654565924786843</v>
      </c>
      <c r="AQ256" s="988">
        <f t="shared" si="294"/>
        <v>8.0102755721625396E-2</v>
      </c>
      <c r="AR256" s="988">
        <f t="shared" si="294"/>
        <v>0.39497807891590275</v>
      </c>
      <c r="AS256" s="988">
        <f t="shared" si="294"/>
        <v>-0.15399867812293455</v>
      </c>
      <c r="AT256" s="2829">
        <f t="shared" si="294"/>
        <v>-0.20606060606060606</v>
      </c>
      <c r="AU256" s="988">
        <f t="shared" si="294"/>
        <v>1.3873873873873874</v>
      </c>
      <c r="AV256" s="988">
        <f t="shared" si="294"/>
        <v>-9.375E-2</v>
      </c>
      <c r="AW256" s="989">
        <f t="shared" si="294"/>
        <v>0.66666666666666674</v>
      </c>
      <c r="AX256" s="2829">
        <f t="shared" si="294"/>
        <v>8.8778625954198471</v>
      </c>
      <c r="AY256" s="988">
        <f t="shared" si="294"/>
        <v>-4.2037735849056599</v>
      </c>
      <c r="AZ256" s="988">
        <f t="shared" si="294"/>
        <v>-1.1855500821018063</v>
      </c>
      <c r="BA256" s="988">
        <f t="shared" si="294"/>
        <v>-3.8937499999999998</v>
      </c>
      <c r="BB256" s="2829">
        <f t="shared" si="294"/>
        <v>-0.71483771251931993</v>
      </c>
      <c r="BC256" s="988">
        <f t="shared" si="294"/>
        <v>-0.84452296819787986</v>
      </c>
      <c r="BD256" s="988">
        <f t="shared" si="294"/>
        <v>-5.6371681415929205</v>
      </c>
      <c r="BE256" s="989">
        <f t="shared" si="294"/>
        <v>-1.3520518358531317</v>
      </c>
      <c r="BF256" s="988">
        <f t="shared" si="294"/>
        <v>-0.63414634146341464</v>
      </c>
      <c r="BG256" s="988">
        <f t="shared" si="294"/>
        <v>-3.6136363636363638</v>
      </c>
      <c r="BH256" s="988">
        <f t="shared" si="294"/>
        <v>0.42557251908396942</v>
      </c>
      <c r="BI256" s="989">
        <f t="shared" si="294"/>
        <v>-0.21472392638036808</v>
      </c>
      <c r="BJ256" s="988">
        <f t="shared" si="294"/>
        <v>-0.10370370370370374</v>
      </c>
      <c r="BK256" s="988">
        <f t="shared" si="294"/>
        <v>0.28405797101449282</v>
      </c>
      <c r="BL256" s="988">
        <f t="shared" si="294"/>
        <v>-0.18741633199464525</v>
      </c>
      <c r="BM256" s="988">
        <f t="shared" si="294"/>
        <v>-0.1875</v>
      </c>
      <c r="BN256" s="988">
        <f t="shared" si="294"/>
        <v>-9.0909090909090939E-2</v>
      </c>
      <c r="BO256" s="988">
        <f t="shared" si="294"/>
        <v>1.8058690744920947E-2</v>
      </c>
      <c r="BP256" s="988">
        <f t="shared" si="294"/>
        <v>0.25535420098846795</v>
      </c>
      <c r="BQ256" s="3336">
        <f t="shared" si="294"/>
        <v>1.0769230769230771</v>
      </c>
      <c r="BR256" s="988">
        <f t="shared" si="294"/>
        <v>-0.36363636363636365</v>
      </c>
      <c r="BS256" s="988">
        <f t="shared" si="294"/>
        <v>7.5388026607538849E-2</v>
      </c>
      <c r="BT256" s="988">
        <f t="shared" si="294"/>
        <v>0.35958005249343827</v>
      </c>
      <c r="BU256" s="988">
        <f t="shared" si="294"/>
        <v>0.96296296296296302</v>
      </c>
      <c r="BV256" s="988">
        <f t="shared" si="294"/>
        <v>-4.5857142857142854</v>
      </c>
      <c r="BW256" s="988">
        <f t="shared" si="294"/>
        <v>0.67422680412371139</v>
      </c>
      <c r="BY256" s="1014">
        <f>BY173/AG173-1</f>
        <v>0.11666255508312662</v>
      </c>
      <c r="BZ256" s="1009">
        <v>0.35398590432789989</v>
      </c>
      <c r="CA256" s="2829">
        <f t="shared" ref="CA256:CH256" si="295">CA173/BZ173-1</f>
        <v>0.14214781376272123</v>
      </c>
      <c r="CB256" s="2829">
        <f t="shared" si="295"/>
        <v>0.26470588235294112</v>
      </c>
      <c r="CC256" s="2829">
        <f t="shared" si="295"/>
        <v>-4.0110741971207089</v>
      </c>
      <c r="CD256" s="2829">
        <f t="shared" si="295"/>
        <v>-1.068407502758367</v>
      </c>
      <c r="CE256" s="2829">
        <f t="shared" si="295"/>
        <v>4.833333333333333</v>
      </c>
      <c r="CF256" s="2829">
        <f t="shared" si="295"/>
        <v>-4.7926267281105939E-2</v>
      </c>
      <c r="CG256" s="3372">
        <f t="shared" si="295"/>
        <v>0.27686350435624396</v>
      </c>
      <c r="CH256" s="3372">
        <f t="shared" si="295"/>
        <v>0.42153146322971957</v>
      </c>
    </row>
    <row r="257" spans="1:99" s="1529" customFormat="1" ht="12.75" customHeight="1">
      <c r="A257" s="476" t="s">
        <v>201</v>
      </c>
      <c r="B257" s="986" t="s">
        <v>156</v>
      </c>
      <c r="C257" s="987">
        <f>C197/B197-1</f>
        <v>7.185048010973949E-2</v>
      </c>
      <c r="D257" s="987">
        <f>D197/C197-1</f>
        <v>0.99647034281699409</v>
      </c>
      <c r="E257" s="468">
        <f>E197/D197-1</f>
        <v>-0.98878205128205132</v>
      </c>
      <c r="F257" s="1526" t="s">
        <v>156</v>
      </c>
      <c r="G257" s="1526" t="s">
        <v>156</v>
      </c>
      <c r="H257" s="987" t="s">
        <v>156</v>
      </c>
      <c r="I257" s="987" t="s">
        <v>156</v>
      </c>
      <c r="J257" s="987"/>
      <c r="K257" s="987"/>
      <c r="L257" s="1528"/>
      <c r="M257" s="986"/>
      <c r="N257" s="986"/>
      <c r="O257" s="986"/>
      <c r="P257" s="986"/>
      <c r="Q257" s="987"/>
      <c r="R257" s="987"/>
      <c r="W257" s="1530"/>
      <c r="AB257" s="232"/>
      <c r="AC257" s="987"/>
      <c r="AD257" s="987"/>
      <c r="AE257" s="987"/>
      <c r="AF257" s="987"/>
      <c r="AG257" s="468">
        <f>AG197/AB196-1</f>
        <v>0.92029831925385008</v>
      </c>
      <c r="AH257" s="987"/>
      <c r="AI257" s="988">
        <f>AI197/AD197-1</f>
        <v>-0.92961320511337853</v>
      </c>
      <c r="AJ257" s="988">
        <f>AJ197/AE197-1</f>
        <v>-1.3717445342071088E-2</v>
      </c>
      <c r="AK257" s="989">
        <f>AK197/AF197-1</f>
        <v>-7.3372946243420003</v>
      </c>
      <c r="AL257" s="988">
        <f>AL197/AH197-1</f>
        <v>-0.20689940970079845</v>
      </c>
      <c r="AM257" s="988">
        <f>AM197/AI197-1</f>
        <v>0.79117823627918726</v>
      </c>
      <c r="AN257" s="988">
        <f>AN197/AJ197-1</f>
        <v>0.26100576019131427</v>
      </c>
      <c r="AO257" s="989">
        <v>-0.30580062171992395</v>
      </c>
      <c r="AP257" s="988">
        <f t="shared" ref="AP257:BW257" si="296">AP197/AL197-1</f>
        <v>0.59076658693481332</v>
      </c>
      <c r="AQ257" s="988">
        <f t="shared" si="296"/>
        <v>-0.98235989345375652</v>
      </c>
      <c r="AR257" s="988">
        <f t="shared" si="296"/>
        <v>0.49046951209125655</v>
      </c>
      <c r="AS257" s="988">
        <f t="shared" si="296"/>
        <v>-0.69180006889174928</v>
      </c>
      <c r="AT257" s="2829">
        <f t="shared" si="296"/>
        <v>-0.24817518248175185</v>
      </c>
      <c r="AU257" s="988">
        <f t="shared" si="296"/>
        <v>182</v>
      </c>
      <c r="AV257" s="988">
        <f t="shared" si="296"/>
        <v>-0.2209523809523809</v>
      </c>
      <c r="AW257" s="989">
        <f t="shared" si="296"/>
        <v>3.4705882352941178</v>
      </c>
      <c r="AX257" s="2829">
        <f t="shared" si="296"/>
        <v>11.631067961165048</v>
      </c>
      <c r="AY257" s="988">
        <f t="shared" si="296"/>
        <v>-5.0218579234972678</v>
      </c>
      <c r="AZ257" s="988">
        <f t="shared" si="296"/>
        <v>-1.4694376528117359</v>
      </c>
      <c r="BA257" s="988">
        <f t="shared" si="296"/>
        <v>-6.0394736842105265</v>
      </c>
      <c r="BB257" s="2829">
        <f t="shared" si="296"/>
        <v>-0.5557263643351269</v>
      </c>
      <c r="BC257" s="988">
        <f t="shared" si="296"/>
        <v>-0.76630434782608692</v>
      </c>
      <c r="BD257" s="988">
        <f t="shared" si="296"/>
        <v>-2.958333333333333</v>
      </c>
      <c r="BE257" s="989">
        <f t="shared" si="296"/>
        <v>-2.0078328981723237</v>
      </c>
      <c r="BF257" s="988">
        <f t="shared" si="296"/>
        <v>-0.78892733564013839</v>
      </c>
      <c r="BG257" s="988">
        <f t="shared" si="296"/>
        <v>7.5581395348837122E-2</v>
      </c>
      <c r="BH257" s="988">
        <f t="shared" si="296"/>
        <v>0.26595744680851063</v>
      </c>
      <c r="BI257" s="989">
        <f t="shared" si="296"/>
        <v>-0.54145077720207246</v>
      </c>
      <c r="BJ257" s="988">
        <f t="shared" si="296"/>
        <v>0.18852459016393452</v>
      </c>
      <c r="BK257" s="988">
        <f t="shared" si="296"/>
        <v>-3.0918918918918918</v>
      </c>
      <c r="BL257" s="988">
        <f t="shared" si="296"/>
        <v>-0.35924369747899154</v>
      </c>
      <c r="BM257" s="988">
        <f t="shared" si="296"/>
        <v>-0.25423728813559321</v>
      </c>
      <c r="BN257" s="988">
        <f t="shared" si="296"/>
        <v>-6.8965517241379337E-2</v>
      </c>
      <c r="BO257" s="988">
        <f t="shared" si="296"/>
        <v>-2.5839793281653423E-3</v>
      </c>
      <c r="BP257" s="988">
        <f t="shared" si="296"/>
        <v>1.2426229508196722</v>
      </c>
      <c r="BQ257" s="3336">
        <f t="shared" si="296"/>
        <v>1.2803030303030303</v>
      </c>
      <c r="BR257" s="988">
        <f t="shared" si="296"/>
        <v>0.4814814814814814</v>
      </c>
      <c r="BS257" s="988">
        <f t="shared" si="296"/>
        <v>-0.14507772020725385</v>
      </c>
      <c r="BT257" s="988">
        <f t="shared" si="296"/>
        <v>0.4020467836257311</v>
      </c>
      <c r="BU257" s="988">
        <f t="shared" si="296"/>
        <v>-0.30564784053156147</v>
      </c>
      <c r="BV257" s="988">
        <f t="shared" si="296"/>
        <v>-0.97</v>
      </c>
      <c r="BW257" s="988">
        <f t="shared" si="296"/>
        <v>1.6969696969696968</v>
      </c>
      <c r="BX257" s="988"/>
      <c r="BY257" s="1014">
        <f>BY197/AG197-1</f>
        <v>-0.63131340218322618</v>
      </c>
      <c r="BZ257" s="1009">
        <v>0.34102069200420071</v>
      </c>
      <c r="CA257" s="2829">
        <f t="shared" ref="CA257:CG257" si="297">CA197/BZ197-1</f>
        <v>7.4176376586129855E-2</v>
      </c>
      <c r="CB257" s="2829">
        <f t="shared" si="297"/>
        <v>8.3743842364532028E-2</v>
      </c>
      <c r="CC257" s="2829">
        <f t="shared" si="297"/>
        <v>-6.9363636363636365</v>
      </c>
      <c r="CD257" s="2829">
        <f t="shared" si="297"/>
        <v>-1.004594180704441</v>
      </c>
      <c r="CE257" s="2829">
        <f t="shared" si="297"/>
        <v>28.333333333333332</v>
      </c>
      <c r="CF257" s="2829">
        <f t="shared" si="297"/>
        <v>1.2642045454545454</v>
      </c>
      <c r="CG257" s="3372">
        <f t="shared" si="297"/>
        <v>0.54830614805520694</v>
      </c>
      <c r="CH257" s="3372">
        <f>CH197/CG197-1</f>
        <v>5.1863857374392142E-2</v>
      </c>
    </row>
    <row r="258" spans="1:99" s="1393" customFormat="1" ht="15">
      <c r="A258" s="1499"/>
      <c r="E258" s="1444"/>
      <c r="L258" s="232"/>
      <c r="W258" s="1531"/>
      <c r="AB258" s="1444"/>
      <c r="AG258" s="1444"/>
      <c r="AK258" s="1444"/>
      <c r="AO258" s="1444"/>
      <c r="AT258" s="1531"/>
      <c r="AW258" s="1444"/>
      <c r="AX258" s="1531"/>
      <c r="BB258" s="1531"/>
      <c r="BE258" s="1444"/>
      <c r="BI258" s="1444"/>
      <c r="BM258" s="1444"/>
      <c r="BO258" s="1444"/>
      <c r="BP258" s="1444"/>
      <c r="BQ258" s="3357"/>
      <c r="BY258" s="1499"/>
      <c r="BZ258" s="1499"/>
      <c r="CA258" s="1531"/>
      <c r="CB258" s="1531"/>
      <c r="CC258" s="1531"/>
      <c r="CD258" s="1531"/>
      <c r="CE258" s="1531"/>
      <c r="CF258" s="1531"/>
      <c r="CG258" s="3390"/>
      <c r="CH258" s="3390"/>
    </row>
    <row r="259" spans="1:99" s="138" customFormat="1" ht="11.5">
      <c r="A259" s="95"/>
      <c r="B259" s="5" t="s">
        <v>16</v>
      </c>
      <c r="C259" s="5" t="s">
        <v>16</v>
      </c>
      <c r="D259" s="5" t="s">
        <v>16</v>
      </c>
      <c r="E259" s="96" t="s">
        <v>16</v>
      </c>
      <c r="F259" s="5" t="s">
        <v>10</v>
      </c>
      <c r="G259" s="5" t="s">
        <v>10</v>
      </c>
      <c r="H259" s="5" t="s">
        <v>1053</v>
      </c>
      <c r="I259" s="5" t="s">
        <v>1053</v>
      </c>
      <c r="J259" s="5" t="s">
        <v>1053</v>
      </c>
      <c r="K259" s="5"/>
      <c r="L259" s="220"/>
      <c r="M259" s="5" t="s">
        <v>26</v>
      </c>
      <c r="N259" s="5"/>
      <c r="O259" s="5"/>
      <c r="P259" s="5"/>
      <c r="Q259" s="5"/>
      <c r="R259" s="5"/>
      <c r="S259" s="5">
        <v>2005</v>
      </c>
      <c r="T259" s="5">
        <v>2006</v>
      </c>
      <c r="U259" s="5">
        <v>2007</v>
      </c>
      <c r="V259" s="5">
        <v>2008</v>
      </c>
      <c r="W259" s="18">
        <v>2009</v>
      </c>
      <c r="X259" s="5">
        <v>2010</v>
      </c>
      <c r="Y259" s="5">
        <v>2011</v>
      </c>
      <c r="Z259" s="5">
        <v>2012</v>
      </c>
      <c r="AA259" s="5">
        <v>2013</v>
      </c>
      <c r="AB259" s="96">
        <v>2014</v>
      </c>
      <c r="AC259" s="5"/>
      <c r="AD259" s="5" t="s">
        <v>26</v>
      </c>
      <c r="AE259" s="5" t="s">
        <v>26</v>
      </c>
      <c r="AF259" s="5" t="s">
        <v>26</v>
      </c>
      <c r="AG259" s="96" t="s">
        <v>26</v>
      </c>
      <c r="AH259" s="5" t="s">
        <v>26</v>
      </c>
      <c r="AI259" s="5" t="s">
        <v>26</v>
      </c>
      <c r="AJ259" s="5" t="s">
        <v>26</v>
      </c>
      <c r="AK259" s="96" t="s">
        <v>26</v>
      </c>
      <c r="AL259" s="5" t="s">
        <v>26</v>
      </c>
      <c r="AM259" s="5" t="s">
        <v>26</v>
      </c>
      <c r="AN259" s="5" t="s">
        <v>26</v>
      </c>
      <c r="AO259" s="96" t="s">
        <v>702</v>
      </c>
      <c r="AP259" s="5" t="s">
        <v>26</v>
      </c>
      <c r="AQ259" s="5" t="s">
        <v>26</v>
      </c>
      <c r="AR259" s="5" t="s">
        <v>26</v>
      </c>
      <c r="AS259" s="6" t="s">
        <v>702</v>
      </c>
      <c r="AT259" s="21" t="s">
        <v>702</v>
      </c>
      <c r="AU259" s="6" t="s">
        <v>702</v>
      </c>
      <c r="AV259" s="6" t="s">
        <v>702</v>
      </c>
      <c r="AW259" s="111" t="s">
        <v>702</v>
      </c>
      <c r="AX259" s="21" t="s">
        <v>702</v>
      </c>
      <c r="AY259" s="6" t="s">
        <v>702</v>
      </c>
      <c r="AZ259" s="6" t="s">
        <v>702</v>
      </c>
      <c r="BA259" s="6" t="s">
        <v>702</v>
      </c>
      <c r="BB259" s="21" t="s">
        <v>702</v>
      </c>
      <c r="BC259" s="6" t="s">
        <v>702</v>
      </c>
      <c r="BD259" s="6" t="s">
        <v>702</v>
      </c>
      <c r="BE259" s="111" t="s">
        <v>702</v>
      </c>
      <c r="BF259" s="6" t="s">
        <v>702</v>
      </c>
      <c r="BG259" s="14" t="s">
        <v>702</v>
      </c>
      <c r="BH259" s="6" t="s">
        <v>702</v>
      </c>
      <c r="BI259" s="111" t="s">
        <v>702</v>
      </c>
      <c r="BJ259" s="6" t="s">
        <v>702</v>
      </c>
      <c r="BK259" s="6" t="s">
        <v>702</v>
      </c>
      <c r="BL259" s="6" t="s">
        <v>702</v>
      </c>
      <c r="BM259" s="111" t="s">
        <v>702</v>
      </c>
      <c r="BN259" s="111" t="s">
        <v>702</v>
      </c>
      <c r="BO259" s="111" t="s">
        <v>702</v>
      </c>
      <c r="BP259" s="111" t="s">
        <v>702</v>
      </c>
      <c r="BQ259" s="3358" t="s">
        <v>702</v>
      </c>
      <c r="BR259" s="111" t="s">
        <v>702</v>
      </c>
      <c r="BS259" s="111" t="s">
        <v>702</v>
      </c>
      <c r="BT259" s="111" t="s">
        <v>702</v>
      </c>
      <c r="BU259" s="111" t="s">
        <v>702</v>
      </c>
      <c r="BV259" s="111" t="s">
        <v>702</v>
      </c>
      <c r="BW259" s="111" t="s">
        <v>702</v>
      </c>
      <c r="BX259" s="111"/>
      <c r="BY259" s="2875" t="s">
        <v>26</v>
      </c>
      <c r="BZ259" s="2875" t="s">
        <v>26</v>
      </c>
      <c r="CA259" s="2875" t="s">
        <v>26</v>
      </c>
      <c r="CB259" s="2875" t="s">
        <v>26</v>
      </c>
      <c r="CC259" s="2875" t="s">
        <v>26</v>
      </c>
      <c r="CD259" s="2876" t="s">
        <v>26</v>
      </c>
      <c r="CE259" s="2876" t="s">
        <v>26</v>
      </c>
      <c r="CF259" s="2876" t="s">
        <v>26</v>
      </c>
      <c r="CG259" s="2876" t="s">
        <v>26</v>
      </c>
      <c r="CH259" s="2876" t="s">
        <v>26</v>
      </c>
      <c r="CI259" s="133"/>
      <c r="CJ259" s="133"/>
      <c r="CK259" s="133"/>
      <c r="CL259" s="133"/>
      <c r="CM259" s="133"/>
      <c r="CN259" s="133"/>
      <c r="CO259" s="133"/>
      <c r="CP259" s="133"/>
      <c r="CQ259" s="133"/>
      <c r="CR259" s="133"/>
      <c r="CS259" s="133"/>
      <c r="CT259" s="133"/>
      <c r="CU259" s="133"/>
    </row>
    <row r="260" spans="1:99" ht="11.5">
      <c r="A260" s="61" t="s">
        <v>975</v>
      </c>
      <c r="B260" s="5">
        <v>2009</v>
      </c>
      <c r="C260" s="5">
        <v>2010</v>
      </c>
      <c r="D260" s="5">
        <v>2011</v>
      </c>
      <c r="E260" s="96">
        <v>2012</v>
      </c>
      <c r="F260" s="5">
        <v>2009</v>
      </c>
      <c r="G260" s="5">
        <v>2010</v>
      </c>
      <c r="H260" s="5">
        <v>2011</v>
      </c>
      <c r="I260" s="5">
        <v>2012</v>
      </c>
      <c r="J260" s="5">
        <v>2013</v>
      </c>
      <c r="K260" s="5" t="s">
        <v>1067</v>
      </c>
      <c r="L260" s="220"/>
      <c r="M260" s="5">
        <v>2005</v>
      </c>
      <c r="N260" s="5"/>
      <c r="O260" s="5"/>
      <c r="P260" s="5"/>
      <c r="Q260" s="5"/>
      <c r="R260" s="5"/>
      <c r="S260" s="32"/>
      <c r="T260" s="32"/>
      <c r="U260" s="32"/>
      <c r="W260" s="45"/>
      <c r="X260" s="32"/>
      <c r="Y260" s="32"/>
      <c r="Z260" s="32"/>
      <c r="AA260" s="32"/>
      <c r="AB260" s="79"/>
      <c r="AC260" s="5"/>
      <c r="AD260" s="5" t="s">
        <v>701</v>
      </c>
      <c r="AE260" s="5" t="s">
        <v>699</v>
      </c>
      <c r="AF260" s="5" t="s">
        <v>700</v>
      </c>
      <c r="AG260" s="96">
        <v>2015</v>
      </c>
      <c r="AH260" s="5" t="s">
        <v>695</v>
      </c>
      <c r="AI260" s="5" t="s">
        <v>983</v>
      </c>
      <c r="AJ260" s="5" t="s">
        <v>760</v>
      </c>
      <c r="AK260" s="96" t="s">
        <v>1054</v>
      </c>
      <c r="AL260" s="5" t="s">
        <v>771</v>
      </c>
      <c r="AM260" s="5" t="s">
        <v>772</v>
      </c>
      <c r="AN260" s="5" t="s">
        <v>773</v>
      </c>
      <c r="AO260" s="96" t="s">
        <v>774</v>
      </c>
      <c r="AP260" s="5" t="s">
        <v>1176</v>
      </c>
      <c r="AQ260" s="5" t="s">
        <v>1177</v>
      </c>
      <c r="AR260" s="5" t="s">
        <v>1178</v>
      </c>
      <c r="AS260" s="6" t="s">
        <v>1179</v>
      </c>
      <c r="AT260" s="21" t="str">
        <f t="shared" ref="AT260:BA260" si="298">AT3</f>
        <v>2019Q1</v>
      </c>
      <c r="AU260" s="6" t="str">
        <f t="shared" si="298"/>
        <v>2019Q2</v>
      </c>
      <c r="AV260" s="6" t="str">
        <f t="shared" si="298"/>
        <v>2019Q3</v>
      </c>
      <c r="AW260" s="111" t="str">
        <f t="shared" si="298"/>
        <v>2019Q4</v>
      </c>
      <c r="AX260" s="21" t="str">
        <f t="shared" si="298"/>
        <v>2020Q1</v>
      </c>
      <c r="AY260" s="6" t="str">
        <f t="shared" si="298"/>
        <v>2020Q2</v>
      </c>
      <c r="AZ260" s="6" t="str">
        <f t="shared" si="298"/>
        <v>2020Q3</v>
      </c>
      <c r="BA260" s="6" t="str">
        <f t="shared" si="298"/>
        <v>2020Q4</v>
      </c>
      <c r="BB260" s="21" t="s">
        <v>2700</v>
      </c>
      <c r="BC260" s="6" t="s">
        <v>2703</v>
      </c>
      <c r="BD260" s="6" t="s">
        <v>2706</v>
      </c>
      <c r="BE260" s="111" t="s">
        <v>2708</v>
      </c>
      <c r="BF260" s="6" t="s">
        <v>2717</v>
      </c>
      <c r="BG260" s="14" t="s">
        <v>2721</v>
      </c>
      <c r="BH260" s="6" t="s">
        <v>2737</v>
      </c>
      <c r="BI260" s="111" t="s">
        <v>2747</v>
      </c>
      <c r="BJ260" s="6" t="s">
        <v>2752</v>
      </c>
      <c r="BK260" s="6" t="s">
        <v>2753</v>
      </c>
      <c r="BL260" s="6" t="s">
        <v>2754</v>
      </c>
      <c r="BM260" s="6" t="s">
        <v>2755</v>
      </c>
      <c r="BN260" s="6" t="s">
        <v>2798</v>
      </c>
      <c r="BO260" s="6" t="s">
        <v>2799</v>
      </c>
      <c r="BP260" s="6" t="s">
        <v>2797</v>
      </c>
      <c r="BQ260" s="3359" t="s">
        <v>2797</v>
      </c>
      <c r="BR260" s="6" t="s">
        <v>2846</v>
      </c>
      <c r="BS260" s="6" t="s">
        <v>2828</v>
      </c>
      <c r="BT260" s="6" t="s">
        <v>2852</v>
      </c>
      <c r="BU260" s="6" t="s">
        <v>2875</v>
      </c>
      <c r="BV260" s="6" t="s">
        <v>2881</v>
      </c>
      <c r="BW260" s="6" t="s">
        <v>2885</v>
      </c>
      <c r="BX260" s="6"/>
      <c r="BY260" s="2877">
        <v>2016</v>
      </c>
      <c r="BZ260" s="2877">
        <v>2017</v>
      </c>
      <c r="CA260" s="2877">
        <v>2018</v>
      </c>
      <c r="CB260" s="2877">
        <v>2019</v>
      </c>
      <c r="CC260" s="2877">
        <v>2020</v>
      </c>
      <c r="CD260" s="2878">
        <v>2021</v>
      </c>
      <c r="CE260" s="2878">
        <v>2022</v>
      </c>
      <c r="CF260" s="2878">
        <v>2023</v>
      </c>
      <c r="CG260" s="2878">
        <v>2023</v>
      </c>
      <c r="CH260" s="2878">
        <v>2023</v>
      </c>
    </row>
    <row r="261" spans="1:99" s="30" customFormat="1">
      <c r="A261" s="71" t="s">
        <v>0</v>
      </c>
      <c r="B261" s="32"/>
      <c r="C261" s="32"/>
      <c r="D261" s="32"/>
      <c r="E261" s="79"/>
      <c r="F261" s="133"/>
      <c r="G261" s="133"/>
      <c r="H261" s="32"/>
      <c r="I261" s="32"/>
      <c r="J261" s="32"/>
      <c r="K261" s="32"/>
      <c r="L261" s="219"/>
      <c r="M261" s="32"/>
      <c r="N261" s="32"/>
      <c r="O261" s="32"/>
      <c r="P261" s="32"/>
      <c r="Q261" s="32"/>
      <c r="R261" s="32"/>
      <c r="S261" s="40"/>
      <c r="T261" s="40"/>
      <c r="U261" s="40"/>
      <c r="W261" s="104"/>
      <c r="X261" s="40"/>
      <c r="Y261" s="40"/>
      <c r="Z261" s="40"/>
      <c r="AA261" s="40"/>
      <c r="AB261" s="114"/>
      <c r="AC261" s="32"/>
      <c r="AD261" s="32"/>
      <c r="AE261" s="32"/>
      <c r="AF261" s="32"/>
      <c r="AG261" s="79"/>
      <c r="AH261" s="133"/>
      <c r="AI261" s="133"/>
      <c r="AJ261" s="133"/>
      <c r="AK261" s="136"/>
      <c r="AL261" s="133"/>
      <c r="AM261" s="133"/>
      <c r="AN261" s="133"/>
      <c r="AO261" s="136"/>
      <c r="AP261" s="133"/>
      <c r="AQ261" s="133"/>
      <c r="AR261" s="133"/>
      <c r="AS261" s="133"/>
      <c r="AT261" s="137"/>
      <c r="AU261" s="133"/>
      <c r="AV261" s="133"/>
      <c r="AW261" s="136"/>
      <c r="AX261" s="137"/>
      <c r="AY261" s="133"/>
      <c r="AZ261" s="133"/>
      <c r="BA261" s="133"/>
      <c r="BB261" s="137"/>
      <c r="BC261" s="133"/>
      <c r="BD261" s="133"/>
      <c r="BE261" s="136"/>
      <c r="BF261" s="133"/>
      <c r="BG261" s="133"/>
      <c r="BH261" s="133"/>
      <c r="BI261" s="136"/>
      <c r="BJ261" s="133"/>
      <c r="BK261" s="133"/>
      <c r="BL261" s="133"/>
      <c r="BM261" s="136"/>
      <c r="BN261" s="133"/>
      <c r="BO261" s="136"/>
      <c r="BP261" s="136"/>
      <c r="BQ261" s="3332"/>
      <c r="BR261" s="133"/>
      <c r="BS261" s="133"/>
      <c r="BT261" s="133"/>
      <c r="BU261" s="133"/>
      <c r="BV261" s="133"/>
      <c r="BW261" s="133"/>
      <c r="BX261" s="133"/>
      <c r="BY261" s="76"/>
      <c r="BZ261" s="159"/>
      <c r="CA261" s="137"/>
      <c r="CB261" s="47"/>
      <c r="CC261" s="47"/>
      <c r="CD261" s="47"/>
      <c r="CE261" s="47"/>
      <c r="CF261" s="47"/>
      <c r="CG261" s="47"/>
      <c r="CH261" s="47"/>
    </row>
    <row r="262" spans="1:99" s="30" customFormat="1">
      <c r="A262" s="72" t="s">
        <v>1</v>
      </c>
      <c r="B262" s="40"/>
      <c r="C262" s="40"/>
      <c r="D262" s="40"/>
      <c r="E262" s="114"/>
      <c r="F262" s="89" t="s">
        <v>156</v>
      </c>
      <c r="H262" s="40"/>
      <c r="I262" s="40"/>
      <c r="J262" s="40"/>
      <c r="K262" s="40"/>
      <c r="L262" s="222"/>
      <c r="M262" s="40"/>
      <c r="N262" s="40"/>
      <c r="O262" s="40"/>
      <c r="P262" s="40"/>
      <c r="Q262" s="40"/>
      <c r="R262" s="40"/>
      <c r="S262" s="34"/>
      <c r="T262" s="34"/>
      <c r="U262" s="34"/>
      <c r="W262" s="39">
        <v>642.54399999999998</v>
      </c>
      <c r="X262" s="34">
        <v>621.19899999999996</v>
      </c>
      <c r="Y262" s="34">
        <v>689.13400000000001</v>
      </c>
      <c r="Z262" s="34">
        <v>1293.1610000000001</v>
      </c>
      <c r="AA262" s="34">
        <v>1021.033</v>
      </c>
      <c r="AB262" s="106">
        <v>1402.7</v>
      </c>
      <c r="AC262" s="40"/>
      <c r="AD262" s="40"/>
      <c r="AE262" s="40"/>
      <c r="AF262" s="40"/>
      <c r="AG262" s="114"/>
      <c r="AK262" s="105"/>
      <c r="AO262" s="105"/>
      <c r="AT262" s="47"/>
      <c r="AW262" s="105"/>
      <c r="AX262" s="47"/>
      <c r="BB262" s="47"/>
      <c r="BE262" s="105"/>
      <c r="BG262" s="30">
        <f t="shared" ref="BG262:BM262" si="299">BG263+BG265</f>
        <v>5594</v>
      </c>
      <c r="BH262" s="30">
        <f t="shared" si="299"/>
        <v>4637</v>
      </c>
      <c r="BI262" s="105">
        <f t="shared" si="299"/>
        <v>4144</v>
      </c>
      <c r="BJ262" s="105">
        <f>BJ263+BJ265</f>
        <v>5948</v>
      </c>
      <c r="BK262" s="30">
        <f>BK263+BK265</f>
        <v>6301</v>
      </c>
      <c r="BL262" s="30">
        <f>BL263+BL265</f>
        <v>5056</v>
      </c>
      <c r="BM262" s="30">
        <f t="shared" si="299"/>
        <v>4253</v>
      </c>
      <c r="BO262" s="105">
        <f>BO263+BO265</f>
        <v>6273</v>
      </c>
      <c r="BP262" s="105">
        <f>BP263+BP265</f>
        <v>6273</v>
      </c>
      <c r="BQ262" s="105">
        <f>BQ263+BQ265</f>
        <v>6273</v>
      </c>
      <c r="BY262" s="1010"/>
      <c r="BZ262" s="77"/>
      <c r="CA262" s="47"/>
      <c r="CB262" s="47"/>
      <c r="CC262" s="47"/>
      <c r="CD262" s="47"/>
      <c r="CE262" s="47"/>
      <c r="CF262" s="47"/>
      <c r="CG262" s="47"/>
      <c r="CH262" s="47"/>
    </row>
    <row r="263" spans="1:99" s="1773" customFormat="1">
      <c r="A263" s="73" t="s">
        <v>1919</v>
      </c>
      <c r="B263" s="1810">
        <v>93.68</v>
      </c>
      <c r="C263" s="1773">
        <v>57.791809999999998</v>
      </c>
      <c r="D263" s="1773">
        <v>65.400000000000006</v>
      </c>
      <c r="E263" s="1811">
        <v>49.941000000000003</v>
      </c>
      <c r="F263" s="1812" t="s">
        <v>156</v>
      </c>
      <c r="G263" s="1773">
        <v>9.341526</v>
      </c>
      <c r="H263" s="1810">
        <v>51.730321000000004</v>
      </c>
      <c r="I263" s="1810">
        <v>43.798229999999997</v>
      </c>
      <c r="J263" s="1810">
        <v>36.501477999999999</v>
      </c>
      <c r="K263" s="1810"/>
      <c r="L263" s="1830"/>
      <c r="M263" s="1810"/>
      <c r="N263" s="1810"/>
      <c r="O263" s="1810"/>
      <c r="P263" s="1810"/>
      <c r="Q263" s="1810"/>
      <c r="R263" s="1810"/>
      <c r="S263" s="1810"/>
      <c r="T263" s="1810"/>
      <c r="U263" s="1810"/>
      <c r="W263" s="1915">
        <v>14.071999999999999</v>
      </c>
      <c r="X263" s="1810">
        <v>14.215</v>
      </c>
      <c r="Y263" s="1810">
        <v>19.082000000000001</v>
      </c>
      <c r="Z263" s="1810">
        <v>21.475000000000001</v>
      </c>
      <c r="AA263" s="1810">
        <v>26.042000000000002</v>
      </c>
      <c r="AB263" s="1811">
        <v>34.887999999999998</v>
      </c>
      <c r="AC263" s="1810"/>
      <c r="AD263" s="1810">
        <v>3187.1289999999999</v>
      </c>
      <c r="AE263" s="1810">
        <v>1455.3389999999999</v>
      </c>
      <c r="AF263" s="1810">
        <v>1676.299</v>
      </c>
      <c r="AG263" s="1811">
        <v>1676.299</v>
      </c>
      <c r="AH263" s="1773">
        <v>2063.3290000000002</v>
      </c>
      <c r="AI263" s="1773">
        <v>2296.5239999999999</v>
      </c>
      <c r="AJ263" s="1773">
        <v>1844.4749999999999</v>
      </c>
      <c r="AK263" s="1774">
        <v>1796.8109999999999</v>
      </c>
      <c r="AL263" s="1773">
        <v>2503.23</v>
      </c>
      <c r="AM263" s="1773">
        <v>2874.8229999999999</v>
      </c>
      <c r="AN263" s="1773">
        <v>3239.886</v>
      </c>
      <c r="AO263" s="1774">
        <v>2846.7289999999998</v>
      </c>
      <c r="AP263" s="1773">
        <v>3423</v>
      </c>
      <c r="AQ263" s="1773">
        <v>3072</v>
      </c>
      <c r="AR263" s="1773">
        <v>2920</v>
      </c>
      <c r="AS263" s="1773">
        <v>2443</v>
      </c>
      <c r="AT263" s="1837">
        <v>3708</v>
      </c>
      <c r="AU263" s="1773">
        <v>4258</v>
      </c>
      <c r="AV263" s="1773">
        <v>3797</v>
      </c>
      <c r="AW263" s="1774">
        <v>3315</v>
      </c>
      <c r="AX263" s="1837">
        <v>3905</v>
      </c>
      <c r="AY263" s="1773">
        <v>5053</v>
      </c>
      <c r="AZ263" s="1773">
        <v>4353</v>
      </c>
      <c r="BA263" s="1773">
        <v>3363</v>
      </c>
      <c r="BB263" s="1837">
        <v>4291</v>
      </c>
      <c r="BC263" s="1773">
        <v>5464</v>
      </c>
      <c r="BD263" s="1773">
        <v>5031</v>
      </c>
      <c r="BE263" s="1774">
        <v>4111</v>
      </c>
      <c r="BF263" s="1773">
        <v>5552</v>
      </c>
      <c r="BG263" s="1773">
        <v>5568</v>
      </c>
      <c r="BH263" s="1773">
        <v>4588</v>
      </c>
      <c r="BI263" s="1774">
        <v>4096</v>
      </c>
      <c r="BJ263" s="1773">
        <v>5904</v>
      </c>
      <c r="BK263" s="1773">
        <v>6274</v>
      </c>
      <c r="BL263" s="1773">
        <v>5056</v>
      </c>
      <c r="BM263" s="1774">
        <v>4225</v>
      </c>
      <c r="BO263" s="1774">
        <v>6242</v>
      </c>
      <c r="BP263" s="1774">
        <v>6242</v>
      </c>
      <c r="BQ263" s="1774">
        <v>6242</v>
      </c>
      <c r="BY263" s="2899">
        <f t="shared" ref="BY263:BY268" si="300">AK263</f>
        <v>1796.8109999999999</v>
      </c>
      <c r="BZ263" s="1776">
        <v>2846.7289999999998</v>
      </c>
      <c r="CA263" s="1915">
        <f t="shared" ref="CA263:CA268" si="301">AS263</f>
        <v>2443</v>
      </c>
      <c r="CB263" s="1915">
        <f t="shared" ref="CB263:CB268" si="302">AW263</f>
        <v>3315</v>
      </c>
      <c r="CC263" s="1915">
        <f>BA263</f>
        <v>3363</v>
      </c>
      <c r="CD263" s="1915">
        <f>BE263</f>
        <v>4111</v>
      </c>
      <c r="CE263" s="1837">
        <f>BI263</f>
        <v>4096</v>
      </c>
      <c r="CF263" s="1837">
        <f t="shared" ref="CF263:CH264" si="303">BM263</f>
        <v>4225</v>
      </c>
      <c r="CG263" s="1837">
        <f t="shared" si="303"/>
        <v>0</v>
      </c>
      <c r="CH263" s="1837">
        <f t="shared" si="303"/>
        <v>6242</v>
      </c>
    </row>
    <row r="264" spans="1:99" s="1773" customFormat="1">
      <c r="A264" s="73" t="s">
        <v>1917</v>
      </c>
      <c r="B264" s="1810">
        <v>8.7899999999999991</v>
      </c>
      <c r="C264" s="1773">
        <v>9.1818179999999998</v>
      </c>
      <c r="D264" s="1773">
        <v>9.7560000000000002</v>
      </c>
      <c r="E264" s="1811">
        <v>9.8550000000000004</v>
      </c>
      <c r="F264" s="1812" t="s">
        <v>156</v>
      </c>
      <c r="H264" s="1810"/>
      <c r="I264" s="1810"/>
      <c r="J264" s="1810"/>
      <c r="K264" s="1810"/>
      <c r="L264" s="1830"/>
      <c r="M264" s="1810"/>
      <c r="N264" s="1810"/>
      <c r="O264" s="1810"/>
      <c r="P264" s="1810"/>
      <c r="Q264" s="1810"/>
      <c r="R264" s="1810"/>
      <c r="S264" s="1810"/>
      <c r="T264" s="1810"/>
      <c r="U264" s="1810"/>
      <c r="W264" s="1837">
        <v>45.848999999999997</v>
      </c>
      <c r="X264" s="1810">
        <v>495.33100000000002</v>
      </c>
      <c r="Y264" s="1810">
        <v>648.81899999999996</v>
      </c>
      <c r="Z264" s="1810">
        <v>644.98199999999997</v>
      </c>
      <c r="AA264" s="1810">
        <v>325.51</v>
      </c>
      <c r="AB264" s="1811">
        <v>355.78</v>
      </c>
      <c r="AC264" s="1810"/>
      <c r="AD264" s="1810">
        <v>27.260999999999999</v>
      </c>
      <c r="AE264" s="1810">
        <v>10.015000000000001</v>
      </c>
      <c r="AF264" s="1810">
        <v>11.324</v>
      </c>
      <c r="AG264" s="1811">
        <v>11.324</v>
      </c>
      <c r="AH264" s="1773">
        <v>42.804000000000002</v>
      </c>
      <c r="AI264" s="1773">
        <v>42.165999999999997</v>
      </c>
      <c r="AJ264" s="1773">
        <v>18.423999999999999</v>
      </c>
      <c r="AK264" s="1774">
        <v>18.733000000000001</v>
      </c>
      <c r="AL264" s="1773">
        <v>34.451999999999998</v>
      </c>
      <c r="AM264" s="1773">
        <v>47.079000000000001</v>
      </c>
      <c r="AN264" s="1773">
        <v>46.936</v>
      </c>
      <c r="AO264" s="1774">
        <v>69.055000000000007</v>
      </c>
      <c r="AP264" s="1773">
        <v>219</v>
      </c>
      <c r="AQ264" s="1773">
        <v>336</v>
      </c>
      <c r="AR264" s="1773">
        <v>186</v>
      </c>
      <c r="AS264" s="1773">
        <v>259</v>
      </c>
      <c r="AT264" s="1837">
        <v>447</v>
      </c>
      <c r="AU264" s="1773">
        <v>619</v>
      </c>
      <c r="AV264" s="1773">
        <v>447</v>
      </c>
      <c r="AW264" s="1774">
        <v>779</v>
      </c>
      <c r="AX264" s="1837">
        <v>813</v>
      </c>
      <c r="AY264" s="1773">
        <v>1311</v>
      </c>
      <c r="AZ264" s="1773">
        <v>725</v>
      </c>
      <c r="BA264" s="1773">
        <v>772</v>
      </c>
      <c r="BB264" s="1837">
        <v>1972</v>
      </c>
      <c r="BC264" s="1773">
        <v>2541</v>
      </c>
      <c r="BD264" s="1773">
        <v>1587</v>
      </c>
      <c r="BE264" s="1774">
        <v>1694</v>
      </c>
      <c r="BF264" s="1773">
        <v>2583</v>
      </c>
      <c r="BG264" s="1773">
        <v>2756</v>
      </c>
      <c r="BH264" s="1773">
        <v>1778</v>
      </c>
      <c r="BI264" s="1774">
        <v>1755</v>
      </c>
      <c r="BJ264" s="1773">
        <v>2483</v>
      </c>
      <c r="BK264" s="1773">
        <v>2484</v>
      </c>
      <c r="BL264" s="1773">
        <v>1436</v>
      </c>
      <c r="BM264" s="1774">
        <v>1436</v>
      </c>
      <c r="BO264" s="1774">
        <v>2120</v>
      </c>
      <c r="BP264" s="1774">
        <v>2120</v>
      </c>
      <c r="BQ264" s="1774">
        <v>2120</v>
      </c>
      <c r="BY264" s="2899">
        <f t="shared" si="300"/>
        <v>18.733000000000001</v>
      </c>
      <c r="BZ264" s="1776">
        <v>69.055000000000007</v>
      </c>
      <c r="CA264" s="1915">
        <f t="shared" si="301"/>
        <v>259</v>
      </c>
      <c r="CB264" s="1915">
        <f t="shared" si="302"/>
        <v>779</v>
      </c>
      <c r="CC264" s="1915">
        <f t="shared" ref="CC264:CC276" si="304">BA264</f>
        <v>772</v>
      </c>
      <c r="CD264" s="1915">
        <f t="shared" ref="CD264:CD278" si="305">BE264</f>
        <v>1694</v>
      </c>
      <c r="CE264" s="1837">
        <f>BI264</f>
        <v>1755</v>
      </c>
      <c r="CF264" s="1837">
        <f t="shared" si="303"/>
        <v>1436</v>
      </c>
      <c r="CG264" s="1837">
        <f t="shared" si="303"/>
        <v>0</v>
      </c>
      <c r="CH264" s="1837">
        <f t="shared" si="303"/>
        <v>2120</v>
      </c>
    </row>
    <row r="265" spans="1:99" s="1773" customFormat="1">
      <c r="A265" s="73" t="s">
        <v>1918</v>
      </c>
      <c r="B265" s="1810">
        <v>45.92</v>
      </c>
      <c r="C265" s="1773">
        <v>87.879581999999999</v>
      </c>
      <c r="D265" s="1773">
        <v>227.74799999999999</v>
      </c>
      <c r="E265" s="1811">
        <v>253.84899999999999</v>
      </c>
      <c r="F265" s="1812" t="s">
        <v>156</v>
      </c>
      <c r="G265" s="1773">
        <v>13.175915</v>
      </c>
      <c r="H265" s="1810">
        <v>16.235047000000002</v>
      </c>
      <c r="I265" s="1810">
        <v>43.676623999999997</v>
      </c>
      <c r="J265" s="1810">
        <v>47.203716999999997</v>
      </c>
      <c r="K265" s="1810"/>
      <c r="L265" s="1830"/>
      <c r="Q265" s="1810"/>
      <c r="R265" s="1810"/>
      <c r="V265" s="1772"/>
      <c r="W265" s="1916">
        <f t="shared" ref="W265:AB265" si="306">SUM(W262:W264)</f>
        <v>702.46500000000003</v>
      </c>
      <c r="X265" s="1773">
        <f t="shared" si="306"/>
        <v>1130.7449999999999</v>
      </c>
      <c r="Y265" s="1773">
        <f t="shared" si="306"/>
        <v>1357.0349999999999</v>
      </c>
      <c r="Z265" s="1773">
        <f t="shared" si="306"/>
        <v>1959.6179999999999</v>
      </c>
      <c r="AA265" s="1773">
        <f t="shared" si="306"/>
        <v>1372.585</v>
      </c>
      <c r="AB265" s="1774">
        <f t="shared" si="306"/>
        <v>1793.3679999999999</v>
      </c>
      <c r="AC265" s="1810"/>
      <c r="AD265" s="1810">
        <v>195.98400000000001</v>
      </c>
      <c r="AE265" s="1810">
        <v>35.478000000000002</v>
      </c>
      <c r="AF265" s="1810">
        <v>33.738999999999997</v>
      </c>
      <c r="AG265" s="1811">
        <v>33.738999999999997</v>
      </c>
      <c r="AH265" s="1773">
        <v>28.587</v>
      </c>
      <c r="AI265" s="1773">
        <v>38.5</v>
      </c>
      <c r="AJ265" s="1773">
        <v>45.680999999999997</v>
      </c>
      <c r="AK265" s="1774">
        <v>72.313000000000002</v>
      </c>
      <c r="AL265" s="1773">
        <v>851.41499999999996</v>
      </c>
      <c r="AM265" s="1773">
        <v>906.33900000000006</v>
      </c>
      <c r="AN265" s="1773">
        <v>540.58100000000002</v>
      </c>
      <c r="AO265" s="1774">
        <v>468.50799999999998</v>
      </c>
      <c r="AP265" s="1773">
        <v>1031</v>
      </c>
      <c r="AQ265" s="1773">
        <v>1491</v>
      </c>
      <c r="AR265" s="1773">
        <v>458</v>
      </c>
      <c r="AS265" s="1773">
        <v>28</v>
      </c>
      <c r="AT265" s="1837">
        <v>466</v>
      </c>
      <c r="AU265" s="1773">
        <v>631</v>
      </c>
      <c r="AV265" s="1773">
        <v>658</v>
      </c>
      <c r="AW265" s="1774">
        <v>526</v>
      </c>
      <c r="AX265" s="1837">
        <v>194</v>
      </c>
      <c r="AY265" s="1773">
        <v>422</v>
      </c>
      <c r="AZ265" s="1773">
        <v>23</v>
      </c>
      <c r="BA265" s="1773">
        <v>24</v>
      </c>
      <c r="BB265" s="1837">
        <v>23</v>
      </c>
      <c r="BC265" s="1773">
        <v>11</v>
      </c>
      <c r="BD265" s="1773">
        <v>0</v>
      </c>
      <c r="BE265" s="1774">
        <v>200</v>
      </c>
      <c r="BF265" s="1773">
        <v>0</v>
      </c>
      <c r="BG265" s="1773">
        <v>26</v>
      </c>
      <c r="BH265" s="1773">
        <v>49</v>
      </c>
      <c r="BI265" s="1774">
        <v>48</v>
      </c>
      <c r="BJ265" s="1773">
        <v>44</v>
      </c>
      <c r="BK265" s="1773">
        <v>27</v>
      </c>
      <c r="BL265" s="1773">
        <v>0</v>
      </c>
      <c r="BM265" s="1774">
        <v>28</v>
      </c>
      <c r="BO265" s="1774">
        <v>31</v>
      </c>
      <c r="BP265" s="1774">
        <v>31</v>
      </c>
      <c r="BQ265" s="1774">
        <v>31</v>
      </c>
      <c r="BY265" s="2899">
        <f t="shared" si="300"/>
        <v>72.313000000000002</v>
      </c>
      <c r="BZ265" s="1776">
        <v>468.50799999999998</v>
      </c>
      <c r="CA265" s="1915">
        <f t="shared" si="301"/>
        <v>28</v>
      </c>
      <c r="CB265" s="1915">
        <f t="shared" si="302"/>
        <v>526</v>
      </c>
      <c r="CC265" s="1915">
        <f t="shared" si="304"/>
        <v>24</v>
      </c>
      <c r="CD265" s="1915">
        <f t="shared" si="305"/>
        <v>200</v>
      </c>
      <c r="CE265" s="1837">
        <f t="shared" ref="CE265:CE278" si="307">BI265</f>
        <v>48</v>
      </c>
      <c r="CF265" s="1837">
        <f t="shared" ref="CF265:CH278" si="308">BM265</f>
        <v>28</v>
      </c>
      <c r="CG265" s="1837">
        <f t="shared" si="308"/>
        <v>0</v>
      </c>
      <c r="CH265" s="1837">
        <f t="shared" si="308"/>
        <v>31</v>
      </c>
    </row>
    <row r="266" spans="1:99" s="30" customFormat="1" ht="23">
      <c r="A266" s="126" t="s">
        <v>1930</v>
      </c>
      <c r="B266" s="30">
        <f>SUM(B263:B265)</f>
        <v>148.38999999999999</v>
      </c>
      <c r="C266" s="30">
        <f>SUM(C263:C265)</f>
        <v>154.85320999999999</v>
      </c>
      <c r="D266" s="30">
        <f>SUM(D263:D265)</f>
        <v>302.904</v>
      </c>
      <c r="E266" s="105">
        <f>SUM(E263:E265)</f>
        <v>313.64499999999998</v>
      </c>
      <c r="F266" s="89" t="s">
        <v>156</v>
      </c>
      <c r="G266" s="42">
        <f>SUM(G263:G265)</f>
        <v>22.517440999999998</v>
      </c>
      <c r="H266" s="30">
        <f>SUM(H263:H265)</f>
        <v>67.965368000000012</v>
      </c>
      <c r="I266" s="30">
        <f>SUM(I263:I265)</f>
        <v>87.474853999999993</v>
      </c>
      <c r="J266" s="30">
        <f>SUM(J263:J265)</f>
        <v>83.705195000000003</v>
      </c>
      <c r="L266" s="233"/>
      <c r="M266" s="42"/>
      <c r="N266" s="42"/>
      <c r="O266" s="42"/>
      <c r="P266" s="42"/>
      <c r="W266" s="47">
        <v>214.767</v>
      </c>
      <c r="X266" s="30">
        <v>105.938</v>
      </c>
      <c r="Y266" s="30">
        <v>121.541</v>
      </c>
      <c r="Z266" s="30">
        <v>179.72900000000001</v>
      </c>
      <c r="AA266" s="30">
        <v>101.541</v>
      </c>
      <c r="AB266" s="105">
        <v>166.357</v>
      </c>
      <c r="AD266" s="30">
        <f t="shared" ref="AD266:AN266" si="309">SUM(AD263:AD265)</f>
        <v>3410.3739999999998</v>
      </c>
      <c r="AE266" s="30">
        <f t="shared" si="309"/>
        <v>1500.8320000000001</v>
      </c>
      <c r="AF266" s="30">
        <f t="shared" si="309"/>
        <v>1721.3620000000001</v>
      </c>
      <c r="AG266" s="106">
        <f t="shared" si="309"/>
        <v>1721.3620000000001</v>
      </c>
      <c r="AH266" s="30">
        <f t="shared" si="309"/>
        <v>2134.7200000000003</v>
      </c>
      <c r="AI266" s="30">
        <f t="shared" si="309"/>
        <v>2377.19</v>
      </c>
      <c r="AJ266" s="30">
        <f t="shared" si="309"/>
        <v>1908.58</v>
      </c>
      <c r="AK266" s="105">
        <f t="shared" si="309"/>
        <v>1887.857</v>
      </c>
      <c r="AL266" s="30">
        <f t="shared" si="309"/>
        <v>3389.0969999999998</v>
      </c>
      <c r="AM266" s="30">
        <f t="shared" si="309"/>
        <v>3828.241</v>
      </c>
      <c r="AN266" s="30">
        <f t="shared" si="309"/>
        <v>3827.4030000000002</v>
      </c>
      <c r="AO266" s="105">
        <v>3384.2919999999995</v>
      </c>
      <c r="AP266" s="30">
        <f t="shared" ref="AP266:BM266" si="310">SUM(AP263:AP265)</f>
        <v>4673</v>
      </c>
      <c r="AQ266" s="30">
        <f t="shared" si="310"/>
        <v>4899</v>
      </c>
      <c r="AR266" s="30">
        <f t="shared" si="310"/>
        <v>3564</v>
      </c>
      <c r="AS266" s="30">
        <f t="shared" si="310"/>
        <v>2730</v>
      </c>
      <c r="AT266" s="47">
        <f t="shared" si="310"/>
        <v>4621</v>
      </c>
      <c r="AU266" s="30">
        <f t="shared" si="310"/>
        <v>5508</v>
      </c>
      <c r="AV266" s="30">
        <f t="shared" si="310"/>
        <v>4902</v>
      </c>
      <c r="AW266" s="105">
        <f t="shared" si="310"/>
        <v>4620</v>
      </c>
      <c r="AX266" s="47">
        <f t="shared" si="310"/>
        <v>4912</v>
      </c>
      <c r="AY266" s="30">
        <f t="shared" si="310"/>
        <v>6786</v>
      </c>
      <c r="AZ266" s="30">
        <f t="shared" si="310"/>
        <v>5101</v>
      </c>
      <c r="BA266" s="30">
        <f t="shared" si="310"/>
        <v>4159</v>
      </c>
      <c r="BB266" s="47">
        <f t="shared" si="310"/>
        <v>6286</v>
      </c>
      <c r="BC266" s="30">
        <f t="shared" si="310"/>
        <v>8016</v>
      </c>
      <c r="BD266" s="30">
        <f t="shared" si="310"/>
        <v>6618</v>
      </c>
      <c r="BE266" s="105">
        <f t="shared" si="310"/>
        <v>6005</v>
      </c>
      <c r="BF266" s="30">
        <f t="shared" si="310"/>
        <v>8135</v>
      </c>
      <c r="BG266" s="30">
        <f t="shared" si="310"/>
        <v>8350</v>
      </c>
      <c r="BH266" s="30">
        <f t="shared" si="310"/>
        <v>6415</v>
      </c>
      <c r="BI266" s="105">
        <f t="shared" si="310"/>
        <v>5899</v>
      </c>
      <c r="BJ266" s="30">
        <f>SUM(BJ263:BJ265)</f>
        <v>8431</v>
      </c>
      <c r="BK266" s="30">
        <f t="shared" si="310"/>
        <v>8785</v>
      </c>
      <c r="BL266" s="30">
        <f t="shared" si="310"/>
        <v>6492</v>
      </c>
      <c r="BM266" s="30">
        <f t="shared" si="310"/>
        <v>5689</v>
      </c>
      <c r="BO266" s="30">
        <f>SUM(BO263:BO265)</f>
        <v>8393</v>
      </c>
      <c r="BP266" s="30">
        <f>SUM(BP263:BP265)</f>
        <v>8393</v>
      </c>
      <c r="BQ266" s="30">
        <f>SUM(BQ263:BQ265)</f>
        <v>8393</v>
      </c>
      <c r="BY266" s="2900">
        <f t="shared" si="300"/>
        <v>1887.857</v>
      </c>
      <c r="BZ266" s="77">
        <v>3384.2919999999995</v>
      </c>
      <c r="CA266" s="2913">
        <f t="shared" si="301"/>
        <v>2730</v>
      </c>
      <c r="CB266" s="2913">
        <f t="shared" si="302"/>
        <v>4620</v>
      </c>
      <c r="CC266" s="2913">
        <f t="shared" si="304"/>
        <v>4159</v>
      </c>
      <c r="CD266" s="2913">
        <f t="shared" si="305"/>
        <v>6005</v>
      </c>
      <c r="CE266" s="47">
        <f t="shared" si="307"/>
        <v>5899</v>
      </c>
      <c r="CF266" s="47">
        <f t="shared" si="308"/>
        <v>5689</v>
      </c>
      <c r="CG266" s="47">
        <f t="shared" si="308"/>
        <v>0</v>
      </c>
      <c r="CH266" s="47">
        <f t="shared" si="308"/>
        <v>8393</v>
      </c>
    </row>
    <row r="267" spans="1:99" s="1773" customFormat="1">
      <c r="A267" s="74" t="s">
        <v>1042</v>
      </c>
      <c r="B267" s="1773">
        <v>11.53</v>
      </c>
      <c r="C267" s="1773">
        <v>1.7317</v>
      </c>
      <c r="D267" s="1773">
        <v>2.895</v>
      </c>
      <c r="E267" s="1774">
        <v>3.4089999999999998</v>
      </c>
      <c r="L267" s="1830"/>
      <c r="S267" s="1810"/>
      <c r="T267" s="1810"/>
      <c r="U267" s="1810"/>
      <c r="W267" s="1837">
        <v>5937.1559999999999</v>
      </c>
      <c r="X267" s="1810">
        <v>6656.9219999999996</v>
      </c>
      <c r="Y267" s="1810">
        <v>6505.2579999999998</v>
      </c>
      <c r="Z267" s="1810">
        <v>7132.7460000000001</v>
      </c>
      <c r="AA267" s="1810">
        <v>7739.4809999999998</v>
      </c>
      <c r="AB267" s="1811">
        <v>9020.5380000000005</v>
      </c>
      <c r="AD267" s="1773">
        <v>213.20699999999999</v>
      </c>
      <c r="AE267" s="1773">
        <v>216.422</v>
      </c>
      <c r="AF267" s="1773">
        <v>161.18799999999999</v>
      </c>
      <c r="AG267" s="1774">
        <v>161.18799999999999</v>
      </c>
      <c r="AH267" s="1773">
        <v>180.13499999999999</v>
      </c>
      <c r="AI267" s="1773">
        <v>196.75299999999999</v>
      </c>
      <c r="AJ267" s="1773">
        <v>285.899</v>
      </c>
      <c r="AK267" s="1774">
        <v>199.745</v>
      </c>
      <c r="AL267" s="1773">
        <v>231.95500000000001</v>
      </c>
      <c r="AM267" s="1773">
        <v>243.702</v>
      </c>
      <c r="AN267" s="1773">
        <v>285.84800000000001</v>
      </c>
      <c r="AO267" s="1774">
        <v>268.66899999999998</v>
      </c>
      <c r="AP267" s="1773">
        <v>329</v>
      </c>
      <c r="AQ267" s="1773">
        <v>361</v>
      </c>
      <c r="AR267" s="1773">
        <v>278</v>
      </c>
      <c r="AS267" s="1773">
        <v>292</v>
      </c>
      <c r="AT267" s="1837">
        <v>318</v>
      </c>
      <c r="AU267" s="1773">
        <v>295</v>
      </c>
      <c r="AV267" s="1773">
        <v>321</v>
      </c>
      <c r="AW267" s="1774">
        <v>521</v>
      </c>
      <c r="AX267" s="1837">
        <v>1243</v>
      </c>
      <c r="AY267" s="1773">
        <v>1049</v>
      </c>
      <c r="AZ267" s="1773">
        <v>685</v>
      </c>
      <c r="BA267" s="1773">
        <v>654</v>
      </c>
      <c r="BB267" s="1837">
        <v>1151</v>
      </c>
      <c r="BC267" s="1773">
        <v>1258</v>
      </c>
      <c r="BD267" s="1773">
        <v>838</v>
      </c>
      <c r="BE267" s="1774">
        <v>827</v>
      </c>
      <c r="BF267" s="1773">
        <v>1183</v>
      </c>
      <c r="BG267" s="1773">
        <v>1158</v>
      </c>
      <c r="BH267" s="1773">
        <v>799</v>
      </c>
      <c r="BI267" s="1774">
        <v>774</v>
      </c>
      <c r="BJ267" s="1773">
        <v>1119</v>
      </c>
      <c r="BK267" s="1773">
        <v>1055</v>
      </c>
      <c r="BL267" s="1773">
        <v>765</v>
      </c>
      <c r="BM267" s="1774">
        <v>708</v>
      </c>
      <c r="BO267" s="1774">
        <v>924</v>
      </c>
      <c r="BP267" s="1774">
        <v>924</v>
      </c>
      <c r="BQ267" s="1774">
        <v>924</v>
      </c>
      <c r="BY267" s="2899">
        <f t="shared" si="300"/>
        <v>199.745</v>
      </c>
      <c r="BZ267" s="1776">
        <v>268.66899999999998</v>
      </c>
      <c r="CA267" s="1915">
        <f t="shared" si="301"/>
        <v>292</v>
      </c>
      <c r="CB267" s="1915">
        <f t="shared" si="302"/>
        <v>521</v>
      </c>
      <c r="CC267" s="1915">
        <f t="shared" si="304"/>
        <v>654</v>
      </c>
      <c r="CD267" s="1915">
        <f t="shared" si="305"/>
        <v>827</v>
      </c>
      <c r="CE267" s="1837">
        <f t="shared" si="307"/>
        <v>774</v>
      </c>
      <c r="CF267" s="1837">
        <f t="shared" si="308"/>
        <v>708</v>
      </c>
      <c r="CG267" s="1837">
        <f t="shared" si="308"/>
        <v>0</v>
      </c>
      <c r="CH267" s="1837">
        <f t="shared" si="308"/>
        <v>924</v>
      </c>
    </row>
    <row r="268" spans="1:99" s="1773" customFormat="1">
      <c r="A268" s="1389" t="s">
        <v>4</v>
      </c>
      <c r="B268" s="1810">
        <v>173.44900000000001</v>
      </c>
      <c r="C268" s="1773">
        <v>192.302615</v>
      </c>
      <c r="D268" s="1773">
        <v>351.24799999999999</v>
      </c>
      <c r="E268" s="1811">
        <v>396.56400000000002</v>
      </c>
      <c r="F268" s="1812" t="s">
        <v>156</v>
      </c>
      <c r="G268" s="1773">
        <v>50.633451999999998</v>
      </c>
      <c r="H268" s="1810">
        <v>112.939637</v>
      </c>
      <c r="I268" s="1810">
        <v>170.19141200000001</v>
      </c>
      <c r="J268" s="1810">
        <v>194.62014199999999</v>
      </c>
      <c r="K268" s="1810"/>
      <c r="L268" s="1830"/>
      <c r="Q268" s="1810"/>
      <c r="R268" s="1810"/>
      <c r="S268" s="1917"/>
      <c r="T268" s="1917"/>
      <c r="U268" s="1917"/>
      <c r="W268" s="1837"/>
      <c r="X268" s="1917"/>
      <c r="Y268" s="1917"/>
      <c r="Z268" s="1917"/>
      <c r="AA268" s="1917"/>
      <c r="AB268" s="1918"/>
      <c r="AC268" s="1810"/>
      <c r="AD268" s="1810">
        <v>11831.925999999999</v>
      </c>
      <c r="AE268" s="1810">
        <v>12403.272999999999</v>
      </c>
      <c r="AF268" s="1810">
        <v>15503.812</v>
      </c>
      <c r="AG268" s="1811">
        <v>15503.812</v>
      </c>
      <c r="AH268" s="1773">
        <v>16390.044000000002</v>
      </c>
      <c r="AI268" s="1773">
        <v>16728.542000000001</v>
      </c>
      <c r="AJ268" s="1773">
        <v>16131.766</v>
      </c>
      <c r="AK268" s="1774">
        <v>15777.546</v>
      </c>
      <c r="AL268" s="1773">
        <v>17668.905999999999</v>
      </c>
      <c r="AM268" s="1773">
        <v>18623.248</v>
      </c>
      <c r="AN268" s="1773">
        <v>19035.232</v>
      </c>
      <c r="AO268" s="1774">
        <v>18515.628000000001</v>
      </c>
      <c r="AP268" s="1773">
        <v>20429</v>
      </c>
      <c r="AQ268" s="1773">
        <v>20554</v>
      </c>
      <c r="AR268" s="1773">
        <v>19141</v>
      </c>
      <c r="AS268" s="1773">
        <v>18033</v>
      </c>
      <c r="AT268" s="1837">
        <v>20963</v>
      </c>
      <c r="AU268" s="1773">
        <v>22201</v>
      </c>
      <c r="AV268" s="1773">
        <v>21381</v>
      </c>
      <c r="AW268" s="1774">
        <v>21416</v>
      </c>
      <c r="AX268" s="1837">
        <v>20417</v>
      </c>
      <c r="AY268" s="1773">
        <v>21905</v>
      </c>
      <c r="AZ268" s="1773">
        <v>19679</v>
      </c>
      <c r="BA268" s="1773">
        <v>18690</v>
      </c>
      <c r="BB268" s="1837">
        <v>21866</v>
      </c>
      <c r="BC268" s="1773">
        <v>24181</v>
      </c>
      <c r="BD268" s="1773">
        <v>21944</v>
      </c>
      <c r="BE268" s="1774">
        <v>21548</v>
      </c>
      <c r="BF268" s="1773">
        <v>24577</v>
      </c>
      <c r="BG268" s="1773">
        <v>24744</v>
      </c>
      <c r="BH268" s="1773">
        <v>21879</v>
      </c>
      <c r="BI268" s="1774">
        <v>21561</v>
      </c>
      <c r="BJ268" s="1773">
        <v>24986</v>
      </c>
      <c r="BK268" s="1773">
        <v>25676</v>
      </c>
      <c r="BL268" s="1773">
        <v>22522</v>
      </c>
      <c r="BM268" s="1774">
        <v>21642</v>
      </c>
      <c r="BO268" s="1774">
        <v>25893</v>
      </c>
      <c r="BP268" s="1774">
        <v>25893</v>
      </c>
      <c r="BQ268" s="1774">
        <v>25893</v>
      </c>
      <c r="BY268" s="2899">
        <f t="shared" si="300"/>
        <v>15777.546</v>
      </c>
      <c r="BZ268" s="1776">
        <v>18515.628000000001</v>
      </c>
      <c r="CA268" s="1915">
        <f t="shared" si="301"/>
        <v>18033</v>
      </c>
      <c r="CB268" s="1915">
        <f t="shared" si="302"/>
        <v>21416</v>
      </c>
      <c r="CC268" s="1915">
        <f t="shared" si="304"/>
        <v>18690</v>
      </c>
      <c r="CD268" s="1915">
        <f t="shared" si="305"/>
        <v>21548</v>
      </c>
      <c r="CE268" s="1837">
        <f t="shared" si="307"/>
        <v>21561</v>
      </c>
      <c r="CF268" s="1837">
        <f t="shared" si="308"/>
        <v>21642</v>
      </c>
      <c r="CG268" s="1837">
        <f t="shared" si="308"/>
        <v>0</v>
      </c>
      <c r="CH268" s="1837">
        <f t="shared" si="308"/>
        <v>25893</v>
      </c>
    </row>
    <row r="269" spans="1:99" s="30" customFormat="1">
      <c r="A269" s="75" t="s">
        <v>5</v>
      </c>
      <c r="B269" s="40"/>
      <c r="E269" s="114"/>
      <c r="H269" s="40"/>
      <c r="I269" s="40"/>
      <c r="J269" s="40"/>
      <c r="K269" s="40"/>
      <c r="L269" s="222"/>
      <c r="Q269" s="40"/>
      <c r="R269" s="40"/>
      <c r="S269" s="89"/>
      <c r="T269" s="89"/>
      <c r="U269" s="89"/>
      <c r="V269" s="89"/>
      <c r="W269" s="109" t="s">
        <v>156</v>
      </c>
      <c r="X269" s="89" t="s">
        <v>156</v>
      </c>
      <c r="Y269" s="89" t="s">
        <v>156</v>
      </c>
      <c r="Z269" s="89" t="s">
        <v>156</v>
      </c>
      <c r="AA269" s="89" t="s">
        <v>156</v>
      </c>
      <c r="AB269" s="110" t="s">
        <v>156</v>
      </c>
      <c r="AC269" s="40"/>
      <c r="AD269" s="40"/>
      <c r="AE269" s="40"/>
      <c r="AF269" s="40"/>
      <c r="AG269" s="114"/>
      <c r="AK269" s="105"/>
      <c r="AO269" s="105"/>
      <c r="AT269" s="47"/>
      <c r="AW269" s="105"/>
      <c r="AX269" s="47"/>
      <c r="BB269" s="47"/>
      <c r="BE269" s="105"/>
      <c r="BI269" s="105"/>
      <c r="BM269" s="105"/>
      <c r="BO269" s="105"/>
      <c r="BP269" s="105"/>
      <c r="BQ269" s="105"/>
      <c r="BY269" s="1010"/>
      <c r="BZ269" s="77"/>
      <c r="CA269" s="104"/>
      <c r="CB269" s="47"/>
      <c r="CC269" s="47"/>
      <c r="CD269" s="47">
        <f t="shared" si="305"/>
        <v>0</v>
      </c>
      <c r="CE269" s="1837">
        <f t="shared" si="307"/>
        <v>0</v>
      </c>
      <c r="CF269" s="1837">
        <f t="shared" si="308"/>
        <v>0</v>
      </c>
      <c r="CG269" s="1837">
        <f t="shared" si="308"/>
        <v>0</v>
      </c>
      <c r="CH269" s="1837">
        <f t="shared" si="308"/>
        <v>0</v>
      </c>
    </row>
    <row r="270" spans="1:99" s="1773" customFormat="1" ht="12.75" customHeight="1">
      <c r="A270" s="73" t="s">
        <v>1931</v>
      </c>
      <c r="B270" s="1812" t="s">
        <v>156</v>
      </c>
      <c r="C270" s="1812" t="s">
        <v>156</v>
      </c>
      <c r="D270" s="1812" t="s">
        <v>156</v>
      </c>
      <c r="E270" s="1834" t="s">
        <v>156</v>
      </c>
      <c r="H270" s="1812"/>
      <c r="I270" s="1812"/>
      <c r="J270" s="1812"/>
      <c r="K270" s="1812"/>
      <c r="L270" s="1830"/>
      <c r="M270" s="1812"/>
      <c r="N270" s="1812"/>
      <c r="O270" s="1812"/>
      <c r="P270" s="1812"/>
      <c r="Q270" s="1812"/>
      <c r="R270" s="1812"/>
      <c r="S270" s="1812"/>
      <c r="T270" s="1812"/>
      <c r="U270" s="1812"/>
      <c r="V270" s="1812"/>
      <c r="W270" s="1919" t="s">
        <v>156</v>
      </c>
      <c r="X270" s="1812" t="s">
        <v>156</v>
      </c>
      <c r="Y270" s="1812" t="s">
        <v>156</v>
      </c>
      <c r="Z270" s="1812" t="s">
        <v>156</v>
      </c>
      <c r="AA270" s="1812" t="s">
        <v>156</v>
      </c>
      <c r="AB270" s="1920" t="s">
        <v>156</v>
      </c>
      <c r="AC270" s="1812"/>
      <c r="AD270" s="1812"/>
      <c r="AE270" s="1812"/>
      <c r="AF270" s="1812"/>
      <c r="AG270" s="1920" t="s">
        <v>156</v>
      </c>
      <c r="AH270" s="1812" t="s">
        <v>156</v>
      </c>
      <c r="AI270" s="1812" t="s">
        <v>156</v>
      </c>
      <c r="AJ270" s="1812" t="s">
        <v>156</v>
      </c>
      <c r="AK270" s="1774"/>
      <c r="AN270" s="1773">
        <v>3643.6</v>
      </c>
      <c r="AO270" s="1774">
        <v>3219.279</v>
      </c>
      <c r="AP270" s="1773">
        <v>5866</v>
      </c>
      <c r="AQ270" s="1773">
        <v>6106</v>
      </c>
      <c r="AR270" s="1773">
        <v>4795</v>
      </c>
      <c r="AS270" s="1773">
        <v>4327</v>
      </c>
      <c r="AT270" s="1837">
        <v>6612</v>
      </c>
      <c r="AU270" s="1773">
        <v>7053</v>
      </c>
      <c r="AV270" s="1773">
        <v>5642</v>
      </c>
      <c r="AW270" s="1774">
        <v>5679</v>
      </c>
      <c r="AX270" s="1837">
        <v>5905</v>
      </c>
      <c r="AY270" s="1773">
        <v>4632</v>
      </c>
      <c r="AZ270" s="1773">
        <v>3247</v>
      </c>
      <c r="BA270" s="1773">
        <v>3107</v>
      </c>
      <c r="BB270" s="1837">
        <v>6047</v>
      </c>
      <c r="BC270" s="1773">
        <v>8240</v>
      </c>
      <c r="BD270" s="1773">
        <v>5844</v>
      </c>
      <c r="BE270" s="1774">
        <v>5688</v>
      </c>
      <c r="BF270" s="1773">
        <v>9203</v>
      </c>
      <c r="BG270" s="1773">
        <v>10041</v>
      </c>
      <c r="BH270" s="1773">
        <v>7457</v>
      </c>
      <c r="BI270" s="1774">
        <v>7151</v>
      </c>
      <c r="BJ270" s="1773">
        <v>11036</v>
      </c>
      <c r="BK270" s="1773">
        <v>11523</v>
      </c>
      <c r="BL270" s="1773">
        <v>8394</v>
      </c>
      <c r="BM270" s="1774">
        <v>7723</v>
      </c>
      <c r="BO270" s="1774">
        <v>12083</v>
      </c>
      <c r="BP270" s="1774">
        <v>12083</v>
      </c>
      <c r="BQ270" s="1774">
        <v>12083</v>
      </c>
      <c r="BY270" s="2901">
        <v>5905</v>
      </c>
      <c r="BZ270" s="1776">
        <v>3219.279</v>
      </c>
      <c r="CA270" s="1915">
        <f>AS270</f>
        <v>4327</v>
      </c>
      <c r="CB270" s="1837">
        <f>AW270</f>
        <v>5679</v>
      </c>
      <c r="CC270" s="1837">
        <f t="shared" si="304"/>
        <v>3107</v>
      </c>
      <c r="CD270" s="1837">
        <f t="shared" si="305"/>
        <v>5688</v>
      </c>
      <c r="CE270" s="1837">
        <f t="shared" si="307"/>
        <v>7151</v>
      </c>
      <c r="CF270" s="1837">
        <f t="shared" si="308"/>
        <v>7723</v>
      </c>
      <c r="CG270" s="1837">
        <f t="shared" si="308"/>
        <v>0</v>
      </c>
      <c r="CH270" s="1837">
        <f t="shared" si="308"/>
        <v>12083</v>
      </c>
    </row>
    <row r="271" spans="1:99" s="1773" customFormat="1">
      <c r="A271" s="73" t="s">
        <v>1068</v>
      </c>
      <c r="B271" s="1833" t="s">
        <v>156</v>
      </c>
      <c r="C271" s="1833" t="s">
        <v>156</v>
      </c>
      <c r="D271" s="1833" t="s">
        <v>156</v>
      </c>
      <c r="E271" s="1834" t="s">
        <v>156</v>
      </c>
      <c r="F271" s="1812" t="s">
        <v>156</v>
      </c>
      <c r="G271" s="1773">
        <f>3.996066+ 40.834795</f>
        <v>44.830860999999999</v>
      </c>
      <c r="H271" s="1812">
        <f>3.855977+0.060634</f>
        <v>3.9166110000000001</v>
      </c>
      <c r="I271" s="1812">
        <v>8.2083000000000003E-2</v>
      </c>
      <c r="J271" s="1812">
        <v>1.0019800000000001</v>
      </c>
      <c r="K271" s="1812"/>
      <c r="L271" s="1830"/>
      <c r="M271" s="1812"/>
      <c r="N271" s="1812"/>
      <c r="O271" s="1812"/>
      <c r="P271" s="1812"/>
      <c r="Q271" s="1812"/>
      <c r="R271" s="1812"/>
      <c r="S271" s="1810"/>
      <c r="T271" s="1810"/>
      <c r="U271" s="1810"/>
      <c r="W271" s="1837">
        <v>895.08600000000001</v>
      </c>
      <c r="X271" s="1810">
        <v>1249.2809999999999</v>
      </c>
      <c r="Y271" s="1810">
        <v>1249.2809999999999</v>
      </c>
      <c r="Z271" s="1810">
        <v>1249.345</v>
      </c>
      <c r="AA271" s="1810">
        <v>1249.412</v>
      </c>
      <c r="AB271" s="1811">
        <v>1746.787</v>
      </c>
      <c r="AC271" s="1812"/>
      <c r="AD271" s="1812"/>
      <c r="AE271" s="1812"/>
      <c r="AF271" s="1812"/>
      <c r="AG271" s="1920" t="s">
        <v>156</v>
      </c>
      <c r="AH271" s="1812" t="s">
        <v>156</v>
      </c>
      <c r="AI271" s="1812" t="s">
        <v>156</v>
      </c>
      <c r="AJ271" s="1812" t="s">
        <v>156</v>
      </c>
      <c r="AK271" s="1774"/>
      <c r="AN271" s="1773">
        <v>500</v>
      </c>
      <c r="AO271" s="1774">
        <v>500</v>
      </c>
      <c r="AP271" s="1773">
        <v>500</v>
      </c>
      <c r="AQ271" s="1773">
        <v>500</v>
      </c>
      <c r="AR271" s="1773">
        <v>0</v>
      </c>
      <c r="AS271" s="1773">
        <v>0</v>
      </c>
      <c r="AT271" s="1837"/>
      <c r="AW271" s="1774"/>
      <c r="AX271" s="1837"/>
      <c r="BB271" s="1837">
        <v>0</v>
      </c>
      <c r="BE271" s="1774">
        <v>735</v>
      </c>
      <c r="BF271" s="1773">
        <v>0</v>
      </c>
      <c r="BH271" s="1773" t="s">
        <v>2742</v>
      </c>
      <c r="BI271" s="1774"/>
      <c r="BM271" s="1774"/>
      <c r="BO271" s="1774"/>
      <c r="BP271" s="1774"/>
      <c r="BQ271" s="1774"/>
      <c r="BY271" s="2901"/>
      <c r="BZ271" s="1776">
        <v>500</v>
      </c>
      <c r="CA271" s="1919"/>
      <c r="CB271" s="1837"/>
      <c r="CC271" s="1837">
        <f t="shared" si="304"/>
        <v>0</v>
      </c>
      <c r="CD271" s="1837">
        <f t="shared" si="305"/>
        <v>735</v>
      </c>
      <c r="CE271" s="1837">
        <f t="shared" si="307"/>
        <v>0</v>
      </c>
      <c r="CF271" s="1837">
        <f t="shared" si="308"/>
        <v>0</v>
      </c>
      <c r="CG271" s="1837">
        <f t="shared" si="308"/>
        <v>0</v>
      </c>
      <c r="CH271" s="1837">
        <f t="shared" si="308"/>
        <v>0</v>
      </c>
    </row>
    <row r="272" spans="1:99" s="1773" customFormat="1">
      <c r="A272" s="73" t="s">
        <v>30</v>
      </c>
      <c r="B272" s="1833" t="s">
        <v>156</v>
      </c>
      <c r="C272" s="1833" t="s">
        <v>156</v>
      </c>
      <c r="D272" s="1833" t="s">
        <v>156</v>
      </c>
      <c r="E272" s="1834" t="s">
        <v>156</v>
      </c>
      <c r="F272" s="1812" t="s">
        <v>156</v>
      </c>
      <c r="G272" s="1773">
        <v>0.132103</v>
      </c>
      <c r="H272" s="1810">
        <v>0.148923</v>
      </c>
      <c r="I272" s="1810">
        <v>0.17727999999999999</v>
      </c>
      <c r="J272" s="1810">
        <v>0.28443299999999999</v>
      </c>
      <c r="K272" s="1810"/>
      <c r="L272" s="1830"/>
      <c r="Q272" s="1810"/>
      <c r="R272" s="1810"/>
      <c r="S272" s="1810"/>
      <c r="T272" s="1810"/>
      <c r="U272" s="1810"/>
      <c r="W272" s="1837">
        <f t="shared" ref="W272:AB272" si="311">SUM(W270:W271)</f>
        <v>895.08600000000001</v>
      </c>
      <c r="X272" s="1810">
        <f t="shared" si="311"/>
        <v>1249.2809999999999</v>
      </c>
      <c r="Y272" s="1810">
        <f t="shared" si="311"/>
        <v>1249.2809999999999</v>
      </c>
      <c r="Z272" s="1810">
        <f t="shared" si="311"/>
        <v>1249.345</v>
      </c>
      <c r="AA272" s="1810">
        <f t="shared" si="311"/>
        <v>1249.412</v>
      </c>
      <c r="AB272" s="1811">
        <f t="shared" si="311"/>
        <v>1746.787</v>
      </c>
      <c r="AC272" s="1810"/>
      <c r="AD272" s="1810">
        <v>2472.5360000000001</v>
      </c>
      <c r="AE272" s="1810">
        <v>2475.4250000000002</v>
      </c>
      <c r="AF272" s="1810">
        <v>3201.277</v>
      </c>
      <c r="AG272" s="1811">
        <v>3201.277</v>
      </c>
      <c r="AH272" s="1773">
        <v>3209.491</v>
      </c>
      <c r="AI272" s="1773">
        <v>3196.8470000000002</v>
      </c>
      <c r="AJ272" s="1773">
        <v>3204.21</v>
      </c>
      <c r="AK272" s="1774">
        <v>3159.3359999999998</v>
      </c>
      <c r="AL272" s="1773">
        <v>3170.933</v>
      </c>
      <c r="AM272" s="1773">
        <v>3220.9459999999999</v>
      </c>
      <c r="AN272" s="1773">
        <v>3735.7359999999999</v>
      </c>
      <c r="AO272" s="1774">
        <v>3749.0540000000001</v>
      </c>
      <c r="AP272" s="1773">
        <v>3771</v>
      </c>
      <c r="AQ272" s="1773">
        <v>3731</v>
      </c>
      <c r="AR272" s="1773">
        <v>3727</v>
      </c>
      <c r="AS272" s="1773">
        <v>3717</v>
      </c>
      <c r="AT272" s="1837">
        <v>3704</v>
      </c>
      <c r="AU272" s="1773">
        <v>3715</v>
      </c>
      <c r="AV272" s="1773">
        <v>4170</v>
      </c>
      <c r="AW272" s="1774">
        <v>4189</v>
      </c>
      <c r="AX272" s="1837">
        <v>4180</v>
      </c>
      <c r="AY272" s="1773">
        <v>6903</v>
      </c>
      <c r="AZ272" s="1773">
        <v>8176</v>
      </c>
      <c r="BA272" s="1773">
        <v>8216</v>
      </c>
      <c r="BB272" s="1837">
        <v>8464</v>
      </c>
      <c r="BC272" s="1773">
        <v>8480</v>
      </c>
      <c r="BD272" s="1773">
        <v>7712</v>
      </c>
      <c r="BE272" s="1774">
        <v>7715</v>
      </c>
      <c r="BF272" s="1773">
        <v>7719</v>
      </c>
      <c r="BG272" s="1773">
        <v>6727</v>
      </c>
      <c r="BH272" s="1773">
        <v>6237</v>
      </c>
      <c r="BI272" s="1774">
        <v>6240</v>
      </c>
      <c r="BJ272" s="1773">
        <v>6243</v>
      </c>
      <c r="BK272" s="1773">
        <v>6247</v>
      </c>
      <c r="BL272" s="1773">
        <v>6250</v>
      </c>
      <c r="BM272" s="1774">
        <v>6253</v>
      </c>
      <c r="BO272" s="1774">
        <v>5218</v>
      </c>
      <c r="BP272" s="1774">
        <v>5218</v>
      </c>
      <c r="BQ272" s="1774">
        <v>5218</v>
      </c>
      <c r="BY272" s="2899">
        <f>AK272</f>
        <v>3159.3359999999998</v>
      </c>
      <c r="BZ272" s="1776">
        <v>3749.0540000000001</v>
      </c>
      <c r="CA272" s="1915">
        <f>AS272</f>
        <v>3717</v>
      </c>
      <c r="CB272" s="1837">
        <f>AW272</f>
        <v>4189</v>
      </c>
      <c r="CC272" s="1837">
        <f t="shared" si="304"/>
        <v>8216</v>
      </c>
      <c r="CD272" s="1837">
        <f t="shared" si="305"/>
        <v>7715</v>
      </c>
      <c r="CE272" s="1837">
        <f t="shared" si="307"/>
        <v>6240</v>
      </c>
      <c r="CF272" s="1837">
        <f t="shared" si="308"/>
        <v>6253</v>
      </c>
      <c r="CG272" s="1837">
        <f t="shared" si="308"/>
        <v>0</v>
      </c>
      <c r="CH272" s="1837">
        <f t="shared" si="308"/>
        <v>5218</v>
      </c>
    </row>
    <row r="273" spans="1:99" s="30" customFormat="1">
      <c r="A273" s="127" t="s">
        <v>192</v>
      </c>
      <c r="B273" s="140" t="s">
        <v>156</v>
      </c>
      <c r="C273" s="140" t="s">
        <v>156</v>
      </c>
      <c r="D273" s="140" t="s">
        <v>156</v>
      </c>
      <c r="E273" s="141" t="s">
        <v>156</v>
      </c>
      <c r="F273" s="89" t="s">
        <v>156</v>
      </c>
      <c r="G273" s="30">
        <f>SUM(G271:G272)</f>
        <v>44.962963999999999</v>
      </c>
      <c r="H273" s="34">
        <f>SUM(H271:H272)</f>
        <v>4.0655340000000004</v>
      </c>
      <c r="I273" s="34">
        <f>SUM(I271:I272)</f>
        <v>0.25936300000000001</v>
      </c>
      <c r="J273" s="34">
        <f>SUM(J271:J272)</f>
        <v>1.286413</v>
      </c>
      <c r="K273" s="34"/>
      <c r="L273" s="222"/>
      <c r="Q273" s="34"/>
      <c r="R273" s="34"/>
      <c r="W273" s="47">
        <f>W275-W274</f>
        <v>3187.43</v>
      </c>
      <c r="X273" s="30">
        <f>X275-X274</f>
        <v>3920.2189999999996</v>
      </c>
      <c r="Y273" s="30">
        <f>Y275-Y274</f>
        <v>4200.0910000000003</v>
      </c>
      <c r="Z273" s="30">
        <f>Z275-Z274</f>
        <v>4695.8069999999998</v>
      </c>
      <c r="AA273" s="30">
        <f>AA267-AA274</f>
        <v>5480.4959999999992</v>
      </c>
      <c r="AB273" s="106">
        <f>AB267-AB274</f>
        <v>7126.8090000000002</v>
      </c>
      <c r="AC273" s="34"/>
      <c r="AD273" s="34">
        <f t="shared" ref="AD273:AJ273" si="312">SUM(AD271:AD272)</f>
        <v>2472.5360000000001</v>
      </c>
      <c r="AE273" s="34">
        <f t="shared" si="312"/>
        <v>2475.4250000000002</v>
      </c>
      <c r="AF273" s="34">
        <f t="shared" si="312"/>
        <v>3201.277</v>
      </c>
      <c r="AG273" s="106">
        <f t="shared" si="312"/>
        <v>3201.277</v>
      </c>
      <c r="AH273" s="34">
        <f t="shared" si="312"/>
        <v>3209.491</v>
      </c>
      <c r="AI273" s="34">
        <f t="shared" si="312"/>
        <v>3196.8470000000002</v>
      </c>
      <c r="AJ273" s="34">
        <f t="shared" si="312"/>
        <v>3204.21</v>
      </c>
      <c r="AK273" s="105">
        <f>SUM(AK272:AK272)</f>
        <v>3159.3359999999998</v>
      </c>
      <c r="AL273" s="30">
        <f>SUM(AL271:AL272)</f>
        <v>3170.933</v>
      </c>
      <c r="AM273" s="30">
        <f>SUM(AM271:AM272)</f>
        <v>3220.9459999999999</v>
      </c>
      <c r="AN273" s="30">
        <f>SUM(AN271:AN272)</f>
        <v>4235.7359999999999</v>
      </c>
      <c r="AO273" s="105">
        <v>4249.0540000000001</v>
      </c>
      <c r="AP273" s="30">
        <f t="shared" ref="AP273:AW273" si="313">SUM(AP271:AP272)</f>
        <v>4271</v>
      </c>
      <c r="AQ273" s="30">
        <f t="shared" si="313"/>
        <v>4231</v>
      </c>
      <c r="AR273" s="30">
        <f t="shared" si="313"/>
        <v>3727</v>
      </c>
      <c r="AS273" s="30">
        <f t="shared" si="313"/>
        <v>3717</v>
      </c>
      <c r="AT273" s="47">
        <f t="shared" si="313"/>
        <v>3704</v>
      </c>
      <c r="AU273" s="30">
        <f t="shared" si="313"/>
        <v>3715</v>
      </c>
      <c r="AV273" s="30">
        <f t="shared" si="313"/>
        <v>4170</v>
      </c>
      <c r="AW273" s="105">
        <f t="shared" si="313"/>
        <v>4189</v>
      </c>
      <c r="AX273" s="47">
        <f>SUM(AX271:AX272)</f>
        <v>4180</v>
      </c>
      <c r="AY273" s="30">
        <f>SUM(AY271:AY272)</f>
        <v>6903</v>
      </c>
      <c r="AZ273" s="30">
        <f t="shared" ref="AZ273:BI273" si="314">SUM(AZ271:AZ272)</f>
        <v>8176</v>
      </c>
      <c r="BA273" s="30">
        <f t="shared" si="314"/>
        <v>8216</v>
      </c>
      <c r="BB273" s="47">
        <f t="shared" si="314"/>
        <v>8464</v>
      </c>
      <c r="BC273" s="30">
        <f t="shared" si="314"/>
        <v>8480</v>
      </c>
      <c r="BD273" s="30">
        <f t="shared" si="314"/>
        <v>7712</v>
      </c>
      <c r="BE273" s="105">
        <f t="shared" si="314"/>
        <v>8450</v>
      </c>
      <c r="BF273" s="30">
        <f t="shared" si="314"/>
        <v>7719</v>
      </c>
      <c r="BG273" s="30">
        <f t="shared" si="314"/>
        <v>6727</v>
      </c>
      <c r="BH273" s="30">
        <f>SUM(BH271:BH272)</f>
        <v>6237</v>
      </c>
      <c r="BI273" s="105">
        <f t="shared" si="314"/>
        <v>6240</v>
      </c>
      <c r="BJ273" s="30">
        <f>SUM(BJ271:BJ272)</f>
        <v>6243</v>
      </c>
      <c r="BK273" s="105">
        <f>SUM(BK271:BK272)</f>
        <v>6247</v>
      </c>
      <c r="BL273" s="105">
        <f>SUM(BL271:BL272)</f>
        <v>6250</v>
      </c>
      <c r="BM273" s="105">
        <f>SUM(BM271:BM272)</f>
        <v>6253</v>
      </c>
      <c r="BO273" s="105">
        <f>SUM(BO271:BO272)</f>
        <v>5218</v>
      </c>
      <c r="BP273" s="105">
        <f>SUM(BP271:BP272)</f>
        <v>5218</v>
      </c>
      <c r="BQ273" s="105">
        <f>SUM(BQ271:BQ272)</f>
        <v>5218</v>
      </c>
      <c r="BY273" s="72">
        <f>AK273</f>
        <v>3159.3359999999998</v>
      </c>
      <c r="BZ273" s="77">
        <v>4249.0540000000001</v>
      </c>
      <c r="CA273" s="39">
        <f>AS273</f>
        <v>3717</v>
      </c>
      <c r="CB273" s="39">
        <f>AW273</f>
        <v>4189</v>
      </c>
      <c r="CC273" s="39">
        <f t="shared" si="304"/>
        <v>8216</v>
      </c>
      <c r="CD273" s="39">
        <f t="shared" si="305"/>
        <v>8450</v>
      </c>
      <c r="CE273" s="47">
        <f t="shared" si="307"/>
        <v>6240</v>
      </c>
      <c r="CF273" s="47">
        <f t="shared" si="308"/>
        <v>6253</v>
      </c>
      <c r="CG273" s="47">
        <f t="shared" si="308"/>
        <v>0</v>
      </c>
      <c r="CH273" s="47">
        <f t="shared" si="308"/>
        <v>5218</v>
      </c>
    </row>
    <row r="274" spans="1:99" s="30" customFormat="1">
      <c r="A274" s="1010" t="s">
        <v>31</v>
      </c>
      <c r="B274" s="34">
        <v>20.574999999999999</v>
      </c>
      <c r="C274" s="30">
        <v>26.41</v>
      </c>
      <c r="D274" s="30">
        <v>32.53</v>
      </c>
      <c r="E274" s="106">
        <v>69.623000000000005</v>
      </c>
      <c r="F274" s="89" t="s">
        <v>156</v>
      </c>
      <c r="G274" s="30">
        <v>75.584496999999999</v>
      </c>
      <c r="H274" s="30">
        <v>36.663756999999997</v>
      </c>
      <c r="I274" s="30">
        <v>51.399622999999998</v>
      </c>
      <c r="J274" s="30">
        <v>92.626191000000006</v>
      </c>
      <c r="L274" s="222"/>
      <c r="S274" s="34"/>
      <c r="T274" s="34"/>
      <c r="U274" s="34"/>
      <c r="W274" s="47">
        <v>2749.7260000000001</v>
      </c>
      <c r="X274" s="34">
        <v>2736.703</v>
      </c>
      <c r="Y274" s="34">
        <v>2305.1669999999999</v>
      </c>
      <c r="Z274" s="34">
        <v>2389.3879999999999</v>
      </c>
      <c r="AA274" s="34">
        <v>2258.9850000000001</v>
      </c>
      <c r="AB274" s="106">
        <v>1893.729</v>
      </c>
      <c r="AC274" s="34"/>
      <c r="AD274" s="34">
        <f>AD268-AD275</f>
        <v>9657.0169999999998</v>
      </c>
      <c r="AE274" s="34">
        <f>AE268-AE275</f>
        <v>9897.0749999999989</v>
      </c>
      <c r="AF274" s="34">
        <f>AF268-AF275</f>
        <v>10574.045</v>
      </c>
      <c r="AG274" s="105">
        <f>AG268-AG275</f>
        <v>10574.045</v>
      </c>
      <c r="AH274" s="30">
        <f t="shared" ref="AH274:AN274" si="315">AH276-AH275</f>
        <v>11692.835000000003</v>
      </c>
      <c r="AI274" s="30">
        <f t="shared" si="315"/>
        <v>12461.620000000003</v>
      </c>
      <c r="AJ274" s="30">
        <f t="shared" si="315"/>
        <v>12179.137999999999</v>
      </c>
      <c r="AK274" s="105">
        <f t="shared" si="315"/>
        <v>10084.442999999999</v>
      </c>
      <c r="AL274" s="30">
        <f t="shared" si="315"/>
        <v>12009.847999999998</v>
      </c>
      <c r="AM274" s="30">
        <f t="shared" si="315"/>
        <v>12801.132</v>
      </c>
      <c r="AN274" s="30">
        <f t="shared" si="315"/>
        <v>12819.921999999999</v>
      </c>
      <c r="AO274" s="105">
        <v>12387.060000000001</v>
      </c>
      <c r="AP274" s="30">
        <f t="shared" ref="AP274:AW274" si="316">AP276-AP275</f>
        <v>14621</v>
      </c>
      <c r="AQ274" s="30">
        <f t="shared" si="316"/>
        <v>15002</v>
      </c>
      <c r="AR274" s="30">
        <f t="shared" si="316"/>
        <v>13214</v>
      </c>
      <c r="AS274" s="30">
        <f t="shared" si="316"/>
        <v>12382</v>
      </c>
      <c r="AT274" s="47">
        <f t="shared" si="316"/>
        <v>15329</v>
      </c>
      <c r="AU274" s="30">
        <f t="shared" si="316"/>
        <v>16294</v>
      </c>
      <c r="AV274" s="30">
        <f t="shared" si="316"/>
        <v>15642</v>
      </c>
      <c r="AW274" s="105">
        <f t="shared" si="316"/>
        <v>15880</v>
      </c>
      <c r="AX274" s="47">
        <f>AX276-AX275</f>
        <v>16676</v>
      </c>
      <c r="AY274" s="30">
        <f>AY276-AY275</f>
        <v>18702</v>
      </c>
      <c r="AZ274" s="30">
        <f t="shared" ref="AZ274:BG274" si="317">AZ276-AZ275</f>
        <v>16567</v>
      </c>
      <c r="BA274" s="30">
        <f t="shared" si="317"/>
        <v>15686</v>
      </c>
      <c r="BB274" s="47">
        <f t="shared" si="317"/>
        <v>19178</v>
      </c>
      <c r="BC274" s="30">
        <f t="shared" si="317"/>
        <v>21599</v>
      </c>
      <c r="BD274" s="30">
        <f t="shared" si="317"/>
        <v>18853</v>
      </c>
      <c r="BE274" s="105">
        <f t="shared" si="317"/>
        <v>17996</v>
      </c>
      <c r="BF274" s="30">
        <f t="shared" si="317"/>
        <v>21010</v>
      </c>
      <c r="BG274" s="30">
        <f t="shared" si="317"/>
        <v>21363</v>
      </c>
      <c r="BH274" s="30">
        <f t="shared" ref="BH274:BM274" si="318">BH276-BH275</f>
        <v>18166</v>
      </c>
      <c r="BI274" s="105">
        <f t="shared" si="318"/>
        <v>17833</v>
      </c>
      <c r="BJ274" s="30">
        <f t="shared" si="318"/>
        <v>21696</v>
      </c>
      <c r="BK274" s="105">
        <f t="shared" si="318"/>
        <v>22460</v>
      </c>
      <c r="BL274" s="105">
        <f t="shared" si="318"/>
        <v>19596</v>
      </c>
      <c r="BM274" s="105">
        <f t="shared" si="318"/>
        <v>18856</v>
      </c>
      <c r="BO274" s="105">
        <f>BO276-BO275</f>
        <v>23767</v>
      </c>
      <c r="BP274" s="105">
        <f>BP276-BP275</f>
        <v>23767</v>
      </c>
      <c r="BQ274" s="105">
        <f>BQ276-BQ275</f>
        <v>23767</v>
      </c>
      <c r="BY274" s="72">
        <f>AK274</f>
        <v>10084.442999999999</v>
      </c>
      <c r="BZ274" s="77">
        <v>12387.060000000001</v>
      </c>
      <c r="CA274" s="39">
        <f>AS274</f>
        <v>12382</v>
      </c>
      <c r="CB274" s="39">
        <f>AW274</f>
        <v>15880</v>
      </c>
      <c r="CC274" s="39">
        <f t="shared" si="304"/>
        <v>15686</v>
      </c>
      <c r="CD274" s="39">
        <f t="shared" si="305"/>
        <v>17996</v>
      </c>
      <c r="CE274" s="47">
        <f t="shared" si="307"/>
        <v>17833</v>
      </c>
      <c r="CF274" s="47">
        <f t="shared" si="308"/>
        <v>18856</v>
      </c>
      <c r="CG274" s="47">
        <f t="shared" si="308"/>
        <v>0</v>
      </c>
      <c r="CH274" s="47">
        <f t="shared" si="308"/>
        <v>23767</v>
      </c>
    </row>
    <row r="275" spans="1:99" s="1773" customFormat="1">
      <c r="A275" s="1010" t="s">
        <v>976</v>
      </c>
      <c r="B275" s="1810">
        <v>152.87299999999999</v>
      </c>
      <c r="C275" s="1773">
        <v>165.89</v>
      </c>
      <c r="D275" s="1773">
        <v>318.71800000000002</v>
      </c>
      <c r="E275" s="1811">
        <v>326.94099999999997</v>
      </c>
      <c r="F275" s="1812" t="s">
        <v>156</v>
      </c>
      <c r="G275" s="1921">
        <v>-24.951045000000001</v>
      </c>
      <c r="H275" s="1810">
        <v>76.275880000000001</v>
      </c>
      <c r="I275" s="1810">
        <v>118.79178899999999</v>
      </c>
      <c r="J275" s="1810">
        <v>101.993951</v>
      </c>
      <c r="K275" s="1810">
        <v>115.03</v>
      </c>
      <c r="L275" s="1830"/>
      <c r="Q275" s="1810"/>
      <c r="R275" s="1810"/>
      <c r="S275" s="1810"/>
      <c r="T275" s="1810"/>
      <c r="U275" s="1810"/>
      <c r="W275" s="1837">
        <v>5937.1559999999999</v>
      </c>
      <c r="X275" s="1810">
        <v>6656.9219999999996</v>
      </c>
      <c r="Y275" s="1810">
        <v>6505.2579999999998</v>
      </c>
      <c r="Z275" s="1810">
        <v>7085.1949999999997</v>
      </c>
      <c r="AA275" s="1810">
        <v>7739.4809999999998</v>
      </c>
      <c r="AB275" s="1811">
        <v>9020.5380000000005</v>
      </c>
      <c r="AC275" s="1810"/>
      <c r="AD275" s="1810">
        <v>2174.9090000000001</v>
      </c>
      <c r="AE275" s="1810">
        <v>2506.1979999999999</v>
      </c>
      <c r="AF275" s="1810">
        <v>4929.7669999999998</v>
      </c>
      <c r="AG275" s="1811">
        <v>4929.7669999999998</v>
      </c>
      <c r="AH275" s="1773">
        <v>4697.2089999999998</v>
      </c>
      <c r="AI275" s="1773">
        <v>4266.9219999999996</v>
      </c>
      <c r="AJ275" s="1773">
        <v>3952.6280000000002</v>
      </c>
      <c r="AK275" s="1774">
        <v>5693.1030000000001</v>
      </c>
      <c r="AL275" s="1773">
        <v>5659.058</v>
      </c>
      <c r="AM275" s="1773">
        <v>5822.116</v>
      </c>
      <c r="AN275" s="1773">
        <v>6215.31</v>
      </c>
      <c r="AO275" s="1774">
        <v>6128.5680000000002</v>
      </c>
      <c r="AP275" s="1773">
        <v>5808</v>
      </c>
      <c r="AQ275" s="1773">
        <v>5552</v>
      </c>
      <c r="AR275" s="1773">
        <v>5927</v>
      </c>
      <c r="AS275" s="1773">
        <v>5651</v>
      </c>
      <c r="AT275" s="1837">
        <v>5634</v>
      </c>
      <c r="AU275" s="1773">
        <v>5907</v>
      </c>
      <c r="AV275" s="1773">
        <v>5739</v>
      </c>
      <c r="AW275" s="1774">
        <v>5536</v>
      </c>
      <c r="AX275" s="1837">
        <v>3741</v>
      </c>
      <c r="AY275" s="1773">
        <v>3203</v>
      </c>
      <c r="AZ275" s="1773">
        <v>3112</v>
      </c>
      <c r="BA275" s="1773">
        <v>3004</v>
      </c>
      <c r="BB275" s="1837">
        <v>2688</v>
      </c>
      <c r="BC275" s="1773">
        <v>2582</v>
      </c>
      <c r="BD275" s="1773">
        <v>3091</v>
      </c>
      <c r="BE275" s="1774">
        <v>3552</v>
      </c>
      <c r="BF275" s="1773">
        <v>3567</v>
      </c>
      <c r="BG275" s="1773">
        <v>3381</v>
      </c>
      <c r="BH275" s="1773">
        <v>3713</v>
      </c>
      <c r="BI275" s="1774">
        <v>3728</v>
      </c>
      <c r="BJ275" s="1773">
        <v>3290</v>
      </c>
      <c r="BK275" s="1773">
        <v>3216</v>
      </c>
      <c r="BL275" s="1773">
        <v>2926</v>
      </c>
      <c r="BM275" s="1774">
        <v>2786</v>
      </c>
      <c r="BO275" s="1774">
        <v>2126</v>
      </c>
      <c r="BP275" s="1774">
        <v>2126</v>
      </c>
      <c r="BQ275" s="1774">
        <v>2126</v>
      </c>
      <c r="BY275" s="2899">
        <f>AK275</f>
        <v>5693.1030000000001</v>
      </c>
      <c r="BZ275" s="1776">
        <v>6128.5680000000002</v>
      </c>
      <c r="CA275" s="1915">
        <f>AS275</f>
        <v>5651</v>
      </c>
      <c r="CB275" s="1837">
        <f>AW275</f>
        <v>5536</v>
      </c>
      <c r="CC275" s="1837">
        <f t="shared" si="304"/>
        <v>3004</v>
      </c>
      <c r="CD275" s="1837">
        <f t="shared" si="305"/>
        <v>3552</v>
      </c>
      <c r="CE275" s="1837">
        <f t="shared" si="307"/>
        <v>3728</v>
      </c>
      <c r="CF275" s="1837">
        <f t="shared" si="308"/>
        <v>2786</v>
      </c>
      <c r="CG275" s="1837">
        <f t="shared" si="308"/>
        <v>0</v>
      </c>
      <c r="CH275" s="1837">
        <f t="shared" si="308"/>
        <v>2126</v>
      </c>
    </row>
    <row r="276" spans="1:99" s="1800" customFormat="1">
      <c r="A276" s="1010" t="s">
        <v>6</v>
      </c>
      <c r="B276" s="1810">
        <f>SUM(B274:B275)</f>
        <v>173.44799999999998</v>
      </c>
      <c r="C276" s="1810">
        <f>SUM(C274:C275)</f>
        <v>192.29999999999998</v>
      </c>
      <c r="D276" s="1810">
        <v>351.24799999999999</v>
      </c>
      <c r="E276" s="1811">
        <v>396.56400000000002</v>
      </c>
      <c r="F276" s="1812" t="s">
        <v>156</v>
      </c>
      <c r="G276" s="1922">
        <f>SUM(G274:G275)</f>
        <v>50.633451999999998</v>
      </c>
      <c r="H276" s="1810">
        <f>SUM(H274:H275)</f>
        <v>112.939637</v>
      </c>
      <c r="I276" s="1810">
        <f>SUM(I274:I275)</f>
        <v>170.19141199999999</v>
      </c>
      <c r="J276" s="1810">
        <f>SUM(J274:J275)</f>
        <v>194.62014199999999</v>
      </c>
      <c r="K276" s="1810"/>
      <c r="L276" s="1923"/>
      <c r="M276" s="1773"/>
      <c r="N276" s="1773"/>
      <c r="O276" s="1773"/>
      <c r="P276" s="1773"/>
      <c r="Q276" s="1810"/>
      <c r="R276" s="1810"/>
      <c r="S276" s="1922"/>
      <c r="T276" s="1922"/>
      <c r="U276" s="1922"/>
      <c r="W276" s="1924"/>
      <c r="X276" s="1922"/>
      <c r="Y276" s="1922"/>
      <c r="Z276" s="1922"/>
      <c r="AA276" s="1922"/>
      <c r="AB276" s="1925"/>
      <c r="AC276" s="1810"/>
      <c r="AD276" s="1810">
        <v>11831.925999999999</v>
      </c>
      <c r="AE276" s="1810">
        <v>12403.272999999999</v>
      </c>
      <c r="AF276" s="1810">
        <v>15503.812</v>
      </c>
      <c r="AG276" s="1811">
        <v>15503.812</v>
      </c>
      <c r="AH276" s="1773">
        <v>16390.044000000002</v>
      </c>
      <c r="AI276" s="1773">
        <v>16728.542000000001</v>
      </c>
      <c r="AJ276" s="1773">
        <v>16131.766</v>
      </c>
      <c r="AK276" s="1774">
        <v>15777.546</v>
      </c>
      <c r="AL276" s="1773">
        <v>17668.905999999999</v>
      </c>
      <c r="AM276" s="1773">
        <v>18623.248</v>
      </c>
      <c r="AN276" s="1773">
        <v>19035.232</v>
      </c>
      <c r="AO276" s="1774">
        <v>18515.628000000001</v>
      </c>
      <c r="AP276" s="1773">
        <v>20429</v>
      </c>
      <c r="AQ276" s="1773">
        <v>20554</v>
      </c>
      <c r="AR276" s="1773">
        <v>19141</v>
      </c>
      <c r="AS276" s="1773">
        <v>18033</v>
      </c>
      <c r="AT276" s="1837">
        <v>20963</v>
      </c>
      <c r="AU276" s="1773">
        <v>22201</v>
      </c>
      <c r="AV276" s="1773">
        <v>21381</v>
      </c>
      <c r="AW276" s="1774">
        <v>21416</v>
      </c>
      <c r="AX276" s="1837">
        <v>20417</v>
      </c>
      <c r="AY276" s="1773">
        <v>21905</v>
      </c>
      <c r="AZ276" s="1773">
        <v>19679</v>
      </c>
      <c r="BA276" s="1773">
        <v>18690</v>
      </c>
      <c r="BB276" s="1837">
        <v>21866</v>
      </c>
      <c r="BC276" s="1773">
        <v>24181</v>
      </c>
      <c r="BD276" s="1773">
        <v>21944</v>
      </c>
      <c r="BE276" s="1774">
        <v>21548</v>
      </c>
      <c r="BF276" s="1773">
        <v>24577</v>
      </c>
      <c r="BG276" s="1773">
        <v>24744</v>
      </c>
      <c r="BH276" s="1773">
        <v>21879</v>
      </c>
      <c r="BI276" s="1774">
        <v>21561</v>
      </c>
      <c r="BJ276" s="1773">
        <v>24986</v>
      </c>
      <c r="BK276" s="1773">
        <v>25676</v>
      </c>
      <c r="BL276" s="1773">
        <v>22522</v>
      </c>
      <c r="BM276" s="1774">
        <v>21642</v>
      </c>
      <c r="BN276" s="1773"/>
      <c r="BO276" s="1774">
        <v>25893</v>
      </c>
      <c r="BP276" s="1774">
        <v>25893</v>
      </c>
      <c r="BQ276" s="1774">
        <v>25893</v>
      </c>
      <c r="BR276" s="1773"/>
      <c r="BS276" s="1773"/>
      <c r="BT276" s="1773"/>
      <c r="BU276" s="1773"/>
      <c r="BV276" s="1773"/>
      <c r="BW276" s="1773"/>
      <c r="BX276" s="1773"/>
      <c r="BY276" s="2899">
        <f>AK276</f>
        <v>15777.546</v>
      </c>
      <c r="BZ276" s="1776">
        <v>18515.628000000001</v>
      </c>
      <c r="CA276" s="1915">
        <f>AS276</f>
        <v>18033</v>
      </c>
      <c r="CB276" s="1837">
        <f>AW276</f>
        <v>21416</v>
      </c>
      <c r="CC276" s="1837">
        <f t="shared" si="304"/>
        <v>18690</v>
      </c>
      <c r="CD276" s="1837">
        <f t="shared" si="305"/>
        <v>21548</v>
      </c>
      <c r="CE276" s="1837">
        <f t="shared" si="307"/>
        <v>21561</v>
      </c>
      <c r="CF276" s="1837">
        <f t="shared" si="308"/>
        <v>21642</v>
      </c>
      <c r="CG276" s="1837">
        <f t="shared" si="308"/>
        <v>0</v>
      </c>
      <c r="CH276" s="1837">
        <f t="shared" si="308"/>
        <v>25893</v>
      </c>
    </row>
    <row r="277" spans="1:99" s="473" customFormat="1">
      <c r="A277" s="71"/>
      <c r="B277" s="91"/>
      <c r="C277" s="91"/>
      <c r="D277" s="91"/>
      <c r="E277" s="108"/>
      <c r="F277" s="133"/>
      <c r="G277" s="133"/>
      <c r="H277" s="91"/>
      <c r="I277" s="91"/>
      <c r="J277" s="91"/>
      <c r="K277" s="91"/>
      <c r="L277" s="219"/>
      <c r="M277" s="133"/>
      <c r="N277" s="133"/>
      <c r="O277" s="133"/>
      <c r="P277" s="133"/>
      <c r="Q277" s="91"/>
      <c r="R277" s="91"/>
      <c r="S277" s="498"/>
      <c r="T277" s="498"/>
      <c r="U277" s="498"/>
      <c r="V277" s="498"/>
      <c r="W277" s="447">
        <f t="shared" ref="W277:AB277" si="319">W272/W267</f>
        <v>0.15076006087763233</v>
      </c>
      <c r="X277" s="498">
        <f t="shared" si="319"/>
        <v>0.18766646206760423</v>
      </c>
      <c r="Y277" s="498">
        <f t="shared" si="319"/>
        <v>0.19204172993599947</v>
      </c>
      <c r="Z277" s="498">
        <f t="shared" si="319"/>
        <v>0.17515624417300155</v>
      </c>
      <c r="AA277" s="498">
        <f t="shared" si="319"/>
        <v>0.16143356382682508</v>
      </c>
      <c r="AB277" s="500">
        <f t="shared" si="319"/>
        <v>0.19364554531004691</v>
      </c>
      <c r="AC277" s="91"/>
      <c r="AD277" s="91"/>
      <c r="AE277" s="91"/>
      <c r="AF277" s="91"/>
      <c r="AG277" s="108"/>
      <c r="AH277" s="133"/>
      <c r="AI277" s="133"/>
      <c r="AJ277" s="133"/>
      <c r="AK277" s="136"/>
      <c r="AL277" s="133"/>
      <c r="AM277" s="133"/>
      <c r="AN277" s="133"/>
      <c r="AO277" s="136"/>
      <c r="AP277" s="133"/>
      <c r="AQ277" s="133"/>
      <c r="AR277" s="133"/>
      <c r="AS277" s="133"/>
      <c r="AT277" s="137"/>
      <c r="AU277" s="133"/>
      <c r="AV277" s="133"/>
      <c r="AW277" s="136"/>
      <c r="AX277" s="137"/>
      <c r="AY277" s="133"/>
      <c r="AZ277" s="133"/>
      <c r="BA277" s="133"/>
      <c r="BB277" s="137"/>
      <c r="BC277" s="133"/>
      <c r="BD277" s="133"/>
      <c r="BE277" s="136"/>
      <c r="BF277" s="133"/>
      <c r="BG277" s="133"/>
      <c r="BH277" s="133"/>
      <c r="BI277" s="136"/>
      <c r="BJ277" s="133"/>
      <c r="BK277" s="133"/>
      <c r="BL277" s="133"/>
      <c r="BM277" s="136"/>
      <c r="BN277" s="133"/>
      <c r="BO277" s="136"/>
      <c r="BP277" s="136"/>
      <c r="BQ277" s="3332"/>
      <c r="BR277" s="133"/>
      <c r="BS277" s="133"/>
      <c r="BT277" s="133"/>
      <c r="BU277" s="133"/>
      <c r="BV277" s="133"/>
      <c r="BW277" s="133"/>
      <c r="BX277" s="133"/>
      <c r="BY277" s="457"/>
      <c r="BZ277" s="159"/>
      <c r="CA277" s="107"/>
      <c r="CB277" s="2819"/>
      <c r="CC277" s="2819"/>
      <c r="CD277" s="2819"/>
      <c r="CE277" s="1837"/>
      <c r="CF277" s="1837"/>
      <c r="CG277" s="1837"/>
      <c r="CH277" s="1837"/>
    </row>
    <row r="278" spans="1:99">
      <c r="A278" s="495" t="s">
        <v>187</v>
      </c>
      <c r="B278" s="466" t="s">
        <v>156</v>
      </c>
      <c r="C278" s="466" t="s">
        <v>156</v>
      </c>
      <c r="D278" s="466" t="s">
        <v>156</v>
      </c>
      <c r="E278" s="467" t="s">
        <v>156</v>
      </c>
      <c r="F278" s="497" t="s">
        <v>156</v>
      </c>
      <c r="G278" s="498">
        <f>G273/G268</f>
        <v>0.88800905772729066</v>
      </c>
      <c r="H278" s="498">
        <f>H273/H268</f>
        <v>3.5997406295895922E-2</v>
      </c>
      <c r="I278" s="498">
        <f>I273/I268</f>
        <v>1.5239488112361393E-3</v>
      </c>
      <c r="J278" s="498"/>
      <c r="K278" s="498"/>
      <c r="L278" s="499"/>
      <c r="M278" s="211"/>
      <c r="N278" s="211"/>
      <c r="O278" s="211"/>
      <c r="P278" s="211"/>
      <c r="Q278" s="498"/>
      <c r="R278" s="498"/>
      <c r="S278" s="32"/>
      <c r="T278" s="32"/>
      <c r="U278" s="32"/>
      <c r="X278" s="32"/>
      <c r="Y278" s="32"/>
      <c r="Z278" s="32"/>
      <c r="AA278" s="32"/>
      <c r="AB278" s="79"/>
      <c r="AC278" s="498"/>
      <c r="AD278" s="498">
        <f t="shared" ref="AD278:AN278" si="320">AD273/AD268</f>
        <v>0.20897155712434309</v>
      </c>
      <c r="AE278" s="498">
        <f t="shared" si="320"/>
        <v>0.19957836935460505</v>
      </c>
      <c r="AF278" s="498">
        <f t="shared" si="320"/>
        <v>0.20648321844975934</v>
      </c>
      <c r="AG278" s="500">
        <f t="shared" si="320"/>
        <v>0.20648321844975934</v>
      </c>
      <c r="AH278" s="498">
        <f t="shared" si="320"/>
        <v>0.19581954752531475</v>
      </c>
      <c r="AI278" s="498">
        <f t="shared" si="320"/>
        <v>0.19110135240716136</v>
      </c>
      <c r="AJ278" s="498">
        <f t="shared" si="320"/>
        <v>0.19862735425247305</v>
      </c>
      <c r="AK278" s="500">
        <f t="shared" si="320"/>
        <v>0.20024254722502471</v>
      </c>
      <c r="AL278" s="473">
        <f t="shared" si="320"/>
        <v>0.17946402567312317</v>
      </c>
      <c r="AM278" s="473">
        <f t="shared" si="320"/>
        <v>0.17295296717307315</v>
      </c>
      <c r="AN278" s="473">
        <f t="shared" si="320"/>
        <v>0.22252084975901529</v>
      </c>
      <c r="AO278" s="486">
        <v>0.22948473581344364</v>
      </c>
      <c r="AP278" s="473">
        <f t="shared" ref="AP278:BI278" si="321">AP273/AP268</f>
        <v>0.20906554407949485</v>
      </c>
      <c r="AQ278" s="473">
        <f t="shared" si="321"/>
        <v>0.20584801011968473</v>
      </c>
      <c r="AR278" s="473">
        <f t="shared" si="321"/>
        <v>0.19471291991014053</v>
      </c>
      <c r="AS278" s="473">
        <f t="shared" si="321"/>
        <v>0.20612210946597903</v>
      </c>
      <c r="AT278" s="2819">
        <f t="shared" si="321"/>
        <v>0.1766922673281496</v>
      </c>
      <c r="AU278" s="473">
        <f t="shared" si="321"/>
        <v>0.1673348047385253</v>
      </c>
      <c r="AV278" s="473">
        <f t="shared" si="321"/>
        <v>0.19503297320050511</v>
      </c>
      <c r="AW278" s="486">
        <f t="shared" si="321"/>
        <v>0.19560141949943968</v>
      </c>
      <c r="AX278" s="2819">
        <f t="shared" si="321"/>
        <v>0.20473135132487633</v>
      </c>
      <c r="AY278" s="473">
        <f t="shared" si="321"/>
        <v>0.31513353115727005</v>
      </c>
      <c r="AZ278" s="473">
        <f t="shared" si="321"/>
        <v>0.41546826566390571</v>
      </c>
      <c r="BA278" s="473">
        <f t="shared" si="321"/>
        <v>0.43959336543606209</v>
      </c>
      <c r="BB278" s="2819">
        <f t="shared" si="321"/>
        <v>0.38708497210280801</v>
      </c>
      <c r="BC278" s="473">
        <f t="shared" si="321"/>
        <v>0.35068855713163227</v>
      </c>
      <c r="BD278" s="473">
        <f t="shared" si="321"/>
        <v>0.35144002916514766</v>
      </c>
      <c r="BE278" s="486">
        <f t="shared" si="321"/>
        <v>0.39214776313346944</v>
      </c>
      <c r="BF278" s="473">
        <f t="shared" si="321"/>
        <v>0.3140741343532571</v>
      </c>
      <c r="BG278" s="473">
        <f t="shared" si="321"/>
        <v>0.27186388619463303</v>
      </c>
      <c r="BH278" s="473">
        <f t="shared" si="321"/>
        <v>0.28506787330316741</v>
      </c>
      <c r="BI278" s="486">
        <f t="shared" si="321"/>
        <v>0.28941143731737862</v>
      </c>
      <c r="BJ278" s="473">
        <f>BJ273/BJ268</f>
        <v>0.2498599215560714</v>
      </c>
      <c r="BK278" s="473">
        <f>BK273/BK268</f>
        <v>0.24330113724879265</v>
      </c>
      <c r="BL278" s="473">
        <f>BL273/BL268</f>
        <v>0.27750643814936504</v>
      </c>
      <c r="BM278" s="473">
        <f>BM273/BM268</f>
        <v>0.28892893447925333</v>
      </c>
      <c r="BN278" s="473"/>
      <c r="BO278" s="473">
        <f>BO273/BO268</f>
        <v>0.20152164677712123</v>
      </c>
      <c r="BP278" s="473">
        <f>BP273/BP268</f>
        <v>0.20152164677712123</v>
      </c>
      <c r="BQ278" s="3360">
        <f>BQ273/BQ268</f>
        <v>0.20152164677712123</v>
      </c>
      <c r="BR278" s="473"/>
      <c r="BS278" s="473"/>
      <c r="BT278" s="473"/>
      <c r="BU278" s="473"/>
      <c r="BV278" s="473"/>
      <c r="BW278" s="473"/>
      <c r="BX278" s="473"/>
      <c r="BY278" s="2902">
        <v>0.20024254722502471</v>
      </c>
      <c r="BZ278" s="489">
        <v>0.22948473581344364</v>
      </c>
      <c r="CA278" s="2914">
        <v>0.20024254722502471</v>
      </c>
      <c r="CB278" s="2819">
        <f>AW278</f>
        <v>0.19560141949943968</v>
      </c>
      <c r="CC278" s="2819">
        <f>BA278</f>
        <v>0.43959336543606209</v>
      </c>
      <c r="CD278" s="2819">
        <f t="shared" si="305"/>
        <v>0.39214776313346944</v>
      </c>
      <c r="CE278" s="447">
        <f t="shared" si="307"/>
        <v>0.28941143731737862</v>
      </c>
      <c r="CF278" s="447">
        <f t="shared" si="308"/>
        <v>0.28892893447925333</v>
      </c>
      <c r="CG278" s="447">
        <f t="shared" si="308"/>
        <v>0</v>
      </c>
      <c r="CH278" s="447">
        <f>BO278</f>
        <v>0.20152164677712123</v>
      </c>
    </row>
    <row r="279" spans="1:99">
      <c r="A279" s="76"/>
      <c r="B279" s="32"/>
      <c r="E279" s="79"/>
      <c r="H279" s="32"/>
      <c r="I279" s="32"/>
      <c r="J279" s="32"/>
      <c r="K279" s="32"/>
      <c r="Q279" s="32"/>
      <c r="R279" s="32"/>
      <c r="S279" s="32"/>
      <c r="T279" s="32"/>
      <c r="U279" s="32"/>
      <c r="X279" s="32"/>
      <c r="Y279" s="32"/>
      <c r="Z279" s="32"/>
      <c r="AA279" s="32"/>
      <c r="AB279" s="79"/>
      <c r="AC279" s="32"/>
      <c r="AD279" s="32"/>
      <c r="AE279" s="32"/>
      <c r="AF279" s="32"/>
      <c r="AG279" s="79"/>
      <c r="BY279" s="76"/>
    </row>
    <row r="280" spans="1:99" s="138" customFormat="1">
      <c r="A280" s="76"/>
      <c r="B280" s="32"/>
      <c r="C280" s="133"/>
      <c r="D280" s="133"/>
      <c r="E280" s="79"/>
      <c r="F280" s="133"/>
      <c r="G280" s="133"/>
      <c r="H280" s="32"/>
      <c r="I280" s="32"/>
      <c r="J280" s="32" t="s">
        <v>978</v>
      </c>
      <c r="K280" s="32"/>
      <c r="L280" s="219"/>
      <c r="M280" s="133"/>
      <c r="N280" s="133"/>
      <c r="O280" s="133"/>
      <c r="P280" s="133"/>
      <c r="Q280" s="32"/>
      <c r="R280" s="32"/>
      <c r="S280" s="5" t="s">
        <v>26</v>
      </c>
      <c r="T280" s="5" t="s">
        <v>26</v>
      </c>
      <c r="U280" s="5" t="s">
        <v>26</v>
      </c>
      <c r="V280" s="5" t="s">
        <v>26</v>
      </c>
      <c r="W280" s="18" t="s">
        <v>26</v>
      </c>
      <c r="X280" s="5" t="s">
        <v>26</v>
      </c>
      <c r="Y280" s="5" t="s">
        <v>26</v>
      </c>
      <c r="Z280" s="5" t="s">
        <v>26</v>
      </c>
      <c r="AA280" s="5" t="s">
        <v>26</v>
      </c>
      <c r="AB280" s="96" t="s">
        <v>26</v>
      </c>
      <c r="AC280" s="32"/>
      <c r="AD280" s="32"/>
      <c r="AE280" s="32"/>
      <c r="AF280" s="32"/>
      <c r="AG280" s="79"/>
      <c r="AH280" s="133"/>
      <c r="AI280" s="133"/>
      <c r="AJ280" s="133"/>
      <c r="AK280" s="136"/>
      <c r="AL280" s="133"/>
      <c r="AM280" s="133"/>
      <c r="AN280" s="133"/>
      <c r="AO280" s="136"/>
      <c r="AP280" s="133"/>
      <c r="AQ280" s="133"/>
      <c r="AR280" s="133"/>
      <c r="AS280" s="133"/>
      <c r="AT280" s="137"/>
      <c r="AU280" s="133"/>
      <c r="AV280" s="133"/>
      <c r="AW280" s="136"/>
      <c r="AX280" s="137"/>
      <c r="AY280" s="133"/>
      <c r="AZ280" s="133"/>
      <c r="BA280" s="133"/>
      <c r="BB280" s="137"/>
      <c r="BC280" s="133"/>
      <c r="BD280" s="133"/>
      <c r="BE280" s="136"/>
      <c r="BF280" s="133"/>
      <c r="BG280" s="133"/>
      <c r="BH280" s="133"/>
      <c r="BI280" s="136"/>
      <c r="BJ280" s="133"/>
      <c r="BK280" s="133"/>
      <c r="BL280" s="133"/>
      <c r="BM280" s="136"/>
      <c r="BN280" s="133"/>
      <c r="BO280" s="136"/>
      <c r="BP280" s="136"/>
      <c r="BQ280" s="3332"/>
      <c r="BR280" s="133"/>
      <c r="BS280" s="133"/>
      <c r="BT280" s="133"/>
      <c r="BU280" s="133"/>
      <c r="BV280" s="133"/>
      <c r="BW280" s="133"/>
      <c r="BX280" s="133"/>
      <c r="BY280" s="76"/>
      <c r="BZ280" s="159"/>
      <c r="CA280" s="137"/>
      <c r="CB280" s="137"/>
      <c r="CC280" s="137"/>
      <c r="CD280" s="137"/>
      <c r="CE280" s="137"/>
      <c r="CF280" s="137"/>
      <c r="CG280" s="3381"/>
      <c r="CH280" s="3381"/>
      <c r="CI280" s="133"/>
      <c r="CJ280" s="133"/>
      <c r="CK280" s="133"/>
      <c r="CL280" s="133"/>
      <c r="CM280" s="133"/>
      <c r="CN280" s="133"/>
      <c r="CO280" s="133"/>
      <c r="CP280" s="133"/>
      <c r="CQ280" s="133"/>
      <c r="CR280" s="133"/>
      <c r="CS280" s="133"/>
      <c r="CT280" s="133"/>
      <c r="CU280" s="133"/>
    </row>
    <row r="281" spans="1:99" s="138" customFormat="1" ht="11.5" hidden="1" outlineLevel="1">
      <c r="A281" s="95" t="s">
        <v>1069</v>
      </c>
      <c r="B281" s="5" t="s">
        <v>16</v>
      </c>
      <c r="C281" s="5" t="s">
        <v>16</v>
      </c>
      <c r="D281" s="5" t="s">
        <v>16</v>
      </c>
      <c r="E281" s="96" t="s">
        <v>16</v>
      </c>
      <c r="F281" s="5" t="s">
        <v>10</v>
      </c>
      <c r="G281" s="5" t="s">
        <v>10</v>
      </c>
      <c r="H281" s="5" t="s">
        <v>1053</v>
      </c>
      <c r="I281" s="5" t="s">
        <v>1053</v>
      </c>
      <c r="J281" s="5" t="s">
        <v>1053</v>
      </c>
      <c r="K281" s="5"/>
      <c r="L281" s="220"/>
      <c r="M281" s="5" t="s">
        <v>26</v>
      </c>
      <c r="N281" s="5"/>
      <c r="O281" s="5"/>
      <c r="P281" s="5"/>
      <c r="Q281" s="5"/>
      <c r="R281" s="5"/>
      <c r="S281" s="5">
        <v>2005</v>
      </c>
      <c r="T281" s="5">
        <v>2006</v>
      </c>
      <c r="U281" s="5">
        <v>2007</v>
      </c>
      <c r="V281" s="5">
        <v>2008</v>
      </c>
      <c r="W281" s="18">
        <v>2009</v>
      </c>
      <c r="X281" s="5">
        <v>2010</v>
      </c>
      <c r="Y281" s="5">
        <v>2011</v>
      </c>
      <c r="Z281" s="5">
        <v>2012</v>
      </c>
      <c r="AA281" s="5">
        <v>2013</v>
      </c>
      <c r="AB281" s="96">
        <v>2014</v>
      </c>
      <c r="AC281" s="5"/>
      <c r="AD281" s="5" t="s">
        <v>26</v>
      </c>
      <c r="AE281" s="5" t="s">
        <v>26</v>
      </c>
      <c r="AF281" s="5" t="s">
        <v>26</v>
      </c>
      <c r="AG281" s="96" t="s">
        <v>26</v>
      </c>
      <c r="AH281" s="5" t="s">
        <v>26</v>
      </c>
      <c r="AI281" s="5" t="s">
        <v>26</v>
      </c>
      <c r="AJ281" s="5" t="s">
        <v>26</v>
      </c>
      <c r="AK281" s="96" t="s">
        <v>26</v>
      </c>
      <c r="AL281" s="5" t="s">
        <v>26</v>
      </c>
      <c r="AM281" s="5" t="s">
        <v>26</v>
      </c>
      <c r="AN281" s="5" t="s">
        <v>26</v>
      </c>
      <c r="AO281" s="96" t="s">
        <v>702</v>
      </c>
      <c r="AP281" s="5" t="s">
        <v>26</v>
      </c>
      <c r="AQ281" s="5" t="s">
        <v>26</v>
      </c>
      <c r="AR281" s="5" t="s">
        <v>26</v>
      </c>
      <c r="AS281" s="6" t="s">
        <v>702</v>
      </c>
      <c r="AT281" s="21" t="s">
        <v>702</v>
      </c>
      <c r="AU281" s="6" t="s">
        <v>702</v>
      </c>
      <c r="AV281" s="6" t="s">
        <v>702</v>
      </c>
      <c r="AW281" s="111" t="s">
        <v>702</v>
      </c>
      <c r="AX281" s="21" t="s">
        <v>702</v>
      </c>
      <c r="AY281" s="6" t="s">
        <v>702</v>
      </c>
      <c r="AZ281" s="6" t="s">
        <v>702</v>
      </c>
      <c r="BA281" s="6" t="s">
        <v>702</v>
      </c>
      <c r="BB281" s="21" t="s">
        <v>702</v>
      </c>
      <c r="BC281" s="6" t="s">
        <v>702</v>
      </c>
      <c r="BD281" s="6" t="s">
        <v>702</v>
      </c>
      <c r="BE281" s="111" t="s">
        <v>702</v>
      </c>
      <c r="BF281" s="6" t="s">
        <v>702</v>
      </c>
      <c r="BG281" s="14" t="s">
        <v>702</v>
      </c>
      <c r="BH281" s="6"/>
      <c r="BI281" s="111"/>
      <c r="BJ281" s="6" t="s">
        <v>702</v>
      </c>
      <c r="BK281" s="6"/>
      <c r="BL281" s="6"/>
      <c r="BM281" s="111"/>
      <c r="BN281" s="6"/>
      <c r="BO281" s="111"/>
      <c r="BP281" s="111"/>
      <c r="BQ281" s="3358"/>
      <c r="BR281" s="6"/>
      <c r="BS281" s="6"/>
      <c r="BT281" s="6"/>
      <c r="BU281" s="6"/>
      <c r="BV281" s="6"/>
      <c r="BW281" s="6"/>
      <c r="BX281" s="6"/>
      <c r="BY281" s="2875" t="s">
        <v>26</v>
      </c>
      <c r="BZ281" s="2875" t="s">
        <v>26</v>
      </c>
      <c r="CA281" s="2875" t="s">
        <v>26</v>
      </c>
      <c r="CB281" s="2875" t="s">
        <v>26</v>
      </c>
      <c r="CC281" s="2875" t="s">
        <v>26</v>
      </c>
      <c r="CD281" s="2876" t="s">
        <v>26</v>
      </c>
      <c r="CE281" s="137"/>
      <c r="CF281" s="137"/>
      <c r="CG281" s="3381"/>
      <c r="CH281" s="3381"/>
      <c r="CI281" s="133"/>
      <c r="CJ281" s="133"/>
      <c r="CK281" s="133"/>
      <c r="CL281" s="133"/>
      <c r="CM281" s="133"/>
      <c r="CN281" s="133"/>
      <c r="CO281" s="133"/>
      <c r="CP281" s="133"/>
      <c r="CQ281" s="133"/>
      <c r="CR281" s="133"/>
      <c r="CS281" s="133"/>
      <c r="CT281" s="133"/>
      <c r="CU281" s="133"/>
    </row>
    <row r="282" spans="1:99" s="424" customFormat="1" ht="11.5" hidden="1" outlineLevel="1">
      <c r="A282" s="61" t="s">
        <v>1070</v>
      </c>
      <c r="B282" s="5">
        <v>2009</v>
      </c>
      <c r="C282" s="5">
        <v>2010</v>
      </c>
      <c r="D282" s="5">
        <v>2011</v>
      </c>
      <c r="E282" s="96">
        <v>2012</v>
      </c>
      <c r="F282" s="5">
        <v>2009</v>
      </c>
      <c r="G282" s="5">
        <v>2010</v>
      </c>
      <c r="H282" s="5">
        <v>2011</v>
      </c>
      <c r="I282" s="5">
        <v>2012</v>
      </c>
      <c r="J282" s="5">
        <v>2013</v>
      </c>
      <c r="K282" s="5"/>
      <c r="L282" s="220"/>
      <c r="M282" s="5">
        <v>2005</v>
      </c>
      <c r="N282" s="5"/>
      <c r="O282" s="5"/>
      <c r="P282" s="5"/>
      <c r="Q282" s="5"/>
      <c r="R282" s="5"/>
      <c r="W282" s="423">
        <v>676.00400000000002</v>
      </c>
      <c r="X282" s="424">
        <v>605.38699999999994</v>
      </c>
      <c r="Y282" s="424">
        <v>825.72900000000004</v>
      </c>
      <c r="Z282" s="424">
        <v>1237.182</v>
      </c>
      <c r="AA282" s="424">
        <v>763.2</v>
      </c>
      <c r="AB282" s="425">
        <v>1366.9590000000001</v>
      </c>
      <c r="AC282" s="5"/>
      <c r="AD282" s="5" t="s">
        <v>701</v>
      </c>
      <c r="AE282" s="5" t="s">
        <v>699</v>
      </c>
      <c r="AF282" s="5" t="s">
        <v>700</v>
      </c>
      <c r="AG282" s="96">
        <v>2015</v>
      </c>
      <c r="AH282" s="5" t="s">
        <v>695</v>
      </c>
      <c r="AI282" s="5" t="s">
        <v>983</v>
      </c>
      <c r="AJ282" s="5" t="s">
        <v>760</v>
      </c>
      <c r="AK282" s="96" t="s">
        <v>1054</v>
      </c>
      <c r="AL282" s="5" t="s">
        <v>771</v>
      </c>
      <c r="AM282" s="5" t="s">
        <v>772</v>
      </c>
      <c r="AN282" s="5" t="s">
        <v>773</v>
      </c>
      <c r="AO282" s="96" t="s">
        <v>774</v>
      </c>
      <c r="AP282" s="5" t="s">
        <v>1176</v>
      </c>
      <c r="AQ282" s="5" t="s">
        <v>1177</v>
      </c>
      <c r="AR282" s="5" t="s">
        <v>1178</v>
      </c>
      <c r="AS282" s="6" t="s">
        <v>1179</v>
      </c>
      <c r="AT282" s="21" t="str">
        <f t="shared" ref="AT282:BA282" si="322">AT3</f>
        <v>2019Q1</v>
      </c>
      <c r="AU282" s="6" t="str">
        <f t="shared" si="322"/>
        <v>2019Q2</v>
      </c>
      <c r="AV282" s="6" t="str">
        <f t="shared" si="322"/>
        <v>2019Q3</v>
      </c>
      <c r="AW282" s="111" t="str">
        <f t="shared" si="322"/>
        <v>2019Q4</v>
      </c>
      <c r="AX282" s="21" t="str">
        <f t="shared" si="322"/>
        <v>2020Q1</v>
      </c>
      <c r="AY282" s="6" t="str">
        <f t="shared" si="322"/>
        <v>2020Q2</v>
      </c>
      <c r="AZ282" s="6" t="str">
        <f t="shared" si="322"/>
        <v>2020Q3</v>
      </c>
      <c r="BA282" s="6" t="str">
        <f t="shared" si="322"/>
        <v>2020Q4</v>
      </c>
      <c r="BB282" s="21" t="s">
        <v>2700</v>
      </c>
      <c r="BC282" s="6" t="s">
        <v>2703</v>
      </c>
      <c r="BD282" s="6" t="s">
        <v>2706</v>
      </c>
      <c r="BE282" s="111" t="s">
        <v>2708</v>
      </c>
      <c r="BF282" s="6" t="s">
        <v>2713</v>
      </c>
      <c r="BG282" s="14" t="s">
        <v>2721</v>
      </c>
      <c r="BH282" s="6"/>
      <c r="BI282" s="111"/>
      <c r="BJ282" s="6" t="s">
        <v>2713</v>
      </c>
      <c r="BK282" s="6"/>
      <c r="BL282" s="6"/>
      <c r="BM282" s="111"/>
      <c r="BN282" s="6"/>
      <c r="BO282" s="111"/>
      <c r="BP282" s="111"/>
      <c r="BQ282" s="3358"/>
      <c r="BR282" s="6"/>
      <c r="BS282" s="6"/>
      <c r="BT282" s="6"/>
      <c r="BU282" s="6"/>
      <c r="BV282" s="6"/>
      <c r="BW282" s="6"/>
      <c r="BX282" s="6"/>
      <c r="BY282" s="2877">
        <v>2016</v>
      </c>
      <c r="BZ282" s="2877">
        <v>2017</v>
      </c>
      <c r="CA282" s="2877">
        <v>2018</v>
      </c>
      <c r="CB282" s="2877">
        <v>2019</v>
      </c>
      <c r="CC282" s="2877">
        <v>2020</v>
      </c>
      <c r="CD282" s="2878">
        <v>2021</v>
      </c>
      <c r="CE282" s="423"/>
      <c r="CF282" s="423"/>
      <c r="CG282" s="3373"/>
      <c r="CH282" s="3373"/>
    </row>
    <row r="283" spans="1:99" s="1764" customFormat="1" hidden="1" outlineLevel="1">
      <c r="A283" s="1567" t="s">
        <v>32</v>
      </c>
      <c r="B283" s="1764">
        <v>10.11</v>
      </c>
      <c r="C283" s="1764">
        <v>12.936999999999999</v>
      </c>
      <c r="D283" s="1764" t="s">
        <v>156</v>
      </c>
      <c r="E283" s="1766"/>
      <c r="F283" s="1764">
        <v>-3.1480540000000001</v>
      </c>
      <c r="G283" s="1764">
        <v>5.2313010000000002</v>
      </c>
      <c r="H283" s="1764">
        <v>-6.3321569999999996</v>
      </c>
      <c r="I283" s="1764">
        <v>10.878933999999999</v>
      </c>
      <c r="L283" s="1876"/>
      <c r="W283" s="1877">
        <v>-47.819000000000003</v>
      </c>
      <c r="X283" s="1764">
        <v>-744.34699999999998</v>
      </c>
      <c r="Y283" s="1764">
        <v>-463.46</v>
      </c>
      <c r="Z283" s="1764">
        <v>-367.82499999999999</v>
      </c>
      <c r="AA283" s="1764">
        <v>-525.51300000000003</v>
      </c>
      <c r="AB283" s="1768">
        <v>-924.25699999999995</v>
      </c>
      <c r="AD283" s="1764">
        <v>1662.0309999999999</v>
      </c>
      <c r="AE283" s="1764">
        <v>1541.5260000000001</v>
      </c>
      <c r="AF283" s="1764">
        <v>1368.0450000000001</v>
      </c>
      <c r="AG283" s="1768">
        <v>1368.0450000000001</v>
      </c>
      <c r="AH283" s="1764">
        <v>1099.2629999999999</v>
      </c>
      <c r="AI283" s="1764">
        <v>1726.097</v>
      </c>
      <c r="AJ283" s="1764">
        <v>1543.6780000000001</v>
      </c>
      <c r="AK283" s="1768">
        <v>1564.3340000000001</v>
      </c>
      <c r="AL283" s="1764">
        <v>1673.443</v>
      </c>
      <c r="AM283" s="1764">
        <v>2365.64</v>
      </c>
      <c r="AN283" s="1764">
        <v>1922.0250000000001</v>
      </c>
      <c r="AO283" s="1768">
        <v>1799.154</v>
      </c>
      <c r="AP283" s="1764">
        <v>1676</v>
      </c>
      <c r="AQ283" s="1764">
        <v>2491</v>
      </c>
      <c r="AR283" s="1764">
        <v>2120</v>
      </c>
      <c r="AS283" s="1764">
        <v>1975</v>
      </c>
      <c r="AT283" s="1877">
        <v>2149</v>
      </c>
      <c r="AU283" s="1764">
        <v>3287</v>
      </c>
      <c r="AV283" s="1764">
        <v>2426</v>
      </c>
      <c r="AW283" s="1768">
        <v>2767</v>
      </c>
      <c r="AX283" s="1877">
        <v>-784</v>
      </c>
      <c r="AY283" s="1764">
        <v>-2630</v>
      </c>
      <c r="AZ283" s="1764">
        <v>-3449</v>
      </c>
      <c r="BA283" s="1764">
        <v>-3834</v>
      </c>
      <c r="BB283" s="1877">
        <v>2170</v>
      </c>
      <c r="BC283" s="1764">
        <v>4684</v>
      </c>
      <c r="BD283" s="1764">
        <v>3463</v>
      </c>
      <c r="BE283" s="1768">
        <v>3748</v>
      </c>
      <c r="BF283" s="1764">
        <v>2991</v>
      </c>
      <c r="BI283" s="1768"/>
      <c r="BJ283" s="1764">
        <v>2991</v>
      </c>
      <c r="BM283" s="1768"/>
      <c r="BO283" s="1768"/>
      <c r="BP283" s="1768"/>
      <c r="BQ283" s="3343"/>
      <c r="BY283" s="1769">
        <f>AK283</f>
        <v>1564.3340000000001</v>
      </c>
      <c r="BZ283" s="1769">
        <v>1799.154</v>
      </c>
      <c r="CA283" s="1877">
        <f>AS283</f>
        <v>1975</v>
      </c>
      <c r="CB283" s="1877">
        <f>AW283</f>
        <v>2767</v>
      </c>
      <c r="CC283" s="1877">
        <v>-3834</v>
      </c>
      <c r="CD283" s="1877">
        <f>BE283</f>
        <v>3748</v>
      </c>
      <c r="CE283" s="1837"/>
      <c r="CF283" s="1837"/>
      <c r="CG283" s="1837"/>
      <c r="CH283" s="1837"/>
    </row>
    <row r="284" spans="1:99" s="1764" customFormat="1" hidden="1" outlineLevel="1">
      <c r="A284" s="1567" t="s">
        <v>977</v>
      </c>
      <c r="B284" s="1764">
        <v>36.375999999999998</v>
      </c>
      <c r="C284" s="1764">
        <v>-49.192999999999998</v>
      </c>
      <c r="D284" s="1764" t="s">
        <v>156</v>
      </c>
      <c r="E284" s="1766"/>
      <c r="F284" s="1764">
        <v>-11.810369</v>
      </c>
      <c r="G284" s="1764">
        <v>3.45173</v>
      </c>
      <c r="H284" s="1764">
        <v>-3.0342790000000002</v>
      </c>
      <c r="I284" s="1764">
        <v>-46.224556</v>
      </c>
      <c r="L284" s="1876"/>
      <c r="W284" s="1877">
        <v>-660.33199999999999</v>
      </c>
      <c r="X284" s="1764">
        <v>127.86</v>
      </c>
      <c r="Y284" s="1764">
        <v>-353.49400000000003</v>
      </c>
      <c r="Z284" s="1764">
        <v>-272.78699999999998</v>
      </c>
      <c r="AA284" s="1764">
        <v>-492.51600000000002</v>
      </c>
      <c r="AB284" s="1768">
        <v>48.149000000000001</v>
      </c>
      <c r="AD284" s="1764">
        <f>-508.766</f>
        <v>-508.76600000000002</v>
      </c>
      <c r="AE284" s="1764">
        <v>-2103.7959999999998</v>
      </c>
      <c r="AF284" s="1764">
        <v>-2371.2600000000002</v>
      </c>
      <c r="AG284" s="1768">
        <v>-2371.2600000000002</v>
      </c>
      <c r="AH284" s="1764">
        <v>-159.23500000000001</v>
      </c>
      <c r="AI284" s="1764">
        <v>-394.52800000000002</v>
      </c>
      <c r="AJ284" s="1764">
        <v>-588.923</v>
      </c>
      <c r="AK284" s="1768">
        <v>-718.32100000000003</v>
      </c>
      <c r="AL284" s="1764">
        <v>-949.58399999999995</v>
      </c>
      <c r="AM284" s="1764">
        <v>-1303.941</v>
      </c>
      <c r="AN284" s="1764">
        <v>-1480.1780000000001</v>
      </c>
      <c r="AO284" s="1768">
        <v>-1582.39</v>
      </c>
      <c r="AP284" s="1764">
        <v>-728</v>
      </c>
      <c r="AQ284" s="1764">
        <v>-1434</v>
      </c>
      <c r="AR284" s="1764">
        <v>-655</v>
      </c>
      <c r="AS284" s="1764">
        <v>-559</v>
      </c>
      <c r="AT284" s="1877">
        <v>-706</v>
      </c>
      <c r="AU284" s="1764">
        <v>-1166</v>
      </c>
      <c r="AV284" s="1764">
        <v>-1429</v>
      </c>
      <c r="AW284" s="1768">
        <v>-1553</v>
      </c>
      <c r="AX284" s="1877">
        <v>32</v>
      </c>
      <c r="AY284" s="1764">
        <v>-341</v>
      </c>
      <c r="AZ284" s="1764">
        <v>-107</v>
      </c>
      <c r="BA284" s="1764">
        <v>-263</v>
      </c>
      <c r="BB284" s="1877">
        <v>-180</v>
      </c>
      <c r="BC284" s="1764">
        <v>-413</v>
      </c>
      <c r="BD284" s="1764">
        <v>-506</v>
      </c>
      <c r="BE284" s="1768">
        <v>-931</v>
      </c>
      <c r="BF284" s="1764">
        <v>13</v>
      </c>
      <c r="BI284" s="1768"/>
      <c r="BJ284" s="1764">
        <v>13</v>
      </c>
      <c r="BM284" s="1768"/>
      <c r="BO284" s="1768"/>
      <c r="BP284" s="1768"/>
      <c r="BQ284" s="3343"/>
      <c r="BY284" s="1769">
        <f>AK284</f>
        <v>-718.32100000000003</v>
      </c>
      <c r="BZ284" s="1769">
        <v>-1582.39</v>
      </c>
      <c r="CA284" s="1877">
        <f>AS284</f>
        <v>-559</v>
      </c>
      <c r="CB284" s="1877">
        <f>AW284</f>
        <v>-1553</v>
      </c>
      <c r="CC284" s="1877">
        <v>-263</v>
      </c>
      <c r="CD284" s="1877">
        <f>BE284</f>
        <v>-931</v>
      </c>
      <c r="CE284" s="1837"/>
      <c r="CF284" s="1837"/>
      <c r="CG284" s="1837"/>
      <c r="CH284" s="1837"/>
    </row>
    <row r="285" spans="1:99" s="1764" customFormat="1" hidden="1" outlineLevel="1">
      <c r="A285" s="1567" t="s">
        <v>179</v>
      </c>
      <c r="B285" s="1764">
        <v>0.13880000000000001</v>
      </c>
      <c r="C285" s="1764">
        <v>-0.82499999999999996</v>
      </c>
      <c r="D285" s="1764" t="s">
        <v>156</v>
      </c>
      <c r="E285" s="1766"/>
      <c r="F285" s="1764">
        <v>14.319774000000001</v>
      </c>
      <c r="G285" s="1764">
        <v>-0.21004300000000001</v>
      </c>
      <c r="H285" s="1764">
        <v>52.363359000000003</v>
      </c>
      <c r="I285" s="1764">
        <v>35.232816999999997</v>
      </c>
      <c r="L285" s="1876"/>
      <c r="W285" s="1877">
        <v>-92.016999999999996</v>
      </c>
      <c r="X285" s="1764">
        <v>-136.376</v>
      </c>
      <c r="Y285" s="1764">
        <v>-207.83699999999999</v>
      </c>
      <c r="Z285" s="1764">
        <v>-235.697</v>
      </c>
      <c r="AA285" s="1764">
        <v>-211.744</v>
      </c>
      <c r="AB285" s="1768">
        <v>-265.81700000000001</v>
      </c>
      <c r="AD285" s="1764">
        <v>686.04</v>
      </c>
      <c r="AE285" s="1764">
        <v>724.80799999999999</v>
      </c>
      <c r="AF285" s="1764">
        <v>1404.1990000000001</v>
      </c>
      <c r="AG285" s="1768">
        <v>1404.1990000000001</v>
      </c>
      <c r="AH285" s="1764">
        <f>-603.891</f>
        <v>-603.89099999999996</v>
      </c>
      <c r="AI285" s="1764">
        <v>-748.48900000000003</v>
      </c>
      <c r="AJ285" s="1764">
        <v>-815.29700000000003</v>
      </c>
      <c r="AK285" s="1768">
        <v>-690.61900000000003</v>
      </c>
      <c r="AL285" s="1764">
        <v>-48.12</v>
      </c>
      <c r="AM285" s="1764">
        <v>-80.638000000000005</v>
      </c>
      <c r="AN285" s="1764">
        <v>860.51199999999994</v>
      </c>
      <c r="AO285" s="1768">
        <v>687.51400000000001</v>
      </c>
      <c r="AP285" s="1764">
        <v>-236</v>
      </c>
      <c r="AQ285" s="1764">
        <v>-456</v>
      </c>
      <c r="AR285" s="1764">
        <v>-1154</v>
      </c>
      <c r="AS285" s="1764">
        <v>-1489</v>
      </c>
      <c r="AT285" s="1877">
        <v>21</v>
      </c>
      <c r="AU285" s="1764">
        <v>34</v>
      </c>
      <c r="AV285" s="1764">
        <v>607</v>
      </c>
      <c r="AW285" s="1768">
        <v>175</v>
      </c>
      <c r="AX285" s="1877">
        <v>1517</v>
      </c>
      <c r="AY285" s="1764">
        <v>5333</v>
      </c>
      <c r="AZ285" s="1764">
        <v>156</v>
      </c>
      <c r="BA285" s="1764">
        <v>4077</v>
      </c>
      <c r="BB285" s="1877">
        <v>210</v>
      </c>
      <c r="BC285" s="1764">
        <v>-378</v>
      </c>
      <c r="BD285" s="1764">
        <v>-351</v>
      </c>
      <c r="BE285" s="1768">
        <v>-973</v>
      </c>
      <c r="BF285" s="1764">
        <v>-663</v>
      </c>
      <c r="BI285" s="1768"/>
      <c r="BJ285" s="1764">
        <v>-663</v>
      </c>
      <c r="BM285" s="1768"/>
      <c r="BO285" s="1768"/>
      <c r="BP285" s="1768"/>
      <c r="BQ285" s="3343"/>
      <c r="BY285" s="1769">
        <f>AK285</f>
        <v>-690.61900000000003</v>
      </c>
      <c r="BZ285" s="1769">
        <v>687.51400000000001</v>
      </c>
      <c r="CA285" s="1877">
        <f>AS285</f>
        <v>-1489</v>
      </c>
      <c r="CB285" s="1877">
        <f>AW285</f>
        <v>175</v>
      </c>
      <c r="CC285" s="1877">
        <v>4077</v>
      </c>
      <c r="CD285" s="1877">
        <f>BE285</f>
        <v>-973</v>
      </c>
      <c r="CE285" s="1837"/>
      <c r="CF285" s="1837"/>
      <c r="CG285" s="1837"/>
      <c r="CH285" s="1837"/>
    </row>
    <row r="286" spans="1:99" s="1764" customFormat="1" hidden="1" outlineLevel="1">
      <c r="A286" s="1580" t="s">
        <v>1045</v>
      </c>
      <c r="B286" s="1764">
        <v>-1.756</v>
      </c>
      <c r="C286" s="1764">
        <v>-2.6655700000000002</v>
      </c>
      <c r="D286" s="1764" t="s">
        <v>156</v>
      </c>
      <c r="E286" s="1766"/>
      <c r="F286" s="1764">
        <v>4.2663E-2</v>
      </c>
      <c r="G286" s="1764">
        <v>1.163E-2</v>
      </c>
      <c r="H286" s="1764">
        <v>4.1936000000000001E-2</v>
      </c>
      <c r="L286" s="1876"/>
      <c r="S286" s="1765" t="s">
        <v>156</v>
      </c>
      <c r="T286" s="1765" t="s">
        <v>156</v>
      </c>
      <c r="U286" s="1765" t="s">
        <v>156</v>
      </c>
      <c r="V286" s="1765" t="s">
        <v>156</v>
      </c>
      <c r="W286" s="1879" t="s">
        <v>156</v>
      </c>
      <c r="X286" s="1765" t="s">
        <v>156</v>
      </c>
      <c r="Y286" s="1765" t="s">
        <v>156</v>
      </c>
      <c r="Z286" s="1765" t="s">
        <v>156</v>
      </c>
      <c r="AA286" s="1765" t="s">
        <v>156</v>
      </c>
      <c r="AB286" s="1766" t="s">
        <v>156</v>
      </c>
      <c r="AD286" s="1764">
        <v>-468.72699999999998</v>
      </c>
      <c r="AE286" s="1764">
        <v>-625.43899999999996</v>
      </c>
      <c r="AF286" s="1764">
        <v>-336.68</v>
      </c>
      <c r="AG286" s="1768">
        <v>-336.68</v>
      </c>
      <c r="AH286" s="1764">
        <v>-105.255</v>
      </c>
      <c r="AI286" s="1764">
        <v>-379.98099999999999</v>
      </c>
      <c r="AJ286" s="1764">
        <v>-567.04399999999998</v>
      </c>
      <c r="AK286" s="1768">
        <v>-749.34799999999996</v>
      </c>
      <c r="AL286" s="1764">
        <v>-166.869</v>
      </c>
      <c r="AM286" s="1764">
        <v>-356.892</v>
      </c>
      <c r="AN286" s="1764">
        <v>-525.596</v>
      </c>
      <c r="AO286" s="1768">
        <v>-710.33</v>
      </c>
      <c r="AP286" s="1764">
        <v>-192</v>
      </c>
      <c r="AQ286" s="1764">
        <v>-411</v>
      </c>
      <c r="AR286" s="1764">
        <v>-634</v>
      </c>
      <c r="AS286" s="1764">
        <v>-244</v>
      </c>
      <c r="AT286" s="1877">
        <v>-274</v>
      </c>
      <c r="AU286" s="1764">
        <v>-573</v>
      </c>
      <c r="AV286" s="1764">
        <v>-864</v>
      </c>
      <c r="AW286" s="1768">
        <v>-296</v>
      </c>
      <c r="AX286" s="1877">
        <v>-287</v>
      </c>
      <c r="AY286" s="1764">
        <v>-493</v>
      </c>
      <c r="AZ286" s="1764">
        <v>-669</v>
      </c>
      <c r="BA286" s="1764">
        <v>-797</v>
      </c>
      <c r="BB286" s="1877">
        <v>-168</v>
      </c>
      <c r="BC286" s="1764">
        <v>-351</v>
      </c>
      <c r="BD286" s="1764">
        <v>-530</v>
      </c>
      <c r="BE286" s="1768">
        <v>673</v>
      </c>
      <c r="BF286" s="1764">
        <v>-156</v>
      </c>
      <c r="BI286" s="1768"/>
      <c r="BJ286" s="1764">
        <v>-156</v>
      </c>
      <c r="BM286" s="1768"/>
      <c r="BO286" s="1768"/>
      <c r="BP286" s="1768"/>
      <c r="BQ286" s="3343"/>
      <c r="BY286" s="1769">
        <f>AK286</f>
        <v>-749.34799999999996</v>
      </c>
      <c r="BZ286" s="1769">
        <v>-710.33</v>
      </c>
      <c r="CA286" s="1877">
        <v>-878</v>
      </c>
      <c r="CB286" s="1877">
        <v>-1160</v>
      </c>
      <c r="CC286" s="1877">
        <v>-797</v>
      </c>
      <c r="CD286" s="1877">
        <f>BE286</f>
        <v>673</v>
      </c>
      <c r="CE286" s="1837"/>
      <c r="CF286" s="1837"/>
      <c r="CG286" s="1837"/>
      <c r="CH286" s="1837"/>
    </row>
    <row r="287" spans="1:99" s="1570" customFormat="1" hidden="1" outlineLevel="1">
      <c r="A287" s="1577" t="s">
        <v>111</v>
      </c>
      <c r="B287" s="1581" t="s">
        <v>156</v>
      </c>
      <c r="C287" s="1581" t="s">
        <v>156</v>
      </c>
      <c r="D287" s="1581" t="s">
        <v>156</v>
      </c>
      <c r="E287" s="1582"/>
      <c r="F287" s="1581" t="s">
        <v>156</v>
      </c>
      <c r="G287" s="1581" t="s">
        <v>156</v>
      </c>
      <c r="H287" s="1581" t="s">
        <v>156</v>
      </c>
      <c r="I287" s="1581"/>
      <c r="J287" s="1581"/>
      <c r="K287" s="1581"/>
      <c r="L287" s="1585"/>
      <c r="M287" s="1581" t="s">
        <v>156</v>
      </c>
      <c r="N287" s="1581"/>
      <c r="O287" s="1581"/>
      <c r="P287" s="1581"/>
      <c r="Q287" s="1581"/>
      <c r="R287" s="1581"/>
      <c r="S287" s="1581"/>
      <c r="T287" s="1581"/>
      <c r="U287" s="1581"/>
      <c r="V287" s="1581"/>
      <c r="W287" s="1586"/>
      <c r="X287" s="1581"/>
      <c r="Y287" s="1581"/>
      <c r="Z287" s="1581"/>
      <c r="AA287" s="1581"/>
      <c r="AB287" s="1582"/>
      <c r="AC287" s="1581"/>
      <c r="AD287" s="1581"/>
      <c r="AE287" s="1581"/>
      <c r="AF287" s="1581"/>
      <c r="AG287" s="1582" t="s">
        <v>156</v>
      </c>
      <c r="AK287" s="1571"/>
      <c r="AO287" s="1571"/>
      <c r="AT287" s="2843"/>
      <c r="AW287" s="1571"/>
      <c r="AX287" s="2843"/>
      <c r="BB287" s="2843"/>
      <c r="BE287" s="1571"/>
      <c r="BI287" s="1571"/>
      <c r="BM287" s="1571"/>
      <c r="BO287" s="1571"/>
      <c r="BP287" s="1571"/>
      <c r="BQ287" s="3361"/>
      <c r="BY287" s="2903"/>
      <c r="BZ287" s="1572"/>
      <c r="CA287" s="2843"/>
      <c r="CB287" s="2843"/>
      <c r="CC287" s="2843"/>
      <c r="CD287" s="2843"/>
      <c r="CE287" s="1837"/>
      <c r="CF287" s="1837"/>
      <c r="CG287" s="1837"/>
      <c r="CH287" s="1837"/>
    </row>
    <row r="288" spans="1:99" s="138" customFormat="1" hidden="1" outlineLevel="1">
      <c r="A288" s="159"/>
      <c r="B288" s="133"/>
      <c r="C288" s="133"/>
      <c r="D288" s="133"/>
      <c r="E288" s="136"/>
      <c r="F288" s="133"/>
      <c r="G288" s="133"/>
      <c r="H288" s="133"/>
      <c r="I288" s="133"/>
      <c r="J288" s="133"/>
      <c r="K288" s="133"/>
      <c r="L288" s="219"/>
      <c r="M288" s="133"/>
      <c r="N288" s="133"/>
      <c r="O288" s="133"/>
      <c r="P288" s="133"/>
      <c r="Q288" s="133"/>
      <c r="R288" s="133"/>
      <c r="S288" s="133"/>
      <c r="T288" s="133"/>
      <c r="U288" s="133"/>
      <c r="V288" s="133"/>
      <c r="W288" s="137"/>
      <c r="X288" s="133"/>
      <c r="Y288" s="133"/>
      <c r="Z288" s="133"/>
      <c r="AA288" s="133"/>
      <c r="AB288" s="136"/>
      <c r="AC288" s="204"/>
      <c r="AD288" s="204"/>
      <c r="AE288" s="204"/>
      <c r="AF288" s="204"/>
      <c r="AG288" s="204"/>
      <c r="AH288" s="204"/>
      <c r="AI288" s="204"/>
      <c r="AJ288" s="204"/>
      <c r="AK288" s="1394"/>
      <c r="AL288" s="204"/>
      <c r="AM288" s="204"/>
      <c r="AN288" s="204"/>
      <c r="AO288" s="1394"/>
      <c r="AP288" s="204"/>
      <c r="AQ288" s="204"/>
      <c r="AR288" s="204"/>
      <c r="AS288" s="204"/>
      <c r="AT288" s="137"/>
      <c r="AU288" s="133"/>
      <c r="AV288" s="133"/>
      <c r="AW288" s="136"/>
      <c r="AX288" s="137"/>
      <c r="AY288" s="133"/>
      <c r="AZ288" s="133"/>
      <c r="BA288" s="133"/>
      <c r="BB288" s="137"/>
      <c r="BC288" s="133"/>
      <c r="BD288" s="133"/>
      <c r="BE288" s="136"/>
      <c r="BF288" s="133"/>
      <c r="BG288" s="133"/>
      <c r="BH288" s="133"/>
      <c r="BI288" s="136"/>
      <c r="BJ288" s="133"/>
      <c r="BK288" s="133"/>
      <c r="BL288" s="133"/>
      <c r="BM288" s="136"/>
      <c r="BN288" s="133"/>
      <c r="BO288" s="136"/>
      <c r="BP288" s="136"/>
      <c r="BQ288" s="3332"/>
      <c r="BR288" s="133"/>
      <c r="BS288" s="133"/>
      <c r="BT288" s="133"/>
      <c r="BU288" s="133"/>
      <c r="BV288" s="133"/>
      <c r="BW288" s="133"/>
      <c r="BX288" s="133"/>
      <c r="BY288" s="159"/>
      <c r="BZ288" s="159"/>
      <c r="CA288" s="137"/>
      <c r="CB288" s="137"/>
      <c r="CC288" s="137"/>
      <c r="CD288" s="137"/>
      <c r="CE288" s="137"/>
      <c r="CF288" s="137"/>
      <c r="CG288" s="3381"/>
      <c r="CH288" s="3381"/>
      <c r="CI288" s="133"/>
      <c r="CJ288" s="133"/>
      <c r="CK288" s="133"/>
      <c r="CL288" s="133"/>
      <c r="CM288" s="133"/>
      <c r="CN288" s="133"/>
      <c r="CO288" s="133"/>
      <c r="CP288" s="133"/>
      <c r="CQ288" s="133"/>
      <c r="CR288" s="133"/>
      <c r="CS288" s="133"/>
      <c r="CT288" s="133"/>
      <c r="CU288" s="133"/>
    </row>
    <row r="289" spans="1:99" s="138" customFormat="1" ht="11.5" hidden="1" outlineLevel="1">
      <c r="A289" s="95" t="s">
        <v>1047</v>
      </c>
      <c r="B289" s="5" t="s">
        <v>16</v>
      </c>
      <c r="C289" s="5" t="s">
        <v>16</v>
      </c>
      <c r="D289" s="5" t="s">
        <v>16</v>
      </c>
      <c r="E289" s="96" t="s">
        <v>16</v>
      </c>
      <c r="F289" s="5" t="s">
        <v>10</v>
      </c>
      <c r="G289" s="5" t="s">
        <v>10</v>
      </c>
      <c r="H289" s="5" t="s">
        <v>1053</v>
      </c>
      <c r="I289" s="5" t="s">
        <v>1053</v>
      </c>
      <c r="J289" s="5" t="s">
        <v>1053</v>
      </c>
      <c r="K289" s="5"/>
      <c r="L289" s="220"/>
      <c r="M289" s="5" t="s">
        <v>26</v>
      </c>
      <c r="N289" s="5"/>
      <c r="O289" s="5"/>
      <c r="P289" s="5"/>
      <c r="Q289" s="5"/>
      <c r="R289" s="5"/>
      <c r="S289" s="5" t="s">
        <v>26</v>
      </c>
      <c r="T289" s="5" t="s">
        <v>26</v>
      </c>
      <c r="U289" s="5" t="s">
        <v>26</v>
      </c>
      <c r="V289" s="5" t="s">
        <v>26</v>
      </c>
      <c r="W289" s="18" t="s">
        <v>26</v>
      </c>
      <c r="X289" s="5" t="s">
        <v>26</v>
      </c>
      <c r="Y289" s="5" t="s">
        <v>26</v>
      </c>
      <c r="Z289" s="5" t="s">
        <v>26</v>
      </c>
      <c r="AA289" s="5" t="s">
        <v>26</v>
      </c>
      <c r="AB289" s="96" t="s">
        <v>26</v>
      </c>
      <c r="AC289" s="5" t="s">
        <v>26</v>
      </c>
      <c r="AD289" s="5" t="s">
        <v>26</v>
      </c>
      <c r="AE289" s="5" t="s">
        <v>26</v>
      </c>
      <c r="AF289" s="5" t="s">
        <v>26</v>
      </c>
      <c r="AG289" s="96" t="s">
        <v>26</v>
      </c>
      <c r="AH289" s="5" t="s">
        <v>26</v>
      </c>
      <c r="AI289" s="5" t="s">
        <v>26</v>
      </c>
      <c r="AJ289" s="5" t="s">
        <v>26</v>
      </c>
      <c r="AK289" s="96" t="s">
        <v>26</v>
      </c>
      <c r="AL289" s="5" t="s">
        <v>26</v>
      </c>
      <c r="AM289" s="5" t="s">
        <v>26</v>
      </c>
      <c r="AN289" s="5" t="s">
        <v>26</v>
      </c>
      <c r="AO289" s="96" t="s">
        <v>702</v>
      </c>
      <c r="AP289" s="5" t="s">
        <v>26</v>
      </c>
      <c r="AQ289" s="5" t="s">
        <v>26</v>
      </c>
      <c r="AR289" s="5" t="s">
        <v>26</v>
      </c>
      <c r="AS289" s="6" t="s">
        <v>702</v>
      </c>
      <c r="AT289" s="21" t="s">
        <v>702</v>
      </c>
      <c r="AU289" s="6" t="s">
        <v>702</v>
      </c>
      <c r="AV289" s="6" t="s">
        <v>702</v>
      </c>
      <c r="AW289" s="111" t="s">
        <v>702</v>
      </c>
      <c r="AX289" s="21" t="s">
        <v>702</v>
      </c>
      <c r="AY289" s="6" t="s">
        <v>702</v>
      </c>
      <c r="AZ289" s="6" t="s">
        <v>702</v>
      </c>
      <c r="BA289" s="6" t="s">
        <v>702</v>
      </c>
      <c r="BB289" s="21" t="s">
        <v>702</v>
      </c>
      <c r="BC289" s="6" t="s">
        <v>702</v>
      </c>
      <c r="BD289" s="6" t="s">
        <v>702</v>
      </c>
      <c r="BE289" s="111" t="s">
        <v>702</v>
      </c>
      <c r="BF289" s="6" t="s">
        <v>702</v>
      </c>
      <c r="BG289" s="14" t="s">
        <v>702</v>
      </c>
      <c r="BH289" s="6"/>
      <c r="BI289" s="111"/>
      <c r="BJ289" s="6" t="s">
        <v>702</v>
      </c>
      <c r="BK289" s="6"/>
      <c r="BL289" s="6"/>
      <c r="BM289" s="111"/>
      <c r="BN289" s="6"/>
      <c r="BO289" s="111"/>
      <c r="BP289" s="111"/>
      <c r="BQ289" s="3358"/>
      <c r="BR289" s="6"/>
      <c r="BS289" s="6"/>
      <c r="BT289" s="6"/>
      <c r="BU289" s="6"/>
      <c r="BV289" s="6"/>
      <c r="BW289" s="6"/>
      <c r="BX289" s="6"/>
      <c r="BY289" s="2875" t="s">
        <v>26</v>
      </c>
      <c r="BZ289" s="2875" t="s">
        <v>26</v>
      </c>
      <c r="CA289" s="2875" t="s">
        <v>26</v>
      </c>
      <c r="CB289" s="2875" t="s">
        <v>26</v>
      </c>
      <c r="CC289" s="2875" t="s">
        <v>26</v>
      </c>
      <c r="CD289" s="2876" t="s">
        <v>26</v>
      </c>
      <c r="CE289" s="137"/>
      <c r="CF289" s="137"/>
      <c r="CG289" s="3381"/>
      <c r="CH289" s="3381"/>
      <c r="CI289" s="133"/>
      <c r="CJ289" s="133"/>
      <c r="CK289" s="133"/>
      <c r="CL289" s="133"/>
      <c r="CM289" s="133"/>
      <c r="CN289" s="133"/>
      <c r="CO289" s="133"/>
      <c r="CP289" s="133"/>
      <c r="CQ289" s="133"/>
      <c r="CR289" s="133"/>
      <c r="CS289" s="133"/>
      <c r="CT289" s="133"/>
      <c r="CU289" s="133"/>
    </row>
    <row r="290" spans="1:99" ht="11.5" hidden="1" outlineLevel="1">
      <c r="A290" s="174" t="s">
        <v>113</v>
      </c>
      <c r="B290" s="5">
        <v>2009</v>
      </c>
      <c r="C290" s="5">
        <v>2010</v>
      </c>
      <c r="D290" s="5">
        <v>2011</v>
      </c>
      <c r="E290" s="96">
        <v>2012</v>
      </c>
      <c r="F290" s="5">
        <v>2009</v>
      </c>
      <c r="G290" s="5">
        <v>2010</v>
      </c>
      <c r="H290" s="5">
        <v>2011</v>
      </c>
      <c r="I290" s="5">
        <v>2012</v>
      </c>
      <c r="J290" s="5">
        <v>2013</v>
      </c>
      <c r="K290" s="5"/>
      <c r="L290" s="220"/>
      <c r="M290" s="5">
        <v>2005</v>
      </c>
      <c r="N290" s="5"/>
      <c r="O290" s="5"/>
      <c r="P290" s="5"/>
      <c r="Q290" s="5"/>
      <c r="R290" s="5"/>
      <c r="S290" s="5">
        <v>2005</v>
      </c>
      <c r="T290" s="5">
        <v>2006</v>
      </c>
      <c r="U290" s="5">
        <v>2007</v>
      </c>
      <c r="V290" s="5">
        <v>2008</v>
      </c>
      <c r="W290" s="18">
        <v>2009</v>
      </c>
      <c r="X290" s="5">
        <v>2010</v>
      </c>
      <c r="Y290" s="5">
        <v>2011</v>
      </c>
      <c r="Z290" s="5">
        <v>2012</v>
      </c>
      <c r="AA290" s="5">
        <v>2013</v>
      </c>
      <c r="AB290" s="96">
        <v>2014</v>
      </c>
      <c r="AC290" s="5" t="s">
        <v>749</v>
      </c>
      <c r="AD290" s="5" t="s">
        <v>701</v>
      </c>
      <c r="AE290" s="5" t="s">
        <v>699</v>
      </c>
      <c r="AF290" s="5" t="s">
        <v>700</v>
      </c>
      <c r="AG290" s="96">
        <v>2015</v>
      </c>
      <c r="AH290" s="5" t="s">
        <v>695</v>
      </c>
      <c r="AI290" s="5" t="s">
        <v>983</v>
      </c>
      <c r="AJ290" s="5" t="s">
        <v>760</v>
      </c>
      <c r="AK290" s="96" t="s">
        <v>1054</v>
      </c>
      <c r="AL290" s="5" t="s">
        <v>771</v>
      </c>
      <c r="AM290" s="5" t="s">
        <v>772</v>
      </c>
      <c r="AN290" s="5" t="s">
        <v>773</v>
      </c>
      <c r="AO290" s="96" t="s">
        <v>774</v>
      </c>
      <c r="AP290" s="5" t="s">
        <v>1176</v>
      </c>
      <c r="AQ290" s="5" t="s">
        <v>1177</v>
      </c>
      <c r="AR290" s="5" t="s">
        <v>1178</v>
      </c>
      <c r="AS290" s="6" t="s">
        <v>1179</v>
      </c>
      <c r="AT290" s="21" t="str">
        <f t="shared" ref="AT290:BA290" si="323">AT3</f>
        <v>2019Q1</v>
      </c>
      <c r="AU290" s="6" t="str">
        <f t="shared" si="323"/>
        <v>2019Q2</v>
      </c>
      <c r="AV290" s="6" t="str">
        <f t="shared" si="323"/>
        <v>2019Q3</v>
      </c>
      <c r="AW290" s="111" t="str">
        <f t="shared" si="323"/>
        <v>2019Q4</v>
      </c>
      <c r="AX290" s="21" t="str">
        <f t="shared" si="323"/>
        <v>2020Q1</v>
      </c>
      <c r="AY290" s="6" t="str">
        <f t="shared" si="323"/>
        <v>2020Q2</v>
      </c>
      <c r="AZ290" s="6" t="str">
        <f t="shared" si="323"/>
        <v>2020Q3</v>
      </c>
      <c r="BA290" s="6" t="str">
        <f t="shared" si="323"/>
        <v>2020Q4</v>
      </c>
      <c r="BB290" s="21" t="s">
        <v>2700</v>
      </c>
      <c r="BC290" s="6" t="s">
        <v>2703</v>
      </c>
      <c r="BD290" s="6" t="s">
        <v>2706</v>
      </c>
      <c r="BE290" s="111" t="s">
        <v>2708</v>
      </c>
      <c r="BF290" s="6" t="s">
        <v>2713</v>
      </c>
      <c r="BG290" s="14" t="s">
        <v>2721</v>
      </c>
      <c r="BH290" s="6"/>
      <c r="BI290" s="111"/>
      <c r="BJ290" s="6" t="s">
        <v>2713</v>
      </c>
      <c r="BK290" s="6"/>
      <c r="BL290" s="6"/>
      <c r="BM290" s="111"/>
      <c r="BN290" s="6"/>
      <c r="BO290" s="111"/>
      <c r="BP290" s="111"/>
      <c r="BQ290" s="3358"/>
      <c r="BR290" s="6"/>
      <c r="BS290" s="6"/>
      <c r="BT290" s="6"/>
      <c r="BU290" s="6"/>
      <c r="BV290" s="6"/>
      <c r="BW290" s="6"/>
      <c r="BX290" s="6"/>
      <c r="BY290" s="2877">
        <v>2016</v>
      </c>
      <c r="BZ290" s="2877">
        <v>2017</v>
      </c>
      <c r="CA290" s="2877">
        <v>2018</v>
      </c>
      <c r="CB290" s="2877">
        <v>2019</v>
      </c>
      <c r="CC290" s="2877">
        <v>2020</v>
      </c>
      <c r="CD290" s="2878">
        <v>2021</v>
      </c>
    </row>
    <row r="291" spans="1:99" hidden="1" outlineLevel="1">
      <c r="A291" s="159" t="s">
        <v>114</v>
      </c>
      <c r="B291" s="89" t="s">
        <v>156</v>
      </c>
      <c r="C291" s="89" t="s">
        <v>156</v>
      </c>
      <c r="D291" s="89" t="s">
        <v>156</v>
      </c>
      <c r="E291" s="110"/>
      <c r="F291" s="89" t="s">
        <v>156</v>
      </c>
      <c r="G291" s="89" t="s">
        <v>156</v>
      </c>
      <c r="H291" s="89" t="s">
        <v>156</v>
      </c>
      <c r="I291" s="89"/>
      <c r="J291" s="89"/>
      <c r="K291" s="89"/>
      <c r="L291" s="234"/>
      <c r="M291" s="89"/>
      <c r="N291" s="89"/>
      <c r="O291" s="89"/>
      <c r="P291" s="89"/>
      <c r="Q291" s="89"/>
      <c r="R291" s="89"/>
      <c r="S291" s="89"/>
      <c r="T291" s="89"/>
      <c r="U291" s="89"/>
      <c r="V291" s="14"/>
      <c r="W291" s="109" t="s">
        <v>156</v>
      </c>
      <c r="X291" s="89">
        <v>20</v>
      </c>
      <c r="Y291" s="89">
        <v>27</v>
      </c>
      <c r="Z291" s="89"/>
      <c r="AA291" s="89"/>
      <c r="AB291" s="110"/>
      <c r="AC291" s="89"/>
      <c r="AD291" s="89"/>
      <c r="AE291" s="89"/>
      <c r="AF291" s="89"/>
      <c r="AG291" s="110"/>
      <c r="BY291" s="459"/>
    </row>
    <row r="292" spans="1:99" hidden="1" outlineLevel="1">
      <c r="A292" s="159" t="s">
        <v>530</v>
      </c>
      <c r="B292" s="89" t="s">
        <v>156</v>
      </c>
      <c r="C292" s="89" t="s">
        <v>156</v>
      </c>
      <c r="D292" s="89" t="s">
        <v>156</v>
      </c>
      <c r="E292" s="110"/>
      <c r="F292" s="89" t="s">
        <v>156</v>
      </c>
      <c r="G292" s="89" t="s">
        <v>156</v>
      </c>
      <c r="H292" s="89" t="s">
        <v>156</v>
      </c>
      <c r="I292" s="89"/>
      <c r="J292" s="89"/>
      <c r="K292" s="89"/>
      <c r="L292" s="234"/>
      <c r="M292" s="89"/>
      <c r="N292" s="89"/>
      <c r="O292" s="89"/>
      <c r="P292" s="89"/>
      <c r="Q292" s="89"/>
      <c r="R292" s="89"/>
      <c r="S292" s="89"/>
      <c r="T292" s="89"/>
      <c r="U292" s="89"/>
      <c r="V292" s="89"/>
      <c r="W292" s="109" t="s">
        <v>156</v>
      </c>
      <c r="X292" s="89" t="s">
        <v>156</v>
      </c>
      <c r="Y292" s="89" t="s">
        <v>156</v>
      </c>
      <c r="Z292" s="89" t="s">
        <v>156</v>
      </c>
      <c r="AA292" s="89" t="s">
        <v>156</v>
      </c>
      <c r="AB292" s="110" t="s">
        <v>156</v>
      </c>
      <c r="AC292" s="89"/>
      <c r="AD292" s="89"/>
      <c r="AE292" s="89"/>
      <c r="AF292" s="89"/>
      <c r="AG292" s="110" t="s">
        <v>156</v>
      </c>
      <c r="BY292" s="459"/>
    </row>
    <row r="293" spans="1:99" hidden="1" outlineLevel="1">
      <c r="A293" s="159" t="s">
        <v>1049</v>
      </c>
      <c r="C293" s="30">
        <v>50000000</v>
      </c>
      <c r="D293" s="30">
        <v>10000000</v>
      </c>
      <c r="E293" s="105"/>
      <c r="F293" s="89" t="s">
        <v>156</v>
      </c>
      <c r="G293" s="89" t="s">
        <v>156</v>
      </c>
      <c r="H293" s="133" t="s">
        <v>156</v>
      </c>
      <c r="L293" s="234"/>
      <c r="M293" s="30"/>
      <c r="N293" s="30"/>
      <c r="O293" s="30"/>
      <c r="P293" s="30"/>
      <c r="V293" s="30"/>
      <c r="W293" s="47"/>
    </row>
    <row r="294" spans="1:99" s="1800" customFormat="1" hidden="1" outlineLevel="1">
      <c r="A294" s="992" t="s">
        <v>1386</v>
      </c>
      <c r="B294" s="1773">
        <v>9800</v>
      </c>
      <c r="C294" s="1773">
        <v>15600</v>
      </c>
      <c r="D294" s="1773">
        <v>25000</v>
      </c>
      <c r="E294" s="1774">
        <v>39000</v>
      </c>
      <c r="F294" s="1926" t="s">
        <v>156</v>
      </c>
      <c r="G294" s="1926" t="s">
        <v>156</v>
      </c>
      <c r="H294" s="1773">
        <v>4700</v>
      </c>
      <c r="I294" s="1773"/>
      <c r="J294" s="1773"/>
      <c r="K294" s="1773"/>
      <c r="L294" s="1927"/>
      <c r="M294" s="1773"/>
      <c r="N294" s="1773"/>
      <c r="O294" s="1773"/>
      <c r="P294" s="1773"/>
      <c r="Q294" s="1773"/>
      <c r="R294" s="1773"/>
      <c r="S294" s="1773"/>
      <c r="T294" s="1773"/>
      <c r="U294" s="1773"/>
      <c r="V294" s="1773"/>
      <c r="W294" s="1837"/>
      <c r="X294" s="1773"/>
      <c r="Y294" s="1773">
        <v>145000</v>
      </c>
      <c r="Z294" s="1773"/>
      <c r="AA294" s="1773"/>
      <c r="AB294" s="1774"/>
      <c r="AC294" s="1816">
        <v>0.23</v>
      </c>
      <c r="AD294" s="1816">
        <v>0.25700000000000001</v>
      </c>
      <c r="AE294" s="1816">
        <v>0.27100000000000002</v>
      </c>
      <c r="AF294" s="1816">
        <v>0.26900000000000002</v>
      </c>
      <c r="AG294" s="1817">
        <v>0.28299999999999997</v>
      </c>
      <c r="AH294" s="1820">
        <v>0.28199999999999997</v>
      </c>
      <c r="AI294" s="1820">
        <v>0.307</v>
      </c>
      <c r="AJ294" s="1820">
        <v>0.32100000000000001</v>
      </c>
      <c r="AK294" s="1928">
        <v>0.35</v>
      </c>
      <c r="AL294" s="1820">
        <v>0.38500000000000001</v>
      </c>
      <c r="AM294" s="1820">
        <v>0.435</v>
      </c>
      <c r="AN294" s="1818">
        <v>0.5</v>
      </c>
      <c r="AO294" s="1928">
        <v>0.59</v>
      </c>
      <c r="AP294" s="1820">
        <v>0.66500000000000004</v>
      </c>
      <c r="AQ294" s="1820">
        <v>0.75</v>
      </c>
      <c r="AR294" s="1929">
        <v>0.89500000000000002</v>
      </c>
      <c r="AS294" s="1953">
        <v>1</v>
      </c>
      <c r="AT294" s="2844">
        <v>1.1000000000000001</v>
      </c>
      <c r="AU294" s="1953">
        <v>1.3</v>
      </c>
      <c r="AV294" s="1953">
        <v>1.4</v>
      </c>
      <c r="AW294" s="1930">
        <v>1.6</v>
      </c>
      <c r="AX294" s="2844"/>
      <c r="AY294" s="1953"/>
      <c r="AZ294" s="1953"/>
      <c r="BA294" s="1953"/>
      <c r="BB294" s="2844"/>
      <c r="BC294" s="1953"/>
      <c r="BD294" s="1953"/>
      <c r="BE294" s="1930"/>
      <c r="BF294" s="1953"/>
      <c r="BG294" s="1953"/>
      <c r="BH294" s="1953"/>
      <c r="BI294" s="1930"/>
      <c r="BJ294" s="1953"/>
      <c r="BK294" s="1953"/>
      <c r="BL294" s="1953"/>
      <c r="BM294" s="1930"/>
      <c r="BN294" s="1953"/>
      <c r="BO294" s="1930"/>
      <c r="BP294" s="1930"/>
      <c r="BQ294" s="3362"/>
      <c r="BR294" s="1953"/>
      <c r="BS294" s="1953"/>
      <c r="BT294" s="1953"/>
      <c r="BU294" s="1953"/>
      <c r="BV294" s="1953"/>
      <c r="BW294" s="1953"/>
      <c r="BX294" s="1953"/>
      <c r="BY294" s="1776">
        <v>350000</v>
      </c>
      <c r="BZ294" s="1861">
        <v>590000</v>
      </c>
      <c r="CA294" s="2835"/>
      <c r="CB294" s="1924"/>
      <c r="CC294" s="1924"/>
      <c r="CD294" s="1924"/>
      <c r="CE294" s="1924"/>
      <c r="CF294" s="1924"/>
      <c r="CG294" s="3391"/>
      <c r="CH294" s="3391"/>
    </row>
    <row r="295" spans="1:99" hidden="1" outlineLevel="1">
      <c r="A295" s="992" t="s">
        <v>1398</v>
      </c>
      <c r="B295" s="30"/>
      <c r="C295" s="30"/>
      <c r="D295" s="30"/>
      <c r="E295" s="105"/>
      <c r="F295" s="150"/>
      <c r="G295" s="150"/>
      <c r="H295" s="30"/>
      <c r="I295" s="30"/>
      <c r="J295" s="30"/>
      <c r="K295" s="30"/>
      <c r="L295" s="235"/>
      <c r="M295" s="30"/>
      <c r="N295" s="30"/>
      <c r="O295" s="30"/>
      <c r="P295" s="30"/>
      <c r="Q295" s="30"/>
      <c r="R295" s="30"/>
      <c r="S295" s="30"/>
      <c r="T295" s="30"/>
      <c r="U295" s="30"/>
      <c r="V295" s="30"/>
      <c r="W295" s="47"/>
      <c r="X295" s="30"/>
      <c r="Y295" s="30"/>
      <c r="Z295" s="30"/>
      <c r="AA295" s="30"/>
      <c r="AB295" s="105"/>
      <c r="AC295" s="698"/>
      <c r="AD295" s="698"/>
      <c r="AE295" s="698"/>
      <c r="AF295" s="698"/>
      <c r="AG295" s="699"/>
      <c r="AH295" s="1018">
        <f t="shared" ref="AH295:AR295" si="324">AH294-AG294</f>
        <v>-1.0000000000000009E-3</v>
      </c>
      <c r="AI295" s="1018">
        <f t="shared" si="324"/>
        <v>2.5000000000000022E-2</v>
      </c>
      <c r="AJ295" s="1018">
        <f t="shared" si="324"/>
        <v>1.4000000000000012E-2</v>
      </c>
      <c r="AK295" s="1395">
        <f t="shared" si="324"/>
        <v>2.899999999999997E-2</v>
      </c>
      <c r="AL295" s="1018">
        <f t="shared" si="324"/>
        <v>3.5000000000000031E-2</v>
      </c>
      <c r="AM295" s="1018">
        <f t="shared" si="324"/>
        <v>4.9999999999999989E-2</v>
      </c>
      <c r="AN295" s="1018">
        <f t="shared" si="324"/>
        <v>6.5000000000000002E-2</v>
      </c>
      <c r="AO295" s="1395">
        <f t="shared" si="324"/>
        <v>8.9999999999999969E-2</v>
      </c>
      <c r="AP295" s="1018">
        <f t="shared" si="324"/>
        <v>7.5000000000000067E-2</v>
      </c>
      <c r="AQ295" s="1018">
        <f t="shared" si="324"/>
        <v>8.4999999999999964E-2</v>
      </c>
      <c r="AR295" s="1018">
        <f t="shared" si="324"/>
        <v>0.14500000000000002</v>
      </c>
      <c r="AS295" s="1018">
        <f>AS294-AR294</f>
        <v>0.10499999999999998</v>
      </c>
      <c r="AT295" s="2845">
        <f>AT294-AS294</f>
        <v>0.10000000000000009</v>
      </c>
      <c r="AU295" s="1018">
        <f>AU294-AT294</f>
        <v>0.19999999999999996</v>
      </c>
      <c r="AV295" s="1018">
        <f>AV294-AU294</f>
        <v>9.9999999999999867E-2</v>
      </c>
      <c r="AW295" s="1395">
        <f>AW294-AV294</f>
        <v>0.20000000000000018</v>
      </c>
      <c r="AX295" s="2845"/>
      <c r="AY295" s="1018"/>
      <c r="AZ295" s="1018"/>
      <c r="BA295" s="1018"/>
      <c r="BB295" s="2845"/>
      <c r="BC295" s="1018"/>
      <c r="BD295" s="1018"/>
      <c r="BE295" s="1395"/>
      <c r="BF295" s="1018"/>
      <c r="BG295" s="1018"/>
      <c r="BH295" s="1018"/>
      <c r="BI295" s="1395"/>
      <c r="BJ295" s="1018"/>
      <c r="BK295" s="1018"/>
      <c r="BL295" s="1018"/>
      <c r="BM295" s="1395"/>
      <c r="BN295" s="1018"/>
      <c r="BO295" s="1395"/>
      <c r="BP295" s="1395"/>
      <c r="BQ295" s="3363"/>
      <c r="BR295" s="1018"/>
      <c r="BS295" s="1018"/>
      <c r="BT295" s="1018"/>
      <c r="BU295" s="1018"/>
      <c r="BV295" s="1018"/>
      <c r="BW295" s="1018"/>
      <c r="BX295" s="1018"/>
      <c r="BY295" s="77"/>
      <c r="CA295" s="539"/>
    </row>
    <row r="296" spans="1:99" s="1535" customFormat="1" hidden="1" outlineLevel="1">
      <c r="A296" s="1532" t="s">
        <v>1933</v>
      </c>
      <c r="E296" s="1536"/>
      <c r="F296" s="1538"/>
      <c r="G296" s="1538"/>
      <c r="L296" s="1542"/>
      <c r="S296" s="1464"/>
      <c r="T296" s="1464"/>
      <c r="U296" s="1464"/>
      <c r="V296" s="1464"/>
      <c r="W296" s="1510"/>
      <c r="X296" s="1464"/>
      <c r="Y296" s="1464"/>
      <c r="Z296" s="1464"/>
      <c r="AA296" s="1464"/>
      <c r="AB296" s="1465"/>
      <c r="AG296" s="1536"/>
      <c r="AK296" s="1549">
        <v>1.2</v>
      </c>
      <c r="AL296" s="1550">
        <v>1.4</v>
      </c>
      <c r="AM296" s="1550">
        <v>1.5</v>
      </c>
      <c r="AN296" s="1550">
        <v>1.5</v>
      </c>
      <c r="AO296" s="1549">
        <v>1.6</v>
      </c>
      <c r="AP296" s="1550">
        <v>1.6</v>
      </c>
      <c r="AQ296" s="1550">
        <v>1.7</v>
      </c>
      <c r="AR296" s="1550">
        <v>1.8</v>
      </c>
      <c r="AS296" s="1550">
        <v>1.8</v>
      </c>
      <c r="AT296" s="2846">
        <v>1.9</v>
      </c>
      <c r="AU296" s="1550">
        <v>2</v>
      </c>
      <c r="AV296" s="1550">
        <v>2.1</v>
      </c>
      <c r="AW296" s="1536">
        <v>2.1</v>
      </c>
      <c r="AX296" s="2856"/>
      <c r="BB296" s="2856"/>
      <c r="BE296" s="1536"/>
      <c r="BI296" s="1536"/>
      <c r="BM296" s="1536"/>
      <c r="BO296" s="1536"/>
      <c r="BP296" s="1536"/>
      <c r="BQ296" s="1478"/>
      <c r="BY296" s="1537"/>
      <c r="BZ296" s="1537"/>
      <c r="CA296" s="2856"/>
      <c r="CB296" s="2856"/>
      <c r="CC296" s="2856"/>
      <c r="CD296" s="2856"/>
      <c r="CE296" s="2856"/>
      <c r="CF296" s="2856"/>
      <c r="CG296" s="2825"/>
      <c r="CH296" s="2825"/>
    </row>
    <row r="297" spans="1:99" s="540" customFormat="1" collapsed="1">
      <c r="A297" s="538"/>
      <c r="E297" s="541"/>
      <c r="F297" s="542"/>
      <c r="G297" s="542"/>
      <c r="L297" s="1003"/>
      <c r="S297" s="30"/>
      <c r="T297" s="30"/>
      <c r="U297" s="30"/>
      <c r="V297" s="30"/>
      <c r="W297" s="47"/>
      <c r="X297" s="30"/>
      <c r="Y297" s="30"/>
      <c r="Z297" s="30"/>
      <c r="AA297" s="30"/>
      <c r="AB297" s="105"/>
      <c r="AG297" s="541"/>
      <c r="AK297" s="1000"/>
      <c r="AL297" s="999"/>
      <c r="AM297" s="999"/>
      <c r="AN297" s="999"/>
      <c r="AO297" s="1000"/>
      <c r="AP297" s="999"/>
      <c r="AQ297" s="999"/>
      <c r="AR297" s="999"/>
      <c r="AS297" s="999"/>
      <c r="AT297" s="539"/>
      <c r="AW297" s="541"/>
      <c r="AX297" s="539"/>
      <c r="BB297" s="539"/>
      <c r="BE297" s="541"/>
      <c r="BI297" s="97"/>
      <c r="BM297" s="97"/>
      <c r="BN297" s="27"/>
      <c r="BO297" s="97"/>
      <c r="BP297" s="97"/>
      <c r="BQ297" s="97"/>
      <c r="BR297" s="27"/>
      <c r="BS297" s="27"/>
      <c r="BT297" s="27"/>
      <c r="BU297" s="27"/>
      <c r="BV297" s="27"/>
      <c r="BW297" s="27"/>
      <c r="BX297" s="27"/>
      <c r="BY297" s="538"/>
      <c r="BZ297" s="538"/>
      <c r="CA297" s="539"/>
      <c r="CB297" s="539"/>
      <c r="CC297" s="539"/>
      <c r="CD297" s="539"/>
      <c r="CE297" s="539"/>
      <c r="CF297" s="539"/>
      <c r="CG297" s="2831"/>
      <c r="CH297" s="2831"/>
    </row>
    <row r="298" spans="1:99">
      <c r="A298" s="159" t="s">
        <v>2744</v>
      </c>
      <c r="B298" s="30">
        <f>4.316*1000000</f>
        <v>4316000</v>
      </c>
      <c r="C298" s="30">
        <f>6.331*1000000</f>
        <v>6331000</v>
      </c>
      <c r="D298" s="30">
        <f>9.202*1000000</f>
        <v>9202000</v>
      </c>
      <c r="E298" s="105">
        <v>16124000</v>
      </c>
      <c r="F298" s="42">
        <f>81.4*1000</f>
        <v>81400</v>
      </c>
      <c r="G298" s="42">
        <f>109.7*1000</f>
        <v>109700</v>
      </c>
      <c r="H298" s="30">
        <f>1000*175.9</f>
        <v>175900</v>
      </c>
      <c r="I298" s="30">
        <v>343100</v>
      </c>
      <c r="J298" s="30"/>
      <c r="K298" s="30"/>
      <c r="L298" s="233"/>
      <c r="M298" s="30"/>
      <c r="N298" s="30"/>
      <c r="O298" s="30"/>
      <c r="P298" s="30"/>
      <c r="Q298" s="30"/>
      <c r="R298" s="30"/>
      <c r="S298" s="540"/>
      <c r="T298" s="540"/>
      <c r="U298" s="540"/>
      <c r="V298" s="540"/>
      <c r="W298" s="539">
        <v>69700000</v>
      </c>
      <c r="X298" s="540">
        <v>79800000</v>
      </c>
      <c r="Y298" s="540">
        <v>94200000</v>
      </c>
      <c r="Z298" s="540">
        <v>119200000</v>
      </c>
      <c r="AA298" s="540">
        <v>134100000</v>
      </c>
      <c r="AB298" s="541">
        <v>183700000</v>
      </c>
      <c r="AC298" s="30">
        <v>47600000</v>
      </c>
      <c r="AD298" s="30">
        <f>45900000*(1+AD301)</f>
        <v>57375000</v>
      </c>
      <c r="AE298" s="30">
        <v>61500000</v>
      </c>
      <c r="AF298" s="30">
        <v>52800000</v>
      </c>
      <c r="AG298" s="105">
        <v>203100000</v>
      </c>
      <c r="AH298" s="30">
        <v>52600000</v>
      </c>
      <c r="AI298" s="376">
        <v>60900000</v>
      </c>
      <c r="AJ298" s="376">
        <v>72000000</v>
      </c>
      <c r="AK298" s="829">
        <v>60500000</v>
      </c>
      <c r="AL298" s="376">
        <v>64000000</v>
      </c>
      <c r="AM298" s="376">
        <v>79900000</v>
      </c>
      <c r="AN298" s="376">
        <v>93500000</v>
      </c>
      <c r="AO298" s="829">
        <v>74800000</v>
      </c>
      <c r="AP298" s="376">
        <v>74800000</v>
      </c>
      <c r="AQ298" s="376">
        <v>89600000</v>
      </c>
      <c r="AR298" s="376">
        <v>105300000</v>
      </c>
      <c r="AS298" s="540">
        <v>82800000</v>
      </c>
      <c r="AT298" s="539">
        <f>AT299*1000000</f>
        <v>80800000</v>
      </c>
      <c r="AU298" s="540">
        <f>AU299*1000000</f>
        <v>100100000</v>
      </c>
      <c r="AV298" s="540">
        <f>AV299*1000000</f>
        <v>116500000</v>
      </c>
      <c r="AW298" s="541">
        <v>91600000</v>
      </c>
      <c r="AX298" s="539">
        <v>69400000</v>
      </c>
      <c r="AY298" s="540">
        <v>19200000</v>
      </c>
      <c r="AZ298" s="540">
        <v>48800000</v>
      </c>
      <c r="BA298" s="540">
        <f t="shared" ref="BA298:BJ298" si="325">BA299*1000000</f>
        <v>36100000</v>
      </c>
      <c r="BB298" s="539">
        <f t="shared" si="325"/>
        <v>37100000</v>
      </c>
      <c r="BC298" s="540">
        <f t="shared" si="325"/>
        <v>56500000</v>
      </c>
      <c r="BD298" s="540">
        <f t="shared" si="325"/>
        <v>77800000</v>
      </c>
      <c r="BE298" s="541">
        <f t="shared" si="325"/>
        <v>62900000</v>
      </c>
      <c r="BF298" s="540">
        <f t="shared" si="325"/>
        <v>56500000</v>
      </c>
      <c r="BG298" s="540">
        <f t="shared" si="325"/>
        <v>79100000</v>
      </c>
      <c r="BH298" s="540">
        <f t="shared" si="325"/>
        <v>93200000</v>
      </c>
      <c r="BI298" s="541">
        <f t="shared" si="325"/>
        <v>74600000</v>
      </c>
      <c r="BJ298" s="2965">
        <f t="shared" si="325"/>
        <v>0</v>
      </c>
      <c r="BK298" s="540"/>
      <c r="BL298" s="540"/>
      <c r="BM298" s="541"/>
      <c r="BN298" s="540"/>
      <c r="BO298" s="541"/>
      <c r="BP298" s="541"/>
      <c r="BQ298" s="829"/>
      <c r="BR298" s="540"/>
      <c r="BS298" s="540"/>
      <c r="BT298" s="540"/>
      <c r="BU298" s="540"/>
      <c r="BV298" s="540"/>
      <c r="BW298" s="540"/>
      <c r="BX298" s="540"/>
      <c r="BY298" s="77">
        <f>SUM(AH298:AK298)</f>
        <v>246000000</v>
      </c>
      <c r="BZ298" s="832">
        <v>312200000</v>
      </c>
      <c r="CA298" s="539">
        <f>SUM(AP298:AS298)</f>
        <v>352500000</v>
      </c>
      <c r="CB298" s="539">
        <v>389000000</v>
      </c>
      <c r="CC298" s="539">
        <f>SUM(AX298:BA298)</f>
        <v>173500000</v>
      </c>
      <c r="CD298" s="539">
        <f>SUM(BB298:BE298)</f>
        <v>234300000</v>
      </c>
      <c r="CE298" s="539"/>
      <c r="CF298" s="539"/>
      <c r="CG298" s="2831"/>
      <c r="CH298" s="2831"/>
    </row>
    <row r="299" spans="1:99" s="1800" customFormat="1">
      <c r="A299" s="159" t="s">
        <v>2049</v>
      </c>
      <c r="B299" s="1773"/>
      <c r="C299" s="1773"/>
      <c r="D299" s="1773"/>
      <c r="E299" s="1774"/>
      <c r="F299" s="1772"/>
      <c r="G299" s="1772"/>
      <c r="H299" s="1773"/>
      <c r="I299" s="1773"/>
      <c r="J299" s="1773"/>
      <c r="K299" s="1773"/>
      <c r="L299" s="1932"/>
      <c r="M299" s="1773"/>
      <c r="N299" s="1773"/>
      <c r="O299" s="1773"/>
      <c r="P299" s="1773"/>
      <c r="Q299" s="1773"/>
      <c r="R299" s="1773"/>
      <c r="S299" s="1773"/>
      <c r="T299" s="1773"/>
      <c r="U299" s="1773"/>
      <c r="V299" s="1773"/>
      <c r="W299" s="1837"/>
      <c r="X299" s="1773"/>
      <c r="Y299" s="1773"/>
      <c r="Z299" s="1773"/>
      <c r="AA299" s="1773"/>
      <c r="AB299" s="1933">
        <f>AB298/1000000</f>
        <v>183.7</v>
      </c>
      <c r="AC299" s="1773">
        <f t="shared" ref="AC299:AN299" si="326">AC298/1000000</f>
        <v>47.6</v>
      </c>
      <c r="AD299" s="1773">
        <f t="shared" si="326"/>
        <v>57.375</v>
      </c>
      <c r="AE299" s="1773">
        <f t="shared" si="326"/>
        <v>61.5</v>
      </c>
      <c r="AF299" s="1773">
        <f t="shared" si="326"/>
        <v>52.8</v>
      </c>
      <c r="AG299" s="1774">
        <f t="shared" si="326"/>
        <v>203.1</v>
      </c>
      <c r="AH299" s="1773">
        <f t="shared" si="326"/>
        <v>52.6</v>
      </c>
      <c r="AI299" s="1775">
        <f t="shared" si="326"/>
        <v>60.9</v>
      </c>
      <c r="AJ299" s="1775">
        <f t="shared" si="326"/>
        <v>72</v>
      </c>
      <c r="AK299" s="1801">
        <f t="shared" si="326"/>
        <v>60.5</v>
      </c>
      <c r="AL299" s="1800">
        <f t="shared" si="326"/>
        <v>64</v>
      </c>
      <c r="AM299" s="1800">
        <f t="shared" si="326"/>
        <v>79.900000000000006</v>
      </c>
      <c r="AN299" s="1800">
        <f t="shared" si="326"/>
        <v>93.5</v>
      </c>
      <c r="AO299" s="1801">
        <v>74.8</v>
      </c>
      <c r="AP299" s="1800">
        <f>AP298/1000000</f>
        <v>74.8</v>
      </c>
      <c r="AQ299" s="1800">
        <f>AQ298/1000000</f>
        <v>89.6</v>
      </c>
      <c r="AR299" s="1800">
        <f>AR298/1000000</f>
        <v>105.3</v>
      </c>
      <c r="AS299" s="2070">
        <f>AS298/1000000</f>
        <v>82.8</v>
      </c>
      <c r="AT299" s="2833">
        <v>80.8</v>
      </c>
      <c r="AU299" s="2070">
        <v>100.1</v>
      </c>
      <c r="AV299" s="2070">
        <v>116.5</v>
      </c>
      <c r="AW299" s="2071">
        <v>91.6</v>
      </c>
      <c r="AX299" s="2833">
        <v>69.400000000000006</v>
      </c>
      <c r="AY299" s="2070">
        <v>19.2</v>
      </c>
      <c r="AZ299" s="2070">
        <v>48.8</v>
      </c>
      <c r="BA299" s="2070">
        <v>36.1</v>
      </c>
      <c r="BB299" s="2833">
        <v>37.1</v>
      </c>
      <c r="BC299" s="2070">
        <v>56.5</v>
      </c>
      <c r="BD299" s="2070">
        <v>77.8</v>
      </c>
      <c r="BE299" s="2071">
        <v>62.9</v>
      </c>
      <c r="BF299" s="2070">
        <v>56.5</v>
      </c>
      <c r="BG299" s="2070">
        <v>79.099999999999994</v>
      </c>
      <c r="BH299" s="2070">
        <v>93.2</v>
      </c>
      <c r="BI299" s="2071">
        <v>74.599999999999994</v>
      </c>
      <c r="BJ299" s="3072"/>
      <c r="BK299" s="2070"/>
      <c r="BL299" s="2070"/>
      <c r="BM299" s="2071"/>
      <c r="BN299" s="2070"/>
      <c r="BO299" s="2071"/>
      <c r="BP299" s="2071"/>
      <c r="BQ299" s="3364"/>
      <c r="BR299" s="2070"/>
      <c r="BS299" s="2070"/>
      <c r="BT299" s="2070"/>
      <c r="BU299" s="2070"/>
      <c r="BV299" s="2070"/>
      <c r="BW299" s="2070"/>
      <c r="BX299" s="2070"/>
      <c r="BY299" s="2904">
        <f>BY298/1000000</f>
        <v>246</v>
      </c>
      <c r="BZ299" s="2077">
        <v>312.2</v>
      </c>
      <c r="CA299" s="2833">
        <f>CA298/1000000</f>
        <v>352.5</v>
      </c>
      <c r="CB299" s="2833">
        <v>389</v>
      </c>
      <c r="CC299" s="2833">
        <f>SUM(AX299:BA299)</f>
        <v>173.5</v>
      </c>
      <c r="CD299" s="2833">
        <f>SUM(BB299:BE299)</f>
        <v>234.29999999999998</v>
      </c>
      <c r="CE299" s="2833">
        <v>303.39999999999998</v>
      </c>
      <c r="CF299" s="2833"/>
      <c r="CG299" s="3392"/>
      <c r="CH299" s="3392"/>
    </row>
    <row r="300" spans="1:99" s="1839" customFormat="1">
      <c r="A300" s="992" t="s">
        <v>1932</v>
      </c>
      <c r="B300" s="1773"/>
      <c r="C300" s="1773"/>
      <c r="D300" s="1773"/>
      <c r="E300" s="1774"/>
      <c r="F300" s="1772"/>
      <c r="G300" s="1772"/>
      <c r="H300" s="1773"/>
      <c r="I300" s="1773"/>
      <c r="J300" s="1773"/>
      <c r="K300" s="1773"/>
      <c r="L300" s="1932"/>
      <c r="M300" s="1773"/>
      <c r="N300" s="1773"/>
      <c r="O300" s="1773"/>
      <c r="P300" s="1773"/>
      <c r="Q300" s="1773"/>
      <c r="R300" s="1773"/>
      <c r="S300" s="1773"/>
      <c r="T300" s="1773"/>
      <c r="U300" s="1773"/>
      <c r="V300" s="1773"/>
      <c r="W300" s="1837"/>
      <c r="X300" s="1773"/>
      <c r="Y300" s="1773"/>
      <c r="Z300" s="1773"/>
      <c r="AA300" s="1773"/>
      <c r="AB300" s="1933"/>
      <c r="AC300" s="1773">
        <f>AC299</f>
        <v>47.6</v>
      </c>
      <c r="AD300" s="1773">
        <f>AD299</f>
        <v>57.375</v>
      </c>
      <c r="AE300" s="1773">
        <f>AE299</f>
        <v>61.5</v>
      </c>
      <c r="AF300" s="1773">
        <f>AF299</f>
        <v>52.8</v>
      </c>
      <c r="AG300" s="1773">
        <f>AG299</f>
        <v>203.1</v>
      </c>
      <c r="AH300" s="1773">
        <v>57.4</v>
      </c>
      <c r="AI300" s="1775">
        <v>66</v>
      </c>
      <c r="AJ300" s="1775">
        <v>80.2</v>
      </c>
      <c r="AK300" s="1801">
        <v>64.900000000000006</v>
      </c>
      <c r="AL300" s="1800">
        <v>64</v>
      </c>
      <c r="AM300" s="1800">
        <v>79.900000000000006</v>
      </c>
      <c r="AN300" s="133">
        <f>AN299</f>
        <v>93.5</v>
      </c>
      <c r="AO300" s="1801">
        <v>74.8</v>
      </c>
      <c r="AP300" s="133">
        <f t="shared" ref="AP300:AW300" si="327">AP299</f>
        <v>74.8</v>
      </c>
      <c r="AQ300" s="133">
        <f t="shared" si="327"/>
        <v>89.6</v>
      </c>
      <c r="AR300" s="133">
        <f t="shared" si="327"/>
        <v>105.3</v>
      </c>
      <c r="AS300" s="2079">
        <f t="shared" si="327"/>
        <v>82.8</v>
      </c>
      <c r="AT300" s="2847">
        <f t="shared" si="327"/>
        <v>80.8</v>
      </c>
      <c r="AU300" s="2079">
        <f t="shared" si="327"/>
        <v>100.1</v>
      </c>
      <c r="AV300" s="2079">
        <f t="shared" si="327"/>
        <v>116.5</v>
      </c>
      <c r="AW300" s="2078">
        <f t="shared" si="327"/>
        <v>91.6</v>
      </c>
      <c r="AX300" s="2847">
        <f>AX299</f>
        <v>69.400000000000006</v>
      </c>
      <c r="AY300" s="2079">
        <f>AY299</f>
        <v>19.2</v>
      </c>
      <c r="AZ300" s="2079">
        <f>AZ299</f>
        <v>48.8</v>
      </c>
      <c r="BA300" s="2079">
        <f>BA299</f>
        <v>36.1</v>
      </c>
      <c r="BB300" s="2847">
        <f>BB299</f>
        <v>37.1</v>
      </c>
      <c r="BC300" s="2079">
        <f t="shared" ref="BC300:BH300" si="328">BC299</f>
        <v>56.5</v>
      </c>
      <c r="BD300" s="2079">
        <f t="shared" si="328"/>
        <v>77.8</v>
      </c>
      <c r="BE300" s="2078">
        <f t="shared" si="328"/>
        <v>62.9</v>
      </c>
      <c r="BF300" s="2079">
        <f t="shared" si="328"/>
        <v>56.5</v>
      </c>
      <c r="BG300" s="2079">
        <f t="shared" si="328"/>
        <v>79.099999999999994</v>
      </c>
      <c r="BH300" s="2079">
        <f t="shared" si="328"/>
        <v>93.2</v>
      </c>
      <c r="BI300" s="2078">
        <f>BI299</f>
        <v>74.599999999999994</v>
      </c>
      <c r="BJ300" s="3073">
        <f>BJ299</f>
        <v>0</v>
      </c>
      <c r="BK300" s="2079"/>
      <c r="BL300" s="2079"/>
      <c r="BM300" s="2078"/>
      <c r="BN300" s="2079"/>
      <c r="BO300" s="2078"/>
      <c r="BP300" s="2078"/>
      <c r="BQ300" s="3365"/>
      <c r="BR300" s="2079"/>
      <c r="BS300" s="2079"/>
      <c r="BT300" s="2079"/>
      <c r="BU300" s="2079"/>
      <c r="BV300" s="2079"/>
      <c r="BW300" s="2079"/>
      <c r="BX300" s="2079"/>
      <c r="BY300" s="2904">
        <f>BY299</f>
        <v>246</v>
      </c>
      <c r="BZ300" s="2077">
        <v>312.2</v>
      </c>
      <c r="CA300" s="2833">
        <f>CA299</f>
        <v>352.5</v>
      </c>
      <c r="CB300" s="2833">
        <f>CB299</f>
        <v>389</v>
      </c>
      <c r="CC300" s="2833">
        <f>CC299</f>
        <v>173.5</v>
      </c>
      <c r="CD300" s="2833">
        <f>CD299</f>
        <v>234.29999999999998</v>
      </c>
      <c r="CE300" s="2833">
        <v>303.39999999999998</v>
      </c>
      <c r="CF300" s="2833"/>
      <c r="CG300" s="3392"/>
      <c r="CH300" s="3392"/>
    </row>
    <row r="301" spans="1:99" s="1782" customFormat="1">
      <c r="A301" s="452" t="s">
        <v>1071</v>
      </c>
      <c r="E301" s="1783"/>
      <c r="F301" s="1935"/>
      <c r="G301" s="1935"/>
      <c r="L301" s="1936"/>
      <c r="W301" s="1937"/>
      <c r="AB301" s="1783">
        <v>0.26</v>
      </c>
      <c r="AC301" s="1782">
        <v>0.32</v>
      </c>
      <c r="AD301" s="1782">
        <v>0.25</v>
      </c>
      <c r="AE301" s="1782">
        <v>0.36</v>
      </c>
      <c r="AF301" s="1782">
        <v>0.39</v>
      </c>
      <c r="AG301" s="1783">
        <v>0.36</v>
      </c>
      <c r="AH301" s="1782">
        <v>0.37</v>
      </c>
      <c r="AI301" s="1782">
        <v>0.2</v>
      </c>
      <c r="AJ301" s="1782">
        <v>0.17</v>
      </c>
      <c r="AK301" s="1783">
        <v>0.15</v>
      </c>
      <c r="AL301" s="1020">
        <f>AL299/AH299-1</f>
        <v>0.21673003802281365</v>
      </c>
      <c r="AM301" s="1020">
        <f>AM299/AI299-1</f>
        <v>0.31198686371100171</v>
      </c>
      <c r="AN301" s="1020">
        <f>AN299/AJ299-1</f>
        <v>0.29861111111111116</v>
      </c>
      <c r="AO301" s="1783">
        <v>0.23636363636363633</v>
      </c>
      <c r="AP301" s="1020">
        <f t="shared" ref="AP301:BB301" si="329">AP299/AL299-1</f>
        <v>0.16874999999999996</v>
      </c>
      <c r="AQ301" s="1020">
        <f t="shared" si="329"/>
        <v>0.12140175219023774</v>
      </c>
      <c r="AR301" s="1020">
        <f t="shared" si="329"/>
        <v>0.12620320855614975</v>
      </c>
      <c r="AS301" s="1020">
        <f t="shared" si="329"/>
        <v>0.10695187165775399</v>
      </c>
      <c r="AT301" s="2848">
        <f t="shared" si="329"/>
        <v>8.0213903743315607E-2</v>
      </c>
      <c r="AU301" s="1523">
        <f t="shared" si="329"/>
        <v>0.1171875</v>
      </c>
      <c r="AV301" s="1523">
        <f t="shared" si="329"/>
        <v>0.10636277302943964</v>
      </c>
      <c r="AW301" s="2025">
        <f t="shared" si="329"/>
        <v>0.106280193236715</v>
      </c>
      <c r="AX301" s="2848">
        <f t="shared" si="329"/>
        <v>-0.14108910891089099</v>
      </c>
      <c r="AY301" s="1523">
        <f t="shared" si="329"/>
        <v>-0.80819180819180825</v>
      </c>
      <c r="AZ301" s="1523">
        <f t="shared" si="329"/>
        <v>-0.58111587982832624</v>
      </c>
      <c r="BA301" s="1523">
        <f t="shared" si="329"/>
        <v>-0.60589519650655022</v>
      </c>
      <c r="BB301" s="2848">
        <f t="shared" si="329"/>
        <v>-0.46541786743515856</v>
      </c>
      <c r="BC301" s="1523">
        <v>1.96</v>
      </c>
      <c r="BD301" s="1523">
        <v>0.59</v>
      </c>
      <c r="BE301" s="2025">
        <v>0.74</v>
      </c>
      <c r="BF301" s="1523">
        <v>0.52</v>
      </c>
      <c r="BG301" s="1523">
        <v>0.4</v>
      </c>
      <c r="BH301" s="1523">
        <v>0.2</v>
      </c>
      <c r="BI301" s="2025">
        <v>0.19</v>
      </c>
      <c r="BJ301" s="3074"/>
      <c r="BK301" s="1523"/>
      <c r="BL301" s="1523"/>
      <c r="BM301" s="2025"/>
      <c r="BN301" s="1523"/>
      <c r="BO301" s="2025"/>
      <c r="BP301" s="2025"/>
      <c r="BQ301" s="223"/>
      <c r="BR301" s="1523"/>
      <c r="BS301" s="1523"/>
      <c r="BT301" s="1523"/>
      <c r="BU301" s="1523"/>
      <c r="BV301" s="1523"/>
      <c r="BW301" s="1523"/>
      <c r="BX301" s="1523"/>
      <c r="BY301" s="1938">
        <v>0.21</v>
      </c>
      <c r="BZ301" s="1938">
        <v>0.26910569105691051</v>
      </c>
      <c r="CA301" s="1937">
        <f>CA299/BZ299-1</f>
        <v>0.12908392056374129</v>
      </c>
      <c r="CB301" s="1937">
        <f>CB299/CA299-1</f>
        <v>0.10354609929078018</v>
      </c>
      <c r="CC301" s="1937">
        <f>CC299/CB299-1</f>
        <v>-0.55398457583547556</v>
      </c>
      <c r="CD301" s="1937">
        <f>CD299/CC299-1</f>
        <v>0.35043227665706045</v>
      </c>
      <c r="CE301" s="1937">
        <v>0.28999999999999998</v>
      </c>
      <c r="CF301" s="1937"/>
      <c r="CG301" s="1937"/>
      <c r="CH301" s="1937"/>
    </row>
    <row r="302" spans="1:99" s="1839" customFormat="1">
      <c r="A302" s="994" t="s">
        <v>1072</v>
      </c>
      <c r="E302" s="1939"/>
      <c r="F302" s="1940"/>
      <c r="G302" s="1940"/>
      <c r="L302" s="1936"/>
      <c r="W302" s="1941"/>
      <c r="AB302" s="1939"/>
      <c r="AC302" s="1839">
        <f>AC301</f>
        <v>0.32</v>
      </c>
      <c r="AD302" s="1839">
        <f>AD301</f>
        <v>0.25</v>
      </c>
      <c r="AE302" s="1839">
        <f>AE301</f>
        <v>0.36</v>
      </c>
      <c r="AF302" s="1839">
        <f>AF301</f>
        <v>0.39</v>
      </c>
      <c r="AG302" s="1939"/>
      <c r="AH302" s="1839">
        <v>0.5</v>
      </c>
      <c r="AI302" s="1839">
        <v>0.31</v>
      </c>
      <c r="AJ302" s="1839">
        <v>0.31</v>
      </c>
      <c r="AK302" s="1939">
        <v>0.23</v>
      </c>
      <c r="AL302" s="1839">
        <v>0.12</v>
      </c>
      <c r="AM302" s="1839">
        <v>0.21</v>
      </c>
      <c r="AN302" s="1839">
        <v>0.16</v>
      </c>
      <c r="AO302" s="1939">
        <v>0.15</v>
      </c>
      <c r="AP302" s="1839">
        <v>0.15</v>
      </c>
      <c r="AQ302" s="1839">
        <v>0.12</v>
      </c>
      <c r="AR302" s="1843">
        <v>0.13</v>
      </c>
      <c r="AS302" s="1839">
        <v>0.11</v>
      </c>
      <c r="AT302" s="1941">
        <v>0.09</v>
      </c>
      <c r="AU302" s="1839">
        <v>0.12</v>
      </c>
      <c r="AV302" s="1839">
        <v>0.11</v>
      </c>
      <c r="AW302" s="1939">
        <v>0.11</v>
      </c>
      <c r="AX302" s="1941">
        <v>-0.14000000000000001</v>
      </c>
      <c r="AY302" s="1839">
        <v>-0.81</v>
      </c>
      <c r="AZ302" s="1839">
        <v>-0.57999999999999996</v>
      </c>
      <c r="BA302" s="1839">
        <v>-0.61</v>
      </c>
      <c r="BB302" s="1941">
        <v>-0.47</v>
      </c>
      <c r="BC302" s="1839">
        <v>1.96</v>
      </c>
      <c r="BD302" s="1839">
        <v>0.59</v>
      </c>
      <c r="BE302" s="1939">
        <v>0.74</v>
      </c>
      <c r="BF302" s="1523">
        <v>0.52</v>
      </c>
      <c r="BG302" s="1839">
        <v>0.4</v>
      </c>
      <c r="BH302" s="1839">
        <v>0.2</v>
      </c>
      <c r="BI302" s="1939">
        <v>0.19</v>
      </c>
      <c r="BJ302" s="3074"/>
      <c r="BM302" s="1939"/>
      <c r="BO302" s="1939"/>
      <c r="BP302" s="1939"/>
      <c r="BQ302" s="1939"/>
      <c r="BY302" s="1934">
        <f>BY301</f>
        <v>0.21</v>
      </c>
      <c r="BZ302" s="1934">
        <v>0.16</v>
      </c>
      <c r="CA302" s="1941">
        <f>CA300/BZ300-1</f>
        <v>0.12908392056374129</v>
      </c>
      <c r="CB302" s="1941">
        <f>CB300/CA300-1</f>
        <v>0.10354609929078018</v>
      </c>
      <c r="CC302" s="1941">
        <f>CC298/CB298-1</f>
        <v>-0.55398457583547556</v>
      </c>
      <c r="CD302" s="1941">
        <f>CD298/CC298-1</f>
        <v>0.35043227665706045</v>
      </c>
      <c r="CE302" s="1941">
        <v>0.28999999999999998</v>
      </c>
      <c r="CF302" s="1941"/>
      <c r="CG302" s="1941"/>
      <c r="CH302" s="1941"/>
    </row>
    <row r="303" spans="1:99" s="1839" customFormat="1">
      <c r="A303" s="2956" t="s">
        <v>2715</v>
      </c>
      <c r="E303" s="1939"/>
      <c r="F303" s="1940"/>
      <c r="G303" s="1940"/>
      <c r="L303" s="1936"/>
      <c r="W303" s="1941"/>
      <c r="AB303" s="1939"/>
      <c r="AG303" s="1939"/>
      <c r="AK303" s="1939"/>
      <c r="AO303" s="1939"/>
      <c r="AR303" s="1843"/>
      <c r="AT303" s="1941"/>
      <c r="AW303" s="1939"/>
      <c r="AX303" s="1941"/>
      <c r="BB303" s="2961">
        <f>BB299/AT299-1</f>
        <v>-0.54084158415841577</v>
      </c>
      <c r="BC303" s="2962">
        <f>BC299/AU299-1</f>
        <v>-0.43556443556443558</v>
      </c>
      <c r="BD303" s="2962">
        <f>BD299/AV299-1</f>
        <v>-0.33218884120171677</v>
      </c>
      <c r="BE303" s="3001">
        <f>BE299/AW299-1</f>
        <v>-0.3133187772925764</v>
      </c>
      <c r="BF303" s="2962">
        <f>BF299/AT299-1</f>
        <v>-0.30074257425742568</v>
      </c>
      <c r="BG303" s="2962">
        <f>BG299/AU299-1</f>
        <v>-0.20979020979020979</v>
      </c>
      <c r="BH303" s="2962">
        <f>BH299/AV299-1</f>
        <v>-0.19999999999999996</v>
      </c>
      <c r="BI303" s="3001">
        <f>BI299/AW299-1</f>
        <v>-0.18558951965065507</v>
      </c>
      <c r="BJ303" s="3075">
        <f>BJ299/AT299-1</f>
        <v>-1</v>
      </c>
      <c r="BK303" s="2962"/>
      <c r="BL303" s="2962"/>
      <c r="BM303" s="3001"/>
      <c r="BN303" s="2962"/>
      <c r="BO303" s="3001"/>
      <c r="BP303" s="3001"/>
      <c r="BQ303" s="3001"/>
      <c r="BR303" s="2962"/>
      <c r="BS303" s="2962"/>
      <c r="BT303" s="2962"/>
      <c r="BU303" s="2962"/>
      <c r="BV303" s="2962"/>
      <c r="BW303" s="2962"/>
      <c r="BY303" s="1934"/>
      <c r="BZ303" s="1934"/>
      <c r="CA303" s="1941"/>
      <c r="CB303" s="1941"/>
      <c r="CC303" s="1941"/>
      <c r="CD303" s="1941"/>
      <c r="CE303" s="1941"/>
      <c r="CF303" s="1941"/>
      <c r="CG303" s="1941"/>
      <c r="CH303" s="1941"/>
    </row>
    <row r="304" spans="1:99" s="27" customFormat="1">
      <c r="A304" s="452" t="s">
        <v>1073</v>
      </c>
      <c r="E304" s="97"/>
      <c r="F304" s="59"/>
      <c r="G304" s="59"/>
      <c r="L304" s="993"/>
      <c r="W304" s="98"/>
      <c r="AB304" s="97">
        <v>0.24</v>
      </c>
      <c r="AC304" s="27">
        <v>0.32</v>
      </c>
      <c r="AD304" s="27">
        <v>0.35</v>
      </c>
      <c r="AE304" s="38">
        <f>AE301-8%</f>
        <v>0.27999999999999997</v>
      </c>
      <c r="AF304" s="27">
        <v>0.31</v>
      </c>
      <c r="AG304" s="97">
        <v>0.34</v>
      </c>
      <c r="AH304" s="27">
        <v>0.28000000000000003</v>
      </c>
      <c r="AI304" s="27">
        <v>0.12</v>
      </c>
      <c r="AJ304" s="27">
        <v>0.11</v>
      </c>
      <c r="AK304" s="97">
        <v>0.16</v>
      </c>
      <c r="AO304" s="97"/>
      <c r="AT304" s="98"/>
      <c r="AW304" s="97"/>
      <c r="AX304" s="98"/>
      <c r="BB304" s="98"/>
      <c r="BE304" s="97"/>
      <c r="BI304" s="97"/>
      <c r="BM304" s="97"/>
      <c r="BO304" s="97"/>
      <c r="BP304" s="97"/>
      <c r="BQ304" s="97"/>
      <c r="BY304" s="452"/>
      <c r="BZ304" s="452"/>
      <c r="CA304" s="98"/>
      <c r="CB304" s="98"/>
      <c r="CC304" s="98"/>
      <c r="CD304" s="98"/>
      <c r="CE304" s="98"/>
      <c r="CF304" s="98"/>
      <c r="CG304" s="98"/>
      <c r="CH304" s="98"/>
    </row>
    <row r="305" spans="1:86" s="27" customFormat="1">
      <c r="A305" s="452"/>
      <c r="E305" s="97"/>
      <c r="F305" s="59"/>
      <c r="G305" s="59"/>
      <c r="L305" s="993"/>
      <c r="W305" s="98"/>
      <c r="AB305" s="97"/>
      <c r="AE305" s="38"/>
      <c r="AG305" s="97"/>
      <c r="AK305" s="97"/>
      <c r="AO305" s="97"/>
      <c r="AT305" s="98"/>
      <c r="AW305" s="97"/>
      <c r="AX305" s="98"/>
      <c r="BB305" s="98"/>
      <c r="BE305" s="97"/>
      <c r="BI305" s="97"/>
      <c r="BM305" s="97"/>
      <c r="BO305" s="97">
        <f>BO306/BK306-1</f>
        <v>8.6319218241042606E-2</v>
      </c>
      <c r="BP305" s="97" t="e">
        <f>BP306/BL306-1</f>
        <v>#DIV/0!</v>
      </c>
      <c r="BQ305" s="97" t="e">
        <f>BQ306/BM306-1</f>
        <v>#DIV/0!</v>
      </c>
      <c r="BY305" s="452"/>
      <c r="BZ305" s="452"/>
      <c r="CA305" s="98"/>
      <c r="CB305" s="98"/>
      <c r="CC305" s="98"/>
      <c r="CD305" s="98"/>
      <c r="CE305" s="98"/>
      <c r="CF305" s="98"/>
      <c r="CG305" s="98"/>
      <c r="CH305" s="98"/>
    </row>
    <row r="306" spans="1:86" s="27" customFormat="1">
      <c r="A306" s="3023" t="s">
        <v>2748</v>
      </c>
      <c r="E306" s="97"/>
      <c r="F306" s="59"/>
      <c r="G306" s="59"/>
      <c r="L306" s="993"/>
      <c r="W306" s="98"/>
      <c r="AB306" s="97"/>
      <c r="AE306" s="38"/>
      <c r="AG306" s="97"/>
      <c r="AK306" s="97"/>
      <c r="AO306" s="97"/>
      <c r="AT306" s="98"/>
      <c r="AW306" s="97"/>
      <c r="AX306" s="98"/>
      <c r="BB306" s="98"/>
      <c r="BE306" s="97"/>
      <c r="BI306" s="97"/>
      <c r="BK306" s="541">
        <f>BJ307+BK307</f>
        <v>184.2</v>
      </c>
      <c r="BM306" s="97"/>
      <c r="BO306" s="541">
        <f>BN307+BO307</f>
        <v>200.10000000000002</v>
      </c>
      <c r="BP306" s="541">
        <f>BO307+BP307</f>
        <v>196.3</v>
      </c>
      <c r="BQ306" s="829">
        <f>BP307+BQ307</f>
        <v>183.8</v>
      </c>
      <c r="BY306" s="452"/>
      <c r="BZ306" s="452"/>
      <c r="CA306" s="98"/>
      <c r="CB306" s="98"/>
      <c r="CC306" s="98"/>
      <c r="CD306" s="98"/>
      <c r="CE306" s="98"/>
      <c r="CF306" s="98"/>
      <c r="CG306" s="98"/>
      <c r="CH306" s="98"/>
    </row>
    <row r="307" spans="1:86" s="27" customFormat="1">
      <c r="A307" s="159" t="s">
        <v>2049</v>
      </c>
      <c r="E307" s="97"/>
      <c r="F307" s="59"/>
      <c r="G307" s="59"/>
      <c r="L307" s="993"/>
      <c r="W307" s="98"/>
      <c r="AB307" s="97"/>
      <c r="AE307" s="38"/>
      <c r="AG307" s="97"/>
      <c r="AK307" s="97"/>
      <c r="AO307" s="97"/>
      <c r="AT307" s="2847">
        <v>103.9</v>
      </c>
      <c r="AU307" s="2079">
        <v>100.8</v>
      </c>
      <c r="AV307" s="2079">
        <v>101.3</v>
      </c>
      <c r="AW307" s="2078">
        <v>86.3</v>
      </c>
      <c r="AX307" s="2847">
        <v>58.5</v>
      </c>
      <c r="AY307" s="2079">
        <v>12.2</v>
      </c>
      <c r="AZ307" s="2079">
        <v>41.1</v>
      </c>
      <c r="BA307" s="2079">
        <v>33.299999999999997</v>
      </c>
      <c r="BB307" s="2847">
        <v>54</v>
      </c>
      <c r="BC307" s="2079">
        <v>68.400000000000006</v>
      </c>
      <c r="BD307" s="2079">
        <v>65.400000000000006</v>
      </c>
      <c r="BE307" s="2079">
        <v>59.7</v>
      </c>
      <c r="BF307" s="2847">
        <v>77</v>
      </c>
      <c r="BG307" s="2079">
        <v>82.5</v>
      </c>
      <c r="BH307" s="2079">
        <v>81.599999999999994</v>
      </c>
      <c r="BI307" s="2078">
        <v>70.8</v>
      </c>
      <c r="BJ307" s="2079">
        <v>94.5</v>
      </c>
      <c r="BK307" s="2079">
        <v>89.7</v>
      </c>
      <c r="BL307" s="2079">
        <v>89.3</v>
      </c>
      <c r="BM307" s="2078">
        <v>77.400000000000006</v>
      </c>
      <c r="BN307" s="2079">
        <v>101.2</v>
      </c>
      <c r="BO307" s="2078">
        <v>98.9</v>
      </c>
      <c r="BP307" s="2078">
        <v>97.4</v>
      </c>
      <c r="BQ307" s="3365">
        <v>86.4</v>
      </c>
      <c r="BR307" s="377">
        <v>107.7</v>
      </c>
      <c r="BS307" s="377">
        <v>105.5</v>
      </c>
      <c r="BT307" s="2079">
        <v>108.2</v>
      </c>
      <c r="BU307" s="2079">
        <v>94</v>
      </c>
      <c r="BV307" s="2079">
        <v>113.9</v>
      </c>
      <c r="BW307" s="2070">
        <v>111.5</v>
      </c>
      <c r="BX307" s="2079"/>
      <c r="BY307" s="452"/>
      <c r="BZ307" s="452"/>
      <c r="CA307" s="98"/>
      <c r="CB307" s="539">
        <f>SUM(AT307:AW307)</f>
        <v>392.3</v>
      </c>
      <c r="CC307" s="539">
        <f>SUM(AX307:BA307)</f>
        <v>145.10000000000002</v>
      </c>
      <c r="CD307" s="539">
        <f>SUM(BB307:BE307)</f>
        <v>247.5</v>
      </c>
      <c r="CE307" s="539">
        <v>312</v>
      </c>
      <c r="CF307" s="539">
        <v>350.9</v>
      </c>
      <c r="CG307" s="2831">
        <f>SUM(BN307:BQ307)</f>
        <v>383.9</v>
      </c>
      <c r="CH307" s="2831">
        <f>SUM(BR307:BU307)</f>
        <v>415.4</v>
      </c>
    </row>
    <row r="308" spans="1:86" s="27" customFormat="1">
      <c r="A308" s="452" t="s">
        <v>1071</v>
      </c>
      <c r="E308" s="97"/>
      <c r="F308" s="59"/>
      <c r="G308" s="59"/>
      <c r="L308" s="993"/>
      <c r="W308" s="98"/>
      <c r="AB308" s="97"/>
      <c r="AE308" s="38"/>
      <c r="AG308" s="97"/>
      <c r="AK308" s="97"/>
      <c r="AO308" s="97"/>
      <c r="AT308" s="98"/>
      <c r="AW308" s="97"/>
      <c r="AX308" s="2848">
        <f t="shared" ref="AX308:BI308" si="330">AX307/AT307-1</f>
        <v>-0.43695861405197312</v>
      </c>
      <c r="AY308" s="1523">
        <f t="shared" si="330"/>
        <v>-0.87896825396825395</v>
      </c>
      <c r="AZ308" s="1523">
        <f t="shared" si="330"/>
        <v>-0.59427443237907207</v>
      </c>
      <c r="BA308" s="1523">
        <f t="shared" si="330"/>
        <v>-0.61413673232908461</v>
      </c>
      <c r="BB308" s="98">
        <f t="shared" si="330"/>
        <v>-7.6923076923076872E-2</v>
      </c>
      <c r="BC308" s="98">
        <f t="shared" si="330"/>
        <v>4.6065573770491808</v>
      </c>
      <c r="BD308" s="98">
        <f t="shared" si="330"/>
        <v>0.59124087591240881</v>
      </c>
      <c r="BE308" s="98">
        <f t="shared" si="330"/>
        <v>0.79279279279279313</v>
      </c>
      <c r="BF308" s="27">
        <f t="shared" si="330"/>
        <v>0.42592592592592582</v>
      </c>
      <c r="BG308" s="27">
        <f t="shared" si="330"/>
        <v>0.20614035087719285</v>
      </c>
      <c r="BH308" s="27">
        <f t="shared" si="330"/>
        <v>0.24770642201834847</v>
      </c>
      <c r="BI308" s="97">
        <f t="shared" si="330"/>
        <v>0.18592964824120584</v>
      </c>
      <c r="BJ308" s="27">
        <f>BJ307/BF307-1</f>
        <v>0.22727272727272729</v>
      </c>
      <c r="BK308" s="27">
        <v>0.09</v>
      </c>
      <c r="BL308" s="27">
        <v>0.09</v>
      </c>
      <c r="BM308" s="97">
        <f t="shared" ref="BM308:BW308" si="331">BM307/BI307-1</f>
        <v>9.3220338983051043E-2</v>
      </c>
      <c r="BN308" s="97">
        <f t="shared" si="331"/>
        <v>7.0899470899471018E-2</v>
      </c>
      <c r="BO308" s="97">
        <f t="shared" si="331"/>
        <v>0.10256410256410264</v>
      </c>
      <c r="BP308" s="97">
        <f t="shared" si="331"/>
        <v>9.0705487122060502E-2</v>
      </c>
      <c r="BQ308" s="97">
        <f t="shared" si="331"/>
        <v>0.11627906976744184</v>
      </c>
      <c r="BR308" s="97">
        <f t="shared" si="331"/>
        <v>6.422924901185767E-2</v>
      </c>
      <c r="BS308" s="97">
        <f t="shared" si="331"/>
        <v>6.6734074823053602E-2</v>
      </c>
      <c r="BT308" s="97">
        <f t="shared" si="331"/>
        <v>0.11088295687885008</v>
      </c>
      <c r="BU308" s="97">
        <f t="shared" si="331"/>
        <v>8.7962962962962798E-2</v>
      </c>
      <c r="BV308" s="97">
        <f t="shared" si="331"/>
        <v>5.7567316620241504E-2</v>
      </c>
      <c r="BW308" s="97">
        <f t="shared" si="331"/>
        <v>5.6872037914691864E-2</v>
      </c>
      <c r="BX308" s="97"/>
      <c r="BY308" s="452"/>
      <c r="BZ308" s="452"/>
      <c r="CA308" s="98"/>
      <c r="CB308" s="98"/>
      <c r="CC308" s="98">
        <f>CC307/CB307-1</f>
        <v>-0.63013000254906948</v>
      </c>
      <c r="CD308" s="98"/>
      <c r="CE308" s="98"/>
      <c r="CF308" s="98">
        <f>CF307/CE307-1</f>
        <v>0.12467948717948718</v>
      </c>
      <c r="CG308" s="98">
        <f>CG307/CF307-1</f>
        <v>9.404388714733547E-2</v>
      </c>
      <c r="CH308" s="98">
        <f>CH307/CG307-1</f>
        <v>8.2052617869236677E-2</v>
      </c>
    </row>
    <row r="309" spans="1:86" s="27" customFormat="1">
      <c r="A309" s="2956" t="s">
        <v>2715</v>
      </c>
      <c r="E309" s="97"/>
      <c r="F309" s="59"/>
      <c r="G309" s="59"/>
      <c r="L309" s="993"/>
      <c r="W309" s="98"/>
      <c r="AB309" s="97"/>
      <c r="AE309" s="38"/>
      <c r="AG309" s="97"/>
      <c r="AK309" s="97"/>
      <c r="AO309" s="97"/>
      <c r="AT309" s="98"/>
      <c r="AW309" s="97"/>
      <c r="AX309" s="98"/>
      <c r="BB309" s="2961">
        <f>BB307/AT307-1</f>
        <v>-0.48026948989412899</v>
      </c>
      <c r="BC309" s="2962">
        <f>BC307/AU307-1</f>
        <v>-0.3214285714285714</v>
      </c>
      <c r="BD309" s="2962">
        <f>BD307/AV307-1</f>
        <v>-0.35439289239881533</v>
      </c>
      <c r="BE309" s="3001">
        <f>BE307/AW307-1</f>
        <v>-0.30822711471610653</v>
      </c>
      <c r="BF309" s="2962">
        <f>BF307/AT307-1</f>
        <v>-0.2589027911453321</v>
      </c>
      <c r="BG309" s="2962">
        <f>BG307/AU307-1</f>
        <v>-0.18154761904761907</v>
      </c>
      <c r="BH309" s="2962">
        <f>BH307/AV307-1</f>
        <v>-0.19447186574531095</v>
      </c>
      <c r="BI309" s="3001">
        <f>BI307/AW307-1</f>
        <v>-0.17960602549246818</v>
      </c>
      <c r="BJ309" s="2962">
        <f>BJ307/AT307-1</f>
        <v>-9.0471607314725699E-2</v>
      </c>
      <c r="BK309" s="2962">
        <f>BK307/AU307-1</f>
        <v>-0.11011904761904756</v>
      </c>
      <c r="BL309" s="2962">
        <f>BL307/AV307-1</f>
        <v>-0.11846001974333664</v>
      </c>
      <c r="BM309" s="2962">
        <f>BM307/AW307-1</f>
        <v>-0.10312862108922349</v>
      </c>
      <c r="BN309" s="2962">
        <f>BN307/AT307-1</f>
        <v>-2.5986525505293567E-2</v>
      </c>
      <c r="BO309" s="2962">
        <f>BO307/AU307-1</f>
        <v>-1.8849206349206282E-2</v>
      </c>
      <c r="BP309" s="2962">
        <f>BP307/AV307-1</f>
        <v>-3.8499506416584284E-2</v>
      </c>
      <c r="BQ309" s="2962">
        <f>BQ307/AW307-1</f>
        <v>1.1587485515645035E-3</v>
      </c>
      <c r="BR309" s="2962">
        <f>BR307/AT307-1</f>
        <v>3.6573628488931531E-2</v>
      </c>
      <c r="BS309" s="2962">
        <f>BS307/AU307-1</f>
        <v>4.6626984126984183E-2</v>
      </c>
      <c r="BT309" s="2962">
        <f>BT307/AV307-1</f>
        <v>6.8114511352418639E-2</v>
      </c>
      <c r="BU309" s="2962">
        <f>BU307/AW307-1</f>
        <v>8.9223638470451894E-2</v>
      </c>
      <c r="BV309" s="2962">
        <f>BV307/AT307-1</f>
        <v>9.6246390760346578E-2</v>
      </c>
      <c r="BW309" s="2962">
        <f>BW307/AU307-1</f>
        <v>0.10615079365079372</v>
      </c>
      <c r="BX309" s="1839"/>
      <c r="BY309" s="452"/>
      <c r="BZ309" s="452"/>
      <c r="CA309" s="98"/>
      <c r="CB309" s="98"/>
      <c r="CC309" s="98"/>
      <c r="CD309" s="98"/>
      <c r="CE309" s="98"/>
      <c r="CF309" s="98"/>
      <c r="CG309" s="98"/>
      <c r="CH309" s="98"/>
    </row>
    <row r="310" spans="1:86" s="27" customFormat="1">
      <c r="A310" s="1533" t="s">
        <v>1348</v>
      </c>
      <c r="E310" s="97"/>
      <c r="F310" s="59"/>
      <c r="G310" s="59"/>
      <c r="L310" s="993"/>
      <c r="W310" s="98"/>
      <c r="AB310" s="97"/>
      <c r="AE310" s="38"/>
      <c r="AG310" s="97"/>
      <c r="AH310" s="27" t="s">
        <v>1381</v>
      </c>
      <c r="AK310" s="97"/>
      <c r="AO310" s="97"/>
      <c r="AT310" s="98"/>
      <c r="AW310" s="97"/>
      <c r="AX310" s="98"/>
      <c r="BB310" s="98"/>
      <c r="BE310" s="97"/>
      <c r="BI310" s="97"/>
      <c r="BM310" s="97"/>
      <c r="BO310" s="97"/>
      <c r="BP310" s="97"/>
      <c r="BQ310" s="97"/>
      <c r="BY310" s="452"/>
      <c r="BZ310" s="452"/>
      <c r="CA310" s="98"/>
      <c r="CB310" s="98"/>
      <c r="CC310" s="98"/>
      <c r="CD310" s="98"/>
      <c r="CE310" s="98"/>
      <c r="CF310" s="98"/>
      <c r="CG310" s="98"/>
      <c r="CH310" s="98"/>
    </row>
    <row r="311" spans="1:86" s="540" customFormat="1">
      <c r="A311" s="1532" t="s">
        <v>1392</v>
      </c>
      <c r="E311" s="541"/>
      <c r="F311" s="542"/>
      <c r="G311" s="542"/>
      <c r="L311" s="1003"/>
      <c r="S311" s="27"/>
      <c r="T311" s="27"/>
      <c r="U311" s="27"/>
      <c r="V311" s="27"/>
      <c r="W311" s="98"/>
      <c r="X311" s="27"/>
      <c r="Y311" s="27"/>
      <c r="Z311" s="27"/>
      <c r="AA311" s="27"/>
      <c r="AB311" s="97"/>
      <c r="AC311" s="540">
        <v>21.324075733346397</v>
      </c>
      <c r="AD311" s="540">
        <v>28.232858361517422</v>
      </c>
      <c r="AE311" s="540">
        <v>30.183935913331201</v>
      </c>
      <c r="AF311" s="540">
        <v>27.972044522472963</v>
      </c>
      <c r="AG311" s="541">
        <f>SUM(AC311:AF311)</f>
        <v>107.71291453066797</v>
      </c>
      <c r="AH311" s="540">
        <v>31.986113600019596</v>
      </c>
      <c r="AI311" s="540">
        <v>38.396687371663688</v>
      </c>
      <c r="AJ311" s="540">
        <v>41.05015284213043</v>
      </c>
      <c r="AK311" s="541">
        <v>34.125894317417014</v>
      </c>
      <c r="AL311" s="540">
        <v>34.225141552020972</v>
      </c>
      <c r="AM311" s="540">
        <v>44.924124224846516</v>
      </c>
      <c r="AN311" s="540">
        <v>45.976171183186089</v>
      </c>
      <c r="AO311" s="541">
        <v>37.538483749158722</v>
      </c>
      <c r="AP311" s="540">
        <v>37.750331131879129</v>
      </c>
      <c r="AQ311" s="540">
        <v>48.51805416283424</v>
      </c>
      <c r="AR311" s="540">
        <v>50.114026589672839</v>
      </c>
      <c r="AS311" s="540">
        <v>40.91694728658301</v>
      </c>
      <c r="AT311" s="539">
        <f>AP311+AP311*AT312</f>
        <v>40.770357622429458</v>
      </c>
      <c r="AU311" s="540">
        <f>AQ311+AQ311*AU312</f>
        <v>52.399498495860982</v>
      </c>
      <c r="AV311" s="540">
        <v>54</v>
      </c>
      <c r="AW311" s="541">
        <v>45</v>
      </c>
      <c r="AX311" s="539">
        <v>35.5</v>
      </c>
      <c r="BB311" s="539"/>
      <c r="BE311" s="541"/>
      <c r="BI311" s="541"/>
      <c r="BM311" s="541"/>
      <c r="BO311" s="541"/>
      <c r="BP311" s="541"/>
      <c r="BQ311" s="829"/>
      <c r="BY311" s="538">
        <f>SUM(AH311:AK311)</f>
        <v>145.55884813123072</v>
      </c>
      <c r="BZ311" s="538">
        <f>SUM(AL311:AO311)</f>
        <v>162.66392070921231</v>
      </c>
      <c r="CA311" s="539">
        <f>SUM(AP311:AS311)</f>
        <v>177.29935917096924</v>
      </c>
      <c r="CB311" s="539">
        <v>192.3</v>
      </c>
      <c r="CC311" s="539"/>
      <c r="CD311" s="539"/>
      <c r="CE311" s="539"/>
      <c r="CF311" s="539"/>
      <c r="CG311" s="2831"/>
      <c r="CH311" s="2831"/>
    </row>
    <row r="312" spans="1:86" s="1782" customFormat="1">
      <c r="A312" s="1459" t="s">
        <v>1325</v>
      </c>
      <c r="E312" s="1783"/>
      <c r="F312" s="1935"/>
      <c r="G312" s="1935"/>
      <c r="L312" s="1936"/>
      <c r="S312" s="1942"/>
      <c r="T312" s="1942"/>
      <c r="U312" s="1942"/>
      <c r="V312" s="1942"/>
      <c r="W312" s="1943"/>
      <c r="X312" s="1942"/>
      <c r="Y312" s="1942"/>
      <c r="Z312" s="1942"/>
      <c r="AA312" s="1942"/>
      <c r="AB312" s="1944"/>
      <c r="AC312" s="1782">
        <v>0.23</v>
      </c>
      <c r="AD312" s="1782">
        <v>0.24</v>
      </c>
      <c r="AE312" s="1945">
        <v>0.25</v>
      </c>
      <c r="AF312" s="1782">
        <v>0.33</v>
      </c>
      <c r="AG312" s="1783"/>
      <c r="AH312" s="1782">
        <v>0.5</v>
      </c>
      <c r="AI312" s="1782">
        <v>0.36</v>
      </c>
      <c r="AJ312" s="1782">
        <v>0.36</v>
      </c>
      <c r="AK312" s="1783">
        <v>0.22</v>
      </c>
      <c r="AL312" s="1782">
        <v>7.0000000000000007E-2</v>
      </c>
      <c r="AM312" s="1782">
        <v>0.17</v>
      </c>
      <c r="AN312" s="1782">
        <v>0.12</v>
      </c>
      <c r="AO312" s="1783">
        <v>0.1</v>
      </c>
      <c r="AP312" s="1782">
        <v>0.1</v>
      </c>
      <c r="AQ312" s="1782">
        <v>0.08</v>
      </c>
      <c r="AR312" s="1782">
        <v>0.09</v>
      </c>
      <c r="AS312" s="1782">
        <v>0.09</v>
      </c>
      <c r="AT312" s="1937">
        <v>0.08</v>
      </c>
      <c r="AU312" s="1782">
        <v>0.08</v>
      </c>
      <c r="AV312" s="1782">
        <v>0.08</v>
      </c>
      <c r="AW312" s="1783">
        <v>0.1</v>
      </c>
      <c r="AX312" s="1937">
        <v>0.1</v>
      </c>
      <c r="BB312" s="1937"/>
      <c r="BE312" s="1783"/>
      <c r="BI312" s="1783"/>
      <c r="BM312" s="1783"/>
      <c r="BO312" s="1783"/>
      <c r="BP312" s="1783"/>
      <c r="BQ312" s="1783"/>
      <c r="BY312" s="1784">
        <f>BY311/AG311-1</f>
        <v>0.35135929396643761</v>
      </c>
      <c r="BZ312" s="1784">
        <f>BZ311/BY311-1</f>
        <v>0.11751310756842659</v>
      </c>
      <c r="CA312" s="2818">
        <f>CA311/BZ311-1</f>
        <v>8.9973476588702805E-2</v>
      </c>
      <c r="CB312" s="2818">
        <f>CB311/CA311-1</f>
        <v>8.4606289042284066E-2</v>
      </c>
      <c r="CC312" s="2818"/>
      <c r="CD312" s="1937"/>
      <c r="CE312" s="1937"/>
      <c r="CF312" s="1937"/>
      <c r="CG312" s="1937"/>
      <c r="CH312" s="1937"/>
    </row>
    <row r="313" spans="1:86" s="27" customFormat="1">
      <c r="A313" s="1459" t="s">
        <v>1327</v>
      </c>
      <c r="E313" s="97"/>
      <c r="F313" s="59"/>
      <c r="G313" s="59"/>
      <c r="L313" s="993"/>
      <c r="W313" s="98"/>
      <c r="AB313" s="97"/>
      <c r="AC313" s="27">
        <f>AC311/AC299</f>
        <v>0.44798478431399991</v>
      </c>
      <c r="AD313" s="27">
        <f>AD311/AD299</f>
        <v>0.49207596272797249</v>
      </c>
      <c r="AE313" s="27">
        <f>AE311/AE299</f>
        <v>0.4907957059078244</v>
      </c>
      <c r="AF313" s="27">
        <f>AF311/AF299</f>
        <v>0.52977357050138185</v>
      </c>
      <c r="AG313" s="27">
        <f>AG311/AG299</f>
        <v>0.53034423698014754</v>
      </c>
      <c r="AH313" s="27">
        <f t="shared" ref="AH313:AX313" si="332">AH311/AH300</f>
        <v>0.55724936585399998</v>
      </c>
      <c r="AI313" s="27">
        <f t="shared" si="332"/>
        <v>0.58176799047975281</v>
      </c>
      <c r="AJ313" s="27">
        <f t="shared" si="332"/>
        <v>0.51184729229589065</v>
      </c>
      <c r="AK313" s="97">
        <f t="shared" si="332"/>
        <v>0.52582271675526981</v>
      </c>
      <c r="AL313" s="27">
        <f t="shared" si="332"/>
        <v>0.53476783675032769</v>
      </c>
      <c r="AM313" s="27">
        <f t="shared" si="332"/>
        <v>0.56225437077404894</v>
      </c>
      <c r="AN313" s="27">
        <f t="shared" si="332"/>
        <v>0.4917237559699047</v>
      </c>
      <c r="AO313" s="97">
        <f t="shared" si="332"/>
        <v>0.50185138702083854</v>
      </c>
      <c r="AP313" s="27">
        <f t="shared" si="332"/>
        <v>0.50468357128180652</v>
      </c>
      <c r="AQ313" s="27">
        <f t="shared" si="332"/>
        <v>0.54149614021020365</v>
      </c>
      <c r="AR313" s="27">
        <f t="shared" si="332"/>
        <v>0.47591668176327484</v>
      </c>
      <c r="AS313" s="27">
        <f t="shared" si="332"/>
        <v>0.4941660300311958</v>
      </c>
      <c r="AT313" s="98">
        <f t="shared" si="332"/>
        <v>0.50458363394095862</v>
      </c>
      <c r="AU313" s="27">
        <f t="shared" si="332"/>
        <v>0.52347151344516474</v>
      </c>
      <c r="AV313" s="27">
        <f t="shared" si="332"/>
        <v>0.46351931330472101</v>
      </c>
      <c r="AW313" s="97">
        <f t="shared" si="332"/>
        <v>0.49126637554585156</v>
      </c>
      <c r="AX313" s="98">
        <f t="shared" si="332"/>
        <v>0.51152737752161381</v>
      </c>
      <c r="BB313" s="98"/>
      <c r="BE313" s="97"/>
      <c r="BI313" s="97"/>
      <c r="BM313" s="97"/>
      <c r="BO313" s="97"/>
      <c r="BP313" s="97"/>
      <c r="BQ313" s="97"/>
      <c r="BY313" s="452">
        <f>BY311/BY300</f>
        <v>0.59170263467979967</v>
      </c>
      <c r="BZ313" s="452">
        <f>BZ311/BZ300</f>
        <v>0.52102473001028926</v>
      </c>
      <c r="CA313" s="98">
        <f>CA311/CA300</f>
        <v>0.50297690544955809</v>
      </c>
      <c r="CB313" s="98">
        <f>CB311/CB300</f>
        <v>0.49434447300771212</v>
      </c>
      <c r="CC313" s="98"/>
      <c r="CD313" s="98"/>
      <c r="CE313" s="98"/>
      <c r="CF313" s="98"/>
      <c r="CG313" s="98"/>
      <c r="CH313" s="98"/>
    </row>
    <row r="314" spans="1:86" s="540" customFormat="1">
      <c r="A314" s="1532" t="s">
        <v>1393</v>
      </c>
      <c r="E314" s="541"/>
      <c r="F314" s="542"/>
      <c r="G314" s="542"/>
      <c r="L314" s="1003"/>
      <c r="S314" s="27"/>
      <c r="T314" s="27"/>
      <c r="U314" s="27"/>
      <c r="V314" s="27"/>
      <c r="W314" s="98"/>
      <c r="X314" s="27"/>
      <c r="Y314" s="27"/>
      <c r="Z314" s="27"/>
      <c r="AA314" s="27"/>
      <c r="AB314" s="97"/>
      <c r="AC314" s="540">
        <v>16.935924266653601</v>
      </c>
      <c r="AD314" s="540">
        <v>22.367141638482579</v>
      </c>
      <c r="AE314" s="540">
        <v>31.316064086668799</v>
      </c>
      <c r="AF314" s="540">
        <v>24.827955477527034</v>
      </c>
      <c r="AG314" s="541">
        <f>SUM(AC314:AF314)</f>
        <v>95.447085469332023</v>
      </c>
      <c r="AH314" s="540">
        <v>25.413886399980402</v>
      </c>
      <c r="AI314" s="540">
        <v>27.603312628336312</v>
      </c>
      <c r="AJ314" s="540">
        <v>39.149847157869573</v>
      </c>
      <c r="AK314" s="541">
        <v>30.774105682582992</v>
      </c>
      <c r="AL314" s="540">
        <v>29.774858447979028</v>
      </c>
      <c r="AM314" s="540">
        <v>34.97587577515349</v>
      </c>
      <c r="AN314" s="540">
        <v>47.523828816813911</v>
      </c>
      <c r="AO314" s="541">
        <v>37.261516250841275</v>
      </c>
      <c r="AP314" s="540">
        <v>36.149668868120877</v>
      </c>
      <c r="AQ314" s="540">
        <v>41.081945837165755</v>
      </c>
      <c r="AR314" s="540">
        <v>55.185973410327158</v>
      </c>
      <c r="AS314" s="540">
        <v>41.883052713416987</v>
      </c>
      <c r="AT314" s="539">
        <f>AP314+AP314*AT315</f>
        <v>40.126132443614175</v>
      </c>
      <c r="AU314" s="540">
        <f>AQ314+AQ314*AU315</f>
        <v>47.24423771274062</v>
      </c>
      <c r="AV314" s="540">
        <v>62</v>
      </c>
      <c r="AW314" s="541">
        <v>46.6</v>
      </c>
      <c r="AX314" s="539">
        <v>33.9</v>
      </c>
      <c r="BB314" s="539"/>
      <c r="BE314" s="541"/>
      <c r="BI314" s="541"/>
      <c r="BM314" s="541"/>
      <c r="BO314" s="541"/>
      <c r="BP314" s="541"/>
      <c r="BQ314" s="829"/>
      <c r="BY314" s="538">
        <f>SUM(AH314:AK314)</f>
        <v>122.94115186876928</v>
      </c>
      <c r="BZ314" s="538">
        <f>SUM(AL314:AO314)</f>
        <v>149.53607929078771</v>
      </c>
      <c r="CA314" s="539">
        <f>SUM(AP314:AS314)</f>
        <v>174.30064082903078</v>
      </c>
      <c r="CB314" s="539">
        <v>196.7</v>
      </c>
      <c r="CC314" s="539"/>
      <c r="CD314" s="539"/>
      <c r="CE314" s="539"/>
      <c r="CF314" s="539"/>
      <c r="CG314" s="2831"/>
      <c r="CH314" s="2831"/>
    </row>
    <row r="315" spans="1:86" s="1782" customFormat="1">
      <c r="A315" s="1459" t="s">
        <v>1326</v>
      </c>
      <c r="E315" s="1783"/>
      <c r="F315" s="1935"/>
      <c r="G315" s="1935"/>
      <c r="L315" s="1936"/>
      <c r="S315" s="1942"/>
      <c r="T315" s="1942"/>
      <c r="U315" s="1942"/>
      <c r="V315" s="1942"/>
      <c r="W315" s="1943"/>
      <c r="X315" s="1942"/>
      <c r="Y315" s="1942"/>
      <c r="Z315" s="1942"/>
      <c r="AA315" s="1942"/>
      <c r="AB315" s="1944"/>
      <c r="AC315" s="1782">
        <v>0.46</v>
      </c>
      <c r="AD315" s="1782">
        <v>0.5</v>
      </c>
      <c r="AE315" s="1945">
        <v>0.5</v>
      </c>
      <c r="AF315" s="1782">
        <v>0.47</v>
      </c>
      <c r="AG315" s="1783"/>
      <c r="AH315" s="1782">
        <v>0.5</v>
      </c>
      <c r="AI315" s="1782">
        <v>0.24</v>
      </c>
      <c r="AJ315" s="1782">
        <v>0.25</v>
      </c>
      <c r="AK315" s="1783">
        <v>0.24</v>
      </c>
      <c r="AL315" s="1782">
        <v>0.17</v>
      </c>
      <c r="AM315" s="1782">
        <v>0.26</v>
      </c>
      <c r="AN315" s="1782">
        <v>0.22</v>
      </c>
      <c r="AO315" s="1783">
        <v>0.21</v>
      </c>
      <c r="AP315" s="1782">
        <v>0.21</v>
      </c>
      <c r="AQ315" s="1782">
        <v>0.17</v>
      </c>
      <c r="AR315" s="1782">
        <v>0.16</v>
      </c>
      <c r="AS315" s="1782">
        <v>0.12</v>
      </c>
      <c r="AT315" s="1937">
        <v>0.11</v>
      </c>
      <c r="AU315" s="1782">
        <v>0.15</v>
      </c>
      <c r="AV315" s="1782">
        <f>AV314/AR314-1</f>
        <v>0.12347388600012832</v>
      </c>
      <c r="AW315" s="1783">
        <f>AW314/AS314-1</f>
        <v>0.11262185970202609</v>
      </c>
      <c r="AX315" s="1937">
        <f>AX314/AT314-1</f>
        <v>-0.15516403063173922</v>
      </c>
      <c r="BB315" s="1937"/>
      <c r="BE315" s="1783"/>
      <c r="BI315" s="1783"/>
      <c r="BM315" s="1783"/>
      <c r="BO315" s="1783"/>
      <c r="BP315" s="1783"/>
      <c r="BQ315" s="1783"/>
      <c r="BY315" s="1784">
        <f>BY314/AG314-1</f>
        <v>0.288055588751019</v>
      </c>
      <c r="BZ315" s="1784">
        <f>BZ314/BY314-1</f>
        <v>0.21632241944834374</v>
      </c>
      <c r="CA315" s="2818">
        <f>CA314/BZ314-1</f>
        <v>0.16560927406747061</v>
      </c>
      <c r="CB315" s="2818">
        <f>CB314/CA314-1</f>
        <v>0.12850990716058486</v>
      </c>
      <c r="CC315" s="2818"/>
      <c r="CD315" s="1937"/>
      <c r="CE315" s="1937"/>
      <c r="CF315" s="1937"/>
      <c r="CG315" s="1937"/>
      <c r="CH315" s="1937"/>
    </row>
    <row r="316" spans="1:86" s="27" customFormat="1">
      <c r="A316" s="1459" t="s">
        <v>1328</v>
      </c>
      <c r="E316" s="97"/>
      <c r="F316" s="59"/>
      <c r="G316" s="59"/>
      <c r="L316" s="993"/>
      <c r="W316" s="98"/>
      <c r="AB316" s="97"/>
      <c r="AC316" s="27">
        <f>AC314/AC299</f>
        <v>0.35579672829104203</v>
      </c>
      <c r="AD316" s="27">
        <f>AD314/AD299</f>
        <v>0.38984124860100355</v>
      </c>
      <c r="AE316" s="27">
        <f>AE314/AE299</f>
        <v>0.5092042940921756</v>
      </c>
      <c r="AF316" s="27">
        <f>AF314/AF299</f>
        <v>0.47022642949861809</v>
      </c>
      <c r="AG316" s="27">
        <f>AG314/AG299</f>
        <v>0.46995118399474162</v>
      </c>
      <c r="AH316" s="27">
        <f t="shared" ref="AH316:AX316" si="333">AH314/AH300</f>
        <v>0.44275063414600008</v>
      </c>
      <c r="AI316" s="27">
        <f t="shared" si="333"/>
        <v>0.41823200952024714</v>
      </c>
      <c r="AJ316" s="27">
        <f t="shared" si="333"/>
        <v>0.48815270770410935</v>
      </c>
      <c r="AK316" s="97">
        <f t="shared" si="333"/>
        <v>0.47417728324473019</v>
      </c>
      <c r="AL316" s="27">
        <f t="shared" si="333"/>
        <v>0.46523216324967231</v>
      </c>
      <c r="AM316" s="27">
        <f t="shared" si="333"/>
        <v>0.43774562922595106</v>
      </c>
      <c r="AN316" s="27">
        <f t="shared" si="333"/>
        <v>0.5082762440300953</v>
      </c>
      <c r="AO316" s="97">
        <f t="shared" si="333"/>
        <v>0.49814861297916146</v>
      </c>
      <c r="AP316" s="27">
        <f t="shared" si="333"/>
        <v>0.48328434315669622</v>
      </c>
      <c r="AQ316" s="27">
        <f t="shared" si="333"/>
        <v>0.45850385978979641</v>
      </c>
      <c r="AR316" s="27">
        <f t="shared" si="333"/>
        <v>0.52408331823672516</v>
      </c>
      <c r="AS316" s="27">
        <f t="shared" si="333"/>
        <v>0.50583396996880425</v>
      </c>
      <c r="AT316" s="98">
        <f t="shared" si="333"/>
        <v>0.49661055004472993</v>
      </c>
      <c r="AU316" s="27">
        <f t="shared" si="333"/>
        <v>0.47197040672068552</v>
      </c>
      <c r="AV316" s="27">
        <f t="shared" si="333"/>
        <v>0.53218884120171672</v>
      </c>
      <c r="AW316" s="97">
        <f t="shared" si="333"/>
        <v>0.50873362445414849</v>
      </c>
      <c r="AX316" s="98">
        <f t="shared" si="333"/>
        <v>0.48847262247838613</v>
      </c>
      <c r="BB316" s="98"/>
      <c r="BE316" s="97"/>
      <c r="BG316" s="27">
        <f>BG317/AU317-1</f>
        <v>0.33208900000000008</v>
      </c>
      <c r="BH316" s="27">
        <f>BH317/AV317-1</f>
        <v>0.33660800000000002</v>
      </c>
      <c r="BI316" s="97">
        <f>BI317/AW317-1</f>
        <v>0.29223799999999978</v>
      </c>
      <c r="BM316" s="97"/>
      <c r="BO316" s="97"/>
      <c r="BP316" s="97"/>
      <c r="BQ316" s="97"/>
      <c r="BY316" s="452">
        <f>BY314/BY300</f>
        <v>0.4997607799543467</v>
      </c>
      <c r="BZ316" s="452">
        <f>BZ314/BZ300</f>
        <v>0.47897526998971079</v>
      </c>
      <c r="CA316" s="98">
        <f>CA314/CA300</f>
        <v>0.49446990306108024</v>
      </c>
      <c r="CB316" s="98">
        <f>CB314/CB300</f>
        <v>0.50565552699228788</v>
      </c>
      <c r="CC316" s="98"/>
      <c r="CD316" s="98"/>
      <c r="CE316" s="98"/>
      <c r="CF316" s="98"/>
      <c r="CG316" s="98"/>
      <c r="CH316" s="98"/>
    </row>
    <row r="317" spans="1:86" s="540" customFormat="1">
      <c r="A317" s="538" t="s">
        <v>1394</v>
      </c>
      <c r="E317" s="541"/>
      <c r="F317" s="542"/>
      <c r="G317" s="542"/>
      <c r="L317" s="1003"/>
      <c r="S317" s="27"/>
      <c r="T317" s="27"/>
      <c r="U317" s="27"/>
      <c r="V317" s="27"/>
      <c r="W317" s="98"/>
      <c r="X317" s="27"/>
      <c r="Y317" s="27"/>
      <c r="Z317" s="27"/>
      <c r="AA317" s="27"/>
      <c r="AB317" s="97"/>
      <c r="AC317" s="540">
        <v>136.29307176737413</v>
      </c>
      <c r="AD317" s="540">
        <v>128.02039043424134</v>
      </c>
      <c r="AE317" s="540">
        <v>135.75280942393786</v>
      </c>
      <c r="AF317" s="540">
        <v>118.415220646457</v>
      </c>
      <c r="AG317" s="541">
        <v>129.62</v>
      </c>
      <c r="AH317" s="540">
        <v>132.20427961435291</v>
      </c>
      <c r="AI317" s="540">
        <v>126.74018652989892</v>
      </c>
      <c r="AJ317" s="540">
        <v>137.11033751817723</v>
      </c>
      <c r="AK317" s="541">
        <v>118.415220646457</v>
      </c>
      <c r="AL317" s="540">
        <v>134.84836520663998</v>
      </c>
      <c r="AM317" s="540">
        <v>129.27499026049691</v>
      </c>
      <c r="AN317" s="540">
        <v>142.59475101890433</v>
      </c>
      <c r="AO317" s="541">
        <v>123.15182947231528</v>
      </c>
      <c r="AP317" s="540">
        <v>144.28775077110478</v>
      </c>
      <c r="AQ317" s="540">
        <v>137.03148967612674</v>
      </c>
      <c r="AR317" s="540">
        <v>148.29854105966052</v>
      </c>
      <c r="AS317" s="540">
        <v>125.61486606176159</v>
      </c>
      <c r="AT317" s="539">
        <f>AP317+AP317*AT318</f>
        <v>142.84487326339374</v>
      </c>
      <c r="AU317" s="540">
        <f>AQ317+AQ317*AU318</f>
        <v>137.03148967612674</v>
      </c>
      <c r="AV317" s="540">
        <f>AR317+AR317*AV318</f>
        <v>146.81555564906392</v>
      </c>
      <c r="AW317" s="541">
        <f>AS317+AS317*AW318</f>
        <v>124.35871740114398</v>
      </c>
      <c r="AX317" s="539">
        <f t="shared" ref="AX317:BI317" si="334">AT317*(1+AX318)</f>
        <v>139.98797579812586</v>
      </c>
      <c r="AY317" s="540">
        <f t="shared" si="334"/>
        <v>138.40180457288801</v>
      </c>
      <c r="AZ317" s="540">
        <f t="shared" si="334"/>
        <v>158.56080010098904</v>
      </c>
      <c r="BA317" s="540">
        <f t="shared" si="334"/>
        <v>126.84589174916685</v>
      </c>
      <c r="BB317" s="539">
        <f t="shared" si="334"/>
        <v>151.18701386197594</v>
      </c>
      <c r="BC317" s="540">
        <f t="shared" si="334"/>
        <v>167.46618353319448</v>
      </c>
      <c r="BD317" s="2965">
        <f t="shared" si="334"/>
        <v>188.68735212017694</v>
      </c>
      <c r="BE317" s="3002">
        <f t="shared" si="334"/>
        <v>156.02044685147521</v>
      </c>
      <c r="BF317" s="2965">
        <f t="shared" si="334"/>
        <v>181.42441663437111</v>
      </c>
      <c r="BG317" s="2965">
        <f t="shared" si="334"/>
        <v>182.53814005118201</v>
      </c>
      <c r="BH317" s="2965">
        <f t="shared" si="334"/>
        <v>196.23484620498402</v>
      </c>
      <c r="BI317" s="3002">
        <f t="shared" si="334"/>
        <v>160.70106025701946</v>
      </c>
      <c r="BJ317" s="2965"/>
      <c r="BK317" s="3002"/>
      <c r="BL317" s="2965"/>
      <c r="BM317" s="3002"/>
      <c r="BN317" s="2965"/>
      <c r="BO317" s="3002"/>
      <c r="BP317" s="3002"/>
      <c r="BQ317" s="3366"/>
      <c r="BR317" s="2965"/>
      <c r="BS317" s="2965"/>
      <c r="BT317" s="2965"/>
      <c r="BU317" s="2965"/>
      <c r="BV317" s="2965"/>
      <c r="BW317" s="3070">
        <v>220.6</v>
      </c>
      <c r="BY317" s="538">
        <v>128.62</v>
      </c>
      <c r="BZ317" s="538">
        <v>132.47</v>
      </c>
      <c r="CA317" s="539">
        <v>138.81</v>
      </c>
      <c r="CB317" s="539">
        <v>138.08000000000001</v>
      </c>
      <c r="CC317" s="539">
        <f>CB317*(1+CC318)</f>
        <v>142.22240000000002</v>
      </c>
      <c r="CD317" s="539">
        <f>CC317*(1+CD318)</f>
        <v>170.66688000000002</v>
      </c>
      <c r="CE317" s="1837"/>
      <c r="CF317" s="1837"/>
      <c r="CG317" s="1837"/>
      <c r="CH317" s="1837"/>
    </row>
    <row r="318" spans="1:86" s="1782" customFormat="1">
      <c r="A318" s="1505" t="s">
        <v>2743</v>
      </c>
      <c r="E318" s="1783"/>
      <c r="F318" s="1935"/>
      <c r="G318" s="1935"/>
      <c r="L318" s="1936"/>
      <c r="S318" s="1942"/>
      <c r="T318" s="1942"/>
      <c r="U318" s="1942"/>
      <c r="V318" s="1942"/>
      <c r="W318" s="1943"/>
      <c r="X318" s="1942"/>
      <c r="Y318" s="1942"/>
      <c r="Z318" s="1942"/>
      <c r="AA318" s="1942"/>
      <c r="AB318" s="1944"/>
      <c r="AC318" s="1782">
        <v>-0.03</v>
      </c>
      <c r="AD318" s="1782">
        <v>-0.06</v>
      </c>
      <c r="AE318" s="1945">
        <v>-0.06</v>
      </c>
      <c r="AF318" s="1782">
        <v>-0.05</v>
      </c>
      <c r="AG318" s="1783"/>
      <c r="AH318" s="1782">
        <v>-0.03</v>
      </c>
      <c r="AI318" s="1782">
        <v>-0.01</v>
      </c>
      <c r="AJ318" s="1782">
        <v>0.01</v>
      </c>
      <c r="AK318" s="1783">
        <v>0</v>
      </c>
      <c r="AL318" s="1782">
        <v>0.02</v>
      </c>
      <c r="AM318" s="1782">
        <v>0.02</v>
      </c>
      <c r="AN318" s="1782">
        <v>0.04</v>
      </c>
      <c r="AO318" s="1783">
        <v>0.04</v>
      </c>
      <c r="AP318" s="1782">
        <v>7.0000000000000007E-2</v>
      </c>
      <c r="AQ318" s="1782">
        <v>0.06</v>
      </c>
      <c r="AR318" s="1782">
        <v>0.04</v>
      </c>
      <c r="AS318" s="1782">
        <v>0.02</v>
      </c>
      <c r="AT318" s="1937">
        <v>-0.01</v>
      </c>
      <c r="AU318" s="1782">
        <v>0</v>
      </c>
      <c r="AV318" s="1782">
        <v>-0.01</v>
      </c>
      <c r="AW318" s="1783">
        <v>-0.01</v>
      </c>
      <c r="AX318" s="1937">
        <v>-0.02</v>
      </c>
      <c r="AY318" s="1782">
        <v>0.01</v>
      </c>
      <c r="AZ318" s="1782">
        <v>0.08</v>
      </c>
      <c r="BA318" s="1782">
        <v>0.02</v>
      </c>
      <c r="BB318" s="1937">
        <v>0.08</v>
      </c>
      <c r="BC318" s="1782">
        <v>0.21</v>
      </c>
      <c r="BD318" s="1782">
        <v>0.19</v>
      </c>
      <c r="BE318" s="1783">
        <v>0.23</v>
      </c>
      <c r="BF318" s="1782">
        <v>0.2</v>
      </c>
      <c r="BG318" s="1782">
        <v>0.09</v>
      </c>
      <c r="BH318" s="1782">
        <v>0.04</v>
      </c>
      <c r="BI318" s="1783">
        <v>0.03</v>
      </c>
      <c r="BJ318" s="1945"/>
      <c r="BM318" s="1783"/>
      <c r="BO318" s="1783"/>
      <c r="BP318" s="1783"/>
      <c r="BQ318" s="1783"/>
      <c r="BW318" s="1782">
        <v>0.05</v>
      </c>
      <c r="BY318" s="1784">
        <f>BY317/AG317-1</f>
        <v>-7.7148588180836475E-3</v>
      </c>
      <c r="BZ318" s="1784">
        <f>BZ317/BY317-1</f>
        <v>2.9933136370704272E-2</v>
      </c>
      <c r="CA318" s="2818">
        <f>CA317/BZ317-1</f>
        <v>4.7859892805918403E-2</v>
      </c>
      <c r="CB318" s="2818">
        <f>CB317/CA317-1</f>
        <v>-5.2589871046754277E-3</v>
      </c>
      <c r="CC318" s="2818">
        <v>0.03</v>
      </c>
      <c r="CD318" s="1937">
        <v>0.2</v>
      </c>
      <c r="CE318" s="1937"/>
      <c r="CF318" s="1937"/>
      <c r="CG318" s="1937"/>
      <c r="CH318" s="1937"/>
    </row>
    <row r="319" spans="1:86" s="999" customFormat="1">
      <c r="A319" s="1016" t="s">
        <v>1382</v>
      </c>
      <c r="E319" s="1000"/>
      <c r="F319" s="1001"/>
      <c r="G319" s="1001"/>
      <c r="L319" s="1002"/>
      <c r="S319" s="27"/>
      <c r="T319" s="27"/>
      <c r="U319" s="27"/>
      <c r="V319" s="27"/>
      <c r="W319" s="98"/>
      <c r="X319" s="27"/>
      <c r="Y319" s="27"/>
      <c r="Z319" s="27"/>
      <c r="AA319" s="27"/>
      <c r="AB319" s="97"/>
      <c r="AC319" s="999">
        <f>AC113/AC299</f>
        <v>19.042899579831932</v>
      </c>
      <c r="AD319" s="999">
        <f>AD113/AD299</f>
        <v>20.284444444444443</v>
      </c>
      <c r="AE319" s="999">
        <f>AE113/AE299</f>
        <v>22.685888780487801</v>
      </c>
      <c r="AF319" s="999">
        <f>AF113/AF299</f>
        <v>21.553785795454548</v>
      </c>
      <c r="AG319" s="999">
        <f>AG113/AG299</f>
        <v>22.527769571639585</v>
      </c>
      <c r="AH319" s="999">
        <f t="shared" ref="AH319:AW319" si="335">AH113/AH300</f>
        <v>21.560533972125434</v>
      </c>
      <c r="AI319" s="999">
        <f t="shared" si="335"/>
        <v>22.787878787878789</v>
      </c>
      <c r="AJ319" s="999">
        <f t="shared" si="335"/>
        <v>22.768079800498754</v>
      </c>
      <c r="AK319" s="1000">
        <f t="shared" si="335"/>
        <v>22.249614791987671</v>
      </c>
      <c r="AL319" s="999">
        <f t="shared" si="335"/>
        <v>21.875</v>
      </c>
      <c r="AM319" s="999">
        <f t="shared" si="335"/>
        <v>21.827284105131412</v>
      </c>
      <c r="AN319" s="999">
        <f t="shared" si="335"/>
        <v>22.481283422459892</v>
      </c>
      <c r="AO319" s="1000">
        <f t="shared" si="335"/>
        <v>21.47058823529412</v>
      </c>
      <c r="AP319" s="999">
        <f t="shared" si="335"/>
        <v>21.550802139037433</v>
      </c>
      <c r="AQ319" s="999">
        <f t="shared" si="335"/>
        <v>22.232142857142858</v>
      </c>
      <c r="AR319" s="999">
        <f t="shared" si="335"/>
        <v>22.288698955365621</v>
      </c>
      <c r="AS319" s="999">
        <f t="shared" si="335"/>
        <v>21.268115942028984</v>
      </c>
      <c r="AT319" s="2849">
        <f t="shared" si="335"/>
        <v>20.878712871287128</v>
      </c>
      <c r="AU319" s="999">
        <f t="shared" si="335"/>
        <v>22.017982017982018</v>
      </c>
      <c r="AV319" s="999">
        <f t="shared" si="335"/>
        <v>22.103004291845494</v>
      </c>
      <c r="AW319" s="1000">
        <f t="shared" si="335"/>
        <v>20.698689956331879</v>
      </c>
      <c r="AX319" s="2849">
        <f t="shared" ref="AX319:BI319" si="336">AT319*(1+AX320)</f>
        <v>22.131435643564355</v>
      </c>
      <c r="AY319" s="999">
        <f t="shared" si="336"/>
        <v>25.320679320679318</v>
      </c>
      <c r="AZ319" s="999">
        <f t="shared" si="336"/>
        <v>25.197424892703864</v>
      </c>
      <c r="BA319" s="999">
        <f t="shared" si="336"/>
        <v>21.940611353711795</v>
      </c>
      <c r="BB319" s="2849">
        <f t="shared" si="336"/>
        <v>24.344579207920791</v>
      </c>
      <c r="BC319" s="999">
        <f t="shared" si="336"/>
        <v>27.09312687312687</v>
      </c>
      <c r="BD319" s="2966">
        <f t="shared" si="336"/>
        <v>29.480987124463521</v>
      </c>
      <c r="BE319" s="3003">
        <f t="shared" si="336"/>
        <v>27.206358078602626</v>
      </c>
      <c r="BF319" s="2966">
        <f t="shared" si="336"/>
        <v>28.483157673267325</v>
      </c>
      <c r="BG319" s="2966">
        <f t="shared" si="336"/>
        <v>30.344302097902098</v>
      </c>
      <c r="BH319" s="2966">
        <f t="shared" si="336"/>
        <v>30.955036480686697</v>
      </c>
      <c r="BI319" s="3003">
        <f t="shared" si="336"/>
        <v>26.934294497816602</v>
      </c>
      <c r="BJ319" s="3078"/>
      <c r="BK319" s="2966"/>
      <c r="BL319" s="2966"/>
      <c r="BM319" s="3003"/>
      <c r="BN319" s="2966"/>
      <c r="BO319" s="3003"/>
      <c r="BP319" s="3003"/>
      <c r="BQ319" s="3367"/>
      <c r="BR319" s="2966"/>
      <c r="BS319" s="2966"/>
      <c r="BT319" s="2966"/>
      <c r="BU319" s="2966"/>
      <c r="BV319" s="2966"/>
      <c r="BW319" s="2966"/>
      <c r="BY319" s="1016">
        <f>BY113/BY300</f>
        <v>24.609256707317073</v>
      </c>
      <c r="BZ319" s="1016">
        <f>BZ113/BZ300</f>
        <v>21.911595131326074</v>
      </c>
      <c r="CA319" s="2849">
        <f>CA113/CA300</f>
        <v>21.551773049645391</v>
      </c>
      <c r="CB319" s="2849">
        <f>CB113/CB300</f>
        <v>21.496143958868895</v>
      </c>
      <c r="CC319" s="539">
        <f>CB319*(1+CC320)</f>
        <v>23.430796915167097</v>
      </c>
      <c r="CD319" s="539">
        <f>CC319*(1+CD320)</f>
        <v>27.648340359897173</v>
      </c>
      <c r="CE319" s="1837"/>
      <c r="CF319" s="1837"/>
      <c r="CG319" s="1837"/>
      <c r="CH319" s="1837"/>
    </row>
    <row r="320" spans="1:86" s="1782" customFormat="1">
      <c r="A320" s="732" t="s">
        <v>1349</v>
      </c>
      <c r="E320" s="1783"/>
      <c r="F320" s="1935"/>
      <c r="G320" s="1935"/>
      <c r="L320" s="1936"/>
      <c r="S320" s="1946"/>
      <c r="T320" s="1946"/>
      <c r="U320" s="1946"/>
      <c r="V320" s="1946"/>
      <c r="W320" s="1947"/>
      <c r="X320" s="1946"/>
      <c r="Y320" s="1946"/>
      <c r="Z320" s="1946"/>
      <c r="AA320" s="1946"/>
      <c r="AB320" s="1948"/>
      <c r="AC320" s="1782">
        <v>-0.13</v>
      </c>
      <c r="AD320" s="1782">
        <v>-0.16</v>
      </c>
      <c r="AE320" s="1945">
        <v>-0.15</v>
      </c>
      <c r="AF320" s="1782">
        <v>-0.11</v>
      </c>
      <c r="AG320" s="1783"/>
      <c r="AH320" s="1782">
        <v>-0.06</v>
      </c>
      <c r="AI320" s="1782">
        <v>-0.01</v>
      </c>
      <c r="AJ320" s="1782">
        <v>0</v>
      </c>
      <c r="AK320" s="1783">
        <v>0.04</v>
      </c>
      <c r="AL320" s="1782">
        <v>0.01</v>
      </c>
      <c r="AM320" s="1782">
        <v>-0.04</v>
      </c>
      <c r="AN320" s="1782">
        <v>-0.01</v>
      </c>
      <c r="AO320" s="1783">
        <v>-0.04</v>
      </c>
      <c r="AP320" s="1782">
        <v>0</v>
      </c>
      <c r="AQ320" s="1782">
        <v>0.02</v>
      </c>
      <c r="AR320" s="1782">
        <v>-0.01</v>
      </c>
      <c r="AS320" s="1782">
        <v>-0.01</v>
      </c>
      <c r="AT320" s="1937">
        <v>-0.02</v>
      </c>
      <c r="AU320" s="1782">
        <v>0</v>
      </c>
      <c r="AV320" s="1782">
        <v>0</v>
      </c>
      <c r="AW320" s="1783">
        <f>AW319/AS319-1</f>
        <v>-2.6773692002112659E-2</v>
      </c>
      <c r="AX320" s="1937">
        <v>0.06</v>
      </c>
      <c r="AY320" s="1782">
        <v>0.15</v>
      </c>
      <c r="AZ320" s="1782">
        <v>0.14000000000000001</v>
      </c>
      <c r="BA320" s="1782">
        <v>0.06</v>
      </c>
      <c r="BB320" s="1937">
        <v>0.1</v>
      </c>
      <c r="BC320" s="1782">
        <v>7.0000000000000007E-2</v>
      </c>
      <c r="BD320" s="1782">
        <v>0.17</v>
      </c>
      <c r="BE320" s="1783">
        <v>0.24</v>
      </c>
      <c r="BF320" s="1782">
        <v>0.17</v>
      </c>
      <c r="BG320" s="1782">
        <v>0.12</v>
      </c>
      <c r="BH320" s="1782">
        <v>0.05</v>
      </c>
      <c r="BI320" s="1783">
        <v>-0.01</v>
      </c>
      <c r="BM320" s="1783"/>
      <c r="BO320" s="1783"/>
      <c r="BP320" s="1783"/>
      <c r="BQ320" s="1783"/>
      <c r="BY320" s="1784">
        <f>BY319/AG319-1</f>
        <v>9.2396503304876365E-2</v>
      </c>
      <c r="BZ320" s="1938">
        <v>8.7724531044644172E-2</v>
      </c>
      <c r="CA320" s="2818">
        <f>CA319/BZ319-1</f>
        <v>-1.6421537524954566E-2</v>
      </c>
      <c r="CB320" s="2818">
        <f>CB319/CA319-1</f>
        <v>-2.5811839540232917E-3</v>
      </c>
      <c r="CC320" s="2818">
        <v>0.09</v>
      </c>
      <c r="CD320" s="1937">
        <v>0.18</v>
      </c>
      <c r="CE320" s="1937"/>
      <c r="CF320" s="1937"/>
      <c r="CG320" s="1937"/>
      <c r="CH320" s="1937"/>
    </row>
    <row r="321" spans="1:99" s="211" customFormat="1">
      <c r="A321" s="451" t="s">
        <v>1380</v>
      </c>
      <c r="E321" s="446"/>
      <c r="F321" s="479"/>
      <c r="G321" s="479"/>
      <c r="L321" s="468"/>
      <c r="S321" s="27"/>
      <c r="T321" s="27"/>
      <c r="U321" s="27"/>
      <c r="V321" s="27"/>
      <c r="W321" s="98"/>
      <c r="X321" s="27"/>
      <c r="Y321" s="27"/>
      <c r="Z321" s="27"/>
      <c r="AA321" s="27"/>
      <c r="AB321" s="97"/>
      <c r="AC321" s="211">
        <v>0.16812736351983801</v>
      </c>
      <c r="AD321" s="211">
        <v>0.17914117620144415</v>
      </c>
      <c r="AE321" s="211">
        <v>0.16771336867519046</v>
      </c>
      <c r="AF321" s="211">
        <v>0.18070641624190054</v>
      </c>
      <c r="AG321" s="446">
        <v>0.17399999999999999</v>
      </c>
      <c r="AH321" s="211">
        <v>0.16472237924404007</v>
      </c>
      <c r="AI321" s="211">
        <v>0.17979994673988398</v>
      </c>
      <c r="AJ321" s="211">
        <v>0.16605662426788428</v>
      </c>
      <c r="AK321" s="446">
        <v>0.18789488944513807</v>
      </c>
      <c r="AL321" s="211">
        <v>0.16221924504964533</v>
      </c>
      <c r="AM321" s="211">
        <v>0.16884382710954468</v>
      </c>
      <c r="AN321" s="211">
        <v>0.15765856219686139</v>
      </c>
      <c r="AO321" s="446">
        <v>0.17434242209224132</v>
      </c>
      <c r="AP321" s="211">
        <v>0.15117888418912911</v>
      </c>
      <c r="AQ321" s="211">
        <v>0.16224112362558724</v>
      </c>
      <c r="AR321" s="211">
        <v>0.15029614449409098</v>
      </c>
      <c r="AS321" s="211">
        <v>0.16931209345534001</v>
      </c>
      <c r="AT321" s="447">
        <f t="shared" ref="AT321:BI321" si="337">AT319/AT317</f>
        <v>0.14616354367012224</v>
      </c>
      <c r="AU321" s="211">
        <f t="shared" si="337"/>
        <v>0.16067826504711735</v>
      </c>
      <c r="AV321" s="211">
        <f t="shared" si="337"/>
        <v>0.15054947136990535</v>
      </c>
      <c r="AW321" s="446">
        <f t="shared" si="337"/>
        <v>0.16644341779084215</v>
      </c>
      <c r="AX321" s="447">
        <f t="shared" si="337"/>
        <v>0.15809526152074446</v>
      </c>
      <c r="AY321" s="211">
        <f t="shared" si="337"/>
        <v>0.18295049980612368</v>
      </c>
      <c r="AZ321" s="211">
        <f t="shared" si="337"/>
        <v>0.15891333089045565</v>
      </c>
      <c r="BA321" s="211">
        <f t="shared" si="337"/>
        <v>0.17297061064538502</v>
      </c>
      <c r="BB321" s="447">
        <f t="shared" si="337"/>
        <v>0.16102295154890639</v>
      </c>
      <c r="BC321" s="211">
        <f t="shared" si="337"/>
        <v>0.1617826733822747</v>
      </c>
      <c r="BD321" s="2651">
        <f t="shared" si="337"/>
        <v>0.15624251860658245</v>
      </c>
      <c r="BE321" s="2652">
        <f t="shared" si="337"/>
        <v>0.17437687577258329</v>
      </c>
      <c r="BF321" s="2651">
        <f t="shared" si="337"/>
        <v>0.15699737776018374</v>
      </c>
      <c r="BG321" s="2651">
        <f t="shared" si="337"/>
        <v>0.16623540751206206</v>
      </c>
      <c r="BH321" s="2651">
        <f t="shared" si="337"/>
        <v>0.15774485051626114</v>
      </c>
      <c r="BI321" s="2652">
        <f t="shared" si="337"/>
        <v>0.1676049582668519</v>
      </c>
      <c r="BJ321" s="2651"/>
      <c r="BK321" s="2651"/>
      <c r="BL321" s="2651"/>
      <c r="BM321" s="2652"/>
      <c r="BN321" s="2651"/>
      <c r="BO321" s="2652"/>
      <c r="BP321" s="2652"/>
      <c r="BQ321" s="2652"/>
      <c r="BR321" s="2651"/>
      <c r="BS321" s="2651"/>
      <c r="BT321" s="2651"/>
      <c r="BU321" s="2651"/>
      <c r="BV321" s="2651"/>
      <c r="BW321" s="2651"/>
      <c r="BY321" s="451">
        <v>0.17399999999999999</v>
      </c>
      <c r="BZ321" s="451">
        <v>0.16500000000000001</v>
      </c>
      <c r="CA321" s="447">
        <v>0.158</v>
      </c>
      <c r="CB321" s="447">
        <v>0.157</v>
      </c>
      <c r="CC321" s="451">
        <f>CC319/CC317</f>
        <v>0.16474758487528754</v>
      </c>
      <c r="CD321" s="451">
        <f>CD319/CD317</f>
        <v>0.16200179179403273</v>
      </c>
      <c r="CE321" s="447"/>
      <c r="CF321" s="447"/>
      <c r="CG321" s="447"/>
      <c r="CH321" s="447"/>
    </row>
    <row r="322" spans="1:99">
      <c r="A322" s="696" t="s">
        <v>2872</v>
      </c>
      <c r="B322" s="27"/>
      <c r="C322" s="27"/>
      <c r="D322" s="27"/>
      <c r="E322" s="97"/>
      <c r="F322" s="59"/>
      <c r="G322" s="59"/>
      <c r="H322" s="27"/>
      <c r="I322" s="27"/>
      <c r="J322" s="27"/>
      <c r="K322" s="27"/>
      <c r="L322" s="993"/>
      <c r="M322" s="27"/>
      <c r="N322" s="27"/>
      <c r="O322" s="27"/>
      <c r="P322" s="27"/>
      <c r="Q322" s="27"/>
      <c r="R322" s="27"/>
      <c r="S322" s="211"/>
      <c r="T322" s="211"/>
      <c r="U322" s="211"/>
      <c r="V322" s="211"/>
      <c r="W322" s="447"/>
      <c r="X322" s="211"/>
      <c r="Y322" s="211"/>
      <c r="Z322" s="211"/>
      <c r="AA322" s="211"/>
      <c r="AB322" s="446"/>
      <c r="AC322" s="27"/>
      <c r="AD322" s="27"/>
      <c r="AE322" s="38"/>
      <c r="AF322" s="27"/>
      <c r="AG322" s="97"/>
      <c r="AH322" s="27"/>
      <c r="AI322" s="27"/>
      <c r="AJ322" s="27"/>
      <c r="AK322" s="97"/>
      <c r="AL322" s="27"/>
      <c r="AM322" s="27"/>
      <c r="AN322" s="27"/>
      <c r="AO322" s="97"/>
      <c r="AP322" s="27"/>
      <c r="AQ322" s="27"/>
      <c r="AR322" s="211"/>
      <c r="AS322" s="211"/>
      <c r="AT322" s="98"/>
      <c r="AU322" s="27"/>
      <c r="AV322" s="27"/>
      <c r="AW322" s="97"/>
      <c r="AX322" s="98"/>
      <c r="AY322" s="27"/>
      <c r="AZ322" s="27"/>
      <c r="BA322" s="27"/>
      <c r="BB322" s="3069" t="s">
        <v>2758</v>
      </c>
      <c r="BC322" s="708"/>
      <c r="BD322" s="27"/>
      <c r="BE322" s="97"/>
      <c r="BF322" s="27"/>
      <c r="BG322" s="27"/>
      <c r="BH322" s="27"/>
      <c r="BI322" s="97"/>
      <c r="BJ322" s="27"/>
      <c r="BK322" s="27">
        <f>BK323/AT323-1</f>
        <v>-0.43407610844100453</v>
      </c>
      <c r="BL322" s="27">
        <f>BL323/AV323-1</f>
        <v>-0.39221272554605879</v>
      </c>
      <c r="BM322" s="27">
        <f>BM323/AW323-1</f>
        <v>-0.4</v>
      </c>
      <c r="BN322" s="27">
        <f>BN323/AT323-1</f>
        <v>-0.40910887793104878</v>
      </c>
      <c r="BO322" s="27">
        <f>BO323/AU323-1</f>
        <v>-0.35224480679026138</v>
      </c>
      <c r="BP322" s="27">
        <f>BP323/AV323-1</f>
        <v>-0.34472934472934469</v>
      </c>
      <c r="BQ322" s="27">
        <f>BQ323/AW323-1</f>
        <v>-0.33684210526315794</v>
      </c>
      <c r="BR322" s="27">
        <f>BR323/AT323-1</f>
        <v>-0.38414164742109302</v>
      </c>
      <c r="BS322" s="27">
        <f>BS323/AU323-1</f>
        <v>-0.32990842081751182</v>
      </c>
      <c r="BT322" s="27">
        <f>BT323/AV323-1</f>
        <v>-0.31623931623931623</v>
      </c>
      <c r="BU322" s="27">
        <f>BU323/AW323-1</f>
        <v>-0.32631578947368423</v>
      </c>
      <c r="BV322" s="27">
        <f>BV323/AT323-1</f>
        <v>-0.34669080165615962</v>
      </c>
      <c r="BW322" s="27">
        <f>BW323/AU323-1</f>
        <v>-0.3656466383739112</v>
      </c>
      <c r="BX322" s="27"/>
      <c r="BY322" s="452"/>
      <c r="BZ322" s="452"/>
      <c r="CA322" s="98"/>
    </row>
    <row r="323" spans="1:99" s="999" customFormat="1">
      <c r="A323" s="696" t="s">
        <v>1921</v>
      </c>
      <c r="B323" s="999">
        <f>2.206*1000000</f>
        <v>2206000</v>
      </c>
      <c r="C323" s="999">
        <f>2.441*1000000</f>
        <v>2441000</v>
      </c>
      <c r="D323" s="999">
        <f>2.317*1000000</f>
        <v>2317000</v>
      </c>
      <c r="E323" s="1000">
        <v>2378000</v>
      </c>
      <c r="F323" s="999">
        <f>1000*1250.8</f>
        <v>1250800</v>
      </c>
      <c r="G323" s="999">
        <f>1000*1766.9</f>
        <v>1766900</v>
      </c>
      <c r="H323" s="1001">
        <f>1000*2824.6</f>
        <v>2824600</v>
      </c>
      <c r="I323" s="1001">
        <v>3715400</v>
      </c>
      <c r="J323" s="1001"/>
      <c r="K323" s="1001"/>
      <c r="L323" s="1002"/>
      <c r="M323" s="1001"/>
      <c r="N323" s="1001"/>
      <c r="O323" s="1001"/>
      <c r="P323" s="1001"/>
      <c r="Q323" s="1001"/>
      <c r="R323" s="1001"/>
      <c r="S323" s="89"/>
      <c r="T323" s="89"/>
      <c r="U323" s="89"/>
      <c r="V323" s="89"/>
      <c r="W323" s="109" t="s">
        <v>985</v>
      </c>
      <c r="X323" s="89" t="s">
        <v>985</v>
      </c>
      <c r="Y323" s="89" t="s">
        <v>985</v>
      </c>
      <c r="Z323" s="89" t="s">
        <v>985</v>
      </c>
      <c r="AA323" s="89" t="s">
        <v>985</v>
      </c>
      <c r="AB323" s="110" t="s">
        <v>985</v>
      </c>
      <c r="AC323" s="1001">
        <v>12.93321318694319</v>
      </c>
      <c r="AD323" s="1001">
        <v>14.749943719814052</v>
      </c>
      <c r="AE323" s="1001">
        <v>15.395657008654519</v>
      </c>
      <c r="AF323" s="1001">
        <v>17.292610785648851</v>
      </c>
      <c r="AG323" s="1004">
        <f>SUM(AC323:AF323)</f>
        <v>60.371424701060604</v>
      </c>
      <c r="AH323" s="1001">
        <v>19.658484044153649</v>
      </c>
      <c r="AI323" s="999">
        <v>21.387418393730375</v>
      </c>
      <c r="AJ323" s="999">
        <v>20.322267251423966</v>
      </c>
      <c r="AK323" s="1000">
        <v>18.330167432787782</v>
      </c>
      <c r="AL323" s="999">
        <v>21.231162767685941</v>
      </c>
      <c r="AM323" s="999">
        <v>21.815166761604981</v>
      </c>
      <c r="AN323" s="999">
        <v>21.135157941480927</v>
      </c>
      <c r="AO323" s="1000">
        <v>18.880072455771415</v>
      </c>
      <c r="AP323" s="999">
        <v>21.65</v>
      </c>
      <c r="AQ323" s="999">
        <v>20.350000000000001</v>
      </c>
      <c r="AR323" s="999">
        <v>19.5</v>
      </c>
      <c r="AS323" s="999">
        <v>19</v>
      </c>
      <c r="AT323" s="2849">
        <f>AP323+AP323*AT324</f>
        <v>24.031499999999998</v>
      </c>
      <c r="AU323" s="999">
        <f>AQ323+AQ323*AU324</f>
        <v>22.385000000000002</v>
      </c>
      <c r="AV323" s="999">
        <f>AR323+AR323*AV324</f>
        <v>21.06</v>
      </c>
      <c r="AW323" s="999">
        <f>AS323+AS323*AW324</f>
        <v>19</v>
      </c>
      <c r="AX323" s="2849">
        <f t="shared" ref="AX323:BI323" si="338">AT323*(1+AX324)</f>
        <v>17.783309999999997</v>
      </c>
      <c r="AY323" s="999">
        <f t="shared" si="338"/>
        <v>3.3577500000000007</v>
      </c>
      <c r="AZ323" s="999">
        <f t="shared" si="338"/>
        <v>5.4756</v>
      </c>
      <c r="BA323" s="999">
        <f t="shared" si="338"/>
        <v>5.8900000000000006</v>
      </c>
      <c r="BB323" s="2849">
        <f>AX323*(1+BB324)</f>
        <v>8.8916549999999983</v>
      </c>
      <c r="BC323" s="999">
        <f t="shared" si="338"/>
        <v>13.397422500000003</v>
      </c>
      <c r="BD323" s="2966">
        <f t="shared" si="338"/>
        <v>12.703392000000001</v>
      </c>
      <c r="BE323" s="3003">
        <f t="shared" si="338"/>
        <v>11.308800000000002</v>
      </c>
      <c r="BF323" s="2966">
        <f t="shared" si="338"/>
        <v>13.132974434999996</v>
      </c>
      <c r="BG323" s="2966">
        <f t="shared" si="338"/>
        <v>13.531396725000002</v>
      </c>
      <c r="BH323" s="2966">
        <f t="shared" si="338"/>
        <v>12.19525632</v>
      </c>
      <c r="BI323" s="3003">
        <f t="shared" si="338"/>
        <v>11.082624000000001</v>
      </c>
      <c r="BJ323" s="2966">
        <v>14</v>
      </c>
      <c r="BK323" s="3003">
        <v>13.6</v>
      </c>
      <c r="BL323" s="2966">
        <v>12.8</v>
      </c>
      <c r="BM323" s="3003">
        <v>11.4</v>
      </c>
      <c r="BN323" s="2966">
        <v>14.2</v>
      </c>
      <c r="BO323" s="3003">
        <v>14.5</v>
      </c>
      <c r="BP323" s="3003">
        <v>13.8</v>
      </c>
      <c r="BQ323" s="3367">
        <v>12.6</v>
      </c>
      <c r="BR323" s="2966">
        <v>14.8</v>
      </c>
      <c r="BS323" s="2966">
        <v>15</v>
      </c>
      <c r="BT323" s="2966">
        <v>14.4</v>
      </c>
      <c r="BU323" s="2966">
        <v>12.8</v>
      </c>
      <c r="BV323" s="2966">
        <v>15.7</v>
      </c>
      <c r="BW323" s="3522">
        <v>14.2</v>
      </c>
      <c r="BY323" s="1011">
        <f>SUM(AH323:AK323)</f>
        <v>79.698337122095779</v>
      </c>
      <c r="BZ323" s="1011">
        <f>SUM(AL323:AO323)</f>
        <v>83.061559926543268</v>
      </c>
      <c r="CA323" s="2915">
        <f>SUM(AP323:AS323)</f>
        <v>80.5</v>
      </c>
      <c r="CB323" s="2849">
        <v>93.7</v>
      </c>
      <c r="CC323" s="2849">
        <f>SUM(AX323:BA323)</f>
        <v>32.506659999999997</v>
      </c>
      <c r="CD323" s="2849">
        <f>SUM(BB323:BE323)</f>
        <v>46.301269500000004</v>
      </c>
      <c r="CE323" s="2849">
        <f>SUM(BF323:BI323)</f>
        <v>49.942251480000003</v>
      </c>
      <c r="CF323" s="1837"/>
      <c r="CG323" s="1837"/>
      <c r="CH323" s="1837"/>
    </row>
    <row r="324" spans="1:99" s="1935" customFormat="1">
      <c r="A324" s="696" t="s">
        <v>1920</v>
      </c>
      <c r="E324" s="1936"/>
      <c r="L324" s="1936"/>
      <c r="S324" s="1949"/>
      <c r="T324" s="1949"/>
      <c r="U324" s="1949"/>
      <c r="V324" s="1949"/>
      <c r="W324" s="1950"/>
      <c r="X324" s="1949"/>
      <c r="Y324" s="1949"/>
      <c r="Z324" s="1949"/>
      <c r="AA324" s="1949"/>
      <c r="AB324" s="1951"/>
      <c r="AC324" s="1935">
        <v>0.17</v>
      </c>
      <c r="AD324" s="1935">
        <v>0.26</v>
      </c>
      <c r="AE324" s="1935">
        <v>0.31</v>
      </c>
      <c r="AF324" s="1935">
        <v>0.7</v>
      </c>
      <c r="AG324" s="1936"/>
      <c r="AH324" s="1935">
        <v>0.52</v>
      </c>
      <c r="AI324" s="1935">
        <v>0.45</v>
      </c>
      <c r="AJ324" s="1935">
        <v>0.32</v>
      </c>
      <c r="AK324" s="1936">
        <v>0.06</v>
      </c>
      <c r="AL324" s="1935">
        <v>0.08</v>
      </c>
      <c r="AM324" s="1935">
        <v>0.02</v>
      </c>
      <c r="AN324" s="1935">
        <v>0.04</v>
      </c>
      <c r="AO324" s="1936">
        <v>0.03</v>
      </c>
      <c r="AP324" s="1935">
        <v>0.01</v>
      </c>
      <c r="AQ324" s="1935">
        <v>0.06</v>
      </c>
      <c r="AR324" s="1935">
        <v>0.04</v>
      </c>
      <c r="AS324" s="1935">
        <v>0.1</v>
      </c>
      <c r="AT324" s="2850">
        <v>0.11</v>
      </c>
      <c r="AU324" s="1935">
        <v>0.1</v>
      </c>
      <c r="AV324" s="1935">
        <v>0.08</v>
      </c>
      <c r="AW324" s="1936">
        <v>0</v>
      </c>
      <c r="AX324" s="2850">
        <v>-0.26</v>
      </c>
      <c r="AY324" s="1935">
        <v>-0.85</v>
      </c>
      <c r="AZ324" s="1935">
        <v>-0.74</v>
      </c>
      <c r="BA324" s="1935">
        <v>-0.69</v>
      </c>
      <c r="BB324" s="2850">
        <v>-0.5</v>
      </c>
      <c r="BC324" s="1935">
        <v>2.99</v>
      </c>
      <c r="BD324" s="1935">
        <v>1.32</v>
      </c>
      <c r="BE324" s="1936">
        <v>0.92</v>
      </c>
      <c r="BF324" s="1935">
        <v>0.47699999999999998</v>
      </c>
      <c r="BG324" s="1935">
        <v>0.01</v>
      </c>
      <c r="BH324" s="1935">
        <v>-0.04</v>
      </c>
      <c r="BI324" s="1936">
        <v>-0.02</v>
      </c>
      <c r="BJ324" s="1935">
        <f t="shared" ref="BJ324:BO324" si="339">BJ323/BF323-1</f>
        <v>6.601897911940946E-2</v>
      </c>
      <c r="BK324" s="1935">
        <f t="shared" si="339"/>
        <v>5.0699330153589628E-3</v>
      </c>
      <c r="BL324" s="1935">
        <f t="shared" si="339"/>
        <v>4.9588435382717844E-2</v>
      </c>
      <c r="BM324" s="1935">
        <f t="shared" si="339"/>
        <v>2.8637261356155408E-2</v>
      </c>
      <c r="BN324" s="1935">
        <f t="shared" si="339"/>
        <v>1.4285714285714235E-2</v>
      </c>
      <c r="BO324" s="1935">
        <f t="shared" si="339"/>
        <v>6.6176470588235281E-2</v>
      </c>
      <c r="BP324" s="1935">
        <f>BP323/BL323-1</f>
        <v>7.8125E-2</v>
      </c>
      <c r="BQ324" s="1935">
        <f>BQ323/BM323-1</f>
        <v>0.10526315789473673</v>
      </c>
      <c r="BR324" s="1935">
        <f>BR323/BN323-1</f>
        <v>4.2253521126760729E-2</v>
      </c>
      <c r="BS324" s="1935">
        <f>BS323/BO323-1</f>
        <v>3.4482758620689724E-2</v>
      </c>
      <c r="BT324" s="3484">
        <v>0.05</v>
      </c>
      <c r="BU324" s="3484">
        <v>0.05</v>
      </c>
      <c r="BV324" s="1935">
        <f>BV323/BR323-1</f>
        <v>6.0810810810810745E-2</v>
      </c>
      <c r="BW324" s="1935">
        <f>BW323/BS323-1</f>
        <v>-5.3333333333333344E-2</v>
      </c>
      <c r="BY324" s="1784">
        <f>BY323/AG323-1</f>
        <v>0.32013344917294351</v>
      </c>
      <c r="BZ324" s="1952">
        <v>0.04</v>
      </c>
      <c r="CA324" s="2850">
        <v>0.05</v>
      </c>
      <c r="CB324" s="2850">
        <v>7.3999999999999996E-2</v>
      </c>
      <c r="CC324" s="2850">
        <f>CC323/CB323-1</f>
        <v>-0.65307726787620068</v>
      </c>
      <c r="CD324" s="2850">
        <v>0.43</v>
      </c>
      <c r="CE324" s="2850"/>
      <c r="CF324" s="2850"/>
      <c r="CG324" s="2850"/>
      <c r="CH324" s="2850"/>
    </row>
    <row r="325" spans="1:99" s="1953" customFormat="1">
      <c r="A325" s="1016" t="s">
        <v>1383</v>
      </c>
      <c r="E325" s="1930"/>
      <c r="H325" s="1954"/>
      <c r="I325" s="1954"/>
      <c r="J325" s="1954"/>
      <c r="K325" s="1954"/>
      <c r="L325" s="1948"/>
      <c r="M325" s="1954"/>
      <c r="N325" s="1954"/>
      <c r="O325" s="1954"/>
      <c r="P325" s="1954"/>
      <c r="Q325" s="1954"/>
      <c r="R325" s="1954"/>
      <c r="S325" s="1940"/>
      <c r="T325" s="1940"/>
      <c r="U325" s="1940"/>
      <c r="V325" s="1940"/>
      <c r="W325" s="1955"/>
      <c r="X325" s="1940"/>
      <c r="Y325" s="1940"/>
      <c r="Z325" s="1940"/>
      <c r="AA325" s="1940"/>
      <c r="AB325" s="1956"/>
      <c r="AC325" s="1954">
        <v>505.15642248110419</v>
      </c>
      <c r="AD325" s="1954">
        <v>460.93468894005025</v>
      </c>
      <c r="AE325" s="1954">
        <v>404.2644490855468</v>
      </c>
      <c r="AF325" s="1954">
        <v>395.5884802605712</v>
      </c>
      <c r="AG325" s="1957">
        <v>441.5</v>
      </c>
      <c r="AH325" s="1954">
        <v>464.74390868261588</v>
      </c>
      <c r="AI325" s="1953">
        <v>424.05991382484626</v>
      </c>
      <c r="AJ325" s="1953">
        <v>380.00858214041398</v>
      </c>
      <c r="AK325" s="1930">
        <v>379.76494105014837</v>
      </c>
      <c r="AL325" s="1953">
        <v>450.80159142213739</v>
      </c>
      <c r="AM325" s="1953">
        <v>428.30051296309472</v>
      </c>
      <c r="AN325" s="1953">
        <v>372.4084104976057</v>
      </c>
      <c r="AO325" s="1930">
        <v>383.56259046064986</v>
      </c>
      <c r="AP325" s="1953">
        <v>464.32563916480154</v>
      </c>
      <c r="AQ325" s="1953">
        <v>432.58351809272568</v>
      </c>
      <c r="AR325" s="1953">
        <v>387.30474691750993</v>
      </c>
      <c r="AS325" s="1953">
        <v>391.23384226986286</v>
      </c>
      <c r="AT325" s="2844">
        <v>459.7</v>
      </c>
      <c r="AU325" s="1953">
        <v>436.9</v>
      </c>
      <c r="AV325" s="1953">
        <v>387.3</v>
      </c>
      <c r="AW325" s="1930">
        <v>395.1</v>
      </c>
      <c r="AX325" s="2844">
        <f t="shared" ref="AX325:BI325" si="340">AT325*(1+AX326)</f>
        <v>436.71499999999997</v>
      </c>
      <c r="AY325" s="1953">
        <f t="shared" si="340"/>
        <v>283.98500000000001</v>
      </c>
      <c r="AZ325" s="1953">
        <f t="shared" si="340"/>
        <v>247.87200000000001</v>
      </c>
      <c r="BA325" s="1953">
        <f t="shared" si="340"/>
        <v>272.61899999999997</v>
      </c>
      <c r="BB325" s="2844">
        <f t="shared" si="340"/>
        <v>323.16909999999996</v>
      </c>
      <c r="BC325" s="1953">
        <f t="shared" si="340"/>
        <v>369.18050000000005</v>
      </c>
      <c r="BD325" s="1953">
        <f t="shared" si="340"/>
        <v>324.71232000000003</v>
      </c>
      <c r="BE325" s="1930">
        <f t="shared" si="340"/>
        <v>359.85708</v>
      </c>
      <c r="BF325" s="1953">
        <f t="shared" si="340"/>
        <v>449.20504899999997</v>
      </c>
      <c r="BG325" s="1953">
        <f t="shared" si="340"/>
        <v>498.39367500000009</v>
      </c>
      <c r="BH325" s="1953">
        <f t="shared" si="340"/>
        <v>428.62026240000006</v>
      </c>
      <c r="BI325" s="1930">
        <f t="shared" si="340"/>
        <v>439.02563759999998</v>
      </c>
      <c r="BM325" s="1930"/>
      <c r="BO325" s="1930"/>
      <c r="BP325" s="1930"/>
      <c r="BQ325" s="3362"/>
      <c r="BY325" s="2905">
        <v>412.1</v>
      </c>
      <c r="BZ325" s="1931">
        <v>408.8</v>
      </c>
      <c r="CA325" s="2844">
        <v>418.9</v>
      </c>
      <c r="CB325" s="2844">
        <v>419.8</v>
      </c>
      <c r="CC325" s="539">
        <f>CB325*(1+CC326)</f>
        <v>340.03800000000001</v>
      </c>
      <c r="CD325" s="539">
        <f>CC325*(1+CD326)</f>
        <v>350.23914000000002</v>
      </c>
      <c r="CE325" s="1837"/>
      <c r="CF325" s="1837"/>
      <c r="CG325" s="1837"/>
      <c r="CH325" s="1837"/>
    </row>
    <row r="326" spans="1:99" s="1020" customFormat="1">
      <c r="A326" s="1505" t="s">
        <v>1351</v>
      </c>
      <c r="E326" s="223"/>
      <c r="F326" s="1019"/>
      <c r="G326" s="1019"/>
      <c r="L326" s="993"/>
      <c r="S326" s="1555"/>
      <c r="T326" s="1555"/>
      <c r="U326" s="1555"/>
      <c r="V326" s="1555"/>
      <c r="W326" s="1556"/>
      <c r="X326" s="1555"/>
      <c r="Y326" s="1555"/>
      <c r="Z326" s="1555"/>
      <c r="AA326" s="1555"/>
      <c r="AB326" s="1557"/>
      <c r="AC326" s="1020">
        <v>-7.0000000000000007E-2</v>
      </c>
      <c r="AD326" s="1020">
        <v>-0.12</v>
      </c>
      <c r="AE326" s="1523">
        <v>-0.12</v>
      </c>
      <c r="AF326" s="1020">
        <v>-0.12</v>
      </c>
      <c r="AG326" s="223"/>
      <c r="AH326" s="1020">
        <v>-0.08</v>
      </c>
      <c r="AI326" s="1020">
        <v>-0.08</v>
      </c>
      <c r="AJ326" s="1020">
        <v>-0.06</v>
      </c>
      <c r="AK326" s="223">
        <v>-0.04</v>
      </c>
      <c r="AL326" s="1020">
        <v>-0.03</v>
      </c>
      <c r="AM326" s="1020">
        <v>0.01</v>
      </c>
      <c r="AN326" s="1020">
        <v>-0.02</v>
      </c>
      <c r="AO326" s="223">
        <v>0.01</v>
      </c>
      <c r="AP326" s="1020">
        <v>0.03</v>
      </c>
      <c r="AQ326" s="1020">
        <v>0.01</v>
      </c>
      <c r="AR326" s="1020">
        <v>0.04</v>
      </c>
      <c r="AS326" s="1020">
        <v>0.02</v>
      </c>
      <c r="AT326" s="1543">
        <f>AT325/AP325-1</f>
        <v>-9.9620584663854261E-3</v>
      </c>
      <c r="AU326" s="1020">
        <f>AU325/AQ325-1</f>
        <v>9.9783781090545531E-3</v>
      </c>
      <c r="AV326" s="1020">
        <f>AV325/AR325-1</f>
        <v>-1.2256285386924581E-5</v>
      </c>
      <c r="AW326" s="223">
        <v>0.01</v>
      </c>
      <c r="AX326" s="1543">
        <v>-0.05</v>
      </c>
      <c r="AY326" s="1020">
        <v>-0.35</v>
      </c>
      <c r="AZ326" s="1020">
        <v>-0.36</v>
      </c>
      <c r="BA326" s="1020">
        <v>-0.31</v>
      </c>
      <c r="BB326" s="1543">
        <v>-0.26</v>
      </c>
      <c r="BC326" s="1020">
        <v>0.3</v>
      </c>
      <c r="BD326" s="1020">
        <v>0.31</v>
      </c>
      <c r="BE326" s="223">
        <v>0.32</v>
      </c>
      <c r="BF326" s="1020">
        <v>0.39</v>
      </c>
      <c r="BG326" s="1020">
        <v>0.35</v>
      </c>
      <c r="BH326" s="1020">
        <v>0.32</v>
      </c>
      <c r="BI326" s="223">
        <v>0.22</v>
      </c>
      <c r="BM326" s="223"/>
      <c r="BO326" s="223"/>
      <c r="BP326" s="223"/>
      <c r="BQ326" s="223"/>
      <c r="BY326" s="1014">
        <f>BY325/AG325-1</f>
        <v>-6.6591166477916186E-2</v>
      </c>
      <c r="BZ326" s="1014">
        <f>BZ325/BY325-1</f>
        <v>-8.0077651055568966E-3</v>
      </c>
      <c r="CA326" s="1543">
        <f>CA325/BZ325-1</f>
        <v>2.4706457925635972E-2</v>
      </c>
      <c r="CB326" s="1543">
        <f>CB325/CA325-1</f>
        <v>2.1484841250896114E-3</v>
      </c>
      <c r="CC326" s="1543">
        <v>-0.19</v>
      </c>
      <c r="CD326" s="1543">
        <v>0.03</v>
      </c>
      <c r="CE326" s="1543"/>
      <c r="CF326" s="1543"/>
      <c r="CG326" s="1543"/>
      <c r="CH326" s="1543"/>
    </row>
    <row r="327" spans="1:99" s="999" customFormat="1">
      <c r="A327" s="1016" t="s">
        <v>1384</v>
      </c>
      <c r="E327" s="1000"/>
      <c r="H327" s="1001"/>
      <c r="I327" s="1001"/>
      <c r="J327" s="1001"/>
      <c r="K327" s="1001"/>
      <c r="L327" s="1002"/>
      <c r="M327" s="1001"/>
      <c r="N327" s="1001"/>
      <c r="O327" s="1001"/>
      <c r="P327" s="1001"/>
      <c r="Q327" s="1001"/>
      <c r="R327" s="1001"/>
      <c r="S327" s="56"/>
      <c r="T327" s="56"/>
      <c r="U327" s="56"/>
      <c r="V327" s="56"/>
      <c r="W327" s="514"/>
      <c r="X327" s="56"/>
      <c r="Y327" s="56"/>
      <c r="Z327" s="56"/>
      <c r="AA327" s="56"/>
      <c r="AB327" s="515"/>
      <c r="AC327" s="1001">
        <v>10.709914589503351</v>
      </c>
      <c r="AD327" s="1001">
        <v>8.9708816869755559</v>
      </c>
      <c r="AE327" s="1001">
        <v>8.8619277451624363</v>
      </c>
      <c r="AF327" s="1001">
        <v>9.6579806294260155</v>
      </c>
      <c r="AG327" s="1004">
        <v>9.51</v>
      </c>
      <c r="AH327" s="1001">
        <v>10.631542062479417</v>
      </c>
      <c r="AI327" s="999">
        <v>8.8837276431501255</v>
      </c>
      <c r="AJ327" s="999">
        <v>9.9890429295371046</v>
      </c>
      <c r="AK327" s="1000">
        <v>9.6016580669734051</v>
      </c>
      <c r="AL327" s="999">
        <v>10.220825037914379</v>
      </c>
      <c r="AM327" s="999">
        <v>9.2596129201048782</v>
      </c>
      <c r="AN327" s="999">
        <v>8.9424455934184941</v>
      </c>
      <c r="AO327" s="1000">
        <v>9.3219981232751508</v>
      </c>
      <c r="AP327" s="999">
        <v>11.285484597231735</v>
      </c>
      <c r="AQ327" s="999">
        <v>9.6436282513702025</v>
      </c>
      <c r="AR327" s="999">
        <v>9.5084001273120951</v>
      </c>
      <c r="AS327" s="999">
        <v>9.9672190677580375</v>
      </c>
      <c r="AT327" s="2849">
        <f>AP327+AP327*AT328</f>
        <v>10.495500675425513</v>
      </c>
      <c r="AU327" s="999">
        <f>AQ327+AQ327*AU328</f>
        <v>8.9685742737742888</v>
      </c>
      <c r="AV327" s="999">
        <f>AR327+AR327*AV328</f>
        <v>8.8428121184002482</v>
      </c>
      <c r="AW327" s="1000">
        <f>AS327+AS327*AW328</f>
        <v>9.1997431995406682</v>
      </c>
      <c r="AX327" s="2849">
        <f>AT327*(1+AX328)</f>
        <v>6.192345398501053</v>
      </c>
      <c r="AZ327" s="999">
        <f>AV327*(1+AZ328)</f>
        <v>4.5982623015681288</v>
      </c>
      <c r="BA327" s="999">
        <f>AW327*(1+BA328)</f>
        <v>5.979833079701435</v>
      </c>
      <c r="BB327" s="2849">
        <f>AX327*(1+BB328)</f>
        <v>5.5731108586509475</v>
      </c>
      <c r="BE327" s="1000"/>
      <c r="BI327" s="1000"/>
      <c r="BM327" s="1000"/>
      <c r="BO327" s="1000"/>
      <c r="BP327" s="1000"/>
      <c r="BQ327" s="3368"/>
      <c r="BY327" s="1011">
        <v>9.76</v>
      </c>
      <c r="BZ327" s="1016">
        <v>9.44</v>
      </c>
      <c r="CA327" s="2849">
        <v>10.09</v>
      </c>
      <c r="CB327" s="2849">
        <v>9.27</v>
      </c>
      <c r="CC327" s="539">
        <f>CB327*(1+CC328)</f>
        <v>3.0590999999999995</v>
      </c>
      <c r="CD327" s="539">
        <f>CC327*(1+CD328)</f>
        <v>5.169878999999999</v>
      </c>
      <c r="CE327" s="1837"/>
      <c r="CF327" s="1837"/>
      <c r="CG327" s="1837"/>
      <c r="CH327" s="1837"/>
    </row>
    <row r="328" spans="1:99" s="1782" customFormat="1">
      <c r="A328" s="732" t="s">
        <v>1350</v>
      </c>
      <c r="E328" s="1783"/>
      <c r="H328" s="1958"/>
      <c r="I328" s="1958"/>
      <c r="J328" s="1958"/>
      <c r="K328" s="1958"/>
      <c r="L328" s="1783"/>
      <c r="M328" s="1958"/>
      <c r="N328" s="1958"/>
      <c r="O328" s="1958"/>
      <c r="P328" s="1958"/>
      <c r="Q328" s="1958"/>
      <c r="R328" s="1958"/>
      <c r="S328" s="1949"/>
      <c r="T328" s="1949"/>
      <c r="U328" s="1949"/>
      <c r="V328" s="1949"/>
      <c r="W328" s="1950"/>
      <c r="X328" s="1949"/>
      <c r="Y328" s="1949"/>
      <c r="Z328" s="1949"/>
      <c r="AA328" s="1949"/>
      <c r="AB328" s="1951"/>
      <c r="AC328" s="1935">
        <v>-0.05</v>
      </c>
      <c r="AD328" s="1935">
        <v>-0.1</v>
      </c>
      <c r="AE328" s="1935">
        <v>-0.09</v>
      </c>
      <c r="AF328" s="1935">
        <v>-0.05</v>
      </c>
      <c r="AG328" s="1959"/>
      <c r="AH328" s="1782">
        <v>0.01</v>
      </c>
      <c r="AI328" s="1782">
        <v>0.03</v>
      </c>
      <c r="AJ328" s="1782">
        <v>0.15</v>
      </c>
      <c r="AK328" s="1783">
        <v>0</v>
      </c>
      <c r="AL328" s="1782">
        <v>-0.04</v>
      </c>
      <c r="AM328" s="1782">
        <v>0.04</v>
      </c>
      <c r="AN328" s="1782">
        <v>-0.1</v>
      </c>
      <c r="AO328" s="1783">
        <v>-0.03</v>
      </c>
      <c r="AP328" s="1782">
        <v>0.1</v>
      </c>
      <c r="AQ328" s="1782">
        <v>0.04</v>
      </c>
      <c r="AR328" s="1782">
        <v>6.328856328856336E-2</v>
      </c>
      <c r="AS328" s="1782">
        <v>6.9214876033057759E-2</v>
      </c>
      <c r="AT328" s="1937">
        <v>-7.0000000000000007E-2</v>
      </c>
      <c r="AU328" s="1782">
        <v>-7.0000000000000007E-2</v>
      </c>
      <c r="AV328" s="1782">
        <v>-7.0000000000000007E-2</v>
      </c>
      <c r="AW328" s="1783">
        <v>-7.6999999999999999E-2</v>
      </c>
      <c r="AX328" s="1937">
        <v>-0.41</v>
      </c>
      <c r="AY328" s="1782" t="s">
        <v>2685</v>
      </c>
      <c r="AZ328" s="1782">
        <v>-0.48</v>
      </c>
      <c r="BA328" s="1782">
        <v>-0.35</v>
      </c>
      <c r="BB328" s="1937">
        <v>-0.1</v>
      </c>
      <c r="BC328" s="1782" t="s">
        <v>2704</v>
      </c>
      <c r="BD328" s="1782">
        <v>-0.02</v>
      </c>
      <c r="BE328" s="1783">
        <v>-0.12</v>
      </c>
      <c r="BF328" s="1782">
        <v>0.01</v>
      </c>
      <c r="BG328" s="1782">
        <v>0.21</v>
      </c>
      <c r="BH328" s="1782">
        <v>0.69</v>
      </c>
      <c r="BI328" s="1783">
        <v>0.47</v>
      </c>
      <c r="BM328" s="1783"/>
      <c r="BO328" s="1783"/>
      <c r="BP328" s="1783"/>
      <c r="BQ328" s="1783"/>
      <c r="BY328" s="1784">
        <f>BY327/AG327-1</f>
        <v>2.6288117770767672E-2</v>
      </c>
      <c r="BZ328" s="1784">
        <f>BZ327/BY327-1</f>
        <v>-3.2786885245901676E-2</v>
      </c>
      <c r="CA328" s="1937">
        <f>CA327/BZ327-1</f>
        <v>6.8855932203389925E-2</v>
      </c>
      <c r="CB328" s="1937">
        <f>CB327/CA327-1</f>
        <v>-8.1268582755203211E-2</v>
      </c>
      <c r="CC328" s="1938">
        <v>-0.67</v>
      </c>
      <c r="CD328" s="1937">
        <v>0.69</v>
      </c>
      <c r="CE328" s="1937"/>
      <c r="CF328" s="1937"/>
      <c r="CG328" s="1937"/>
      <c r="CH328" s="1937"/>
    </row>
    <row r="329" spans="1:99" s="27" customFormat="1">
      <c r="A329" s="452" t="s">
        <v>1352</v>
      </c>
      <c r="E329" s="97"/>
      <c r="H329" s="56"/>
      <c r="I329" s="56"/>
      <c r="J329" s="56"/>
      <c r="K329" s="56"/>
      <c r="L329" s="223"/>
      <c r="M329" s="56"/>
      <c r="N329" s="56"/>
      <c r="O329" s="56"/>
      <c r="P329" s="56"/>
      <c r="Q329" s="56"/>
      <c r="R329" s="56"/>
      <c r="S329" s="56"/>
      <c r="T329" s="56"/>
      <c r="U329" s="56"/>
      <c r="V329" s="56"/>
      <c r="W329" s="514"/>
      <c r="X329" s="56"/>
      <c r="Y329" s="56"/>
      <c r="Z329" s="56"/>
      <c r="AA329" s="56"/>
      <c r="AB329" s="515"/>
      <c r="AC329" s="444">
        <f t="shared" ref="AC329:AU329" si="341">AC327/AC325</f>
        <v>2.1201184648709407E-2</v>
      </c>
      <c r="AD329" s="444">
        <f t="shared" si="341"/>
        <v>1.9462370488115551E-2</v>
      </c>
      <c r="AE329" s="444">
        <f t="shared" si="341"/>
        <v>2.1921115658842302E-2</v>
      </c>
      <c r="AF329" s="444">
        <f t="shared" si="341"/>
        <v>2.4414211008026258E-2</v>
      </c>
      <c r="AG329" s="444">
        <f t="shared" si="341"/>
        <v>2.1540203850509625E-2</v>
      </c>
      <c r="AH329" s="444">
        <f t="shared" si="341"/>
        <v>2.287612998009176E-2</v>
      </c>
      <c r="AI329" s="444">
        <f t="shared" si="341"/>
        <v>2.094922758207101E-2</v>
      </c>
      <c r="AJ329" s="444">
        <f t="shared" si="341"/>
        <v>2.6286361411296054E-2</v>
      </c>
      <c r="AK329" s="445">
        <f t="shared" si="341"/>
        <v>2.5283160789993767E-2</v>
      </c>
      <c r="AL329" s="444">
        <f t="shared" si="341"/>
        <v>2.2672557578314857E-2</v>
      </c>
      <c r="AM329" s="444">
        <f t="shared" si="341"/>
        <v>2.1619429909258012E-2</v>
      </c>
      <c r="AN329" s="444">
        <f t="shared" si="341"/>
        <v>2.4012469486040213E-2</v>
      </c>
      <c r="AO329" s="445">
        <f t="shared" si="341"/>
        <v>2.4303720840136274E-2</v>
      </c>
      <c r="AP329" s="444">
        <f t="shared" si="341"/>
        <v>2.4305107548080532E-2</v>
      </c>
      <c r="AQ329" s="444">
        <f t="shared" si="341"/>
        <v>2.2293101442905781E-2</v>
      </c>
      <c r="AR329" s="444">
        <f t="shared" si="341"/>
        <v>2.4550177096944389E-2</v>
      </c>
      <c r="AS329" s="444">
        <f t="shared" si="341"/>
        <v>2.5476372416890537E-2</v>
      </c>
      <c r="AT329" s="475">
        <f t="shared" si="341"/>
        <v>2.2831195726398766E-2</v>
      </c>
      <c r="AU329" s="444">
        <f t="shared" si="341"/>
        <v>2.0527750683850512E-2</v>
      </c>
      <c r="AV329" s="444">
        <v>2.1999999999999999E-2</v>
      </c>
      <c r="AW329" s="445">
        <v>2.3E-2</v>
      </c>
      <c r="AX329" s="475">
        <f>AX327/AX325</f>
        <v>1.4179374187973973E-2</v>
      </c>
      <c r="AY329" s="444"/>
      <c r="AZ329" s="444">
        <f>AZ327/AZ325</f>
        <v>1.855095493467648E-2</v>
      </c>
      <c r="BA329" s="444">
        <f>BA327/BA325</f>
        <v>2.1934762726374301E-2</v>
      </c>
      <c r="BB329" s="475">
        <f>BB327/BB325</f>
        <v>1.7245184823211589E-2</v>
      </c>
      <c r="BC329" s="444"/>
      <c r="BD329" s="2967"/>
      <c r="BE329" s="3004"/>
      <c r="BF329" s="2967"/>
      <c r="BG329" s="444"/>
      <c r="BH329" s="2966"/>
      <c r="BI329" s="3003"/>
      <c r="BJ329" s="2967"/>
      <c r="BK329" s="444"/>
      <c r="BL329" s="2966"/>
      <c r="BM329" s="3003"/>
      <c r="BN329" s="2966"/>
      <c r="BO329" s="3003"/>
      <c r="BP329" s="3003"/>
      <c r="BQ329" s="3367"/>
      <c r="BR329" s="2966"/>
      <c r="BS329" s="2966"/>
      <c r="BT329" s="2966"/>
      <c r="BU329" s="2966"/>
      <c r="BV329" s="2966"/>
      <c r="BW329" s="2966"/>
      <c r="BX329" s="999"/>
      <c r="BY329" s="450">
        <f>BY327/BY325</f>
        <v>2.3683571948556175E-2</v>
      </c>
      <c r="BZ329" s="450">
        <f>BZ327/BZ325</f>
        <v>2.3091976516634048E-2</v>
      </c>
      <c r="CA329" s="475">
        <f>CA327/CA325</f>
        <v>2.4086894246836955E-2</v>
      </c>
      <c r="CB329" s="98">
        <v>2.1999999999999999E-2</v>
      </c>
      <c r="CC329" s="450">
        <f>CC327/CC325</f>
        <v>8.996347467047798E-3</v>
      </c>
      <c r="CD329" s="450">
        <f>CD327/CD325</f>
        <v>1.4760997300301728E-2</v>
      </c>
      <c r="CE329" s="98"/>
      <c r="CF329" s="98"/>
      <c r="CG329" s="98"/>
      <c r="CH329" s="98"/>
    </row>
    <row r="330" spans="1:99">
      <c r="A330" s="452"/>
      <c r="B330" s="27"/>
      <c r="C330" s="27"/>
      <c r="D330" s="27"/>
      <c r="E330" s="97"/>
      <c r="F330" s="27"/>
      <c r="G330" s="27"/>
      <c r="H330" s="56"/>
      <c r="I330" s="56"/>
      <c r="J330" s="56"/>
      <c r="K330" s="56"/>
      <c r="L330" s="223"/>
      <c r="M330" s="56"/>
      <c r="N330" s="56"/>
      <c r="O330" s="56"/>
      <c r="P330" s="56"/>
      <c r="Q330" s="56"/>
      <c r="R330" s="56"/>
      <c r="S330" s="56"/>
      <c r="T330" s="56"/>
      <c r="U330" s="56"/>
      <c r="V330" s="56"/>
      <c r="W330" s="514"/>
      <c r="X330" s="56"/>
      <c r="Y330" s="56"/>
      <c r="Z330" s="56"/>
      <c r="AA330" s="56"/>
      <c r="AB330" s="515"/>
      <c r="AC330" s="56"/>
      <c r="AD330" s="59"/>
      <c r="AE330" s="56"/>
      <c r="AF330" s="56"/>
      <c r="AG330" s="515"/>
      <c r="AH330" s="27"/>
      <c r="AI330" s="27"/>
      <c r="AJ330" s="27"/>
      <c r="AK330" s="97"/>
      <c r="AL330" s="27"/>
      <c r="AM330" s="27"/>
      <c r="AN330" s="27"/>
      <c r="AO330" s="97"/>
      <c r="AP330" s="27"/>
      <c r="AQ330" s="27"/>
      <c r="AR330" s="27"/>
      <c r="AS330" s="27"/>
      <c r="AT330" s="98"/>
      <c r="AU330" s="27"/>
      <c r="AV330" s="211"/>
      <c r="AW330" s="446"/>
      <c r="AX330" s="447"/>
      <c r="AY330" s="211"/>
      <c r="AZ330" s="211"/>
      <c r="BA330" s="211"/>
      <c r="BB330" s="447"/>
      <c r="BC330" s="211"/>
      <c r="BD330" s="211"/>
      <c r="BE330" s="446"/>
      <c r="BF330" s="211"/>
      <c r="BG330" s="211"/>
      <c r="BH330" s="211"/>
      <c r="BI330" s="446"/>
      <c r="BJ330" s="211"/>
      <c r="BK330" s="211"/>
      <c r="BL330" s="211"/>
      <c r="BM330" s="446"/>
      <c r="BN330" s="211"/>
      <c r="BO330" s="446"/>
      <c r="BP330" s="446"/>
      <c r="BQ330" s="446"/>
      <c r="BR330" s="211"/>
      <c r="BS330" s="211"/>
      <c r="BT330" s="211"/>
      <c r="BU330" s="211"/>
      <c r="BV330" s="211"/>
      <c r="BW330" s="211"/>
      <c r="BX330" s="211"/>
      <c r="BY330" s="516"/>
      <c r="BZ330" s="452"/>
      <c r="CA330" s="98"/>
    </row>
    <row r="331" spans="1:99" hidden="1">
      <c r="A331" s="159" t="s">
        <v>1074</v>
      </c>
      <c r="B331" s="143">
        <f>365/(B59/((6.6+6.2)/2))</f>
        <v>42.044636429085671</v>
      </c>
      <c r="C331" s="143">
        <f>365/(C59/((6.644+8.922)/2))</f>
        <v>36.618294074576497</v>
      </c>
      <c r="D331" s="143">
        <f>365/(D59/((13.237+8.922909)/2))</f>
        <v>40.850337297979792</v>
      </c>
      <c r="E331" s="151"/>
      <c r="G331" s="143">
        <f>G5*1000000/((347451+413488+5080700+12036039)/2)</f>
        <v>52.118200137624129</v>
      </c>
      <c r="H331" s="133">
        <f>H5*1000000/((413.488+600.067+12036039+12257102)/2)</f>
        <v>61.122118764754028</v>
      </c>
      <c r="L331" s="226"/>
      <c r="S331" s="150"/>
      <c r="T331" s="150"/>
      <c r="U331" s="150"/>
      <c r="V331" s="150"/>
      <c r="W331" s="149" t="s">
        <v>985</v>
      </c>
      <c r="X331" s="150" t="s">
        <v>985</v>
      </c>
      <c r="Y331" s="150" t="s">
        <v>985</v>
      </c>
      <c r="Z331" s="150" t="s">
        <v>985</v>
      </c>
      <c r="AA331" s="150" t="s">
        <v>985</v>
      </c>
      <c r="AB331" s="153" t="s">
        <v>985</v>
      </c>
      <c r="AC331" s="143"/>
      <c r="AD331" s="143">
        <f>365/4/(AD5*1000/((985024+1123555)/2))</f>
        <v>6.386770024231561</v>
      </c>
      <c r="AE331" s="143">
        <f>365/4/(AE5*1000/((1123555+1242303)/2))</f>
        <v>7.0124258591567594</v>
      </c>
      <c r="AF331" s="143">
        <f>365/4/(AF5*1000/((1242303+1082406)/2))</f>
        <v>7.0946386705685613</v>
      </c>
      <c r="AG331" s="151">
        <f>365/(AG5*1000/((778334+1082406)/2))</f>
        <v>5.6900980227882041</v>
      </c>
      <c r="AH331" s="143">
        <f>365/4/(AH5*1000/((1082406+1363321)/2))</f>
        <v>5.9096649917911241</v>
      </c>
      <c r="AI331" s="143">
        <f>365/4/(AI5*1000/((1363321+1454518)/2))</f>
        <v>6.8164608274834579</v>
      </c>
      <c r="AJ331" s="143">
        <f>365/4/(AJ5*1000/((1454518+1383774)/2))</f>
        <v>6.9678274145816523</v>
      </c>
      <c r="AK331" s="151">
        <f>365/4/(AK5*1000/((1383774+1343247)/2))</f>
        <v>7.7260514856557378</v>
      </c>
      <c r="AL331" s="143">
        <f>365/4/(AL5*1000/((1343247+1579657)/2))</f>
        <v>5.6482761760756954</v>
      </c>
      <c r="AM331" s="143">
        <f>365/4/(AM5*1000/((1579657+1809618)/2))</f>
        <v>6.7710702861934431</v>
      </c>
      <c r="AN331" s="143"/>
      <c r="AO331" s="151">
        <v>8.5435495284808685</v>
      </c>
      <c r="AP331" s="143">
        <f>365/4/(AP5*1000/((2253000+1866000)/2))</f>
        <v>6.9101844021179586</v>
      </c>
      <c r="AQ331" s="143">
        <f>365/4/(AQ5*1000/((2359000+1866000)/2))</f>
        <v>7.4432629932813343</v>
      </c>
      <c r="AR331" s="143">
        <f>365/4/(AR5*1000/((2294000+1866000)/2))</f>
        <v>7.6916842275895609</v>
      </c>
      <c r="AS331" s="143"/>
      <c r="AT331" s="171"/>
      <c r="AU331" s="143"/>
      <c r="AV331" s="143"/>
      <c r="AW331" s="151"/>
      <c r="AX331" s="171"/>
      <c r="AY331" s="143"/>
      <c r="AZ331" s="143"/>
      <c r="BA331" s="143"/>
      <c r="BB331" s="171"/>
      <c r="BC331" s="143"/>
      <c r="BD331" s="143"/>
      <c r="BE331" s="151"/>
      <c r="BF331" s="143"/>
      <c r="BG331" s="143"/>
      <c r="BH331" s="143"/>
      <c r="BI331" s="151"/>
      <c r="BJ331" s="143"/>
      <c r="BK331" s="143"/>
      <c r="BL331" s="143"/>
      <c r="BM331" s="151"/>
      <c r="BN331" s="143"/>
      <c r="BO331" s="151"/>
      <c r="BP331" s="151"/>
      <c r="BQ331" s="3369"/>
      <c r="BR331" s="143"/>
      <c r="BS331" s="143"/>
      <c r="BT331" s="143"/>
      <c r="BU331" s="143"/>
      <c r="BV331" s="143"/>
      <c r="BW331" s="143"/>
      <c r="BX331" s="143"/>
      <c r="BY331" s="460">
        <f>365/(BY5*1000/((1082406+1343247)/2))</f>
        <v>6.1117708232662808</v>
      </c>
      <c r="BZ331" s="460">
        <v>6.6246279005321771</v>
      </c>
      <c r="CA331" s="171"/>
    </row>
    <row r="332" spans="1:99" hidden="1">
      <c r="H332" s="143"/>
      <c r="I332" s="143"/>
      <c r="J332" s="143"/>
      <c r="K332" s="143"/>
      <c r="M332" s="143"/>
      <c r="N332" s="143"/>
      <c r="O332" s="143"/>
      <c r="P332" s="143"/>
      <c r="Q332" s="143"/>
      <c r="R332" s="143"/>
      <c r="S332" s="143"/>
      <c r="T332" s="143"/>
      <c r="U332" s="143"/>
      <c r="V332" s="143"/>
      <c r="W332" s="171">
        <f>365/(W59/((267.27+307.817)/2))</f>
        <v>35.512097917525253</v>
      </c>
      <c r="X332" s="143">
        <f>365/(X59/((307.817+328.468)/2))</f>
        <v>38.27804917846354</v>
      </c>
      <c r="Y332" s="143">
        <f>365/(Y59/((275.846+339.427)/2))</f>
        <v>32.556401708432773</v>
      </c>
      <c r="Z332" s="143">
        <f>365/(Z59*1000/((461531+614735)/2))</f>
        <v>48.734896771915672</v>
      </c>
      <c r="AA332" s="143">
        <f>365/(AA59*1000/((461531+614735)/2))</f>
        <v>41.169261161182142</v>
      </c>
      <c r="AB332" s="151">
        <f>365/(AB59*1000/((614735+778334)/2))</f>
        <v>44.111347995179997</v>
      </c>
      <c r="AC332" s="143"/>
      <c r="AD332" s="143"/>
      <c r="AE332" s="143"/>
      <c r="AF332" s="143"/>
      <c r="AG332" s="151">
        <f>365/(AG59*1000/((778334+1082406)/2))</f>
        <v>51.211740310662044</v>
      </c>
      <c r="BY332" s="460"/>
    </row>
    <row r="333" spans="1:99" s="138" customFormat="1" hidden="1">
      <c r="A333" s="159"/>
      <c r="B333" s="133"/>
      <c r="C333" s="133"/>
      <c r="D333" s="133"/>
      <c r="E333" s="136"/>
      <c r="F333" s="133"/>
      <c r="G333" s="133"/>
      <c r="H333" s="133"/>
      <c r="I333" s="133"/>
      <c r="J333" s="133"/>
      <c r="K333" s="133"/>
      <c r="L333" s="219"/>
      <c r="M333" s="133"/>
      <c r="N333" s="133"/>
      <c r="O333" s="133"/>
      <c r="P333" s="133"/>
      <c r="Q333" s="133"/>
      <c r="R333" s="133"/>
      <c r="S333" s="133"/>
      <c r="T333" s="133"/>
      <c r="U333" s="133"/>
      <c r="V333" s="133"/>
      <c r="W333" s="137"/>
      <c r="X333" s="133"/>
      <c r="Y333" s="133"/>
      <c r="Z333" s="133"/>
      <c r="AA333" s="133"/>
      <c r="AB333" s="136"/>
      <c r="AC333" s="133"/>
      <c r="AD333" s="133"/>
      <c r="AE333" s="133"/>
      <c r="AF333" s="133"/>
      <c r="AG333" s="136"/>
      <c r="AH333" s="133"/>
      <c r="AI333" s="133"/>
      <c r="AJ333" s="133"/>
      <c r="AK333" s="136"/>
      <c r="AL333" s="133"/>
      <c r="AM333" s="133"/>
      <c r="AN333" s="133"/>
      <c r="AO333" s="136"/>
      <c r="AP333" s="133"/>
      <c r="AQ333" s="133"/>
      <c r="AR333" s="133"/>
      <c r="AS333" s="133"/>
      <c r="AT333" s="137"/>
      <c r="AU333" s="133"/>
      <c r="AV333" s="133"/>
      <c r="AW333" s="136"/>
      <c r="AX333" s="137"/>
      <c r="AY333" s="133"/>
      <c r="AZ333" s="133"/>
      <c r="BA333" s="133"/>
      <c r="BB333" s="137"/>
      <c r="BC333" s="133"/>
      <c r="BD333" s="133"/>
      <c r="BE333" s="136"/>
      <c r="BF333" s="133"/>
      <c r="BG333" s="133"/>
      <c r="BH333" s="133"/>
      <c r="BI333" s="136"/>
      <c r="BJ333" s="133"/>
      <c r="BK333" s="133"/>
      <c r="BL333" s="133"/>
      <c r="BM333" s="136"/>
      <c r="BN333" s="133"/>
      <c r="BO333" s="136"/>
      <c r="BP333" s="136"/>
      <c r="BQ333" s="3332"/>
      <c r="BR333" s="133"/>
      <c r="BS333" s="133"/>
      <c r="BT333" s="133"/>
      <c r="BU333" s="133"/>
      <c r="BV333" s="133"/>
      <c r="BW333" s="133"/>
      <c r="BX333" s="133"/>
      <c r="BY333" s="159"/>
      <c r="BZ333" s="159"/>
      <c r="CA333" s="137"/>
      <c r="CB333" s="137"/>
      <c r="CC333" s="137"/>
      <c r="CD333" s="137"/>
      <c r="CE333" s="137"/>
      <c r="CF333" s="137"/>
      <c r="CG333" s="3381"/>
      <c r="CH333" s="3381"/>
      <c r="CI333" s="133"/>
      <c r="CJ333" s="133"/>
      <c r="CK333" s="133"/>
      <c r="CL333" s="133"/>
      <c r="CM333" s="133"/>
      <c r="CN333" s="133"/>
      <c r="CO333" s="133"/>
      <c r="CP333" s="133"/>
      <c r="CQ333" s="133"/>
      <c r="CR333" s="133"/>
      <c r="CS333" s="133"/>
      <c r="CT333" s="133"/>
      <c r="CU333" s="133"/>
    </row>
    <row r="334" spans="1:99" s="138" customFormat="1" ht="11.5" hidden="1">
      <c r="A334" s="176"/>
      <c r="B334" s="5" t="s">
        <v>1036</v>
      </c>
      <c r="C334" s="5" t="s">
        <v>1036</v>
      </c>
      <c r="D334" s="5" t="s">
        <v>1036</v>
      </c>
      <c r="E334" s="96" t="s">
        <v>1036</v>
      </c>
      <c r="F334" s="5" t="s">
        <v>10</v>
      </c>
      <c r="G334" s="5" t="s">
        <v>10</v>
      </c>
      <c r="H334" s="5" t="s">
        <v>1037</v>
      </c>
      <c r="I334" s="5" t="s">
        <v>1037</v>
      </c>
      <c r="J334" s="5" t="s">
        <v>1037</v>
      </c>
      <c r="K334" s="5"/>
      <c r="L334" s="220"/>
      <c r="M334" s="5" t="s">
        <v>1075</v>
      </c>
      <c r="N334" s="5"/>
      <c r="O334" s="5"/>
      <c r="P334" s="5"/>
      <c r="Q334" s="5"/>
      <c r="R334" s="5"/>
      <c r="S334" s="5" t="s">
        <v>1075</v>
      </c>
      <c r="T334" s="5" t="s">
        <v>1075</v>
      </c>
      <c r="U334" s="5" t="s">
        <v>1075</v>
      </c>
      <c r="V334" s="5" t="s">
        <v>1075</v>
      </c>
      <c r="W334" s="18" t="s">
        <v>1075</v>
      </c>
      <c r="X334" s="5" t="s">
        <v>1075</v>
      </c>
      <c r="Y334" s="5" t="s">
        <v>1075</v>
      </c>
      <c r="Z334" s="5" t="s">
        <v>1075</v>
      </c>
      <c r="AA334" s="5" t="s">
        <v>1075</v>
      </c>
      <c r="AB334" s="96" t="s">
        <v>1075</v>
      </c>
      <c r="AC334" s="5"/>
      <c r="AD334" s="5" t="s">
        <v>1075</v>
      </c>
      <c r="AE334" s="5" t="s">
        <v>1075</v>
      </c>
      <c r="AF334" s="5" t="s">
        <v>1075</v>
      </c>
      <c r="AG334" s="96" t="s">
        <v>1075</v>
      </c>
      <c r="AH334" s="5" t="s">
        <v>1075</v>
      </c>
      <c r="AI334" s="5" t="s">
        <v>1075</v>
      </c>
      <c r="AJ334" s="5" t="s">
        <v>1075</v>
      </c>
      <c r="AK334" s="96" t="s">
        <v>1075</v>
      </c>
      <c r="AL334" s="5" t="s">
        <v>1075</v>
      </c>
      <c r="AM334" s="5" t="s">
        <v>1075</v>
      </c>
      <c r="AN334" s="5" t="s">
        <v>1075</v>
      </c>
      <c r="AO334" s="96" t="s">
        <v>702</v>
      </c>
      <c r="AP334" s="5" t="s">
        <v>1075</v>
      </c>
      <c r="AQ334" s="5" t="s">
        <v>1075</v>
      </c>
      <c r="AR334" s="5" t="s">
        <v>1075</v>
      </c>
      <c r="AS334" s="6" t="s">
        <v>702</v>
      </c>
      <c r="AT334" s="21" t="s">
        <v>702</v>
      </c>
      <c r="AU334" s="6"/>
      <c r="AV334" s="6"/>
      <c r="AW334" s="96"/>
      <c r="AX334" s="18"/>
      <c r="AY334" s="5"/>
      <c r="AZ334" s="5"/>
      <c r="BA334" s="5"/>
      <c r="BB334" s="18"/>
      <c r="BC334" s="5"/>
      <c r="BD334" s="5"/>
      <c r="BE334" s="96"/>
      <c r="BF334" s="5"/>
      <c r="BG334" s="14"/>
      <c r="BH334" s="6"/>
      <c r="BI334" s="111"/>
      <c r="BJ334" s="5"/>
      <c r="BK334" s="6"/>
      <c r="BL334" s="6"/>
      <c r="BM334" s="111"/>
      <c r="BN334" s="6"/>
      <c r="BO334" s="111"/>
      <c r="BP334" s="111"/>
      <c r="BQ334" s="3358"/>
      <c r="BR334" s="6"/>
      <c r="BS334" s="6"/>
      <c r="BT334" s="6"/>
      <c r="BU334" s="6"/>
      <c r="BV334" s="6"/>
      <c r="BW334" s="6"/>
      <c r="BX334" s="6"/>
      <c r="BY334" s="61" t="s">
        <v>1075</v>
      </c>
      <c r="BZ334" s="61" t="s">
        <v>702</v>
      </c>
      <c r="CA334" s="18" t="s">
        <v>702</v>
      </c>
      <c r="CB334" s="137"/>
      <c r="CC334" s="137"/>
      <c r="CD334" s="137"/>
      <c r="CE334" s="137"/>
      <c r="CF334" s="137"/>
      <c r="CG334" s="3381"/>
      <c r="CH334" s="3381"/>
      <c r="CI334" s="133"/>
      <c r="CJ334" s="133"/>
      <c r="CK334" s="133"/>
      <c r="CL334" s="133"/>
      <c r="CM334" s="133"/>
      <c r="CN334" s="133"/>
      <c r="CO334" s="133"/>
      <c r="CP334" s="133"/>
      <c r="CQ334" s="133"/>
      <c r="CR334" s="133"/>
      <c r="CS334" s="133"/>
      <c r="CT334" s="133"/>
      <c r="CU334" s="133"/>
    </row>
    <row r="335" spans="1:99" ht="11.5" hidden="1">
      <c r="A335" s="61" t="s">
        <v>1076</v>
      </c>
      <c r="B335" s="5">
        <v>2009</v>
      </c>
      <c r="C335" s="5">
        <v>2010</v>
      </c>
      <c r="D335" s="5">
        <v>2011</v>
      </c>
      <c r="E335" s="96">
        <v>2012</v>
      </c>
      <c r="F335" s="5">
        <v>2009</v>
      </c>
      <c r="G335" s="5">
        <v>2010</v>
      </c>
      <c r="H335" s="5">
        <v>2011</v>
      </c>
      <c r="I335" s="5">
        <v>2012</v>
      </c>
      <c r="J335" s="5">
        <v>2013</v>
      </c>
      <c r="K335" s="5"/>
      <c r="L335" s="220"/>
      <c r="M335" s="5">
        <v>2009</v>
      </c>
      <c r="N335" s="5"/>
      <c r="O335" s="5"/>
      <c r="P335" s="5"/>
      <c r="Q335" s="5"/>
      <c r="R335" s="5"/>
      <c r="S335" s="5">
        <v>2009</v>
      </c>
      <c r="T335" s="5">
        <v>2010</v>
      </c>
      <c r="U335" s="5">
        <v>2011</v>
      </c>
      <c r="V335" s="5">
        <v>2011</v>
      </c>
      <c r="W335" s="18">
        <v>2009</v>
      </c>
      <c r="X335" s="5">
        <v>2010</v>
      </c>
      <c r="Y335" s="5">
        <v>2011</v>
      </c>
      <c r="Z335" s="5">
        <v>2012</v>
      </c>
      <c r="AA335" s="5">
        <v>2013</v>
      </c>
      <c r="AB335" s="96">
        <v>2014</v>
      </c>
      <c r="AC335" s="5"/>
      <c r="AD335" s="5" t="s">
        <v>1077</v>
      </c>
      <c r="AE335" s="5" t="s">
        <v>699</v>
      </c>
      <c r="AF335" s="5" t="s">
        <v>700</v>
      </c>
      <c r="AG335" s="96">
        <v>2015</v>
      </c>
      <c r="AH335" s="5" t="s">
        <v>982</v>
      </c>
      <c r="AI335" s="5" t="s">
        <v>1038</v>
      </c>
      <c r="AJ335" s="5" t="s">
        <v>760</v>
      </c>
      <c r="AK335" s="96" t="s">
        <v>1078</v>
      </c>
      <c r="AL335" s="5" t="s">
        <v>1040</v>
      </c>
      <c r="AM335" s="5" t="s">
        <v>772</v>
      </c>
      <c r="AN335" s="5" t="s">
        <v>773</v>
      </c>
      <c r="AO335" s="96" t="s">
        <v>774</v>
      </c>
      <c r="AP335" s="5" t="s">
        <v>1176</v>
      </c>
      <c r="AQ335" s="5" t="s">
        <v>1177</v>
      </c>
      <c r="AR335" s="5" t="s">
        <v>1178</v>
      </c>
      <c r="AS335" s="6" t="s">
        <v>1179</v>
      </c>
      <c r="AT335" s="21" t="s">
        <v>1179</v>
      </c>
      <c r="AU335" s="6"/>
      <c r="AV335" s="6"/>
      <c r="AW335" s="96"/>
      <c r="AX335" s="18"/>
      <c r="AY335" s="5"/>
      <c r="AZ335" s="5"/>
      <c r="BA335" s="5"/>
      <c r="BB335" s="18"/>
      <c r="BC335" s="5"/>
      <c r="BD335" s="5"/>
      <c r="BE335" s="96"/>
      <c r="BF335" s="5"/>
      <c r="BG335" s="14"/>
      <c r="BH335" s="6"/>
      <c r="BI335" s="111"/>
      <c r="BJ335" s="5"/>
      <c r="BK335" s="6"/>
      <c r="BL335" s="6"/>
      <c r="BM335" s="111"/>
      <c r="BN335" s="6"/>
      <c r="BO335" s="111"/>
      <c r="BP335" s="111"/>
      <c r="BQ335" s="3358"/>
      <c r="BR335" s="6"/>
      <c r="BS335" s="6"/>
      <c r="BT335" s="6"/>
      <c r="BU335" s="6"/>
      <c r="BV335" s="6"/>
      <c r="BW335" s="6"/>
      <c r="BX335" s="6"/>
      <c r="BY335" s="61">
        <v>2016</v>
      </c>
      <c r="BZ335" s="61">
        <v>2017</v>
      </c>
      <c r="CA335" s="18">
        <v>2018</v>
      </c>
    </row>
    <row r="336" spans="1:99" hidden="1">
      <c r="A336" s="159" t="s">
        <v>1308</v>
      </c>
      <c r="B336" s="143">
        <f>49973/1000/2/2</f>
        <v>12.49325</v>
      </c>
      <c r="C336" s="181">
        <f>51655/1000/2/2</f>
        <v>12.91375</v>
      </c>
      <c r="D336" s="181">
        <v>16.991</v>
      </c>
      <c r="E336" s="151"/>
      <c r="F336" s="182">
        <f>F210</f>
        <v>29.762</v>
      </c>
      <c r="G336" s="182">
        <f>G210</f>
        <v>29.846</v>
      </c>
      <c r="H336" s="143">
        <f>H210</f>
        <v>36.512999999999998</v>
      </c>
      <c r="I336" s="143">
        <f>I210</f>
        <v>38.234070000000003</v>
      </c>
      <c r="J336" s="143">
        <v>37.315434000000003</v>
      </c>
      <c r="K336" s="143"/>
      <c r="L336" s="236"/>
      <c r="M336" s="143"/>
      <c r="N336" s="143"/>
      <c r="O336" s="143"/>
      <c r="P336" s="143"/>
      <c r="Q336" s="143"/>
      <c r="R336" s="143"/>
      <c r="S336" s="143"/>
      <c r="T336" s="143"/>
      <c r="U336" s="143"/>
      <c r="V336" s="143"/>
      <c r="W336" s="171">
        <v>292.14100000000002</v>
      </c>
      <c r="X336" s="143">
        <v>144.01400000000001</v>
      </c>
      <c r="Y336" s="143">
        <v>138.702</v>
      </c>
      <c r="Z336" s="143">
        <v>139.929</v>
      </c>
      <c r="AA336" s="143">
        <v>139.929</v>
      </c>
      <c r="AB336" s="151">
        <v>133.16800000000001</v>
      </c>
      <c r="AC336" s="143"/>
      <c r="AD336" s="143">
        <v>132.96</v>
      </c>
      <c r="AE336" s="143">
        <v>133.417</v>
      </c>
      <c r="AF336" s="143">
        <v>134.12799999999999</v>
      </c>
      <c r="AG336" s="151">
        <v>134.018</v>
      </c>
      <c r="AH336" s="143">
        <v>151.05199999999999</v>
      </c>
      <c r="AI336" s="143">
        <v>153.53200000000001</v>
      </c>
      <c r="AJ336" s="143">
        <v>154.23599999999999</v>
      </c>
      <c r="AK336" s="151">
        <v>155.071</v>
      </c>
      <c r="AL336" s="374">
        <v>150.53100000000001</v>
      </c>
      <c r="AM336" s="374">
        <v>157.03299999999999</v>
      </c>
      <c r="AN336" s="374">
        <v>157.76</v>
      </c>
      <c r="AO336" s="552">
        <v>155.97399999999999</v>
      </c>
      <c r="AP336" s="374">
        <v>151.81700000000001</v>
      </c>
      <c r="AQ336" s="374">
        <v>152.61699999999999</v>
      </c>
      <c r="AR336" s="374">
        <v>153153</v>
      </c>
      <c r="AS336" s="374"/>
      <c r="AT336" s="2851"/>
      <c r="AU336" s="374"/>
      <c r="AV336" s="374"/>
      <c r="AW336" s="552"/>
      <c r="AX336" s="2851"/>
      <c r="AY336" s="374"/>
      <c r="AZ336" s="374"/>
      <c r="BA336" s="374"/>
      <c r="BB336" s="2851"/>
      <c r="BC336" s="374"/>
      <c r="BD336" s="374"/>
      <c r="BE336" s="552"/>
      <c r="BF336" s="374"/>
      <c r="BG336" s="374"/>
      <c r="BH336" s="374"/>
      <c r="BI336" s="552"/>
      <c r="BJ336" s="374"/>
      <c r="BK336" s="374"/>
      <c r="BL336" s="374"/>
      <c r="BM336" s="552"/>
      <c r="BN336" s="374"/>
      <c r="BO336" s="552"/>
      <c r="BP336" s="552"/>
      <c r="BQ336" s="3370"/>
      <c r="BR336" s="374"/>
      <c r="BS336" s="374"/>
      <c r="BT336" s="374"/>
      <c r="BU336" s="374"/>
      <c r="BV336" s="374"/>
      <c r="BW336" s="374"/>
      <c r="BX336" s="374"/>
      <c r="BY336" s="460">
        <v>154.517</v>
      </c>
      <c r="BZ336" s="1017">
        <v>156.38499999999999</v>
      </c>
      <c r="CA336" s="2851"/>
    </row>
    <row r="337" spans="1:99" hidden="1">
      <c r="A337" s="159" t="s">
        <v>1079</v>
      </c>
      <c r="B337" s="89" t="s">
        <v>985</v>
      </c>
      <c r="C337" s="89" t="s">
        <v>985</v>
      </c>
      <c r="D337" s="89">
        <f>D354/D213</f>
        <v>73</v>
      </c>
      <c r="F337" s="150" t="s">
        <v>985</v>
      </c>
      <c r="G337" s="150" t="s">
        <v>985</v>
      </c>
      <c r="H337" s="89">
        <f>H345/H213</f>
        <v>195.4</v>
      </c>
      <c r="I337" s="89">
        <f>I345/I213</f>
        <v>120.89473684210526</v>
      </c>
      <c r="J337" s="89" t="s">
        <v>1080</v>
      </c>
      <c r="K337" s="89" t="s">
        <v>1080</v>
      </c>
      <c r="L337" s="237"/>
      <c r="M337" s="89"/>
      <c r="N337" s="89"/>
      <c r="O337" s="89"/>
      <c r="P337" s="89"/>
      <c r="Q337" s="89"/>
      <c r="R337" s="89"/>
      <c r="S337" s="89"/>
      <c r="T337" s="89"/>
      <c r="U337" s="89"/>
      <c r="V337" s="143"/>
      <c r="W337" s="109" t="s">
        <v>985</v>
      </c>
      <c r="X337" s="89">
        <f>X345/X212</f>
        <v>17.167464114832537</v>
      </c>
      <c r="Y337" s="89">
        <f>Y345/Y212</f>
        <v>12.196581196581198</v>
      </c>
      <c r="Z337" s="89">
        <f>Z345/Z212</f>
        <v>30.495000000000001</v>
      </c>
      <c r="AA337" s="89">
        <f>AA345/AA212</f>
        <v>41.712574850299404</v>
      </c>
      <c r="AB337" s="110">
        <f>AB345/AB212</f>
        <v>14.975438596491227</v>
      </c>
      <c r="AC337" s="89"/>
      <c r="AD337" s="89"/>
      <c r="AE337" s="89"/>
      <c r="AF337" s="89"/>
      <c r="AG337" s="110">
        <f>AG345/AG213</f>
        <v>41.571906354515043</v>
      </c>
      <c r="AH337" s="89">
        <f>AH336/SUM(AD213:AF213,AH213)</f>
        <v>32.207249466950955</v>
      </c>
      <c r="AI337" s="89">
        <f>AI345/SUM(AE213:AF213,AH213:AI213)</f>
        <v>69.93421052631578</v>
      </c>
      <c r="AJ337" s="89">
        <f>AJ345/SUM(AF213:AG213,AI213:AJ213)</f>
        <v>23.723577235772357</v>
      </c>
      <c r="AK337" s="110">
        <f>AK345/SUM(AH213:AK213)</f>
        <v>62.585635359116019</v>
      </c>
      <c r="AL337" s="89">
        <f>AL345/SUM(AJ213:AL213)</f>
        <v>72.097142857142842</v>
      </c>
      <c r="AM337" s="89">
        <f>AM345/SUM(AK213:AM213)</f>
        <v>496.49999999999989</v>
      </c>
      <c r="AN337" s="89">
        <f>AN345/SUM(AL213:AN213)</f>
        <v>71.257425742574256</v>
      </c>
      <c r="AO337" s="110">
        <v>50.53586497890295</v>
      </c>
      <c r="AP337" s="89">
        <f>AP345/SUM(AN213:AP213)</f>
        <v>66.113772455089816</v>
      </c>
      <c r="AQ337" s="89">
        <f>AQ345/SUM(AO213:AQ213)</f>
        <v>-228.72727272727269</v>
      </c>
      <c r="AR337" s="89">
        <f>AR345/SUM(AP213:AR213)</f>
        <v>46.47035573122529</v>
      </c>
      <c r="AS337" s="89"/>
      <c r="AT337" s="109"/>
      <c r="AU337" s="89"/>
      <c r="AV337" s="89"/>
      <c r="AW337" s="110"/>
      <c r="AX337" s="109"/>
      <c r="AY337" s="89"/>
      <c r="AZ337" s="89"/>
      <c r="BA337" s="89"/>
      <c r="BB337" s="109"/>
      <c r="BC337" s="89"/>
      <c r="BD337" s="89"/>
      <c r="BE337" s="110"/>
      <c r="BF337" s="89"/>
      <c r="BG337" s="89"/>
      <c r="BH337" s="89"/>
      <c r="BI337" s="110"/>
      <c r="BJ337" s="89"/>
      <c r="BK337" s="89"/>
      <c r="BL337" s="89"/>
      <c r="BM337" s="110"/>
      <c r="BN337" s="89"/>
      <c r="BO337" s="110"/>
      <c r="BP337" s="110"/>
      <c r="BQ337" s="110"/>
      <c r="BR337" s="89"/>
      <c r="BS337" s="89"/>
      <c r="BT337" s="89"/>
      <c r="BU337" s="89"/>
      <c r="BV337" s="89"/>
      <c r="BW337" s="89"/>
      <c r="BX337" s="89"/>
      <c r="BY337" s="459">
        <f>BY345/BY213</f>
        <v>62.241758241758241</v>
      </c>
      <c r="BZ337" s="1017">
        <v>49.491735537190081</v>
      </c>
      <c r="CA337" s="2851"/>
    </row>
    <row r="338" spans="1:99" hidden="1">
      <c r="A338" s="159" t="s">
        <v>1081</v>
      </c>
      <c r="B338" s="89" t="s">
        <v>985</v>
      </c>
      <c r="C338" s="89" t="s">
        <v>985</v>
      </c>
      <c r="D338" s="89">
        <f>(D354/D213)/(D213/C213-1)/100</f>
        <v>1.0949999999999998</v>
      </c>
      <c r="F338" s="150" t="s">
        <v>985</v>
      </c>
      <c r="G338" s="150" t="s">
        <v>985</v>
      </c>
      <c r="H338" s="89">
        <f>H337/H214</f>
        <v>-136.78</v>
      </c>
      <c r="I338" s="89">
        <f>I337/I214</f>
        <v>453.35526315789446</v>
      </c>
      <c r="J338" s="89" t="s">
        <v>1080</v>
      </c>
      <c r="K338" s="89" t="s">
        <v>1080</v>
      </c>
      <c r="L338" s="237"/>
      <c r="M338" s="89"/>
      <c r="N338" s="89"/>
      <c r="O338" s="89"/>
      <c r="P338" s="89"/>
      <c r="Q338" s="89"/>
      <c r="R338" s="89"/>
      <c r="S338" s="89"/>
      <c r="T338" s="89"/>
      <c r="U338" s="89"/>
      <c r="V338" s="156"/>
      <c r="W338" s="109" t="s">
        <v>985</v>
      </c>
      <c r="X338" s="89">
        <f>X337/X213</f>
        <v>42.632535885167485</v>
      </c>
      <c r="Y338" s="89">
        <f>Y337/Y213</f>
        <v>101.96341880341875</v>
      </c>
      <c r="Z338" s="89" t="s">
        <v>1080</v>
      </c>
      <c r="AA338" s="89" t="s">
        <v>1080</v>
      </c>
      <c r="AB338" s="110">
        <f>AB337/AB213</f>
        <v>6.2057028427147269</v>
      </c>
      <c r="AC338" s="89"/>
      <c r="AD338" s="89"/>
      <c r="AE338" s="89"/>
      <c r="AF338" s="89"/>
      <c r="AG338" s="110" t="s">
        <v>1080</v>
      </c>
      <c r="AH338" s="89" t="s">
        <v>1080</v>
      </c>
      <c r="AI338" s="89" t="s">
        <v>1080</v>
      </c>
      <c r="AJ338" s="89" t="s">
        <v>1080</v>
      </c>
      <c r="AK338" s="110"/>
      <c r="AL338" s="89"/>
      <c r="AM338" s="89"/>
      <c r="AN338" s="89"/>
      <c r="AO338" s="110"/>
      <c r="AP338" s="89"/>
      <c r="AQ338" s="89"/>
      <c r="AR338" s="89"/>
      <c r="AS338" s="89"/>
      <c r="AT338" s="109"/>
      <c r="AU338" s="89"/>
      <c r="AV338" s="89"/>
      <c r="AW338" s="110"/>
      <c r="AX338" s="109"/>
      <c r="AY338" s="89"/>
      <c r="AZ338" s="89"/>
      <c r="BA338" s="89"/>
      <c r="BB338" s="109"/>
      <c r="BC338" s="89"/>
      <c r="BD338" s="89"/>
      <c r="BE338" s="110"/>
      <c r="BF338" s="89"/>
      <c r="BG338" s="89"/>
      <c r="BH338" s="89"/>
      <c r="BI338" s="110"/>
      <c r="BJ338" s="89"/>
      <c r="BK338" s="89"/>
      <c r="BL338" s="89"/>
      <c r="BM338" s="110"/>
      <c r="BN338" s="89"/>
      <c r="BO338" s="110"/>
      <c r="BP338" s="110"/>
      <c r="BQ338" s="110"/>
      <c r="BR338" s="89"/>
      <c r="BS338" s="89"/>
      <c r="BT338" s="89"/>
      <c r="BU338" s="89"/>
      <c r="BV338" s="89"/>
      <c r="BW338" s="89"/>
      <c r="BX338" s="89"/>
      <c r="BY338" s="459"/>
      <c r="BZ338" s="1017"/>
      <c r="CA338" s="2851"/>
    </row>
    <row r="339" spans="1:99" hidden="1">
      <c r="A339" s="159" t="s">
        <v>1082</v>
      </c>
      <c r="B339" s="89">
        <f t="shared" ref="B339:R339" si="342">B345/B212</f>
        <v>0</v>
      </c>
      <c r="C339" s="89">
        <f t="shared" si="342"/>
        <v>0</v>
      </c>
      <c r="D339" s="89">
        <f t="shared" si="342"/>
        <v>0</v>
      </c>
      <c r="E339" s="110">
        <f t="shared" si="342"/>
        <v>0</v>
      </c>
      <c r="F339" s="150">
        <f t="shared" si="342"/>
        <v>0</v>
      </c>
      <c r="G339" s="150">
        <f t="shared" si="342"/>
        <v>0</v>
      </c>
      <c r="H339" s="89">
        <f t="shared" si="342"/>
        <v>172.41176470588232</v>
      </c>
      <c r="I339" s="89">
        <f t="shared" si="342"/>
        <v>114.85</v>
      </c>
      <c r="J339" s="89">
        <f t="shared" si="342"/>
        <v>-18.783783783783786</v>
      </c>
      <c r="K339" s="89" t="e">
        <f t="shared" si="342"/>
        <v>#DIV/0!</v>
      </c>
      <c r="L339" s="227" t="e">
        <f t="shared" si="342"/>
        <v>#DIV/0!</v>
      </c>
      <c r="M339" s="89" t="e">
        <f t="shared" si="342"/>
        <v>#DIV/0!</v>
      </c>
      <c r="N339" s="89" t="e">
        <f t="shared" si="342"/>
        <v>#DIV/0!</v>
      </c>
      <c r="O339" s="89" t="e">
        <f t="shared" si="342"/>
        <v>#DIV/0!</v>
      </c>
      <c r="P339" s="89" t="e">
        <f t="shared" si="342"/>
        <v>#DIV/0!</v>
      </c>
      <c r="Q339" s="89">
        <f t="shared" si="342"/>
        <v>0</v>
      </c>
      <c r="R339" s="89">
        <f t="shared" si="342"/>
        <v>0</v>
      </c>
      <c r="S339" s="89">
        <f t="shared" ref="S339:AB339" si="343">S345/S211</f>
        <v>0</v>
      </c>
      <c r="T339" s="89">
        <f t="shared" si="343"/>
        <v>0</v>
      </c>
      <c r="U339" s="89">
        <f t="shared" si="343"/>
        <v>0</v>
      </c>
      <c r="V339" s="89">
        <f t="shared" si="343"/>
        <v>0</v>
      </c>
      <c r="W339" s="109">
        <f t="shared" si="343"/>
        <v>0</v>
      </c>
      <c r="X339" s="89">
        <f t="shared" si="343"/>
        <v>16.766355140186917</v>
      </c>
      <c r="Y339" s="89">
        <f t="shared" si="343"/>
        <v>11.941422594142258</v>
      </c>
      <c r="Z339" s="89">
        <f t="shared" si="343"/>
        <v>29.181818181818183</v>
      </c>
      <c r="AA339" s="89">
        <f t="shared" si="343"/>
        <v>40.265895953757223</v>
      </c>
      <c r="AB339" s="110">
        <f t="shared" si="343"/>
        <v>14.541737649063032</v>
      </c>
      <c r="AC339" s="89"/>
      <c r="AD339" s="89"/>
      <c r="AE339" s="89"/>
      <c r="AF339" s="89"/>
      <c r="AG339" s="110">
        <f>AG345/AG212</f>
        <v>40.226537216828483</v>
      </c>
      <c r="AH339" s="89">
        <f>AH336/SUM(AD212:AF212,AH212)</f>
        <v>31.080658436213987</v>
      </c>
      <c r="AI339" s="89">
        <f>AI345/SUM(AE212:AF212,AH212:AI212)</f>
        <v>67.278481012658219</v>
      </c>
      <c r="AJ339" s="89">
        <f>AJ345/SUM(AF212:AG212,AI212:AJ212)</f>
        <v>23.021696252465482</v>
      </c>
      <c r="AK339" s="110">
        <f>AK345/SUM(AH212:AK212)</f>
        <v>60.255319148936167</v>
      </c>
      <c r="AL339" s="89">
        <f>AL345/SUM(AJ212:AL212)</f>
        <v>69.324175824175811</v>
      </c>
      <c r="AM339" s="89">
        <f>AM345/SUM(AK212:AM212)</f>
        <v>451.36363636363626</v>
      </c>
      <c r="AN339" s="89">
        <f>AN345/SUM(AL212:AN212)</f>
        <v>67.896226415094333</v>
      </c>
      <c r="AO339" s="110">
        <v>48.29435483870968</v>
      </c>
      <c r="AP339" s="89">
        <f>AP345/SUM(AN212:AP212)</f>
        <v>62.378531073446339</v>
      </c>
      <c r="AQ339" s="89">
        <f>AQ345/SUM(AO212:AQ212)</f>
        <v>-232.96296296296293</v>
      </c>
      <c r="AR339" s="89">
        <f>AR345/SUM(AP212:AR212)</f>
        <v>45.045977011494251</v>
      </c>
      <c r="AS339" s="89"/>
      <c r="AT339" s="109"/>
      <c r="AU339" s="89"/>
      <c r="AV339" s="89"/>
      <c r="AW339" s="110"/>
      <c r="AX339" s="109"/>
      <c r="AY339" s="89"/>
      <c r="AZ339" s="89"/>
      <c r="BA339" s="89"/>
      <c r="BB339" s="109"/>
      <c r="BC339" s="89"/>
      <c r="BD339" s="89"/>
      <c r="BE339" s="110"/>
      <c r="BF339" s="89"/>
      <c r="BG339" s="89"/>
      <c r="BH339" s="89"/>
      <c r="BI339" s="110"/>
      <c r="BJ339" s="89"/>
      <c r="BK339" s="89"/>
      <c r="BL339" s="89"/>
      <c r="BM339" s="110"/>
      <c r="BN339" s="89"/>
      <c r="BO339" s="110"/>
      <c r="BP339" s="110"/>
      <c r="BQ339" s="110"/>
      <c r="BR339" s="89"/>
      <c r="BS339" s="89"/>
      <c r="BT339" s="89"/>
      <c r="BU339" s="89"/>
      <c r="BV339" s="89"/>
      <c r="BW339" s="89"/>
      <c r="BX339" s="89"/>
      <c r="BY339" s="459">
        <f>BY345/BY212</f>
        <v>60.577540106951872</v>
      </c>
      <c r="BZ339" s="1017">
        <v>48.100401606425699</v>
      </c>
      <c r="CA339" s="2851"/>
    </row>
    <row r="340" spans="1:99" hidden="1">
      <c r="A340" s="159" t="s">
        <v>1083</v>
      </c>
      <c r="B340" s="89" t="e">
        <f t="shared" ref="B340:R340" si="344">B339/B214</f>
        <v>#DIV/0!</v>
      </c>
      <c r="C340" s="89" t="e">
        <f t="shared" si="344"/>
        <v>#DIV/0!</v>
      </c>
      <c r="D340" s="89" t="e">
        <f t="shared" si="344"/>
        <v>#DIV/0!</v>
      </c>
      <c r="E340" s="110">
        <f t="shared" si="344"/>
        <v>0</v>
      </c>
      <c r="F340" s="150" t="e">
        <f t="shared" si="344"/>
        <v>#DIV/0!</v>
      </c>
      <c r="G340" s="150" t="e">
        <f t="shared" si="344"/>
        <v>#DIV/0!</v>
      </c>
      <c r="H340" s="89">
        <f t="shared" si="344"/>
        <v>-120.68823529411762</v>
      </c>
      <c r="I340" s="89">
        <f t="shared" si="344"/>
        <v>430.68749999999972</v>
      </c>
      <c r="J340" s="89">
        <f t="shared" si="344"/>
        <v>3.1658062556938962</v>
      </c>
      <c r="K340" s="89" t="e">
        <f t="shared" si="344"/>
        <v>#DIV/0!</v>
      </c>
      <c r="L340" s="227" t="e">
        <f t="shared" si="344"/>
        <v>#DIV/0!</v>
      </c>
      <c r="M340" s="89" t="e">
        <f t="shared" si="344"/>
        <v>#DIV/0!</v>
      </c>
      <c r="N340" s="89" t="e">
        <f t="shared" si="344"/>
        <v>#DIV/0!</v>
      </c>
      <c r="O340" s="89" t="e">
        <f t="shared" si="344"/>
        <v>#DIV/0!</v>
      </c>
      <c r="P340" s="89" t="e">
        <f t="shared" si="344"/>
        <v>#DIV/0!</v>
      </c>
      <c r="Q340" s="89" t="e">
        <f t="shared" si="344"/>
        <v>#DIV/0!</v>
      </c>
      <c r="R340" s="89" t="e">
        <f t="shared" si="344"/>
        <v>#DIV/0!</v>
      </c>
      <c r="S340" s="89" t="e">
        <f t="shared" ref="S340:Y340" si="345">S339/S213</f>
        <v>#DIV/0!</v>
      </c>
      <c r="T340" s="89" t="e">
        <f t="shared" si="345"/>
        <v>#DIV/0!</v>
      </c>
      <c r="U340" s="89" t="e">
        <f t="shared" si="345"/>
        <v>#DIV/0!</v>
      </c>
      <c r="V340" s="89" t="e">
        <f t="shared" si="345"/>
        <v>#DIV/0!</v>
      </c>
      <c r="W340" s="109" t="e">
        <f t="shared" si="345"/>
        <v>#DIV/0!</v>
      </c>
      <c r="X340" s="89">
        <f t="shared" si="345"/>
        <v>41.636448598130855</v>
      </c>
      <c r="Y340" s="89">
        <f t="shared" si="345"/>
        <v>99.830292887029216</v>
      </c>
      <c r="Z340" s="89" t="s">
        <v>1080</v>
      </c>
      <c r="AA340" s="89" t="s">
        <v>1080</v>
      </c>
      <c r="AB340" s="110">
        <f>AB339/AB213</f>
        <v>6.0259806138797183</v>
      </c>
      <c r="AC340" s="89"/>
      <c r="AD340" s="89"/>
      <c r="AE340" s="89"/>
      <c r="AF340" s="89"/>
      <c r="AG340" s="110" t="s">
        <v>1080</v>
      </c>
      <c r="AH340" s="89" t="s">
        <v>1080</v>
      </c>
      <c r="AI340" s="89" t="s">
        <v>1080</v>
      </c>
      <c r="AJ340" s="89" t="s">
        <v>1080</v>
      </c>
      <c r="BY340" s="459"/>
    </row>
    <row r="341" spans="1:99" ht="11.5" hidden="1">
      <c r="B341" s="6" t="s">
        <v>1032</v>
      </c>
      <c r="C341" s="6" t="s">
        <v>1032</v>
      </c>
      <c r="D341" s="6" t="s">
        <v>1032</v>
      </c>
      <c r="E341" s="111" t="s">
        <v>1032</v>
      </c>
      <c r="F341" s="6" t="s">
        <v>10</v>
      </c>
      <c r="G341" s="6" t="s">
        <v>10</v>
      </c>
      <c r="H341" s="6" t="s">
        <v>10</v>
      </c>
      <c r="I341" s="6" t="s">
        <v>10</v>
      </c>
      <c r="J341" s="6" t="s">
        <v>10</v>
      </c>
      <c r="K341" s="6"/>
      <c r="L341" s="229"/>
      <c r="M341" s="6"/>
      <c r="N341" s="6"/>
      <c r="O341" s="6"/>
      <c r="P341" s="6"/>
      <c r="Q341" s="6"/>
      <c r="R341" s="6"/>
      <c r="S341" s="6"/>
      <c r="T341" s="6"/>
      <c r="U341" s="6"/>
      <c r="V341" s="6"/>
      <c r="W341" s="21" t="s">
        <v>1084</v>
      </c>
      <c r="X341" s="6"/>
      <c r="Y341" s="6"/>
      <c r="Z341" s="6"/>
      <c r="AA341" s="6"/>
      <c r="AB341" s="111"/>
      <c r="AC341" s="6"/>
      <c r="AD341" s="6"/>
      <c r="AE341" s="6"/>
      <c r="AF341" s="6"/>
      <c r="AG341" s="111"/>
      <c r="AH341" s="6"/>
      <c r="BY341" s="64"/>
    </row>
    <row r="342" spans="1:99" ht="11.5" hidden="1">
      <c r="A342" s="159" t="s">
        <v>1085</v>
      </c>
      <c r="B342" s="6" t="s">
        <v>1086</v>
      </c>
      <c r="C342" s="6" t="s">
        <v>1086</v>
      </c>
      <c r="D342" s="6" t="s">
        <v>1086</v>
      </c>
      <c r="E342" s="111" t="s">
        <v>1086</v>
      </c>
      <c r="F342" s="6" t="s">
        <v>1086</v>
      </c>
      <c r="G342" s="6" t="s">
        <v>1086</v>
      </c>
      <c r="H342" s="6" t="s">
        <v>1086</v>
      </c>
      <c r="I342" s="6" t="s">
        <v>1086</v>
      </c>
      <c r="J342" s="6" t="s">
        <v>1086</v>
      </c>
      <c r="K342" s="6"/>
      <c r="L342" s="229"/>
      <c r="M342" s="6"/>
      <c r="N342" s="6"/>
      <c r="O342" s="6"/>
      <c r="P342" s="6"/>
      <c r="Q342" s="6"/>
      <c r="R342" s="6"/>
      <c r="S342" s="6"/>
      <c r="T342" s="6"/>
      <c r="U342" s="6"/>
      <c r="V342" s="6"/>
      <c r="W342" s="21" t="s">
        <v>1086</v>
      </c>
      <c r="X342" s="6"/>
      <c r="Y342" s="6"/>
      <c r="Z342" s="6"/>
      <c r="AA342" s="6"/>
      <c r="AB342" s="111"/>
      <c r="AC342" s="6"/>
      <c r="AD342" s="6"/>
      <c r="AE342" s="6"/>
      <c r="AF342" s="6"/>
      <c r="AG342" s="111"/>
      <c r="AH342" s="6"/>
      <c r="BY342" s="64"/>
    </row>
    <row r="343" spans="1:99" ht="11.5" hidden="1">
      <c r="B343" s="6"/>
      <c r="C343" s="6"/>
      <c r="D343" s="6">
        <v>40990</v>
      </c>
      <c r="E343" s="112">
        <v>41530</v>
      </c>
      <c r="F343" s="6"/>
      <c r="G343" s="6"/>
      <c r="H343" s="6">
        <v>40990</v>
      </c>
      <c r="I343" s="6">
        <v>41078</v>
      </c>
      <c r="J343" s="6">
        <v>41530</v>
      </c>
      <c r="K343" s="6"/>
      <c r="L343" s="238"/>
      <c r="M343" s="6"/>
      <c r="N343" s="6"/>
      <c r="O343" s="6"/>
      <c r="P343" s="6"/>
      <c r="Q343" s="6"/>
      <c r="R343" s="6"/>
      <c r="S343" s="6"/>
      <c r="T343" s="6"/>
      <c r="U343" s="6"/>
      <c r="V343" s="93"/>
      <c r="W343" s="21"/>
      <c r="X343" s="6"/>
      <c r="Y343" s="6"/>
      <c r="Z343" s="6"/>
      <c r="AA343" s="6"/>
      <c r="AB343" s="111"/>
      <c r="AC343" s="6"/>
      <c r="AD343" s="6"/>
      <c r="AE343" s="6"/>
      <c r="AF343" s="6"/>
      <c r="AG343" s="117"/>
      <c r="AH343" s="6"/>
      <c r="BY343" s="2906"/>
    </row>
    <row r="344" spans="1:99" hidden="1">
      <c r="A344" s="159" t="s">
        <v>1087</v>
      </c>
      <c r="B344" s="89" t="s">
        <v>985</v>
      </c>
      <c r="C344" s="89" t="s">
        <v>985</v>
      </c>
      <c r="D344" s="89">
        <v>248.0686</v>
      </c>
      <c r="E344" s="151">
        <v>550.83000000000004</v>
      </c>
      <c r="F344" s="89" t="s">
        <v>985</v>
      </c>
      <c r="G344" s="89" t="s">
        <v>985</v>
      </c>
      <c r="H344" s="89">
        <f>H345*H336</f>
        <v>1070.1960299999998</v>
      </c>
      <c r="I344" s="89">
        <f>I345*I336</f>
        <v>878.23658790000002</v>
      </c>
      <c r="J344" s="89">
        <f>J345*J336</f>
        <v>518.68453260000001</v>
      </c>
      <c r="K344" s="89">
        <v>511.6</v>
      </c>
      <c r="L344" s="226"/>
      <c r="M344" s="89"/>
      <c r="N344" s="89"/>
      <c r="O344" s="89"/>
      <c r="P344" s="89"/>
      <c r="Q344" s="89"/>
      <c r="R344" s="89"/>
      <c r="S344" s="89"/>
      <c r="T344" s="89"/>
      <c r="U344" s="89"/>
      <c r="V344" s="30"/>
      <c r="W344" s="109" t="s">
        <v>985</v>
      </c>
      <c r="X344" s="89">
        <f>X345*X336</f>
        <v>5167.2223200000008</v>
      </c>
      <c r="Y344" s="89">
        <f>Y345*Y336</f>
        <v>3958.5550799999996</v>
      </c>
      <c r="Z344" s="89">
        <f t="shared" ref="Z344:AN344" si="346">Z345*Z336</f>
        <v>8534.2697100000005</v>
      </c>
      <c r="AA344" s="89">
        <f t="shared" si="346"/>
        <v>9747.4541399999998</v>
      </c>
      <c r="AB344" s="110">
        <f t="shared" si="346"/>
        <v>11367.22048</v>
      </c>
      <c r="AC344" s="89"/>
      <c r="AD344" s="89">
        <f t="shared" si="346"/>
        <v>14539.175999999999</v>
      </c>
      <c r="AE344" s="89">
        <f t="shared" si="346"/>
        <v>15700.512560000001</v>
      </c>
      <c r="AF344" s="89">
        <f t="shared" si="346"/>
        <v>16672.110399999998</v>
      </c>
      <c r="AG344" s="110">
        <f t="shared" si="346"/>
        <v>16658.437399999999</v>
      </c>
      <c r="AH344" s="89">
        <f t="shared" si="346"/>
        <v>16286.426639999998</v>
      </c>
      <c r="AI344" s="89">
        <f t="shared" si="346"/>
        <v>16320.4516</v>
      </c>
      <c r="AJ344" s="89">
        <f t="shared" si="346"/>
        <v>18002.425919999998</v>
      </c>
      <c r="AK344" s="110">
        <f t="shared" si="346"/>
        <v>17566.442879999999</v>
      </c>
      <c r="AL344" s="89">
        <f t="shared" si="346"/>
        <v>18992.49627</v>
      </c>
      <c r="AM344" s="89">
        <f t="shared" si="346"/>
        <v>23390.065349999997</v>
      </c>
      <c r="AN344" s="89">
        <f t="shared" si="346"/>
        <v>22707.974399999999</v>
      </c>
      <c r="AO344" s="110">
        <v>18681.005979999998</v>
      </c>
      <c r="AP344" s="89">
        <f>AP345*AP336</f>
        <v>16762.114969999999</v>
      </c>
      <c r="AQ344" s="89">
        <f>AQ345*AQ336</f>
        <v>19199.2186</v>
      </c>
      <c r="AR344" s="89">
        <f>AR345*AR336</f>
        <v>18006198.209999997</v>
      </c>
      <c r="AS344" s="89"/>
      <c r="AT344" s="109"/>
      <c r="AU344" s="89"/>
      <c r="AV344" s="89"/>
      <c r="AW344" s="110"/>
      <c r="AX344" s="109"/>
      <c r="AY344" s="89"/>
      <c r="AZ344" s="89"/>
      <c r="BA344" s="89"/>
      <c r="BB344" s="109"/>
      <c r="BC344" s="89"/>
      <c r="BD344" s="89"/>
      <c r="BE344" s="110"/>
      <c r="BF344" s="89"/>
      <c r="BG344" s="89"/>
      <c r="BH344" s="89"/>
      <c r="BI344" s="110"/>
      <c r="BJ344" s="89"/>
      <c r="BK344" s="89"/>
      <c r="BL344" s="89"/>
      <c r="BM344" s="110"/>
      <c r="BN344" s="89"/>
      <c r="BO344" s="110"/>
      <c r="BP344" s="110"/>
      <c r="BQ344" s="110"/>
      <c r="BR344" s="89"/>
      <c r="BS344" s="89"/>
      <c r="BT344" s="89"/>
      <c r="BU344" s="89"/>
      <c r="BV344" s="89"/>
      <c r="BW344" s="89"/>
      <c r="BX344" s="89"/>
      <c r="BY344" s="2907">
        <f>BY345*BY336</f>
        <v>17503.68576</v>
      </c>
      <c r="BZ344" s="459">
        <v>18730.231449999999</v>
      </c>
      <c r="CA344" s="109"/>
    </row>
    <row r="345" spans="1:99" hidden="1">
      <c r="A345" s="159" t="s">
        <v>1180</v>
      </c>
      <c r="B345" s="89"/>
      <c r="C345" s="89"/>
      <c r="D345" s="89"/>
      <c r="E345" s="151"/>
      <c r="F345" s="89"/>
      <c r="G345" s="89"/>
      <c r="H345" s="183">
        <v>29.31</v>
      </c>
      <c r="I345" s="183">
        <v>22.97</v>
      </c>
      <c r="J345" s="183">
        <v>13.9</v>
      </c>
      <c r="K345" s="183">
        <v>13.6</v>
      </c>
      <c r="L345" s="239"/>
      <c r="M345" s="89"/>
      <c r="N345" s="89"/>
      <c r="O345" s="89"/>
      <c r="P345" s="89"/>
      <c r="Q345" s="89"/>
      <c r="R345" s="89"/>
      <c r="S345" s="89"/>
      <c r="T345" s="89"/>
      <c r="U345" s="89"/>
      <c r="V345" s="30"/>
      <c r="W345" s="109"/>
      <c r="X345" s="183">
        <v>35.880000000000003</v>
      </c>
      <c r="Y345" s="183">
        <v>28.54</v>
      </c>
      <c r="Z345" s="183">
        <v>60.99</v>
      </c>
      <c r="AA345" s="183">
        <v>69.66</v>
      </c>
      <c r="AB345" s="407">
        <v>85.36</v>
      </c>
      <c r="AC345" s="183"/>
      <c r="AD345" s="183">
        <v>109.35</v>
      </c>
      <c r="AE345" s="183">
        <v>117.68</v>
      </c>
      <c r="AF345" s="183">
        <v>124.3</v>
      </c>
      <c r="AG345" s="407">
        <v>124.3</v>
      </c>
      <c r="AH345" s="569">
        <v>107.82</v>
      </c>
      <c r="AI345" s="569">
        <v>106.3</v>
      </c>
      <c r="AJ345" s="569">
        <v>116.72</v>
      </c>
      <c r="AK345" s="136">
        <v>113.28</v>
      </c>
      <c r="AL345" s="133">
        <v>126.17</v>
      </c>
      <c r="AM345" s="133">
        <v>148.94999999999999</v>
      </c>
      <c r="AN345" s="133">
        <v>143.94</v>
      </c>
      <c r="AO345" s="136">
        <v>119.77</v>
      </c>
      <c r="AP345" s="133">
        <v>110.41</v>
      </c>
      <c r="AQ345" s="133">
        <v>125.8</v>
      </c>
      <c r="AR345" s="133">
        <v>117.57</v>
      </c>
      <c r="BY345" s="2907">
        <f>AK345</f>
        <v>113.28</v>
      </c>
      <c r="BZ345" s="159">
        <v>119.77</v>
      </c>
    </row>
    <row r="346" spans="1:99" hidden="1">
      <c r="B346" s="89"/>
      <c r="C346" s="89"/>
      <c r="D346" s="89"/>
      <c r="E346" s="151"/>
      <c r="F346" s="89"/>
      <c r="G346" s="89"/>
      <c r="H346" s="89"/>
      <c r="I346" s="89"/>
      <c r="J346" s="89"/>
      <c r="K346" s="89"/>
      <c r="L346" s="226"/>
      <c r="M346" s="89"/>
      <c r="N346" s="89"/>
      <c r="O346" s="89"/>
      <c r="P346" s="89"/>
      <c r="Q346" s="89"/>
      <c r="R346" s="89"/>
      <c r="S346" s="89"/>
      <c r="T346" s="89"/>
      <c r="U346" s="89"/>
      <c r="V346" s="30"/>
      <c r="W346" s="109"/>
      <c r="X346" s="89"/>
      <c r="Y346" s="89"/>
      <c r="Z346" s="89"/>
      <c r="AA346" s="89"/>
      <c r="AB346" s="110"/>
      <c r="AC346" s="89"/>
      <c r="AD346" s="89"/>
      <c r="AE346" s="89"/>
      <c r="AF346" s="89"/>
      <c r="AG346" s="110"/>
      <c r="BY346" s="459"/>
    </row>
    <row r="347" spans="1:99" hidden="1">
      <c r="A347" s="159" t="s">
        <v>1088</v>
      </c>
      <c r="B347" s="89"/>
      <c r="C347" s="89"/>
      <c r="D347" s="89"/>
      <c r="E347" s="151"/>
      <c r="F347" s="89"/>
      <c r="G347" s="89"/>
      <c r="H347" s="89">
        <f>H344-H275</f>
        <v>993.92014999999981</v>
      </c>
      <c r="I347" s="89">
        <f>I344-I275</f>
        <v>759.44479890000002</v>
      </c>
      <c r="J347" s="89">
        <f>J344-J275</f>
        <v>416.69058160000003</v>
      </c>
      <c r="K347" s="89">
        <v>443.33</v>
      </c>
      <c r="L347" s="226"/>
      <c r="M347" s="89"/>
      <c r="N347" s="89"/>
      <c r="O347" s="89"/>
      <c r="P347" s="89"/>
      <c r="Q347" s="89"/>
      <c r="R347" s="89"/>
      <c r="S347" s="89"/>
      <c r="T347" s="89"/>
      <c r="U347" s="89"/>
      <c r="V347" s="30"/>
      <c r="W347" s="109"/>
      <c r="X347" s="89">
        <f>X344+X272-X265</f>
        <v>5285.7583200000008</v>
      </c>
      <c r="Y347" s="89">
        <f>Y344+Y272-Y265</f>
        <v>3850.8010799999993</v>
      </c>
      <c r="Z347" s="89">
        <f>Z344+Z272-Z265</f>
        <v>7823.9967099999994</v>
      </c>
      <c r="AA347" s="89">
        <f>AA344+AA272-AA265</f>
        <v>9624.2811399999991</v>
      </c>
      <c r="AB347" s="110">
        <f>AB344+AB272-AB265</f>
        <v>11320.63948</v>
      </c>
      <c r="AC347" s="89"/>
      <c r="AD347" s="89">
        <f t="shared" ref="AD347:AN347" si="347">AD344+AD273-AD266</f>
        <v>13601.338</v>
      </c>
      <c r="AE347" s="89">
        <f t="shared" si="347"/>
        <v>16675.105560000004</v>
      </c>
      <c r="AF347" s="89">
        <f t="shared" si="347"/>
        <v>18152.025399999999</v>
      </c>
      <c r="AG347" s="110">
        <f t="shared" si="347"/>
        <v>18138.352399999996</v>
      </c>
      <c r="AH347" s="89">
        <f t="shared" si="347"/>
        <v>17361.197639999999</v>
      </c>
      <c r="AI347" s="89">
        <f t="shared" si="347"/>
        <v>17140.108600000003</v>
      </c>
      <c r="AJ347" s="89">
        <f t="shared" si="347"/>
        <v>19298.055919999999</v>
      </c>
      <c r="AK347" s="552">
        <f t="shared" si="347"/>
        <v>18837.921879999998</v>
      </c>
      <c r="AL347" s="376">
        <f t="shared" si="347"/>
        <v>18774.332269999999</v>
      </c>
      <c r="AM347" s="376">
        <f t="shared" si="347"/>
        <v>22782.770349999999</v>
      </c>
      <c r="AN347" s="376">
        <f t="shared" si="347"/>
        <v>23116.307399999998</v>
      </c>
      <c r="AO347" s="829">
        <v>19545.767979999997</v>
      </c>
      <c r="AP347" s="376">
        <f>AP344+AP273-AP266</f>
        <v>16360.114969999999</v>
      </c>
      <c r="AQ347" s="376">
        <f>AQ344+AQ273-AQ266</f>
        <v>18531.2186</v>
      </c>
      <c r="AR347" s="376">
        <f>AR344+AR273-AR266</f>
        <v>18006361.209999997</v>
      </c>
      <c r="AS347" s="376"/>
      <c r="AT347" s="2831"/>
      <c r="AU347" s="376"/>
      <c r="AV347" s="376"/>
      <c r="AW347" s="829"/>
      <c r="AX347" s="2831"/>
      <c r="AY347" s="376"/>
      <c r="AZ347" s="376"/>
      <c r="BA347" s="376"/>
      <c r="BB347" s="2831"/>
      <c r="BC347" s="376"/>
      <c r="BD347" s="376"/>
      <c r="BE347" s="829"/>
      <c r="BF347" s="376"/>
      <c r="BG347" s="376"/>
      <c r="BH347" s="376"/>
      <c r="BI347" s="829"/>
      <c r="BJ347" s="376"/>
      <c r="BK347" s="376"/>
      <c r="BL347" s="376"/>
      <c r="BM347" s="829"/>
      <c r="BN347" s="376"/>
      <c r="BO347" s="829"/>
      <c r="BP347" s="829"/>
      <c r="BQ347" s="829"/>
      <c r="BR347" s="376"/>
      <c r="BS347" s="376"/>
      <c r="BT347" s="376"/>
      <c r="BU347" s="376"/>
      <c r="BV347" s="376"/>
      <c r="BW347" s="376"/>
      <c r="BX347" s="376"/>
      <c r="BY347" s="459">
        <f>BY344+BY273-BY266</f>
        <v>18775.16476</v>
      </c>
      <c r="BZ347" s="832">
        <v>19594.993450000002</v>
      </c>
      <c r="CA347" s="2831"/>
    </row>
    <row r="348" spans="1:99" hidden="1">
      <c r="A348" s="159" t="s">
        <v>1089</v>
      </c>
      <c r="B348" s="89"/>
      <c r="C348" s="89"/>
      <c r="D348" s="89"/>
      <c r="E348" s="128"/>
      <c r="F348" s="89"/>
      <c r="G348" s="89"/>
      <c r="H348" s="129">
        <f>H347/H59</f>
        <v>7.9691236114941528</v>
      </c>
      <c r="I348" s="129">
        <f>I347/I59</f>
        <v>3.8629077577698694</v>
      </c>
      <c r="J348" s="129">
        <f>J347/J59</f>
        <v>1.8210257916746606</v>
      </c>
      <c r="K348" s="129"/>
      <c r="L348" s="240"/>
      <c r="M348" s="89"/>
      <c r="N348" s="89"/>
      <c r="O348" s="89"/>
      <c r="P348" s="89"/>
      <c r="Q348" s="89"/>
      <c r="R348" s="89"/>
      <c r="S348" s="89"/>
      <c r="T348" s="89"/>
      <c r="U348" s="89"/>
      <c r="V348" s="30"/>
      <c r="W348" s="109"/>
      <c r="X348" s="129">
        <f>X347/X59</f>
        <v>1.7423786632911895</v>
      </c>
      <c r="Y348" s="129">
        <f>Y347/Y59</f>
        <v>1.1164949352118243</v>
      </c>
      <c r="Z348" s="129">
        <f>Z347/Z59</f>
        <v>1.9412712379355919</v>
      </c>
      <c r="AA348" s="129">
        <f>AA347/AA59</f>
        <v>2.017246099350241</v>
      </c>
      <c r="AB348" s="408">
        <f>AB347/AB59</f>
        <v>1.9642003891742583</v>
      </c>
      <c r="AC348" s="129"/>
      <c r="AD348" s="129"/>
      <c r="AE348" s="129"/>
      <c r="AF348" s="129"/>
      <c r="AG348" s="408">
        <f>AG347/AG59</f>
        <v>2.7353871814205997</v>
      </c>
      <c r="AH348" s="637">
        <f>AH347/SUM(AD59:AF59,AH59)</f>
        <v>2.4103129900382911</v>
      </c>
      <c r="AI348" s="637">
        <f>AI347/SUM(AE59:AF59,AH59:AI59)</f>
        <v>2.2155863834077678</v>
      </c>
      <c r="AJ348" s="637">
        <f>AJ347/SUM(AF59,AH59:AJ59)</f>
        <v>2.3030624651074749</v>
      </c>
      <c r="AK348" s="1008">
        <f>AK347/SUM(AH59:AK59)</f>
        <v>2.1470812464702886</v>
      </c>
      <c r="AL348" s="637">
        <f>AL347/SUM(AI59:AK59,AL59)</f>
        <v>2.0725025560854036</v>
      </c>
      <c r="AM348" s="637">
        <f>AM347/SUM(AJ59:AK59,AL59:AM59)</f>
        <v>2.411154557062432</v>
      </c>
      <c r="AN348" s="637">
        <f>AN347/SUM(AK59,AL59:AN59)</f>
        <v>2.3506515558267234</v>
      </c>
      <c r="AO348" s="1008">
        <v>1.9429192823061627</v>
      </c>
      <c r="AP348" s="637">
        <f>AP347/SUM(AM59:AO59,AP59)</f>
        <v>1.5762708324501395</v>
      </c>
      <c r="AQ348" s="637">
        <f>AQ347/SUM(AN59:AO59,AP59:AQ59)</f>
        <v>1.7362708329429402</v>
      </c>
      <c r="AR348" s="637">
        <f>AR347/SUM(AO59,AP59:AR59)</f>
        <v>1639.4756632978238</v>
      </c>
      <c r="AS348" s="637"/>
      <c r="AT348" s="2852"/>
      <c r="AU348" s="637"/>
      <c r="AV348" s="637"/>
      <c r="AW348" s="1008"/>
      <c r="AX348" s="2852"/>
      <c r="AY348" s="637"/>
      <c r="AZ348" s="637"/>
      <c r="BA348" s="637"/>
      <c r="BB348" s="2852"/>
      <c r="BC348" s="637"/>
      <c r="BD348" s="637"/>
      <c r="BE348" s="1008"/>
      <c r="BF348" s="637"/>
      <c r="BG348" s="637"/>
      <c r="BH348" s="637"/>
      <c r="BI348" s="1008"/>
      <c r="BJ348" s="637"/>
      <c r="BK348" s="637"/>
      <c r="BL348" s="637"/>
      <c r="BM348" s="1008"/>
      <c r="BN348" s="637"/>
      <c r="BO348" s="1008"/>
      <c r="BP348" s="1008"/>
      <c r="BQ348" s="1008"/>
      <c r="BR348" s="637"/>
      <c r="BS348" s="637"/>
      <c r="BT348" s="637"/>
      <c r="BU348" s="637"/>
      <c r="BV348" s="637"/>
      <c r="BW348" s="637"/>
      <c r="BX348" s="637"/>
      <c r="BY348" s="462">
        <f>AK348</f>
        <v>2.1470812464702886</v>
      </c>
      <c r="BZ348" s="462">
        <v>1.9429192823061627</v>
      </c>
      <c r="CA348" s="2916"/>
    </row>
    <row r="349" spans="1:99" hidden="1">
      <c r="A349" s="159" t="s">
        <v>1090</v>
      </c>
      <c r="B349" s="89"/>
      <c r="C349" s="89"/>
      <c r="D349" s="89"/>
      <c r="E349" s="128"/>
      <c r="F349" s="89"/>
      <c r="G349" s="89"/>
      <c r="H349" s="129">
        <f>H347/H173</f>
        <v>244.69250341279957</v>
      </c>
      <c r="I349" s="129">
        <f>I347/I173</f>
        <v>189.60712617592446</v>
      </c>
      <c r="J349" s="129">
        <f>J347/J173</f>
        <v>-23.070008267078226</v>
      </c>
      <c r="K349" s="129"/>
      <c r="L349" s="240"/>
      <c r="M349" s="89"/>
      <c r="N349" s="89"/>
      <c r="O349" s="89"/>
      <c r="P349" s="89"/>
      <c r="Q349" s="89"/>
      <c r="R349" s="89"/>
      <c r="S349" s="89"/>
      <c r="T349" s="89"/>
      <c r="U349" s="89"/>
      <c r="V349" s="30"/>
      <c r="W349" s="109"/>
      <c r="X349" s="129">
        <f>X347/X172</f>
        <v>10.554903222328056</v>
      </c>
      <c r="Y349" s="129">
        <f>Y347/Y172</f>
        <v>8.0290425742636184</v>
      </c>
      <c r="Z349" s="129">
        <f>Z347/Z172</f>
        <v>18.122681875457467</v>
      </c>
      <c r="AA349" s="129">
        <f>AA347/AA172</f>
        <v>26.291540020761623</v>
      </c>
      <c r="AB349" s="408">
        <f>AB347/AB172</f>
        <v>21.864477792971314</v>
      </c>
      <c r="AC349" s="129"/>
      <c r="AD349" s="129"/>
      <c r="AE349" s="129"/>
      <c r="AF349" s="129"/>
      <c r="AG349" s="408">
        <f>AG347/AG173</f>
        <v>43.86903010162866</v>
      </c>
      <c r="AH349" s="637">
        <f>AH347/SUM(AD173:AF173,AH173)</f>
        <v>47.271067364792565</v>
      </c>
      <c r="AI349" s="637">
        <f>AI347/SUM(AE173:AF173,AH173:AI173)</f>
        <v>56.598088753430062</v>
      </c>
      <c r="AJ349" s="637">
        <f>AJ347/SUM(AF173,AH173:AJ173)</f>
        <v>56.100141340085408</v>
      </c>
      <c r="AK349" s="1008">
        <f>AK347/SUM(AH173:AK173)</f>
        <v>46.033502304372682</v>
      </c>
      <c r="AL349" s="637">
        <f>AL347/SUM(AI173:AK173,AL173)</f>
        <v>43.290050820061467</v>
      </c>
      <c r="AM349" s="637">
        <f>AM347/SUM(AJ173:AK173,AL173:AM173)</f>
        <v>44.602745828545025</v>
      </c>
      <c r="AN349" s="637">
        <f>AN347/SUM(AK173,AL173:AN173)</f>
        <v>38.122508571513379</v>
      </c>
      <c r="AO349" s="1008">
        <v>31.266325163403913</v>
      </c>
      <c r="AP349" s="637">
        <f>AP347/SUM(AM173:AO173,AP173)</f>
        <v>30.696069711109981</v>
      </c>
      <c r="AQ349" s="637">
        <f>AQ347/SUM(AN173:AO173,AP173:AQ173)</f>
        <v>34.240790609069059</v>
      </c>
      <c r="AR349" s="637">
        <f>AR347/SUM(AO173,AP173:AR173)</f>
        <v>24616.509395399702</v>
      </c>
      <c r="AS349" s="637"/>
      <c r="AT349" s="2852"/>
      <c r="AU349" s="637"/>
      <c r="AV349" s="637"/>
      <c r="AW349" s="1008"/>
      <c r="AX349" s="2852"/>
      <c r="AY349" s="637"/>
      <c r="AZ349" s="637"/>
      <c r="BA349" s="637"/>
      <c r="BB349" s="2852"/>
      <c r="BC349" s="637"/>
      <c r="BD349" s="637"/>
      <c r="BE349" s="1008"/>
      <c r="BF349" s="637"/>
      <c r="BG349" s="637"/>
      <c r="BH349" s="637"/>
      <c r="BI349" s="1008"/>
      <c r="BJ349" s="637"/>
      <c r="BK349" s="637"/>
      <c r="BL349" s="637"/>
      <c r="BM349" s="1008"/>
      <c r="BN349" s="637"/>
      <c r="BO349" s="1008"/>
      <c r="BP349" s="1008"/>
      <c r="BQ349" s="1008"/>
      <c r="BR349" s="637"/>
      <c r="BS349" s="637"/>
      <c r="BT349" s="637"/>
      <c r="BU349" s="637"/>
      <c r="BV349" s="637"/>
      <c r="BW349" s="637"/>
      <c r="BX349" s="637"/>
      <c r="BY349" s="462">
        <f>AK349</f>
        <v>46.033502304372682</v>
      </c>
      <c r="BZ349" s="462">
        <v>31.266325163403913</v>
      </c>
      <c r="CA349" s="2916"/>
    </row>
    <row r="350" spans="1:99" hidden="1">
      <c r="A350" s="159" t="s">
        <v>1091</v>
      </c>
      <c r="B350" s="89"/>
      <c r="C350" s="89"/>
      <c r="D350" s="89"/>
      <c r="E350" s="128"/>
      <c r="F350" s="89"/>
      <c r="G350" s="89"/>
      <c r="H350" s="129">
        <f>H344/H59</f>
        <v>8.5806937826950236</v>
      </c>
      <c r="I350" s="129">
        <f>I344/I59</f>
        <v>4.4671409080292666</v>
      </c>
      <c r="J350" s="129">
        <f>J344/J59</f>
        <v>2.2667608852124732</v>
      </c>
      <c r="K350" s="129"/>
      <c r="L350" s="240"/>
      <c r="M350" s="89"/>
      <c r="N350" s="89"/>
      <c r="O350" s="89"/>
      <c r="P350" s="89"/>
      <c r="Q350" s="89"/>
      <c r="R350" s="89"/>
      <c r="S350" s="89"/>
      <c r="T350" s="89"/>
      <c r="U350" s="89"/>
      <c r="V350" s="30"/>
      <c r="W350" s="109"/>
      <c r="X350" s="129">
        <f>X344/X59</f>
        <v>1.7033048758177047</v>
      </c>
      <c r="Y350" s="129">
        <f>Y344/Y59</f>
        <v>1.1477369528464552</v>
      </c>
      <c r="Z350" s="129">
        <f>Z344/Z59</f>
        <v>2.117502465668589</v>
      </c>
      <c r="AA350" s="129">
        <f>AA344/AA59</f>
        <v>2.0430631188430097</v>
      </c>
      <c r="AB350" s="408">
        <f>AB344/AB59</f>
        <v>1.9722824783963175</v>
      </c>
      <c r="AC350" s="129"/>
      <c r="AD350" s="129"/>
      <c r="AE350" s="129"/>
      <c r="AF350" s="129"/>
      <c r="AG350" s="408">
        <f>AG344/AG59</f>
        <v>2.5122059116272055</v>
      </c>
      <c r="AH350" s="637">
        <f>AH344/SUM(AD59:AF59,AH59)</f>
        <v>2.2610989463799274</v>
      </c>
      <c r="AI350" s="637">
        <f>AI344/SUM(AE59:AF59,AH59:AI59)</f>
        <v>2.1096348442054511</v>
      </c>
      <c r="AJ350" s="637">
        <f>AJ344/SUM(AF59,AH59:AJ59)</f>
        <v>2.1484398008330521</v>
      </c>
      <c r="AK350" s="1008">
        <f>AK344/SUM(AH59:AK59)</f>
        <v>2.0021624633066759</v>
      </c>
      <c r="AL350" s="637">
        <f>AL344/SUM(AI59:AK59,AL59)</f>
        <v>2.0965857267219601</v>
      </c>
      <c r="AM350" s="637">
        <f>AM344/SUM(AJ59:AK59,AL59:AM59)</f>
        <v>2.4754260255553415</v>
      </c>
      <c r="AN350" s="637">
        <f>AN344/SUM(AK59,AL59:AN59)</f>
        <v>2.3091289810860278</v>
      </c>
      <c r="AO350" s="1008">
        <v>1.8569588449304173</v>
      </c>
      <c r="AP350" s="637">
        <f>AP344/SUM(AM59:AO59,AP59)</f>
        <v>1.615002887561422</v>
      </c>
      <c r="AQ350" s="637">
        <f>AQ344/SUM(AN59:AO59,AP59:AQ59)</f>
        <v>1.7988586714138481</v>
      </c>
      <c r="AR350" s="637">
        <f>AR344/SUM(AO59,AP59:AR59)</f>
        <v>1639.4608221797321</v>
      </c>
      <c r="AS350" s="637"/>
      <c r="AT350" s="2852"/>
      <c r="AU350" s="637"/>
      <c r="AV350" s="637"/>
      <c r="AW350" s="1008"/>
      <c r="AX350" s="2852"/>
      <c r="AY350" s="637"/>
      <c r="AZ350" s="637"/>
      <c r="BA350" s="637"/>
      <c r="BB350" s="2852"/>
      <c r="BC350" s="637"/>
      <c r="BD350" s="637"/>
      <c r="BE350" s="1008"/>
      <c r="BF350" s="637"/>
      <c r="BG350" s="637"/>
      <c r="BH350" s="637"/>
      <c r="BI350" s="1008"/>
      <c r="BJ350" s="637"/>
      <c r="BK350" s="637"/>
      <c r="BL350" s="637"/>
      <c r="BM350" s="1008"/>
      <c r="BN350" s="637"/>
      <c r="BO350" s="1008"/>
      <c r="BP350" s="1008"/>
      <c r="BQ350" s="1008"/>
      <c r="BR350" s="637"/>
      <c r="BS350" s="637"/>
      <c r="BT350" s="637"/>
      <c r="BU350" s="637"/>
      <c r="BV350" s="637"/>
      <c r="BW350" s="637"/>
      <c r="BX350" s="637"/>
      <c r="BY350" s="462">
        <f>AK350</f>
        <v>2.0021624633066759</v>
      </c>
      <c r="BZ350" s="462">
        <v>1.8569588449304173</v>
      </c>
      <c r="CA350" s="2916"/>
    </row>
    <row r="351" spans="1:99" ht="12" hidden="1" customHeight="1">
      <c r="A351" s="159" t="s">
        <v>1092</v>
      </c>
      <c r="B351" s="89"/>
      <c r="C351" s="89"/>
      <c r="D351" s="89"/>
      <c r="E351" s="128"/>
      <c r="F351" s="89"/>
      <c r="G351" s="89"/>
      <c r="H351" s="129">
        <f>H344/H173</f>
        <v>263.47080871953301</v>
      </c>
      <c r="I351" s="129">
        <f>I344/I173</f>
        <v>219.26533143088284</v>
      </c>
      <c r="J351" s="129">
        <f>J344/J173</f>
        <v>-28.716887262343644</v>
      </c>
      <c r="K351" s="129"/>
      <c r="L351" s="240"/>
      <c r="M351" s="89"/>
      <c r="N351" s="89"/>
      <c r="O351" s="89"/>
      <c r="P351" s="89"/>
      <c r="Q351" s="89"/>
      <c r="R351" s="89"/>
      <c r="S351" s="89"/>
      <c r="T351" s="89"/>
      <c r="U351" s="89"/>
      <c r="V351" s="30"/>
      <c r="W351" s="109"/>
      <c r="X351" s="129">
        <f>X344/X172</f>
        <v>10.318203787238886</v>
      </c>
      <c r="Y351" s="129">
        <f>Y344/Y172</f>
        <v>8.2537130871188822</v>
      </c>
      <c r="Z351" s="129">
        <f>Z344/Z172</f>
        <v>19.767883439419631</v>
      </c>
      <c r="AA351" s="129">
        <f>AA344/AA172</f>
        <v>26.628023110965415</v>
      </c>
      <c r="AB351" s="408">
        <f>AB344/AB172</f>
        <v>21.954443491629391</v>
      </c>
      <c r="AC351" s="129"/>
      <c r="AD351" s="129"/>
      <c r="AE351" s="129"/>
      <c r="AF351" s="129"/>
      <c r="AG351" s="408">
        <f>AG344/AG173</f>
        <v>40.289739422346692</v>
      </c>
      <c r="AH351" s="637">
        <f>AH344/SUM(AD173:AF173,AH173)</f>
        <v>44.344680983148592</v>
      </c>
      <c r="AI351" s="637">
        <f>AI344/SUM(AE173:AF173,AH173:AI173)</f>
        <v>53.891511991520261</v>
      </c>
      <c r="AJ351" s="637">
        <f>AJ344/SUM(AF173,AH173:AJ173)</f>
        <v>52.333698418281763</v>
      </c>
      <c r="AK351" s="1008">
        <f>AK344/SUM(AH173:AK173)</f>
        <v>42.926438168035929</v>
      </c>
      <c r="AL351" s="637">
        <f>AL344/SUM(AI173:AK173,AL173)</f>
        <v>43.793095642710064</v>
      </c>
      <c r="AM351" s="637">
        <f>AM344/SUM(AJ173:AK173,AL173:AM173)</f>
        <v>45.791671675218723</v>
      </c>
      <c r="AN351" s="637">
        <f>AN344/SUM(AK173,AL173:AN173)</f>
        <v>37.449101784556923</v>
      </c>
      <c r="AO351" s="1008">
        <v>29.883011399083077</v>
      </c>
      <c r="AP351" s="637">
        <f>AP344/SUM(AM173:AO173,AP173)</f>
        <v>31.450332138146351</v>
      </c>
      <c r="AQ351" s="637">
        <f>AQ344/SUM(AN173:AO173,AP173:AQ173)</f>
        <v>35.475077928245042</v>
      </c>
      <c r="AR351" s="637">
        <f>AR344/SUM(AO173,AP173:AR173)</f>
        <v>24616.286557982156</v>
      </c>
      <c r="AS351" s="637"/>
      <c r="AT351" s="2852"/>
      <c r="AU351" s="637"/>
      <c r="AV351" s="637"/>
      <c r="AW351" s="1008"/>
      <c r="AX351" s="2852"/>
      <c r="AY351" s="637"/>
      <c r="AZ351" s="637"/>
      <c r="BA351" s="637"/>
      <c r="BB351" s="2852"/>
      <c r="BC351" s="637"/>
      <c r="BD351" s="637"/>
      <c r="BE351" s="1008"/>
      <c r="BF351" s="637"/>
      <c r="BG351" s="637"/>
      <c r="BH351" s="637"/>
      <c r="BI351" s="1008"/>
      <c r="BJ351" s="637"/>
      <c r="BK351" s="637"/>
      <c r="BL351" s="637"/>
      <c r="BM351" s="1008"/>
      <c r="BN351" s="637"/>
      <c r="BO351" s="1008"/>
      <c r="BP351" s="1008"/>
      <c r="BQ351" s="1008"/>
      <c r="BR351" s="637"/>
      <c r="BS351" s="637"/>
      <c r="BT351" s="637"/>
      <c r="BU351" s="637"/>
      <c r="BV351" s="637"/>
      <c r="BW351" s="637"/>
      <c r="BX351" s="637"/>
      <c r="BY351" s="462">
        <f>AK351</f>
        <v>42.926438168035929</v>
      </c>
      <c r="BZ351" s="462">
        <v>29.883011399083077</v>
      </c>
      <c r="CA351" s="2916"/>
    </row>
    <row r="352" spans="1:99" s="192" customFormat="1" hidden="1">
      <c r="A352" s="159"/>
      <c r="B352" s="89"/>
      <c r="C352" s="89"/>
      <c r="D352" s="89"/>
      <c r="E352" s="151"/>
      <c r="F352" s="89"/>
      <c r="G352" s="89"/>
      <c r="H352" s="89" t="s">
        <v>1093</v>
      </c>
      <c r="I352" s="89"/>
      <c r="J352" s="89"/>
      <c r="K352" s="89"/>
      <c r="L352" s="226"/>
      <c r="M352" s="89"/>
      <c r="N352" s="89"/>
      <c r="O352" s="89"/>
      <c r="P352" s="89"/>
      <c r="Q352" s="89"/>
      <c r="R352" s="89"/>
      <c r="S352" s="89"/>
      <c r="T352" s="89"/>
      <c r="U352" s="89"/>
      <c r="V352" s="30"/>
      <c r="W352" s="109"/>
      <c r="X352" s="89"/>
      <c r="Y352" s="89"/>
      <c r="Z352" s="89"/>
      <c r="AA352" s="89"/>
      <c r="AB352" s="110"/>
      <c r="AC352" s="89"/>
      <c r="AD352" s="89"/>
      <c r="AE352" s="89"/>
      <c r="AF352" s="89"/>
      <c r="AG352" s="110"/>
      <c r="AH352" s="133"/>
      <c r="AI352" s="133"/>
      <c r="AJ352" s="133"/>
      <c r="AK352" s="136"/>
      <c r="AL352" s="133"/>
      <c r="AM352" s="133"/>
      <c r="AN352" s="133"/>
      <c r="AO352" s="136"/>
      <c r="AP352" s="133"/>
      <c r="AQ352" s="133"/>
      <c r="AR352" s="133"/>
      <c r="AS352" s="133"/>
      <c r="AT352" s="137"/>
      <c r="AU352" s="133"/>
      <c r="AV352" s="133"/>
      <c r="AW352" s="136"/>
      <c r="AX352" s="137"/>
      <c r="AY352" s="133"/>
      <c r="AZ352" s="133"/>
      <c r="BA352" s="133"/>
      <c r="BB352" s="137"/>
      <c r="BC352" s="133"/>
      <c r="BD352" s="133"/>
      <c r="BE352" s="136"/>
      <c r="BF352" s="133"/>
      <c r="BG352" s="133"/>
      <c r="BH352" s="133"/>
      <c r="BI352" s="136"/>
      <c r="BJ352" s="133"/>
      <c r="BK352" s="133"/>
      <c r="BL352" s="133"/>
      <c r="BM352" s="136"/>
      <c r="BN352" s="133"/>
      <c r="BO352" s="136"/>
      <c r="BP352" s="136"/>
      <c r="BQ352" s="3332"/>
      <c r="BR352" s="133"/>
      <c r="BS352" s="133"/>
      <c r="BT352" s="133"/>
      <c r="BU352" s="133"/>
      <c r="BV352" s="133"/>
      <c r="BW352" s="133"/>
      <c r="BX352" s="133"/>
      <c r="BY352" s="459"/>
      <c r="BZ352" s="159"/>
      <c r="CA352" s="137"/>
      <c r="CB352" s="137"/>
      <c r="CC352" s="137"/>
      <c r="CD352" s="137"/>
      <c r="CE352" s="137"/>
      <c r="CF352" s="137"/>
      <c r="CG352" s="3381"/>
      <c r="CH352" s="3381"/>
      <c r="CI352" s="133"/>
      <c r="CJ352" s="133"/>
      <c r="CK352" s="133"/>
      <c r="CL352" s="133"/>
      <c r="CM352" s="133"/>
      <c r="CN352" s="133"/>
      <c r="CO352" s="133"/>
      <c r="CP352" s="133"/>
      <c r="CQ352" s="133"/>
      <c r="CR352" s="133"/>
      <c r="CS352" s="133"/>
      <c r="CT352" s="133"/>
      <c r="CU352" s="133"/>
    </row>
    <row r="353" spans="1:86" hidden="1">
      <c r="A353" s="184" t="s">
        <v>1094</v>
      </c>
      <c r="B353" s="186"/>
      <c r="C353" s="188"/>
      <c r="D353" s="188"/>
      <c r="E353" s="187"/>
      <c r="F353" s="189"/>
      <c r="G353" s="189"/>
      <c r="H353" s="186"/>
      <c r="I353" s="186">
        <v>36.853999999999999</v>
      </c>
      <c r="J353" s="186"/>
      <c r="K353" s="186"/>
      <c r="L353" s="241"/>
      <c r="M353" s="186"/>
      <c r="N353" s="186"/>
      <c r="O353" s="186"/>
      <c r="P353" s="186"/>
      <c r="Q353" s="186"/>
      <c r="R353" s="186"/>
      <c r="S353" s="186"/>
      <c r="T353" s="186"/>
      <c r="U353" s="186"/>
      <c r="V353" s="186"/>
      <c r="W353" s="190"/>
      <c r="X353" s="186"/>
      <c r="Y353" s="186"/>
      <c r="Z353" s="186"/>
      <c r="AA353" s="186"/>
      <c r="AB353" s="187"/>
      <c r="AC353" s="186"/>
      <c r="AD353" s="186"/>
      <c r="AE353" s="186"/>
      <c r="AF353" s="186"/>
      <c r="AG353" s="187"/>
      <c r="AH353" s="192"/>
      <c r="AI353" s="192"/>
      <c r="AJ353" s="192"/>
      <c r="AK353" s="193"/>
      <c r="AL353" s="192"/>
      <c r="AM353" s="192"/>
      <c r="AN353" s="192"/>
      <c r="AO353" s="193"/>
      <c r="AP353" s="192"/>
      <c r="AQ353" s="192"/>
      <c r="AR353" s="192"/>
      <c r="AW353" s="193"/>
      <c r="AX353" s="185"/>
      <c r="AY353" s="192"/>
      <c r="AZ353" s="192"/>
      <c r="BA353" s="192"/>
      <c r="BB353" s="185"/>
      <c r="BC353" s="192"/>
      <c r="BD353" s="192"/>
      <c r="BE353" s="193"/>
      <c r="BF353" s="192"/>
      <c r="BJ353" s="192"/>
      <c r="BY353" s="463"/>
      <c r="BZ353" s="184"/>
      <c r="CA353" s="185"/>
    </row>
    <row r="354" spans="1:86" hidden="1">
      <c r="A354" s="159" t="s">
        <v>1095</v>
      </c>
      <c r="B354" s="89" t="s">
        <v>988</v>
      </c>
      <c r="C354" s="89" t="s">
        <v>988</v>
      </c>
      <c r="D354" s="89">
        <v>14.6</v>
      </c>
      <c r="E354" s="155"/>
      <c r="F354" s="89" t="s">
        <v>988</v>
      </c>
      <c r="G354" s="89" t="s">
        <v>988</v>
      </c>
      <c r="H354" s="89">
        <v>23</v>
      </c>
      <c r="I354" s="89">
        <v>15.51</v>
      </c>
      <c r="J354" s="89"/>
      <c r="K354" s="89"/>
      <c r="L354" s="239"/>
      <c r="M354" s="89"/>
      <c r="N354" s="89"/>
      <c r="O354" s="89"/>
      <c r="P354" s="89"/>
      <c r="Q354" s="89"/>
      <c r="R354" s="89"/>
      <c r="S354" s="89"/>
      <c r="T354" s="89"/>
      <c r="U354" s="89"/>
      <c r="W354" s="109" t="s">
        <v>988</v>
      </c>
      <c r="X354" s="89" t="s">
        <v>988</v>
      </c>
      <c r="Y354" s="89">
        <v>34.22</v>
      </c>
      <c r="Z354" s="89"/>
      <c r="AA354" s="89"/>
      <c r="AB354" s="110"/>
      <c r="AC354" s="89"/>
      <c r="AD354" s="89"/>
      <c r="AE354" s="89"/>
      <c r="AF354" s="89"/>
      <c r="AG354" s="110"/>
      <c r="BY354" s="459"/>
    </row>
    <row r="355" spans="1:86" hidden="1">
      <c r="A355" s="159" t="s">
        <v>11</v>
      </c>
      <c r="B355" s="89" t="s">
        <v>988</v>
      </c>
      <c r="C355" s="89" t="s">
        <v>988</v>
      </c>
      <c r="D355" s="89">
        <v>29.6</v>
      </c>
      <c r="E355" s="155"/>
      <c r="F355" s="89" t="s">
        <v>988</v>
      </c>
      <c r="G355" s="89" t="s">
        <v>988</v>
      </c>
      <c r="H355" s="89">
        <v>34.22</v>
      </c>
      <c r="I355" s="89">
        <v>33.9</v>
      </c>
      <c r="J355" s="89"/>
      <c r="K355" s="89"/>
      <c r="L355" s="239"/>
      <c r="M355" s="89"/>
      <c r="N355" s="89"/>
      <c r="O355" s="89"/>
      <c r="P355" s="89"/>
      <c r="Q355" s="89"/>
      <c r="R355" s="89"/>
      <c r="S355" s="89"/>
      <c r="T355" s="89"/>
      <c r="U355" s="89"/>
      <c r="W355" s="109" t="s">
        <v>988</v>
      </c>
      <c r="X355" s="89" t="s">
        <v>988</v>
      </c>
      <c r="Y355" s="89">
        <v>34.75</v>
      </c>
      <c r="Z355" s="89"/>
      <c r="AA355" s="89"/>
      <c r="AB355" s="110"/>
      <c r="AC355" s="89"/>
      <c r="AD355" s="89"/>
      <c r="AE355" s="89"/>
      <c r="AF355" s="89"/>
      <c r="AG355" s="110"/>
      <c r="BY355" s="459"/>
    </row>
    <row r="356" spans="1:86" hidden="1">
      <c r="A356" s="159" t="s">
        <v>1096</v>
      </c>
      <c r="B356" s="89" t="s">
        <v>988</v>
      </c>
      <c r="C356" s="89" t="s">
        <v>988</v>
      </c>
      <c r="D356" s="89">
        <v>12.18</v>
      </c>
      <c r="E356" s="155"/>
      <c r="F356" s="89" t="s">
        <v>988</v>
      </c>
      <c r="G356" s="89" t="s">
        <v>988</v>
      </c>
      <c r="H356" s="89" t="s">
        <v>1097</v>
      </c>
      <c r="I356" s="89">
        <v>12.26</v>
      </c>
      <c r="J356" s="89"/>
      <c r="K356" s="89"/>
      <c r="L356" s="242"/>
      <c r="M356" s="89"/>
      <c r="N356" s="89"/>
      <c r="O356" s="89"/>
      <c r="P356" s="89"/>
      <c r="Q356" s="89"/>
      <c r="R356" s="89"/>
      <c r="S356" s="89"/>
      <c r="T356" s="89"/>
      <c r="U356" s="89"/>
      <c r="W356" s="109" t="s">
        <v>988</v>
      </c>
      <c r="X356" s="89" t="s">
        <v>988</v>
      </c>
      <c r="Y356" s="89">
        <v>21.28</v>
      </c>
      <c r="Z356" s="89"/>
      <c r="AA356" s="89"/>
      <c r="AB356" s="110"/>
      <c r="AC356" s="89"/>
      <c r="AD356" s="89"/>
      <c r="AE356" s="89"/>
      <c r="AF356" s="89"/>
      <c r="AG356" s="110"/>
      <c r="BY356" s="459"/>
    </row>
    <row r="357" spans="1:86" hidden="1" outlineLevel="1">
      <c r="A357" s="1534" t="s">
        <v>1353</v>
      </c>
    </row>
    <row r="358" spans="1:86" s="1800" customFormat="1" hidden="1" outlineLevel="1">
      <c r="A358" s="992" t="s">
        <v>1395</v>
      </c>
      <c r="E358" s="1801"/>
      <c r="L358" s="1960"/>
      <c r="W358" s="1924"/>
      <c r="AB358" s="1801"/>
      <c r="AC358" s="1859"/>
      <c r="AD358" s="1859"/>
      <c r="AE358" s="1859">
        <v>14091</v>
      </c>
      <c r="AF358" s="1859">
        <v>13563</v>
      </c>
      <c r="AG358" s="1860"/>
      <c r="AH358" s="1859">
        <v>17225</v>
      </c>
      <c r="AI358" s="1859">
        <v>17182</v>
      </c>
      <c r="AJ358" s="1859">
        <v>17006</v>
      </c>
      <c r="AK358" s="1860">
        <v>14650</v>
      </c>
      <c r="AL358" s="1859">
        <v>19110</v>
      </c>
      <c r="AM358" s="1859">
        <v>18954</v>
      </c>
      <c r="AN358" s="1859">
        <v>18456</v>
      </c>
      <c r="AO358" s="1860">
        <v>16182</v>
      </c>
      <c r="AP358" s="1859">
        <v>21171</v>
      </c>
      <c r="AQ358" s="1859">
        <v>21011</v>
      </c>
      <c r="AR358" s="1859">
        <v>20217</v>
      </c>
      <c r="AS358" s="1859">
        <v>17921</v>
      </c>
      <c r="AT358" s="2835">
        <v>23029</v>
      </c>
      <c r="AU358" s="1859">
        <v>23305</v>
      </c>
      <c r="AV358" s="1859">
        <v>22234</v>
      </c>
      <c r="AW358" s="1860">
        <v>19076</v>
      </c>
      <c r="AX358" s="2857"/>
      <c r="AY358" s="1859"/>
      <c r="AZ358" s="1859"/>
      <c r="BA358" s="1859"/>
      <c r="BB358" s="2835"/>
      <c r="BC358" s="1859"/>
      <c r="BD358" s="1859"/>
      <c r="BE358" s="1860"/>
      <c r="BF358" s="1859"/>
      <c r="BG358" s="1859"/>
      <c r="BH358" s="1859"/>
      <c r="BI358" s="1860"/>
      <c r="BJ358" s="1859"/>
      <c r="BK358" s="1859"/>
      <c r="BL358" s="1859"/>
      <c r="BM358" s="1860"/>
      <c r="BN358" s="1859"/>
      <c r="BO358" s="1860"/>
      <c r="BP358" s="1860"/>
      <c r="BQ358" s="1794"/>
      <c r="BR358" s="1859"/>
      <c r="BS358" s="1859"/>
      <c r="BT358" s="1859"/>
      <c r="BU358" s="1859"/>
      <c r="BV358" s="1859"/>
      <c r="BW358" s="1859"/>
      <c r="BX358" s="1859"/>
      <c r="BY358" s="1861">
        <v>66063</v>
      </c>
      <c r="BZ358" s="1861">
        <v>72702</v>
      </c>
      <c r="CA358" s="2835">
        <v>80320</v>
      </c>
      <c r="CB358" s="2835">
        <v>87644</v>
      </c>
      <c r="CC358" s="2835"/>
      <c r="CD358" s="1924"/>
      <c r="CE358" s="1924"/>
      <c r="CF358" s="1924"/>
      <c r="CG358" s="3391"/>
      <c r="CH358" s="3391"/>
    </row>
    <row r="359" spans="1:86" s="987" customFormat="1" hidden="1" outlineLevel="1">
      <c r="A359" s="1558" t="s">
        <v>1354</v>
      </c>
      <c r="E359" s="468"/>
      <c r="L359" s="468"/>
      <c r="S359" s="1408"/>
      <c r="T359" s="1408"/>
      <c r="U359" s="1408"/>
      <c r="V359" s="1408"/>
      <c r="W359" s="1559"/>
      <c r="X359" s="1408"/>
      <c r="Y359" s="1408"/>
      <c r="Z359" s="1408"/>
      <c r="AA359" s="1408"/>
      <c r="AB359" s="219"/>
      <c r="AG359" s="468"/>
      <c r="AJ359" s="987">
        <f>AJ358/AE358-1</f>
        <v>0.2068696330991413</v>
      </c>
      <c r="AK359" s="468">
        <f>AK358/AF358-1</f>
        <v>8.0144510801445135E-2</v>
      </c>
      <c r="AL359" s="987">
        <f t="shared" ref="AL359:AS359" si="348">AL358/AH358-1</f>
        <v>0.10943396226415092</v>
      </c>
      <c r="AM359" s="987">
        <f t="shared" si="348"/>
        <v>0.10313118379699682</v>
      </c>
      <c r="AN359" s="987">
        <f t="shared" si="348"/>
        <v>8.5264024461954691E-2</v>
      </c>
      <c r="AO359" s="468">
        <f t="shared" si="348"/>
        <v>0.10457337883959039</v>
      </c>
      <c r="AP359" s="987">
        <f t="shared" si="348"/>
        <v>0.10784929356357931</v>
      </c>
      <c r="AQ359" s="987">
        <f t="shared" si="348"/>
        <v>0.10852590482220115</v>
      </c>
      <c r="AR359" s="987">
        <f t="shared" si="348"/>
        <v>9.5416124837451211E-2</v>
      </c>
      <c r="AS359" s="987">
        <f t="shared" si="348"/>
        <v>0.10746508466197002</v>
      </c>
      <c r="AT359" s="2820">
        <f>AT358/AP358-1</f>
        <v>8.7761560625383872E-2</v>
      </c>
      <c r="AU359" s="987">
        <f>AU358/AQ358-1</f>
        <v>0.10918090524011226</v>
      </c>
      <c r="AV359" s="987">
        <f>AV358/AR358-1</f>
        <v>9.9767522382153695E-2</v>
      </c>
      <c r="AW359" s="468">
        <f>AW358/AS358-1</f>
        <v>6.44495284861335E-2</v>
      </c>
      <c r="AX359" s="2858"/>
      <c r="BB359" s="2820"/>
      <c r="BE359" s="468"/>
      <c r="BI359" s="468"/>
      <c r="BM359" s="468"/>
      <c r="BO359" s="468"/>
      <c r="BP359" s="468"/>
      <c r="BQ359" s="468"/>
      <c r="BY359" s="1014"/>
      <c r="BZ359" s="1014">
        <f>BZ358/BY358-1</f>
        <v>0.10049498206257668</v>
      </c>
      <c r="CA359" s="2820">
        <f>CA358/BZ358-1</f>
        <v>0.10478391240956242</v>
      </c>
      <c r="CB359" s="2820">
        <f>CB358/CA358-1</f>
        <v>9.1185258964143534E-2</v>
      </c>
      <c r="CC359" s="2820"/>
      <c r="CD359" s="2820"/>
      <c r="CE359" s="2820"/>
      <c r="CF359" s="2820"/>
      <c r="CG359" s="2820"/>
      <c r="CH359" s="2820"/>
    </row>
    <row r="360" spans="1:86" s="1800" customFormat="1" hidden="1" outlineLevel="1">
      <c r="A360" s="992" t="s">
        <v>1396</v>
      </c>
      <c r="E360" s="1801"/>
      <c r="L360" s="1960"/>
      <c r="S360" s="1793"/>
      <c r="T360" s="1793"/>
      <c r="U360" s="1793"/>
      <c r="V360" s="1793"/>
      <c r="W360" s="1961"/>
      <c r="X360" s="1793"/>
      <c r="Y360" s="1793"/>
      <c r="Z360" s="1793"/>
      <c r="AA360" s="1793"/>
      <c r="AB360" s="1858"/>
      <c r="AC360" s="1859"/>
      <c r="AD360" s="1859"/>
      <c r="AE360" s="1859">
        <v>1739</v>
      </c>
      <c r="AF360" s="1859">
        <v>1505</v>
      </c>
      <c r="AG360" s="1860"/>
      <c r="AH360" s="1859">
        <v>1540</v>
      </c>
      <c r="AI360" s="1859">
        <v>1765</v>
      </c>
      <c r="AJ360" s="1859">
        <v>2083</v>
      </c>
      <c r="AK360" s="1860">
        <v>1695</v>
      </c>
      <c r="AL360" s="1859">
        <v>1700</v>
      </c>
      <c r="AM360" s="1859">
        <v>2009</v>
      </c>
      <c r="AN360" s="1859">
        <v>2314</v>
      </c>
      <c r="AO360" s="1860">
        <v>1857</v>
      </c>
      <c r="AP360" s="1859">
        <v>1926</v>
      </c>
      <c r="AQ360" s="1859">
        <v>2253</v>
      </c>
      <c r="AR360" s="1859">
        <v>2527</v>
      </c>
      <c r="AS360" s="1859">
        <v>2054</v>
      </c>
      <c r="AT360" s="2835">
        <v>2037</v>
      </c>
      <c r="AU360" s="1859">
        <v>2480</v>
      </c>
      <c r="AV360" s="1859">
        <v>2732</v>
      </c>
      <c r="AW360" s="1860">
        <v>2178</v>
      </c>
      <c r="AX360" s="2857"/>
      <c r="AY360" s="1859"/>
      <c r="AZ360" s="1859"/>
      <c r="BA360" s="1859"/>
      <c r="BB360" s="2835"/>
      <c r="BC360" s="1859"/>
      <c r="BD360" s="1859"/>
      <c r="BE360" s="1860"/>
      <c r="BF360" s="1859"/>
      <c r="BG360" s="1859"/>
      <c r="BH360" s="1859"/>
      <c r="BI360" s="1860"/>
      <c r="BJ360" s="1859"/>
      <c r="BK360" s="1859"/>
      <c r="BL360" s="1859"/>
      <c r="BM360" s="1860"/>
      <c r="BN360" s="1859"/>
      <c r="BO360" s="1860"/>
      <c r="BP360" s="1860"/>
      <c r="BQ360" s="1794"/>
      <c r="BR360" s="1859"/>
      <c r="BS360" s="1859"/>
      <c r="BT360" s="1859"/>
      <c r="BU360" s="1859"/>
      <c r="BV360" s="1859"/>
      <c r="BW360" s="1859"/>
      <c r="BX360" s="1859"/>
      <c r="BY360" s="1861">
        <v>7083</v>
      </c>
      <c r="BZ360" s="1861">
        <v>7880</v>
      </c>
      <c r="CA360" s="2835">
        <v>8760</v>
      </c>
      <c r="CB360" s="2835">
        <v>9427</v>
      </c>
      <c r="CC360" s="2835"/>
      <c r="CD360" s="1924"/>
      <c r="CE360" s="1924"/>
      <c r="CF360" s="1924"/>
      <c r="CG360" s="3391"/>
      <c r="CH360" s="3391"/>
    </row>
    <row r="361" spans="1:86" s="1408" customFormat="1" hidden="1" outlineLevel="1">
      <c r="A361" s="1022" t="s">
        <v>1356</v>
      </c>
      <c r="E361" s="219"/>
      <c r="L361" s="219"/>
      <c r="W361" s="1559"/>
      <c r="AB361" s="219"/>
      <c r="AG361" s="219"/>
      <c r="AJ361" s="987">
        <f>AJ360/AE360-1</f>
        <v>0.19781483611270856</v>
      </c>
      <c r="AK361" s="468">
        <f>AK360/AF360-1</f>
        <v>0.12624584717607967</v>
      </c>
      <c r="AL361" s="987">
        <f t="shared" ref="AL361:AS361" si="349">AL360/AH360-1</f>
        <v>0.10389610389610393</v>
      </c>
      <c r="AM361" s="987">
        <f t="shared" si="349"/>
        <v>0.13824362606232299</v>
      </c>
      <c r="AN361" s="987">
        <f t="shared" si="349"/>
        <v>0.11089774363898219</v>
      </c>
      <c r="AO361" s="468">
        <f t="shared" si="349"/>
        <v>9.5575221238938024E-2</v>
      </c>
      <c r="AP361" s="987">
        <f t="shared" si="349"/>
        <v>0.13294117647058834</v>
      </c>
      <c r="AQ361" s="987">
        <f t="shared" si="349"/>
        <v>0.12145345943255359</v>
      </c>
      <c r="AR361" s="987">
        <f t="shared" si="349"/>
        <v>9.2048401037165162E-2</v>
      </c>
      <c r="AS361" s="987">
        <f t="shared" si="349"/>
        <v>0.10608508346795897</v>
      </c>
      <c r="AT361" s="2820">
        <f>AT360/AP360-1</f>
        <v>5.7632398753894032E-2</v>
      </c>
      <c r="AU361" s="987">
        <f>AU360/AQ360-1</f>
        <v>0.10075454948956941</v>
      </c>
      <c r="AV361" s="987">
        <f>AV360/AR360-1</f>
        <v>8.1123862287297177E-2</v>
      </c>
      <c r="AW361" s="468">
        <f>AW360/AS360-1</f>
        <v>6.0370009737098274E-2</v>
      </c>
      <c r="AX361" s="2858"/>
      <c r="AY361" s="987"/>
      <c r="AZ361" s="987"/>
      <c r="BA361" s="987"/>
      <c r="BB361" s="2820"/>
      <c r="BC361" s="987"/>
      <c r="BD361" s="987"/>
      <c r="BE361" s="468"/>
      <c r="BF361" s="987"/>
      <c r="BG361" s="987"/>
      <c r="BH361" s="987"/>
      <c r="BI361" s="468"/>
      <c r="BJ361" s="987"/>
      <c r="BK361" s="987"/>
      <c r="BL361" s="987"/>
      <c r="BM361" s="468"/>
      <c r="BN361" s="987"/>
      <c r="BO361" s="468"/>
      <c r="BP361" s="468"/>
      <c r="BQ361" s="468"/>
      <c r="BR361" s="987"/>
      <c r="BS361" s="987"/>
      <c r="BT361" s="987"/>
      <c r="BU361" s="987"/>
      <c r="BV361" s="987"/>
      <c r="BW361" s="987"/>
      <c r="BX361" s="987"/>
      <c r="BY361" s="1014"/>
      <c r="BZ361" s="1014">
        <f>BZ360/BY360-1</f>
        <v>0.11252294225610626</v>
      </c>
      <c r="CA361" s="2820">
        <f>CA360/BZ360-1</f>
        <v>0.11167512690355319</v>
      </c>
      <c r="CB361" s="2820">
        <f>CB360/CA360-1</f>
        <v>7.6141552511415522E-2</v>
      </c>
      <c r="CC361" s="2820"/>
      <c r="CD361" s="1559"/>
      <c r="CE361" s="1559"/>
      <c r="CF361" s="1559"/>
      <c r="CG361" s="3385"/>
      <c r="CH361" s="3385"/>
    </row>
    <row r="362" spans="1:86" s="211" customFormat="1" hidden="1" outlineLevel="1">
      <c r="A362" s="1500" t="s">
        <v>1387</v>
      </c>
      <c r="E362" s="446"/>
      <c r="L362" s="468"/>
      <c r="S362" s="133"/>
      <c r="T362" s="133"/>
      <c r="U362" s="133"/>
      <c r="V362" s="133"/>
      <c r="W362" s="137"/>
      <c r="X362" s="133"/>
      <c r="Y362" s="133"/>
      <c r="Z362" s="133"/>
      <c r="AA362" s="133"/>
      <c r="AB362" s="136"/>
      <c r="AG362" s="446"/>
      <c r="AH362" s="211">
        <f t="shared" ref="AH362:AW362" si="350">AH360/AH358</f>
        <v>8.9404934687953561E-2</v>
      </c>
      <c r="AI362" s="211">
        <f t="shared" si="350"/>
        <v>0.10272378070073332</v>
      </c>
      <c r="AJ362" s="211">
        <f t="shared" si="350"/>
        <v>0.12248618134775961</v>
      </c>
      <c r="AK362" s="446">
        <f t="shared" si="350"/>
        <v>0.11569965870307167</v>
      </c>
      <c r="AL362" s="211">
        <f t="shared" si="350"/>
        <v>8.8958660387231811E-2</v>
      </c>
      <c r="AM362" s="211">
        <f t="shared" si="350"/>
        <v>0.1059934578453097</v>
      </c>
      <c r="AN362" s="211">
        <f t="shared" si="350"/>
        <v>0.12537928045080191</v>
      </c>
      <c r="AO362" s="446">
        <f t="shared" si="350"/>
        <v>0.11475713756025213</v>
      </c>
      <c r="AP362" s="211">
        <f t="shared" si="350"/>
        <v>9.097350148788437E-2</v>
      </c>
      <c r="AQ362" s="211">
        <f t="shared" si="350"/>
        <v>0.1072295464280615</v>
      </c>
      <c r="AR362" s="211">
        <f t="shared" si="350"/>
        <v>0.12499381708463174</v>
      </c>
      <c r="AS362" s="211">
        <f t="shared" si="350"/>
        <v>0.11461413983594665</v>
      </c>
      <c r="AT362" s="447">
        <f t="shared" si="350"/>
        <v>8.8453688827131005E-2</v>
      </c>
      <c r="AU362" s="211">
        <f t="shared" si="350"/>
        <v>0.10641493241793606</v>
      </c>
      <c r="AV362" s="211">
        <f t="shared" si="350"/>
        <v>0.12287487631555276</v>
      </c>
      <c r="AW362" s="446">
        <f t="shared" si="350"/>
        <v>0.11417487942964982</v>
      </c>
      <c r="AX362" s="2859"/>
      <c r="BB362" s="447"/>
      <c r="BE362" s="446"/>
      <c r="BI362" s="446"/>
      <c r="BM362" s="446"/>
      <c r="BO362" s="446"/>
      <c r="BP362" s="446"/>
      <c r="BQ362" s="446"/>
      <c r="BY362" s="451">
        <f>BY360/BY358</f>
        <v>0.10721583942600245</v>
      </c>
      <c r="BZ362" s="451">
        <f>BZ360/BZ358</f>
        <v>0.10838766471348794</v>
      </c>
      <c r="CA362" s="447">
        <f>CA360/CA358</f>
        <v>0.10906374501992032</v>
      </c>
      <c r="CB362" s="447">
        <f>CB360/CB358</f>
        <v>0.10756012961526173</v>
      </c>
      <c r="CC362" s="447"/>
      <c r="CD362" s="447"/>
      <c r="CE362" s="447"/>
      <c r="CF362" s="447"/>
      <c r="CG362" s="447"/>
      <c r="CH362" s="447"/>
    </row>
    <row r="363" spans="1:86" s="1800" customFormat="1" hidden="1" outlineLevel="1">
      <c r="A363" s="992" t="s">
        <v>1397</v>
      </c>
      <c r="E363" s="1801"/>
      <c r="L363" s="1960"/>
      <c r="S363" s="1793"/>
      <c r="T363" s="1793"/>
      <c r="U363" s="1793"/>
      <c r="V363" s="1793"/>
      <c r="W363" s="1961"/>
      <c r="X363" s="1793"/>
      <c r="Y363" s="1793"/>
      <c r="Z363" s="1793"/>
      <c r="AA363" s="1793"/>
      <c r="AB363" s="1858"/>
      <c r="AC363" s="1859"/>
      <c r="AD363" s="1859"/>
      <c r="AE363" s="1859">
        <v>589</v>
      </c>
      <c r="AF363" s="1859">
        <v>407</v>
      </c>
      <c r="AG363" s="1860"/>
      <c r="AH363" s="1859">
        <v>292</v>
      </c>
      <c r="AI363" s="1859">
        <v>428</v>
      </c>
      <c r="AJ363" s="1859">
        <v>714</v>
      </c>
      <c r="AK363" s="1860">
        <v>532</v>
      </c>
      <c r="AL363" s="1859">
        <v>306</v>
      </c>
      <c r="AM363" s="1859">
        <v>488</v>
      </c>
      <c r="AN363" s="1859">
        <v>737</v>
      </c>
      <c r="AO363" s="1860">
        <v>537</v>
      </c>
      <c r="AP363" s="1859">
        <v>323</v>
      </c>
      <c r="AQ363" s="1859">
        <v>561</v>
      </c>
      <c r="AR363" s="1859">
        <v>837</v>
      </c>
      <c r="AS363" s="1859">
        <v>584</v>
      </c>
      <c r="AT363" s="2835">
        <v>344</v>
      </c>
      <c r="AU363" s="1859">
        <v>623</v>
      </c>
      <c r="AV363" s="1859">
        <v>865</v>
      </c>
      <c r="AW363" s="1860">
        <v>615</v>
      </c>
      <c r="AX363" s="2857"/>
      <c r="AY363" s="1859"/>
      <c r="AZ363" s="1859"/>
      <c r="BA363" s="1859"/>
      <c r="BB363" s="2835"/>
      <c r="BC363" s="1859"/>
      <c r="BD363" s="1859"/>
      <c r="BE363" s="1860"/>
      <c r="BF363" s="1859"/>
      <c r="BG363" s="1859"/>
      <c r="BH363" s="1859"/>
      <c r="BI363" s="1860"/>
      <c r="BJ363" s="1859"/>
      <c r="BK363" s="1859"/>
      <c r="BL363" s="1859"/>
      <c r="BM363" s="1860"/>
      <c r="BN363" s="1859"/>
      <c r="BO363" s="1860"/>
      <c r="BP363" s="1860"/>
      <c r="BQ363" s="1794"/>
      <c r="BR363" s="1859"/>
      <c r="BS363" s="1859"/>
      <c r="BT363" s="1859"/>
      <c r="BU363" s="1859"/>
      <c r="BV363" s="1859"/>
      <c r="BW363" s="1859"/>
      <c r="BX363" s="1859"/>
      <c r="BY363" s="1861">
        <v>1966</v>
      </c>
      <c r="BZ363" s="1861">
        <v>2068</v>
      </c>
      <c r="CA363" s="2835">
        <v>2305</v>
      </c>
      <c r="CB363" s="2835">
        <v>2447</v>
      </c>
      <c r="CC363" s="2835"/>
      <c r="CD363" s="1924"/>
      <c r="CE363" s="1924"/>
      <c r="CF363" s="1924"/>
      <c r="CG363" s="3391"/>
      <c r="CH363" s="3391"/>
    </row>
    <row r="364" spans="1:86" s="211" customFormat="1" hidden="1" outlineLevel="1">
      <c r="A364" s="1558" t="s">
        <v>1357</v>
      </c>
      <c r="E364" s="446"/>
      <c r="H364" s="211" t="s">
        <v>1098</v>
      </c>
      <c r="L364" s="468"/>
      <c r="S364" s="133"/>
      <c r="T364" s="133"/>
      <c r="U364" s="133"/>
      <c r="V364" s="133"/>
      <c r="W364" s="137"/>
      <c r="X364" s="133"/>
      <c r="Y364" s="133"/>
      <c r="Z364" s="133"/>
      <c r="AA364" s="133"/>
      <c r="AB364" s="136"/>
      <c r="AG364" s="446"/>
      <c r="AH364" s="211">
        <f t="shared" ref="AH364:AW364" si="351">AH363/AH360</f>
        <v>0.18961038961038962</v>
      </c>
      <c r="AI364" s="211">
        <f t="shared" si="351"/>
        <v>0.24249291784702551</v>
      </c>
      <c r="AJ364" s="211">
        <f t="shared" si="351"/>
        <v>0.34277484397503599</v>
      </c>
      <c r="AK364" s="446">
        <f t="shared" si="351"/>
        <v>0.31386430678466076</v>
      </c>
      <c r="AL364" s="211">
        <f t="shared" si="351"/>
        <v>0.18</v>
      </c>
      <c r="AM364" s="211">
        <f t="shared" si="351"/>
        <v>0.24290691886510701</v>
      </c>
      <c r="AN364" s="211">
        <f t="shared" si="351"/>
        <v>0.31849611063094208</v>
      </c>
      <c r="AO364" s="446">
        <f t="shared" si="351"/>
        <v>0.28917609046849757</v>
      </c>
      <c r="AP364" s="211">
        <f t="shared" si="351"/>
        <v>0.16770508826583594</v>
      </c>
      <c r="AQ364" s="211">
        <f t="shared" si="351"/>
        <v>0.24900133155792276</v>
      </c>
      <c r="AR364" s="211">
        <f t="shared" si="351"/>
        <v>0.33122279382667197</v>
      </c>
      <c r="AS364" s="211">
        <f t="shared" si="351"/>
        <v>0.28432327166504384</v>
      </c>
      <c r="AT364" s="447">
        <f t="shared" si="351"/>
        <v>0.16887579774177713</v>
      </c>
      <c r="AU364" s="211">
        <f t="shared" si="351"/>
        <v>0.25120967741935485</v>
      </c>
      <c r="AV364" s="211">
        <f t="shared" si="351"/>
        <v>0.31661786237188871</v>
      </c>
      <c r="AW364" s="446">
        <f t="shared" si="351"/>
        <v>0.28236914600550966</v>
      </c>
      <c r="AX364" s="2859"/>
      <c r="BB364" s="447"/>
      <c r="BE364" s="446"/>
      <c r="BI364" s="446"/>
      <c r="BM364" s="446"/>
      <c r="BO364" s="446"/>
      <c r="BP364" s="446"/>
      <c r="BQ364" s="446"/>
      <c r="BY364" s="451">
        <f>BY363/BY360</f>
        <v>0.27756600310602852</v>
      </c>
      <c r="BZ364" s="451">
        <f>BZ363/BZ360</f>
        <v>0.26243654822335027</v>
      </c>
      <c r="CA364" s="447">
        <f>CA363/CA360</f>
        <v>0.26312785388127852</v>
      </c>
      <c r="CB364" s="447">
        <f>CB363/CB360</f>
        <v>0.25957356529118492</v>
      </c>
      <c r="CC364" s="447"/>
      <c r="CD364" s="447"/>
      <c r="CE364" s="447"/>
      <c r="CF364" s="447"/>
      <c r="CG364" s="447"/>
      <c r="CH364" s="447"/>
    </row>
    <row r="365" spans="1:86" hidden="1" outlineLevel="1">
      <c r="A365" s="992"/>
      <c r="S365" s="211"/>
      <c r="T365" s="211"/>
      <c r="U365" s="211"/>
      <c r="V365" s="211"/>
      <c r="W365" s="447"/>
      <c r="X365" s="211"/>
      <c r="Y365" s="211"/>
      <c r="Z365" s="211"/>
      <c r="AA365" s="211"/>
      <c r="AB365" s="446"/>
    </row>
    <row r="366" spans="1:86" hidden="1" outlineLevel="1">
      <c r="A366" s="1534" t="s">
        <v>1966</v>
      </c>
    </row>
    <row r="367" spans="1:86" s="1859" customFormat="1" hidden="1" outlineLevel="1">
      <c r="A367" s="1532" t="s">
        <v>1395</v>
      </c>
      <c r="E367" s="1860"/>
      <c r="L367" s="1944"/>
      <c r="S367" s="1800"/>
      <c r="T367" s="1800"/>
      <c r="U367" s="1800"/>
      <c r="V367" s="1800"/>
      <c r="W367" s="1924"/>
      <c r="X367" s="1800"/>
      <c r="Y367" s="1800"/>
      <c r="Z367" s="1800"/>
      <c r="AA367" s="1800"/>
      <c r="AB367" s="1801"/>
      <c r="AG367" s="1860"/>
      <c r="AH367" s="1859">
        <v>1818</v>
      </c>
      <c r="AI367" s="1859">
        <v>1460</v>
      </c>
      <c r="AJ367" s="1859">
        <v>1403</v>
      </c>
      <c r="AK367" s="1860">
        <v>1299</v>
      </c>
      <c r="AL367" s="1859">
        <v>2697</v>
      </c>
      <c r="AM367" s="1859">
        <v>2123</v>
      </c>
      <c r="AN367" s="1859">
        <v>2013</v>
      </c>
      <c r="AO367" s="1860">
        <v>1913</v>
      </c>
      <c r="AP367" s="1859">
        <v>3947</v>
      </c>
      <c r="AQ367" s="1859">
        <v>2814</v>
      </c>
      <c r="AR367" s="1859">
        <v>2496</v>
      </c>
      <c r="AS367" s="1859">
        <v>2192</v>
      </c>
      <c r="AT367" s="2835">
        <v>4163</v>
      </c>
      <c r="AU367" s="1859">
        <v>2862</v>
      </c>
      <c r="AV367" s="1859">
        <v>2633</v>
      </c>
      <c r="AW367" s="1860">
        <v>2275</v>
      </c>
      <c r="AX367" s="2857"/>
      <c r="BB367" s="2835"/>
      <c r="BE367" s="1860"/>
      <c r="BI367" s="1860"/>
      <c r="BM367" s="1860"/>
      <c r="BO367" s="1860"/>
      <c r="BP367" s="1860"/>
      <c r="BQ367" s="1794"/>
      <c r="BY367" s="1861">
        <v>5980</v>
      </c>
      <c r="BZ367" s="1861">
        <v>8746</v>
      </c>
      <c r="CA367" s="2835">
        <v>11448</v>
      </c>
      <c r="CB367" s="2835">
        <v>11933</v>
      </c>
      <c r="CC367" s="2835"/>
      <c r="CD367" s="2835"/>
      <c r="CE367" s="2835"/>
      <c r="CF367" s="2835"/>
      <c r="CG367" s="2824"/>
      <c r="CH367" s="2824"/>
    </row>
    <row r="368" spans="1:86" hidden="1" outlineLevel="1">
      <c r="A368" s="1022" t="s">
        <v>1354</v>
      </c>
      <c r="S368" s="540"/>
      <c r="T368" s="540"/>
      <c r="U368" s="540"/>
      <c r="V368" s="540"/>
      <c r="W368" s="539"/>
      <c r="X368" s="540"/>
      <c r="Y368" s="540"/>
      <c r="Z368" s="540"/>
      <c r="AA368" s="540"/>
      <c r="AB368" s="541"/>
      <c r="AH368" s="995"/>
      <c r="AI368" s="995"/>
      <c r="AJ368" s="995"/>
      <c r="AK368" s="996"/>
      <c r="AL368" s="988">
        <f t="shared" ref="AL368:AS368" si="352">AL367/AH367-1</f>
        <v>0.48349834983498341</v>
      </c>
      <c r="AM368" s="988">
        <f t="shared" si="352"/>
        <v>0.454109589041096</v>
      </c>
      <c r="AN368" s="988">
        <f t="shared" si="352"/>
        <v>0.43478260869565211</v>
      </c>
      <c r="AO368" s="989">
        <f t="shared" si="352"/>
        <v>0.47267128560431093</v>
      </c>
      <c r="AP368" s="988">
        <f t="shared" si="352"/>
        <v>0.46347793845012975</v>
      </c>
      <c r="AQ368" s="988">
        <f t="shared" si="352"/>
        <v>0.32548280734809243</v>
      </c>
      <c r="AR368" s="988">
        <f t="shared" si="352"/>
        <v>0.23994038748137103</v>
      </c>
      <c r="AS368" s="988">
        <f t="shared" si="352"/>
        <v>0.14584422373235761</v>
      </c>
      <c r="AT368" s="2829">
        <f>AT367/AP367-1</f>
        <v>5.4725107676716567E-2</v>
      </c>
      <c r="AU368" s="988">
        <f>AU367/AQ367-1</f>
        <v>1.7057569296375252E-2</v>
      </c>
      <c r="AV368" s="988">
        <f>AV367/AR367-1</f>
        <v>5.4887820512820484E-2</v>
      </c>
      <c r="AW368" s="989">
        <f>AW367/AS367-1</f>
        <v>3.7864963503649651E-2</v>
      </c>
      <c r="AX368" s="2860"/>
      <c r="AY368" s="988"/>
      <c r="AZ368" s="988"/>
      <c r="BA368" s="988"/>
      <c r="BB368" s="2829"/>
      <c r="BC368" s="988"/>
      <c r="BD368" s="988"/>
      <c r="BE368" s="989"/>
      <c r="BF368" s="988"/>
      <c r="BG368" s="988"/>
      <c r="BH368" s="988"/>
      <c r="BI368" s="989"/>
      <c r="BJ368" s="988"/>
      <c r="BK368" s="988"/>
      <c r="BL368" s="988"/>
      <c r="BM368" s="989"/>
      <c r="BN368" s="988"/>
      <c r="BO368" s="989"/>
      <c r="BP368" s="989"/>
      <c r="BQ368" s="3335"/>
      <c r="BR368" s="988"/>
      <c r="BS368" s="988"/>
      <c r="BT368" s="988"/>
      <c r="BU368" s="988"/>
      <c r="BV368" s="988"/>
      <c r="BW368" s="988"/>
      <c r="BX368" s="988"/>
      <c r="BY368" s="2887"/>
      <c r="BZ368" s="1009">
        <f>BZ367/BY367-1</f>
        <v>0.46254180602006678</v>
      </c>
      <c r="CA368" s="2829">
        <f>CA367/BZ367-1</f>
        <v>0.30894123027669784</v>
      </c>
      <c r="CB368" s="2829">
        <f>CB367/CA367-1</f>
        <v>4.2365478686233304E-2</v>
      </c>
      <c r="CC368" s="2829"/>
    </row>
    <row r="369" spans="1:86" s="1800" customFormat="1" hidden="1" outlineLevel="1">
      <c r="A369" s="992" t="s">
        <v>1396</v>
      </c>
      <c r="E369" s="1801"/>
      <c r="L369" s="1960"/>
      <c r="W369" s="1924"/>
      <c r="AB369" s="1801"/>
      <c r="AG369" s="1801"/>
      <c r="AH369" s="2070">
        <v>142</v>
      </c>
      <c r="AI369" s="2070">
        <v>172</v>
      </c>
      <c r="AJ369" s="2070">
        <v>210</v>
      </c>
      <c r="AK369" s="2071">
        <v>166</v>
      </c>
      <c r="AL369" s="2070">
        <v>185</v>
      </c>
      <c r="AM369" s="2070">
        <v>224</v>
      </c>
      <c r="AN369" s="2070">
        <v>305</v>
      </c>
      <c r="AO369" s="2071">
        <v>193</v>
      </c>
      <c r="AP369" s="2070">
        <v>234</v>
      </c>
      <c r="AQ369" s="2070">
        <v>297</v>
      </c>
      <c r="AR369" s="2070">
        <v>410</v>
      </c>
      <c r="AS369" s="2070">
        <v>230</v>
      </c>
      <c r="AT369" s="2833">
        <v>267</v>
      </c>
      <c r="AU369" s="2070">
        <v>347</v>
      </c>
      <c r="AV369" s="2070">
        <v>467</v>
      </c>
      <c r="AW369" s="2071">
        <v>259</v>
      </c>
      <c r="AX369" s="2861"/>
      <c r="AY369" s="2070"/>
      <c r="AZ369" s="2070"/>
      <c r="BA369" s="2070"/>
      <c r="BB369" s="2833"/>
      <c r="BC369" s="2070"/>
      <c r="BD369" s="2070"/>
      <c r="BE369" s="2071"/>
      <c r="BF369" s="2070"/>
      <c r="BG369" s="2070"/>
      <c r="BH369" s="2070"/>
      <c r="BI369" s="2071"/>
      <c r="BJ369" s="2070"/>
      <c r="BK369" s="2070"/>
      <c r="BL369" s="2070"/>
      <c r="BM369" s="2071"/>
      <c r="BN369" s="2070"/>
      <c r="BO369" s="2071"/>
      <c r="BP369" s="2071"/>
      <c r="BQ369" s="3364"/>
      <c r="BR369" s="2070"/>
      <c r="BS369" s="2070"/>
      <c r="BT369" s="2070"/>
      <c r="BU369" s="2070"/>
      <c r="BV369" s="2070"/>
      <c r="BW369" s="2070"/>
      <c r="BX369" s="2070"/>
      <c r="BY369" s="2077">
        <v>690</v>
      </c>
      <c r="BZ369" s="2077">
        <v>907</v>
      </c>
      <c r="CA369" s="2833">
        <v>1171</v>
      </c>
      <c r="CB369" s="2833">
        <v>1340</v>
      </c>
      <c r="CC369" s="2833"/>
      <c r="CD369" s="1924"/>
      <c r="CE369" s="1924"/>
      <c r="CF369" s="1924"/>
      <c r="CG369" s="3391"/>
      <c r="CH369" s="3391"/>
    </row>
    <row r="370" spans="1:86" hidden="1" outlineLevel="1">
      <c r="A370" s="1022" t="s">
        <v>1356</v>
      </c>
      <c r="AH370" s="1005"/>
      <c r="AI370" s="1005"/>
      <c r="AJ370" s="1005"/>
      <c r="AK370" s="1006"/>
      <c r="AL370" s="988">
        <f t="shared" ref="AL370:AS370" si="353">AL369/AH369-1</f>
        <v>0.30281690140845074</v>
      </c>
      <c r="AM370" s="988">
        <f t="shared" si="353"/>
        <v>0.30232558139534893</v>
      </c>
      <c r="AN370" s="988">
        <f t="shared" si="353"/>
        <v>0.45238095238095233</v>
      </c>
      <c r="AO370" s="989">
        <f t="shared" si="353"/>
        <v>0.16265060240963858</v>
      </c>
      <c r="AP370" s="988">
        <f t="shared" si="353"/>
        <v>0.26486486486486482</v>
      </c>
      <c r="AQ370" s="988">
        <f t="shared" si="353"/>
        <v>0.32589285714285721</v>
      </c>
      <c r="AR370" s="988">
        <f t="shared" si="353"/>
        <v>0.34426229508196715</v>
      </c>
      <c r="AS370" s="988">
        <f t="shared" si="353"/>
        <v>0.19170984455958551</v>
      </c>
      <c r="AT370" s="2829">
        <f>AT369/AP369-1</f>
        <v>0.14102564102564097</v>
      </c>
      <c r="AU370" s="988">
        <f>AU369/AQ369-1</f>
        <v>0.16835016835016825</v>
      </c>
      <c r="AV370" s="988">
        <f>AV369/AR369-1</f>
        <v>0.13902439024390234</v>
      </c>
      <c r="AW370" s="989">
        <f>AW369/AS369-1</f>
        <v>0.12608695652173907</v>
      </c>
      <c r="AX370" s="2860"/>
      <c r="AY370" s="988"/>
      <c r="AZ370" s="988"/>
      <c r="BA370" s="988"/>
      <c r="BB370" s="2829"/>
      <c r="BC370" s="988"/>
      <c r="BD370" s="988"/>
      <c r="BE370" s="989"/>
      <c r="BF370" s="988"/>
      <c r="BG370" s="988"/>
      <c r="BH370" s="988"/>
      <c r="BI370" s="989"/>
      <c r="BJ370" s="988"/>
      <c r="BK370" s="988"/>
      <c r="BL370" s="988"/>
      <c r="BM370" s="989"/>
      <c r="BN370" s="988"/>
      <c r="BO370" s="989"/>
      <c r="BP370" s="989"/>
      <c r="BQ370" s="3335"/>
      <c r="BR370" s="988"/>
      <c r="BS370" s="988"/>
      <c r="BT370" s="988"/>
      <c r="BU370" s="988"/>
      <c r="BV370" s="988"/>
      <c r="BW370" s="988"/>
      <c r="BX370" s="988"/>
      <c r="BY370" s="2908"/>
      <c r="BZ370" s="1009">
        <f>BZ369/BY369-1</f>
        <v>0.31449275362318851</v>
      </c>
      <c r="CA370" s="2829">
        <f>CA369/BZ369-1</f>
        <v>0.29106945975744214</v>
      </c>
      <c r="CB370" s="2829">
        <f>CB369/CA369-1</f>
        <v>0.14432109308283514</v>
      </c>
      <c r="CC370" s="2829"/>
    </row>
    <row r="371" spans="1:86" s="211" customFormat="1" hidden="1" outlineLevel="1">
      <c r="A371" s="1500" t="s">
        <v>1387</v>
      </c>
      <c r="E371" s="446"/>
      <c r="L371" s="468"/>
      <c r="S371" s="133"/>
      <c r="T371" s="133"/>
      <c r="U371" s="133"/>
      <c r="V371" s="133"/>
      <c r="W371" s="137"/>
      <c r="X371" s="133"/>
      <c r="Y371" s="133"/>
      <c r="Z371" s="133"/>
      <c r="AA371" s="133"/>
      <c r="AB371" s="136"/>
      <c r="AG371" s="446"/>
      <c r="AH371" s="211">
        <f t="shared" ref="AH371:AW371" si="354">AH369/AH367</f>
        <v>7.8107810781078105E-2</v>
      </c>
      <c r="AI371" s="211">
        <f t="shared" si="354"/>
        <v>0.11780821917808219</v>
      </c>
      <c r="AJ371" s="211">
        <f t="shared" si="354"/>
        <v>0.14967925873129009</v>
      </c>
      <c r="AK371" s="446">
        <f t="shared" si="354"/>
        <v>0.12779060816012316</v>
      </c>
      <c r="AL371" s="211">
        <f t="shared" si="354"/>
        <v>6.8594734890619208E-2</v>
      </c>
      <c r="AM371" s="211">
        <f t="shared" si="354"/>
        <v>0.10551106924163919</v>
      </c>
      <c r="AN371" s="211">
        <f t="shared" si="354"/>
        <v>0.15151515151515152</v>
      </c>
      <c r="AO371" s="446">
        <f t="shared" si="354"/>
        <v>0.10088865656037638</v>
      </c>
      <c r="AP371" s="211">
        <f t="shared" si="354"/>
        <v>5.9285533316442866E-2</v>
      </c>
      <c r="AQ371" s="211">
        <f t="shared" si="354"/>
        <v>0.10554371002132196</v>
      </c>
      <c r="AR371" s="211">
        <f t="shared" si="354"/>
        <v>0.16426282051282051</v>
      </c>
      <c r="AS371" s="211">
        <f t="shared" si="354"/>
        <v>0.10492700729927007</v>
      </c>
      <c r="AT371" s="447">
        <f t="shared" si="354"/>
        <v>6.4136440067259187E-2</v>
      </c>
      <c r="AU371" s="211">
        <f t="shared" si="354"/>
        <v>0.12124388539482879</v>
      </c>
      <c r="AV371" s="211">
        <f t="shared" si="354"/>
        <v>0.17736422331940752</v>
      </c>
      <c r="AW371" s="446">
        <f t="shared" si="354"/>
        <v>0.11384615384615385</v>
      </c>
      <c r="AX371" s="2859"/>
      <c r="BB371" s="447"/>
      <c r="BE371" s="446"/>
      <c r="BI371" s="446"/>
      <c r="BM371" s="446"/>
      <c r="BO371" s="446"/>
      <c r="BP371" s="446"/>
      <c r="BQ371" s="446"/>
      <c r="BY371" s="451">
        <f>BY369/BY367</f>
        <v>0.11538461538461539</v>
      </c>
      <c r="BZ371" s="451">
        <f>BZ369/BZ367</f>
        <v>0.1037045506517265</v>
      </c>
      <c r="CA371" s="447">
        <f>CA369/CA367</f>
        <v>0.10228860936408106</v>
      </c>
      <c r="CB371" s="447">
        <f>CB369/CB367</f>
        <v>0.11229363948713651</v>
      </c>
      <c r="CC371" s="447"/>
      <c r="CD371" s="447"/>
      <c r="CE371" s="447"/>
      <c r="CF371" s="447"/>
      <c r="CG371" s="447"/>
      <c r="CH371" s="447"/>
    </row>
    <row r="372" spans="1:86" s="1800" customFormat="1" hidden="1" outlineLevel="1">
      <c r="A372" s="992" t="s">
        <v>1355</v>
      </c>
      <c r="E372" s="1801"/>
      <c r="L372" s="1960"/>
      <c r="S372" s="1793"/>
      <c r="T372" s="1793"/>
      <c r="U372" s="1793"/>
      <c r="V372" s="1793"/>
      <c r="W372" s="1961"/>
      <c r="X372" s="1793"/>
      <c r="Y372" s="1793"/>
      <c r="Z372" s="1793"/>
      <c r="AA372" s="1793"/>
      <c r="AB372" s="1858"/>
      <c r="AG372" s="1801"/>
      <c r="AH372" s="1962">
        <v>17</v>
      </c>
      <c r="AI372" s="1962">
        <v>38</v>
      </c>
      <c r="AJ372" s="1962">
        <v>77</v>
      </c>
      <c r="AK372" s="1963">
        <v>42</v>
      </c>
      <c r="AL372" s="1859">
        <v>6</v>
      </c>
      <c r="AM372" s="1859">
        <v>39</v>
      </c>
      <c r="AN372" s="1859">
        <v>126</v>
      </c>
      <c r="AO372" s="1860">
        <v>31</v>
      </c>
      <c r="AP372" s="1859">
        <v>-21</v>
      </c>
      <c r="AQ372" s="1859">
        <v>78</v>
      </c>
      <c r="AR372" s="1859">
        <v>209</v>
      </c>
      <c r="AS372" s="1859">
        <v>22</v>
      </c>
      <c r="AT372" s="2835">
        <v>-40</v>
      </c>
      <c r="AU372" s="1859">
        <v>84</v>
      </c>
      <c r="AV372" s="1859">
        <v>215</v>
      </c>
      <c r="AW372" s="2853">
        <v>22</v>
      </c>
      <c r="AX372" s="2862"/>
      <c r="AY372" s="2837"/>
      <c r="AZ372" s="2837"/>
      <c r="BA372" s="2837"/>
      <c r="BB372" s="2932"/>
      <c r="BC372" s="2837"/>
      <c r="BD372" s="2837"/>
      <c r="BE372" s="2853"/>
      <c r="BF372" s="2837"/>
      <c r="BG372" s="2837"/>
      <c r="BH372" s="2837"/>
      <c r="BI372" s="2853"/>
      <c r="BJ372" s="2837"/>
      <c r="BK372" s="2837"/>
      <c r="BL372" s="2837"/>
      <c r="BM372" s="2853"/>
      <c r="BN372" s="2837"/>
      <c r="BO372" s="2853"/>
      <c r="BP372" s="2853"/>
      <c r="BQ372" s="3371"/>
      <c r="BR372" s="2837"/>
      <c r="BS372" s="2837"/>
      <c r="BT372" s="2837"/>
      <c r="BU372" s="2837"/>
      <c r="BV372" s="2837"/>
      <c r="BW372" s="2837"/>
      <c r="BX372" s="2837"/>
      <c r="BY372" s="1964">
        <v>174</v>
      </c>
      <c r="BZ372" s="1964">
        <v>202</v>
      </c>
      <c r="CA372" s="2917">
        <v>288</v>
      </c>
      <c r="CB372" s="2833">
        <v>281</v>
      </c>
      <c r="CC372" s="1924"/>
      <c r="CD372" s="1924"/>
      <c r="CE372" s="1924"/>
      <c r="CF372" s="1924"/>
      <c r="CG372" s="3391"/>
      <c r="CH372" s="3391"/>
    </row>
    <row r="373" spans="1:86" s="211" customFormat="1" hidden="1" outlineLevel="1">
      <c r="A373" s="1558" t="s">
        <v>1357</v>
      </c>
      <c r="E373" s="446"/>
      <c r="L373" s="468"/>
      <c r="S373" s="133"/>
      <c r="T373" s="133"/>
      <c r="U373" s="133"/>
      <c r="V373" s="133"/>
      <c r="W373" s="137"/>
      <c r="X373" s="133"/>
      <c r="Y373" s="133"/>
      <c r="Z373" s="133"/>
      <c r="AA373" s="133"/>
      <c r="AB373" s="136"/>
      <c r="AG373" s="446"/>
      <c r="AH373" s="211">
        <f t="shared" ref="AH373:AW373" si="355">AH372/AH369</f>
        <v>0.11971830985915492</v>
      </c>
      <c r="AI373" s="211">
        <f t="shared" si="355"/>
        <v>0.22093023255813954</v>
      </c>
      <c r="AJ373" s="211">
        <f t="shared" si="355"/>
        <v>0.36666666666666664</v>
      </c>
      <c r="AK373" s="446">
        <f t="shared" si="355"/>
        <v>0.25301204819277107</v>
      </c>
      <c r="AL373" s="211">
        <f t="shared" si="355"/>
        <v>3.2432432432432434E-2</v>
      </c>
      <c r="AM373" s="211">
        <f t="shared" si="355"/>
        <v>0.17410714285714285</v>
      </c>
      <c r="AN373" s="211">
        <f t="shared" si="355"/>
        <v>0.41311475409836068</v>
      </c>
      <c r="AO373" s="446">
        <f t="shared" si="355"/>
        <v>0.16062176165803108</v>
      </c>
      <c r="AP373" s="211">
        <f t="shared" si="355"/>
        <v>-8.9743589743589744E-2</v>
      </c>
      <c r="AQ373" s="211">
        <f t="shared" si="355"/>
        <v>0.26262626262626265</v>
      </c>
      <c r="AR373" s="211">
        <f t="shared" si="355"/>
        <v>0.50975609756097562</v>
      </c>
      <c r="AS373" s="211">
        <f t="shared" si="355"/>
        <v>9.5652173913043481E-2</v>
      </c>
      <c r="AT373" s="447">
        <f t="shared" si="355"/>
        <v>-0.14981273408239701</v>
      </c>
      <c r="AU373" s="211">
        <f t="shared" si="355"/>
        <v>0.24207492795389049</v>
      </c>
      <c r="AV373" s="211">
        <f t="shared" si="355"/>
        <v>0.46038543897216272</v>
      </c>
      <c r="AW373" s="446">
        <f t="shared" si="355"/>
        <v>8.4942084942084939E-2</v>
      </c>
      <c r="AX373" s="2859"/>
      <c r="BB373" s="447"/>
      <c r="BE373" s="446"/>
      <c r="BI373" s="446"/>
      <c r="BM373" s="446"/>
      <c r="BO373" s="446"/>
      <c r="BP373" s="446"/>
      <c r="BQ373" s="446"/>
      <c r="BY373" s="451">
        <f>BY372/BY369</f>
        <v>0.25217391304347825</v>
      </c>
      <c r="BZ373" s="451">
        <f>BZ372/BZ369</f>
        <v>0.2227122381477398</v>
      </c>
      <c r="CA373" s="447">
        <f>CA372/CA369</f>
        <v>0.24594363791631085</v>
      </c>
      <c r="CB373" s="447">
        <f>CB372/CB369</f>
        <v>0.20970149253731343</v>
      </c>
      <c r="CC373" s="447"/>
      <c r="CD373" s="447"/>
      <c r="CE373" s="447"/>
      <c r="CF373" s="447"/>
      <c r="CG373" s="447"/>
      <c r="CH373" s="447"/>
    </row>
    <row r="374" spans="1:86" hidden="1" outlineLevel="1">
      <c r="A374" s="992"/>
      <c r="S374" s="211"/>
      <c r="T374" s="211"/>
      <c r="U374" s="211"/>
      <c r="V374" s="211"/>
      <c r="W374" s="447"/>
      <c r="X374" s="211"/>
      <c r="Y374" s="211"/>
      <c r="Z374" s="211"/>
      <c r="AA374" s="211"/>
      <c r="AB374" s="446"/>
    </row>
    <row r="375" spans="1:86" hidden="1" outlineLevel="1">
      <c r="A375" s="1534" t="s">
        <v>1358</v>
      </c>
    </row>
    <row r="376" spans="1:86" s="1800" customFormat="1" hidden="1" outlineLevel="1">
      <c r="A376" s="992" t="s">
        <v>1395</v>
      </c>
      <c r="E376" s="1801"/>
      <c r="L376" s="1960"/>
      <c r="W376" s="1924"/>
      <c r="AB376" s="1801"/>
      <c r="AC376" s="1859">
        <v>1366</v>
      </c>
      <c r="AD376" s="1859">
        <v>1371</v>
      </c>
      <c r="AE376" s="1859">
        <v>1302</v>
      </c>
      <c r="AF376" s="1859">
        <v>1387</v>
      </c>
      <c r="AG376" s="1860">
        <v>5426</v>
      </c>
      <c r="AH376" s="1859">
        <v>1656</v>
      </c>
      <c r="AI376" s="1859">
        <v>1679</v>
      </c>
      <c r="AJ376" s="1859">
        <v>1579</v>
      </c>
      <c r="AK376" s="1860">
        <v>1454</v>
      </c>
      <c r="AL376" s="1859">
        <v>1804</v>
      </c>
      <c r="AM376" s="1859">
        <v>1761</v>
      </c>
      <c r="AN376" s="1859">
        <v>1728</v>
      </c>
      <c r="AO376" s="1860">
        <v>1670</v>
      </c>
      <c r="AP376" s="1859">
        <v>2078</v>
      </c>
      <c r="AQ376" s="1859">
        <v>2073</v>
      </c>
      <c r="AR376" s="1859">
        <v>1963</v>
      </c>
      <c r="AS376" s="1859">
        <v>1844</v>
      </c>
      <c r="AT376" s="2835">
        <v>2217</v>
      </c>
      <c r="AU376" s="1859">
        <v>2125</v>
      </c>
      <c r="AV376" s="1859">
        <v>2060</v>
      </c>
      <c r="AW376" s="1860">
        <v>1894</v>
      </c>
      <c r="AX376" s="2857"/>
      <c r="AY376" s="1859"/>
      <c r="AZ376" s="1859"/>
      <c r="BA376" s="1859"/>
      <c r="BB376" s="2835"/>
      <c r="BC376" s="1859"/>
      <c r="BD376" s="1859"/>
      <c r="BE376" s="1860"/>
      <c r="BF376" s="1859"/>
      <c r="BG376" s="1859"/>
      <c r="BH376" s="1859"/>
      <c r="BI376" s="1860"/>
      <c r="BJ376" s="1859"/>
      <c r="BK376" s="1859"/>
      <c r="BL376" s="1859"/>
      <c r="BM376" s="1860"/>
      <c r="BN376" s="1859"/>
      <c r="BO376" s="1860"/>
      <c r="BP376" s="1860"/>
      <c r="BQ376" s="1794"/>
      <c r="BR376" s="1859"/>
      <c r="BS376" s="1859"/>
      <c r="BT376" s="1859"/>
      <c r="BU376" s="1859"/>
      <c r="BV376" s="1859"/>
      <c r="BW376" s="1859"/>
      <c r="BX376" s="1859"/>
      <c r="BY376" s="1861">
        <v>6368</v>
      </c>
      <c r="BZ376" s="1861">
        <v>6963</v>
      </c>
      <c r="CA376" s="2835">
        <v>7958</v>
      </c>
      <c r="CB376" s="2835">
        <v>8296</v>
      </c>
      <c r="CC376" s="2835"/>
      <c r="CD376" s="1924"/>
      <c r="CE376" s="1924"/>
      <c r="CF376" s="1924"/>
      <c r="CG376" s="3391"/>
      <c r="CH376" s="3391"/>
    </row>
    <row r="377" spans="1:86" hidden="1" outlineLevel="1">
      <c r="A377" s="1022" t="s">
        <v>1354</v>
      </c>
      <c r="AH377" s="988">
        <f>AH376/AC376-1</f>
        <v>0.21229868228404092</v>
      </c>
      <c r="AI377" s="988">
        <f>AI376/AD376-1</f>
        <v>0.22465353756382211</v>
      </c>
      <c r="AJ377" s="988">
        <f>AJ376/AE376-1</f>
        <v>0.21274961597542252</v>
      </c>
      <c r="AK377" s="989">
        <f>AK376/AF376-1</f>
        <v>4.8305695746214905E-2</v>
      </c>
      <c r="AL377" s="988">
        <f t="shared" ref="AL377:AS377" si="356">AL376/AH376-1</f>
        <v>8.9371980676328455E-2</v>
      </c>
      <c r="AM377" s="988">
        <f t="shared" si="356"/>
        <v>4.8838594401429347E-2</v>
      </c>
      <c r="AN377" s="988">
        <f t="shared" si="356"/>
        <v>9.4363521215959478E-2</v>
      </c>
      <c r="AO377" s="989">
        <f t="shared" si="356"/>
        <v>0.14855570839064658</v>
      </c>
      <c r="AP377" s="988">
        <f t="shared" si="356"/>
        <v>0.15188470066518844</v>
      </c>
      <c r="AQ377" s="988">
        <f t="shared" si="356"/>
        <v>0.17717206132879038</v>
      </c>
      <c r="AR377" s="988">
        <f t="shared" si="356"/>
        <v>0.13599537037037046</v>
      </c>
      <c r="AS377" s="988">
        <f t="shared" si="356"/>
        <v>0.10419161676646715</v>
      </c>
      <c r="AT377" s="2829">
        <f>AT376/AP376-1</f>
        <v>6.6891241578440841E-2</v>
      </c>
      <c r="AU377" s="988">
        <f>AU376/AQ376-1</f>
        <v>2.5084418716835533E-2</v>
      </c>
      <c r="AV377" s="988">
        <f>AV376/AR376-1</f>
        <v>4.9414161996943484E-2</v>
      </c>
      <c r="AW377" s="989">
        <f>AW376/AS376-1</f>
        <v>2.7114967462039008E-2</v>
      </c>
      <c r="AX377" s="2860"/>
      <c r="AY377" s="988"/>
      <c r="AZ377" s="988"/>
      <c r="BA377" s="988"/>
      <c r="BB377" s="2829"/>
      <c r="BC377" s="988"/>
      <c r="BD377" s="988"/>
      <c r="BE377" s="989"/>
      <c r="BF377" s="988"/>
      <c r="BG377" s="988"/>
      <c r="BH377" s="988"/>
      <c r="BI377" s="989"/>
      <c r="BJ377" s="988"/>
      <c r="BK377" s="988"/>
      <c r="BL377" s="988"/>
      <c r="BM377" s="989"/>
      <c r="BN377" s="988"/>
      <c r="BO377" s="989"/>
      <c r="BP377" s="989"/>
      <c r="BQ377" s="3335"/>
      <c r="BR377" s="988"/>
      <c r="BS377" s="988"/>
      <c r="BT377" s="988"/>
      <c r="BU377" s="988"/>
      <c r="BV377" s="988"/>
      <c r="BW377" s="988"/>
      <c r="BX377" s="988"/>
      <c r="BY377" s="1009">
        <f>BY376/AG376-1</f>
        <v>0.17360855141909326</v>
      </c>
      <c r="BZ377" s="1009">
        <f>BZ376/BY376-1</f>
        <v>9.3435929648241212E-2</v>
      </c>
      <c r="CA377" s="2829">
        <f>CA376/BZ376-1</f>
        <v>0.1428981760735315</v>
      </c>
      <c r="CB377" s="2829">
        <f>CB376/CA376-1</f>
        <v>4.2472983161598421E-2</v>
      </c>
      <c r="CC377" s="2829"/>
    </row>
    <row r="378" spans="1:86" s="1859" customFormat="1" hidden="1" outlineLevel="1">
      <c r="A378" s="1532" t="s">
        <v>1396</v>
      </c>
      <c r="E378" s="1860"/>
      <c r="L378" s="1944"/>
      <c r="S378" s="1800"/>
      <c r="T378" s="1800"/>
      <c r="U378" s="1800"/>
      <c r="V378" s="1800"/>
      <c r="W378" s="1924"/>
      <c r="X378" s="1800"/>
      <c r="Y378" s="1800"/>
      <c r="Z378" s="1800"/>
      <c r="AA378" s="1800"/>
      <c r="AB378" s="1801"/>
      <c r="AC378" s="1859">
        <v>98</v>
      </c>
      <c r="AD378" s="1859">
        <v>101</v>
      </c>
      <c r="AE378" s="1859">
        <v>94</v>
      </c>
      <c r="AF378" s="1859">
        <v>107</v>
      </c>
      <c r="AG378" s="1860">
        <v>400</v>
      </c>
      <c r="AH378" s="1859">
        <v>110</v>
      </c>
      <c r="AI378" s="1859">
        <v>125</v>
      </c>
      <c r="AJ378" s="1859">
        <v>112</v>
      </c>
      <c r="AK378" s="1860">
        <v>116</v>
      </c>
      <c r="AL378" s="1859">
        <v>123</v>
      </c>
      <c r="AM378" s="1859">
        <v>135</v>
      </c>
      <c r="AN378" s="1859">
        <v>126</v>
      </c>
      <c r="AO378" s="1860">
        <v>137</v>
      </c>
      <c r="AP378" s="1859">
        <v>151</v>
      </c>
      <c r="AQ378" s="1859">
        <v>156</v>
      </c>
      <c r="AR378" s="1859">
        <v>139</v>
      </c>
      <c r="AS378" s="1859">
        <v>155</v>
      </c>
      <c r="AT378" s="2835">
        <v>153</v>
      </c>
      <c r="AU378" s="1859">
        <v>163</v>
      </c>
      <c r="AV378" s="1859">
        <v>145</v>
      </c>
      <c r="AW378" s="1860">
        <v>159</v>
      </c>
      <c r="AX378" s="2857"/>
      <c r="BB378" s="2835"/>
      <c r="BE378" s="1860"/>
      <c r="BI378" s="1860"/>
      <c r="BM378" s="1860"/>
      <c r="BO378" s="1860"/>
      <c r="BP378" s="1860"/>
      <c r="BQ378" s="1794"/>
      <c r="BY378" s="1861">
        <v>463</v>
      </c>
      <c r="BZ378" s="1861">
        <v>521</v>
      </c>
      <c r="CA378" s="2835">
        <v>601</v>
      </c>
      <c r="CB378" s="2835">
        <v>620</v>
      </c>
      <c r="CC378" s="2835"/>
      <c r="CD378" s="2835"/>
      <c r="CE378" s="2835"/>
      <c r="CF378" s="2835"/>
      <c r="CG378" s="2824"/>
      <c r="CH378" s="2824"/>
    </row>
    <row r="379" spans="1:86" hidden="1" outlineLevel="1">
      <c r="A379" s="1022" t="s">
        <v>1356</v>
      </c>
      <c r="S379" s="540"/>
      <c r="T379" s="540"/>
      <c r="U379" s="540"/>
      <c r="V379" s="540"/>
      <c r="W379" s="539"/>
      <c r="X379" s="540"/>
      <c r="Y379" s="540"/>
      <c r="Z379" s="540"/>
      <c r="AA379" s="540"/>
      <c r="AB379" s="541"/>
      <c r="AH379" s="988">
        <f>AH378/AC378-1</f>
        <v>0.12244897959183665</v>
      </c>
      <c r="AI379" s="988">
        <f>AI378/AD378-1</f>
        <v>0.23762376237623761</v>
      </c>
      <c r="AJ379" s="988">
        <f>AJ378/AE378-1</f>
        <v>0.1914893617021276</v>
      </c>
      <c r="AK379" s="989">
        <f>AK378/AF378-1</f>
        <v>8.4112149532710179E-2</v>
      </c>
      <c r="AL379" s="988">
        <f t="shared" ref="AL379:AS379" si="357">AL378/AH378-1</f>
        <v>0.11818181818181817</v>
      </c>
      <c r="AM379" s="988">
        <f t="shared" si="357"/>
        <v>8.0000000000000071E-2</v>
      </c>
      <c r="AN379" s="988">
        <f t="shared" si="357"/>
        <v>0.125</v>
      </c>
      <c r="AO379" s="989">
        <f t="shared" si="357"/>
        <v>0.18103448275862077</v>
      </c>
      <c r="AP379" s="988">
        <f t="shared" si="357"/>
        <v>0.22764227642276413</v>
      </c>
      <c r="AQ379" s="988">
        <f t="shared" si="357"/>
        <v>0.15555555555555545</v>
      </c>
      <c r="AR379" s="988">
        <f t="shared" si="357"/>
        <v>0.10317460317460325</v>
      </c>
      <c r="AS379" s="988">
        <f t="shared" si="357"/>
        <v>0.13138686131386867</v>
      </c>
      <c r="AT379" s="2829">
        <f>AT378/AP378-1</f>
        <v>1.3245033112582849E-2</v>
      </c>
      <c r="AU379" s="988">
        <f>AU378/AQ378-1</f>
        <v>4.4871794871794934E-2</v>
      </c>
      <c r="AV379" s="988">
        <f>AV378/AR378-1</f>
        <v>4.3165467625899234E-2</v>
      </c>
      <c r="AW379" s="989">
        <f>AW378/AS378-1</f>
        <v>2.5806451612903292E-2</v>
      </c>
      <c r="AX379" s="2860"/>
      <c r="AY379" s="988"/>
      <c r="AZ379" s="988"/>
      <c r="BA379" s="988"/>
      <c r="BB379" s="2829"/>
      <c r="BC379" s="988"/>
      <c r="BD379" s="988"/>
      <c r="BE379" s="989"/>
      <c r="BF379" s="988"/>
      <c r="BG379" s="988"/>
      <c r="BH379" s="988"/>
      <c r="BI379" s="989"/>
      <c r="BJ379" s="988"/>
      <c r="BK379" s="988"/>
      <c r="BL379" s="988"/>
      <c r="BM379" s="989"/>
      <c r="BN379" s="988"/>
      <c r="BO379" s="989"/>
      <c r="BP379" s="989"/>
      <c r="BQ379" s="3335"/>
      <c r="BR379" s="988"/>
      <c r="BS379" s="988"/>
      <c r="BT379" s="988"/>
      <c r="BU379" s="988"/>
      <c r="BV379" s="988"/>
      <c r="BW379" s="988"/>
      <c r="BX379" s="988"/>
      <c r="BY379" s="1009">
        <f>BY378/AG378-1</f>
        <v>0.15749999999999997</v>
      </c>
      <c r="BZ379" s="1009">
        <f>BZ378/BY378-1</f>
        <v>0.12526997840172793</v>
      </c>
      <c r="CA379" s="2829">
        <f>CA378/BZ378-1</f>
        <v>0.15355086372360849</v>
      </c>
      <c r="CB379" s="2829">
        <f>CB378/CA378-1</f>
        <v>3.1613976705490821E-2</v>
      </c>
      <c r="CC379" s="2829"/>
    </row>
    <row r="380" spans="1:86" s="211" customFormat="1" hidden="1" outlineLevel="1">
      <c r="A380" s="1500" t="s">
        <v>1387</v>
      </c>
      <c r="E380" s="446"/>
      <c r="L380" s="468"/>
      <c r="S380" s="133"/>
      <c r="T380" s="133"/>
      <c r="U380" s="133"/>
      <c r="V380" s="133"/>
      <c r="W380" s="137"/>
      <c r="X380" s="133"/>
      <c r="Y380" s="133"/>
      <c r="Z380" s="133"/>
      <c r="AA380" s="133"/>
      <c r="AB380" s="136"/>
      <c r="AC380" s="211">
        <f t="shared" ref="AC380:AH380" si="358">AC378/AC376</f>
        <v>7.1742313323572476E-2</v>
      </c>
      <c r="AD380" s="211">
        <f t="shared" si="358"/>
        <v>7.36688548504741E-2</v>
      </c>
      <c r="AE380" s="211">
        <f t="shared" si="358"/>
        <v>7.2196620583717355E-2</v>
      </c>
      <c r="AF380" s="211">
        <f t="shared" si="358"/>
        <v>7.714491708723864E-2</v>
      </c>
      <c r="AG380" s="446">
        <f t="shared" si="358"/>
        <v>7.3719130114264647E-2</v>
      </c>
      <c r="AH380" s="211">
        <f t="shared" si="358"/>
        <v>6.6425120772946863E-2</v>
      </c>
      <c r="AI380" s="211">
        <f t="shared" ref="AI380:AW380" si="359">AI378/AI376</f>
        <v>7.4449076831447289E-2</v>
      </c>
      <c r="AJ380" s="211">
        <f t="shared" si="359"/>
        <v>7.0930968967701083E-2</v>
      </c>
      <c r="AK380" s="446">
        <f t="shared" si="359"/>
        <v>7.9779917469050887E-2</v>
      </c>
      <c r="AL380" s="211">
        <f t="shared" si="359"/>
        <v>6.8181818181818177E-2</v>
      </c>
      <c r="AM380" s="211">
        <f t="shared" si="359"/>
        <v>7.6660988074957415E-2</v>
      </c>
      <c r="AN380" s="211">
        <f t="shared" si="359"/>
        <v>7.2916666666666671E-2</v>
      </c>
      <c r="AO380" s="446">
        <f t="shared" si="359"/>
        <v>8.2035928143712578E-2</v>
      </c>
      <c r="AP380" s="211">
        <f t="shared" si="359"/>
        <v>7.2666025024061595E-2</v>
      </c>
      <c r="AQ380" s="211">
        <f t="shared" si="359"/>
        <v>7.5253256150506515E-2</v>
      </c>
      <c r="AR380" s="211">
        <f t="shared" si="359"/>
        <v>7.0809984717269486E-2</v>
      </c>
      <c r="AS380" s="211">
        <f t="shared" si="359"/>
        <v>8.4056399132321047E-2</v>
      </c>
      <c r="AT380" s="447">
        <f t="shared" si="359"/>
        <v>6.9012178619756434E-2</v>
      </c>
      <c r="AU380" s="211">
        <f t="shared" si="359"/>
        <v>7.6705882352941179E-2</v>
      </c>
      <c r="AV380" s="211">
        <f t="shared" si="359"/>
        <v>7.0388349514563103E-2</v>
      </c>
      <c r="AW380" s="446">
        <f t="shared" si="359"/>
        <v>8.3949313621964103E-2</v>
      </c>
      <c r="AX380" s="2859"/>
      <c r="BB380" s="447"/>
      <c r="BE380" s="446"/>
      <c r="BI380" s="446"/>
      <c r="BM380" s="446"/>
      <c r="BO380" s="446"/>
      <c r="BP380" s="446"/>
      <c r="BQ380" s="446"/>
      <c r="BY380" s="451">
        <f>BY378/BY376</f>
        <v>7.2707286432160803E-2</v>
      </c>
      <c r="BZ380" s="451">
        <f>BZ378/BZ376</f>
        <v>7.4824070084733588E-2</v>
      </c>
      <c r="CA380" s="447">
        <f>CA378/CA376</f>
        <v>7.5521487811007787E-2</v>
      </c>
      <c r="CB380" s="447">
        <f>CB378/CB376</f>
        <v>7.473481195756991E-2</v>
      </c>
      <c r="CC380" s="447"/>
      <c r="CD380" s="447"/>
      <c r="CE380" s="447"/>
      <c r="CF380" s="447"/>
      <c r="CG380" s="447"/>
      <c r="CH380" s="447"/>
    </row>
    <row r="381" spans="1:86" hidden="1" outlineLevel="1">
      <c r="A381" s="992" t="s">
        <v>1397</v>
      </c>
      <c r="S381" s="211"/>
      <c r="T381" s="211"/>
      <c r="U381" s="211"/>
      <c r="V381" s="211"/>
      <c r="W381" s="447"/>
      <c r="X381" s="211"/>
      <c r="Y381" s="211"/>
      <c r="Z381" s="211"/>
      <c r="AA381" s="211"/>
      <c r="AB381" s="446"/>
      <c r="AC381" s="133">
        <v>20</v>
      </c>
      <c r="AD381" s="133">
        <v>24</v>
      </c>
      <c r="AE381" s="133">
        <v>14</v>
      </c>
      <c r="AF381" s="133">
        <v>10</v>
      </c>
      <c r="AG381" s="136">
        <v>68</v>
      </c>
      <c r="AH381" s="374">
        <v>15</v>
      </c>
      <c r="AI381" s="374">
        <v>26</v>
      </c>
      <c r="AJ381" s="374">
        <v>18</v>
      </c>
      <c r="AK381" s="552">
        <v>21</v>
      </c>
      <c r="AL381" s="374">
        <v>27</v>
      </c>
      <c r="AM381" s="374">
        <v>28</v>
      </c>
      <c r="AN381" s="374">
        <v>20</v>
      </c>
      <c r="AO381" s="552">
        <v>19</v>
      </c>
      <c r="AP381" s="1861">
        <v>27</v>
      </c>
      <c r="AQ381" s="1861">
        <v>30</v>
      </c>
      <c r="AR381" s="1861">
        <v>19</v>
      </c>
      <c r="AS381" s="2835">
        <v>31</v>
      </c>
      <c r="AT381" s="2835">
        <v>29</v>
      </c>
      <c r="AU381" s="1859">
        <v>37</v>
      </c>
      <c r="AV381" s="1859">
        <v>19</v>
      </c>
      <c r="AW381" s="1860">
        <v>31</v>
      </c>
      <c r="AX381" s="2857"/>
      <c r="AY381" s="1859"/>
      <c r="AZ381" s="1859"/>
      <c r="BA381" s="1859"/>
      <c r="BB381" s="2835"/>
      <c r="BC381" s="1859"/>
      <c r="BD381" s="1859"/>
      <c r="BE381" s="1860"/>
      <c r="BF381" s="1859"/>
      <c r="BG381" s="1859"/>
      <c r="BH381" s="1859"/>
      <c r="BI381" s="1860"/>
      <c r="BJ381" s="1859"/>
      <c r="BK381" s="1859"/>
      <c r="BL381" s="1859"/>
      <c r="BM381" s="1860"/>
      <c r="BN381" s="1859"/>
      <c r="BO381" s="1860"/>
      <c r="BP381" s="1860"/>
      <c r="BQ381" s="1794"/>
      <c r="BR381" s="1859"/>
      <c r="BS381" s="1859"/>
      <c r="BT381" s="1859"/>
      <c r="BU381" s="1859"/>
      <c r="BV381" s="1859"/>
      <c r="BW381" s="1859"/>
      <c r="BX381" s="1859"/>
      <c r="BY381" s="2933">
        <v>80</v>
      </c>
      <c r="BZ381" s="2933">
        <v>94</v>
      </c>
      <c r="CA381" s="2847">
        <v>107</v>
      </c>
      <c r="CB381" s="2847">
        <v>116</v>
      </c>
    </row>
    <row r="382" spans="1:86" s="211" customFormat="1" hidden="1" outlineLevel="1">
      <c r="A382" s="1558" t="s">
        <v>1357</v>
      </c>
      <c r="E382" s="446"/>
      <c r="L382" s="468"/>
      <c r="S382" s="133"/>
      <c r="T382" s="133"/>
      <c r="U382" s="133"/>
      <c r="V382" s="133"/>
      <c r="W382" s="137"/>
      <c r="X382" s="133"/>
      <c r="Y382" s="133"/>
      <c r="Z382" s="133"/>
      <c r="AA382" s="133"/>
      <c r="AB382" s="136"/>
      <c r="AC382" s="211">
        <f t="shared" ref="AC382:AW382" si="360">AC381/AC378</f>
        <v>0.20408163265306123</v>
      </c>
      <c r="AD382" s="211">
        <f t="shared" si="360"/>
        <v>0.23762376237623761</v>
      </c>
      <c r="AE382" s="211">
        <f t="shared" si="360"/>
        <v>0.14893617021276595</v>
      </c>
      <c r="AF382" s="211">
        <f t="shared" si="360"/>
        <v>9.3457943925233641E-2</v>
      </c>
      <c r="AG382" s="211">
        <f t="shared" si="360"/>
        <v>0.17</v>
      </c>
      <c r="AH382" s="211">
        <f t="shared" si="360"/>
        <v>0.13636363636363635</v>
      </c>
      <c r="AI382" s="211">
        <f t="shared" si="360"/>
        <v>0.20799999999999999</v>
      </c>
      <c r="AJ382" s="211">
        <f t="shared" si="360"/>
        <v>0.16071428571428573</v>
      </c>
      <c r="AK382" s="446">
        <f t="shared" si="360"/>
        <v>0.18103448275862069</v>
      </c>
      <c r="AL382" s="211">
        <f t="shared" si="360"/>
        <v>0.21951219512195122</v>
      </c>
      <c r="AM382" s="211">
        <f t="shared" si="360"/>
        <v>0.2074074074074074</v>
      </c>
      <c r="AN382" s="211">
        <f t="shared" si="360"/>
        <v>0.15873015873015872</v>
      </c>
      <c r="AO382" s="446">
        <f t="shared" si="360"/>
        <v>0.13868613138686131</v>
      </c>
      <c r="AP382" s="211">
        <f t="shared" si="360"/>
        <v>0.17880794701986755</v>
      </c>
      <c r="AQ382" s="211">
        <f t="shared" si="360"/>
        <v>0.19230769230769232</v>
      </c>
      <c r="AR382" s="211">
        <f t="shared" si="360"/>
        <v>0.1366906474820144</v>
      </c>
      <c r="AS382" s="211">
        <f t="shared" si="360"/>
        <v>0.2</v>
      </c>
      <c r="AT382" s="447">
        <f t="shared" si="360"/>
        <v>0.18954248366013071</v>
      </c>
      <c r="AU382" s="211">
        <f t="shared" si="360"/>
        <v>0.22699386503067484</v>
      </c>
      <c r="AV382" s="211">
        <f t="shared" si="360"/>
        <v>0.1310344827586207</v>
      </c>
      <c r="AW382" s="446">
        <f t="shared" si="360"/>
        <v>0.19496855345911951</v>
      </c>
      <c r="AX382" s="2859"/>
      <c r="BB382" s="447"/>
      <c r="BE382" s="446"/>
      <c r="BI382" s="446"/>
      <c r="BM382" s="446"/>
      <c r="BO382" s="446"/>
      <c r="BP382" s="446"/>
      <c r="BQ382" s="446"/>
      <c r="BY382" s="451">
        <f>BY381/BY378</f>
        <v>0.17278617710583152</v>
      </c>
      <c r="BZ382" s="451">
        <f>BZ381/BZ378</f>
        <v>0.18042226487523993</v>
      </c>
      <c r="CA382" s="447">
        <f>CA381/CA378</f>
        <v>0.17803660565723795</v>
      </c>
      <c r="CB382" s="447">
        <f>CB381/CB378</f>
        <v>0.18709677419354839</v>
      </c>
      <c r="CC382" s="447"/>
      <c r="CD382" s="447"/>
      <c r="CE382" s="447"/>
      <c r="CF382" s="447"/>
      <c r="CG382" s="447"/>
      <c r="CH382" s="447"/>
    </row>
    <row r="383" spans="1:86" collapsed="1">
      <c r="S383" s="211"/>
      <c r="T383" s="211"/>
      <c r="U383" s="211"/>
      <c r="V383" s="211"/>
      <c r="W383" s="447"/>
      <c r="X383" s="211"/>
      <c r="Y383" s="211"/>
      <c r="Z383" s="211"/>
      <c r="AA383" s="211"/>
      <c r="AB383" s="446"/>
    </row>
    <row r="384" spans="1:86" hidden="1">
      <c r="A384" s="1534" t="s">
        <v>1388</v>
      </c>
      <c r="BF384" s="27">
        <f>BF385/AT385-1</f>
        <v>-0.67510548523206748</v>
      </c>
      <c r="BG384" s="27">
        <f>BG385/AU385-1</f>
        <v>-0.55776892430278879</v>
      </c>
      <c r="BJ384" s="27">
        <f>BJ385/AT385-1</f>
        <v>-0.67932489451476785</v>
      </c>
      <c r="BK384" s="27"/>
    </row>
    <row r="385" spans="1:86" s="1859" customFormat="1" hidden="1">
      <c r="A385" s="1532" t="s">
        <v>1396</v>
      </c>
      <c r="E385" s="1860"/>
      <c r="L385" s="1944"/>
      <c r="S385" s="1800"/>
      <c r="T385" s="1800"/>
      <c r="U385" s="1800"/>
      <c r="V385" s="1800"/>
      <c r="W385" s="1924"/>
      <c r="X385" s="1800"/>
      <c r="Y385" s="1800"/>
      <c r="Z385" s="1800"/>
      <c r="AA385" s="1800"/>
      <c r="AB385" s="1801"/>
      <c r="AG385" s="1860"/>
      <c r="AH385" s="1859">
        <v>175.779</v>
      </c>
      <c r="AI385" s="1859">
        <v>202.19120000000001</v>
      </c>
      <c r="AJ385" s="1859">
        <v>275.36689999999999</v>
      </c>
      <c r="AK385" s="1860">
        <v>182.3586</v>
      </c>
      <c r="AL385" s="1859">
        <v>286.27848000000006</v>
      </c>
      <c r="AM385" s="1859">
        <v>328</v>
      </c>
      <c r="AN385" s="1859">
        <v>338</v>
      </c>
      <c r="AO385" s="1860">
        <v>215</v>
      </c>
      <c r="AP385" s="1859">
        <v>319</v>
      </c>
      <c r="AQ385" s="1859">
        <v>280</v>
      </c>
      <c r="AR385" s="1859">
        <v>295</v>
      </c>
      <c r="AS385" s="1859">
        <v>190</v>
      </c>
      <c r="AT385" s="2835">
        <v>237</v>
      </c>
      <c r="AU385" s="1859">
        <v>251</v>
      </c>
      <c r="AV385" s="1859">
        <v>279</v>
      </c>
      <c r="AW385" s="1860">
        <v>171</v>
      </c>
      <c r="AX385" s="2835">
        <v>154</v>
      </c>
      <c r="AY385" s="1859">
        <v>18</v>
      </c>
      <c r="AZ385" s="1859">
        <v>70</v>
      </c>
      <c r="BA385" s="1859">
        <v>38</v>
      </c>
      <c r="BB385" s="2835">
        <v>37</v>
      </c>
      <c r="BC385" s="1859">
        <v>91</v>
      </c>
      <c r="BD385" s="1859">
        <v>121</v>
      </c>
      <c r="BE385" s="1860">
        <v>68</v>
      </c>
      <c r="BF385" s="1859">
        <v>77</v>
      </c>
      <c r="BG385" s="1859">
        <v>111</v>
      </c>
      <c r="BH385" s="1859">
        <v>124</v>
      </c>
      <c r="BI385" s="1860">
        <v>68</v>
      </c>
      <c r="BJ385" s="1859">
        <v>76</v>
      </c>
      <c r="BK385" s="3098">
        <v>82</v>
      </c>
      <c r="BL385" s="1859">
        <v>115</v>
      </c>
      <c r="BM385" s="1860">
        <v>65</v>
      </c>
      <c r="BO385" s="1860">
        <v>65</v>
      </c>
      <c r="BP385" s="1860">
        <v>65</v>
      </c>
      <c r="BQ385" s="1794">
        <v>65</v>
      </c>
      <c r="BY385" s="1861"/>
      <c r="BZ385" s="1861"/>
      <c r="CA385" s="2835">
        <v>1084</v>
      </c>
      <c r="CB385" s="2835">
        <v>938</v>
      </c>
      <c r="CC385" s="2835">
        <v>280</v>
      </c>
      <c r="CD385" s="2835">
        <v>423</v>
      </c>
      <c r="CE385" s="2835"/>
      <c r="CF385" s="2835"/>
      <c r="CG385" s="2824"/>
      <c r="CH385" s="2824"/>
    </row>
    <row r="386" spans="1:86" s="987" customFormat="1" hidden="1">
      <c r="A386" s="1558" t="s">
        <v>1356</v>
      </c>
      <c r="E386" s="468"/>
      <c r="L386" s="468"/>
      <c r="S386" s="1552"/>
      <c r="T386" s="1552"/>
      <c r="U386" s="1552"/>
      <c r="V386" s="1552"/>
      <c r="W386" s="1553"/>
      <c r="X386" s="1552"/>
      <c r="Y386" s="1552"/>
      <c r="Z386" s="1552"/>
      <c r="AA386" s="1552"/>
      <c r="AB386" s="1003"/>
      <c r="AG386" s="468"/>
      <c r="AH386" s="987">
        <v>0.504</v>
      </c>
      <c r="AI386" s="987">
        <v>0.39200000000000002</v>
      </c>
      <c r="AJ386" s="987">
        <v>0.54900000000000004</v>
      </c>
      <c r="AK386" s="468">
        <v>0.70399999999999996</v>
      </c>
      <c r="AL386" s="987">
        <v>0.68</v>
      </c>
      <c r="AM386" s="987">
        <v>0.67</v>
      </c>
      <c r="AN386" s="987">
        <v>0.17</v>
      </c>
      <c r="AO386" s="468">
        <v>7.0000000000000007E-2</v>
      </c>
      <c r="AP386" s="987">
        <v>-0.03</v>
      </c>
      <c r="AQ386" s="987">
        <v>-0.21</v>
      </c>
      <c r="AR386" s="987">
        <v>-0.12</v>
      </c>
      <c r="AS386" s="987">
        <v>-0.08</v>
      </c>
      <c r="AT386" s="2820">
        <f t="shared" ref="AT386:BB386" si="361">AT385/AP385-1</f>
        <v>-0.25705329153605017</v>
      </c>
      <c r="AU386" s="987">
        <f t="shared" si="361"/>
        <v>-0.10357142857142854</v>
      </c>
      <c r="AV386" s="987">
        <f t="shared" si="361"/>
        <v>-5.4237288135593253E-2</v>
      </c>
      <c r="AW386" s="468">
        <f t="shared" si="361"/>
        <v>-9.9999999999999978E-2</v>
      </c>
      <c r="AX386" s="2820">
        <f t="shared" si="361"/>
        <v>-0.35021097046413507</v>
      </c>
      <c r="AY386" s="987">
        <f t="shared" si="361"/>
        <v>-0.92828685258964139</v>
      </c>
      <c r="AZ386" s="987">
        <f t="shared" si="361"/>
        <v>-0.74910394265232982</v>
      </c>
      <c r="BA386" s="987">
        <f t="shared" si="361"/>
        <v>-0.77777777777777779</v>
      </c>
      <c r="BB386" s="2820">
        <f t="shared" si="361"/>
        <v>-0.75974025974025972</v>
      </c>
      <c r="BC386" s="987">
        <v>5.51</v>
      </c>
      <c r="BD386" s="987">
        <v>1.32</v>
      </c>
      <c r="BE386" s="468">
        <v>1.62</v>
      </c>
      <c r="BF386" s="987">
        <v>1.53</v>
      </c>
      <c r="BG386" s="2968">
        <v>0.34</v>
      </c>
      <c r="BH386" s="2968">
        <v>0.34</v>
      </c>
      <c r="BI386" s="3028">
        <v>7.0000000000000007E-2</v>
      </c>
      <c r="BJ386" s="987">
        <f>BJ385/BF385-1</f>
        <v>-1.2987012987012991E-2</v>
      </c>
      <c r="BK386" s="987">
        <f>BK385/BG385-1</f>
        <v>-0.26126126126126126</v>
      </c>
      <c r="BL386" s="987">
        <f>BL385/BH385-1</f>
        <v>-7.2580645161290369E-2</v>
      </c>
      <c r="BM386" s="3028"/>
      <c r="BN386" s="2968"/>
      <c r="BO386" s="3028"/>
      <c r="BP386" s="3028"/>
      <c r="BQ386" s="3341"/>
      <c r="BR386" s="2968"/>
      <c r="BS386" s="2968"/>
      <c r="BT386" s="2968"/>
      <c r="BU386" s="2968"/>
      <c r="BV386" s="2968"/>
      <c r="BW386" s="2968"/>
      <c r="BX386" s="2968"/>
      <c r="BY386" s="1014"/>
      <c r="BZ386" s="1014"/>
      <c r="CA386" s="2820"/>
      <c r="CB386" s="2820">
        <f>CB385/CA385-1</f>
        <v>-0.13468634686346859</v>
      </c>
      <c r="CC386" s="2820">
        <f>CC385/CB385-1</f>
        <v>-0.70149253731343286</v>
      </c>
      <c r="CD386" s="2820">
        <f>CD385/CC385-1</f>
        <v>0.51071428571428568</v>
      </c>
      <c r="CE386" s="2820"/>
      <c r="CF386" s="2820"/>
      <c r="CG386" s="2820"/>
      <c r="CH386" s="2820"/>
    </row>
    <row r="387" spans="1:86" s="1859" customFormat="1" hidden="1">
      <c r="A387" s="1532" t="s">
        <v>1397</v>
      </c>
      <c r="E387" s="1860"/>
      <c r="L387" s="1944"/>
      <c r="S387" s="1793"/>
      <c r="T387" s="1793"/>
      <c r="U387" s="1793"/>
      <c r="V387" s="1793"/>
      <c r="W387" s="1961"/>
      <c r="X387" s="1793"/>
      <c r="Y387" s="1793"/>
      <c r="Z387" s="1793"/>
      <c r="AA387" s="1793"/>
      <c r="AB387" s="1858"/>
      <c r="AG387" s="1860"/>
      <c r="AH387" s="1859">
        <v>8.3206199999999999</v>
      </c>
      <c r="AI387" s="1859">
        <v>2.55898</v>
      </c>
      <c r="AJ387" s="1859">
        <v>3.5961599999999998</v>
      </c>
      <c r="AK387" s="1860">
        <v>12.55688</v>
      </c>
      <c r="AL387" s="1859">
        <v>20.647140000000004</v>
      </c>
      <c r="AM387" s="1859">
        <v>3.6515200000000001</v>
      </c>
      <c r="AN387" s="1859">
        <v>-8.3872300000000006</v>
      </c>
      <c r="AO387" s="1860">
        <v>-10.45914</v>
      </c>
      <c r="AP387" s="1859">
        <v>-26.987369999999999</v>
      </c>
      <c r="AQ387" s="1859">
        <v>-20.779799999999998</v>
      </c>
      <c r="AR387" s="1859">
        <v>30.186109850204268</v>
      </c>
      <c r="AS387" s="1859">
        <v>32.732700000000001</v>
      </c>
      <c r="AT387" s="2835">
        <v>24</v>
      </c>
      <c r="AU387" s="1859">
        <v>20</v>
      </c>
      <c r="AV387" s="1859">
        <v>12</v>
      </c>
      <c r="AW387" s="1860">
        <v>29</v>
      </c>
      <c r="AX387" s="2927">
        <v>-1</v>
      </c>
      <c r="AY387" s="2944">
        <v>-16</v>
      </c>
      <c r="AZ387" s="2944">
        <v>7</v>
      </c>
      <c r="BA387" s="2944">
        <v>-4</v>
      </c>
      <c r="BB387" s="2835">
        <v>-4</v>
      </c>
      <c r="BC387" s="1859">
        <v>5</v>
      </c>
      <c r="BD387" s="1859">
        <v>18</v>
      </c>
      <c r="BE387" s="1860">
        <v>20</v>
      </c>
      <c r="BF387" s="1859">
        <v>25</v>
      </c>
      <c r="BG387" s="1859">
        <v>33</v>
      </c>
      <c r="BH387" s="1859">
        <v>34</v>
      </c>
      <c r="BI387" s="1860">
        <v>21</v>
      </c>
      <c r="BJ387" s="1859">
        <v>20</v>
      </c>
      <c r="BK387" s="1859">
        <v>13</v>
      </c>
      <c r="BL387" s="1859">
        <v>18</v>
      </c>
      <c r="BM387" s="1860">
        <v>5</v>
      </c>
      <c r="BO387" s="1860">
        <v>5</v>
      </c>
      <c r="BP387" s="1860">
        <v>5</v>
      </c>
      <c r="BQ387" s="1794">
        <v>5</v>
      </c>
      <c r="BY387" s="1861"/>
      <c r="BZ387" s="1861"/>
      <c r="CA387" s="2835">
        <v>16</v>
      </c>
      <c r="CB387" s="2835">
        <v>85</v>
      </c>
      <c r="CC387" s="2835">
        <v>-14</v>
      </c>
      <c r="CD387" s="2835">
        <v>39</v>
      </c>
      <c r="CE387" s="2835"/>
      <c r="CF387" s="2835"/>
      <c r="CG387" s="2824"/>
      <c r="CH387" s="2824"/>
    </row>
    <row r="388" spans="1:86" s="987" customFormat="1" hidden="1">
      <c r="A388" s="1558" t="s">
        <v>1357</v>
      </c>
      <c r="E388" s="468"/>
      <c r="L388" s="468"/>
      <c r="S388" s="1552"/>
      <c r="T388" s="1552"/>
      <c r="U388" s="1552"/>
      <c r="V388" s="1552"/>
      <c r="W388" s="1553"/>
      <c r="X388" s="1552"/>
      <c r="Y388" s="1552"/>
      <c r="Z388" s="1552"/>
      <c r="AA388" s="1552"/>
      <c r="AB388" s="1003"/>
      <c r="AG388" s="468"/>
      <c r="AH388" s="987">
        <v>4.7335688563480277E-2</v>
      </c>
      <c r="AI388" s="987">
        <v>1.2656238253692545E-2</v>
      </c>
      <c r="AJ388" s="987">
        <v>1.3059521678168292E-2</v>
      </c>
      <c r="AK388" s="468">
        <v>6.8858172852829538E-2</v>
      </c>
      <c r="AL388" s="987">
        <v>7.2122571001494773E-2</v>
      </c>
      <c r="AM388" s="987">
        <v>1.0726161106939826E-2</v>
      </c>
      <c r="AN388" s="987">
        <v>-2.4661340743313651E-2</v>
      </c>
      <c r="AO388" s="468">
        <v>-4.7933884297520664E-2</v>
      </c>
      <c r="AP388" s="987">
        <v>-8.4425597532767932E-2</v>
      </c>
      <c r="AQ388" s="987">
        <v>-7.5319148936170213E-2</v>
      </c>
      <c r="AR388" s="987">
        <v>0.10484824595979504</v>
      </c>
      <c r="AS388" s="987">
        <v>0.17146282973621102</v>
      </c>
      <c r="AT388" s="2820">
        <f t="shared" ref="AT388:BL388" si="362">AT387/AT385</f>
        <v>0.10126582278481013</v>
      </c>
      <c r="AU388" s="987">
        <f t="shared" si="362"/>
        <v>7.9681274900398405E-2</v>
      </c>
      <c r="AV388" s="987">
        <f t="shared" si="362"/>
        <v>4.3010752688172046E-2</v>
      </c>
      <c r="AW388" s="468">
        <f t="shared" si="362"/>
        <v>0.16959064327485379</v>
      </c>
      <c r="AX388" s="2820">
        <f t="shared" si="362"/>
        <v>-6.4935064935064939E-3</v>
      </c>
      <c r="AY388" s="987">
        <f t="shared" si="362"/>
        <v>-0.88888888888888884</v>
      </c>
      <c r="AZ388" s="987">
        <f t="shared" si="362"/>
        <v>0.1</v>
      </c>
      <c r="BA388" s="987">
        <f t="shared" si="362"/>
        <v>-0.10526315789473684</v>
      </c>
      <c r="BB388" s="2820">
        <f t="shared" si="362"/>
        <v>-0.10810810810810811</v>
      </c>
      <c r="BC388" s="987">
        <f t="shared" si="362"/>
        <v>5.4945054945054944E-2</v>
      </c>
      <c r="BD388" s="987">
        <f t="shared" si="362"/>
        <v>0.1487603305785124</v>
      </c>
      <c r="BE388" s="468">
        <f t="shared" si="362"/>
        <v>0.29411764705882354</v>
      </c>
      <c r="BF388" s="987">
        <f t="shared" si="362"/>
        <v>0.32467532467532467</v>
      </c>
      <c r="BG388" s="987">
        <f t="shared" si="362"/>
        <v>0.29729729729729731</v>
      </c>
      <c r="BH388" s="987">
        <f t="shared" si="362"/>
        <v>0.27419354838709675</v>
      </c>
      <c r="BI388" s="468">
        <f t="shared" si="362"/>
        <v>0.30882352941176472</v>
      </c>
      <c r="BJ388" s="987">
        <f>BJ387/BJ385</f>
        <v>0.26315789473684209</v>
      </c>
      <c r="BK388" s="468">
        <f t="shared" si="362"/>
        <v>0.15853658536585366</v>
      </c>
      <c r="BL388" s="468">
        <f t="shared" si="362"/>
        <v>0.15652173913043479</v>
      </c>
      <c r="BM388" s="468"/>
      <c r="BO388" s="468"/>
      <c r="BP388" s="468"/>
      <c r="BQ388" s="468"/>
      <c r="BY388" s="1014"/>
      <c r="BZ388" s="1014"/>
      <c r="CA388" s="2820"/>
      <c r="CB388" s="1014">
        <f>CB387/CB385</f>
        <v>9.0618336886993597E-2</v>
      </c>
      <c r="CC388" s="468">
        <f>CC387/CC385</f>
        <v>-0.05</v>
      </c>
      <c r="CD388" s="468">
        <f>CD387/CD385</f>
        <v>9.2198581560283682E-2</v>
      </c>
      <c r="CE388" s="2820"/>
      <c r="CF388" s="2820"/>
      <c r="CG388" s="2820"/>
      <c r="CH388" s="2820"/>
    </row>
    <row r="389" spans="1:86" hidden="1">
      <c r="S389" s="211"/>
      <c r="T389" s="211"/>
      <c r="U389" s="211"/>
      <c r="V389" s="211"/>
      <c r="W389" s="447"/>
      <c r="X389" s="211"/>
      <c r="Y389" s="211"/>
      <c r="Z389" s="211"/>
      <c r="AA389" s="211"/>
      <c r="AB389" s="446"/>
    </row>
    <row r="390" spans="1:86" hidden="1"/>
    <row r="391" spans="1:86">
      <c r="A391" s="160" t="s">
        <v>2705</v>
      </c>
      <c r="BA391" s="999">
        <v>2.9</v>
      </c>
      <c r="BB391" s="539">
        <v>3</v>
      </c>
      <c r="BC391" s="540">
        <v>3</v>
      </c>
      <c r="BD391" s="540"/>
      <c r="BE391" s="541"/>
      <c r="BF391" s="540"/>
      <c r="BJ391" s="540"/>
    </row>
    <row r="392" spans="1:86">
      <c r="A392" s="1506" t="s">
        <v>1425</v>
      </c>
      <c r="BA392" s="540">
        <v>2</v>
      </c>
      <c r="BB392" s="539">
        <v>2</v>
      </c>
      <c r="BC392" s="540">
        <v>2</v>
      </c>
      <c r="BD392" s="540"/>
      <c r="BE392" s="541"/>
      <c r="BF392" s="540"/>
      <c r="BJ392" s="540"/>
    </row>
    <row r="393" spans="1:86">
      <c r="A393" s="1506" t="s">
        <v>1334</v>
      </c>
      <c r="BA393" s="1018">
        <v>0.88</v>
      </c>
      <c r="BB393" s="2845">
        <v>0.88</v>
      </c>
      <c r="BC393" s="1018">
        <v>0.88500000000000001</v>
      </c>
      <c r="BD393" s="1018"/>
      <c r="BE393" s="1395"/>
      <c r="BF393" s="1018"/>
      <c r="BJ393" s="1018"/>
    </row>
    <row r="394" spans="1:86">
      <c r="BB394" s="539"/>
      <c r="BC394" s="540"/>
      <c r="BD394" s="540"/>
      <c r="BE394" s="541"/>
      <c r="BF394" s="540"/>
      <c r="BJ394" s="540"/>
    </row>
    <row r="395" spans="1:86">
      <c r="BB395" s="539"/>
      <c r="BC395" s="540"/>
      <c r="BD395" s="540"/>
      <c r="BE395" s="541"/>
      <c r="BF395" s="540"/>
      <c r="BJ395" s="540"/>
    </row>
  </sheetData>
  <phoneticPr fontId="11" type="noConversion"/>
  <pageMargins left="0.55118110236220474" right="0.55118110236220474" top="0.39370078740157483" bottom="0.98425196850393704" header="0.31496062992125984" footer="0.51181102362204722"/>
  <pageSetup paperSize="9" scale="20" orientation="landscape" cellComments="asDisplayed" r:id="rId1"/>
  <headerFooter alignWithMargins="0">
    <oddHeader>&amp;R第 &amp;P 页，共 &amp;N 页</oddHeader>
  </headerFooter>
  <rowBreaks count="3" manualBreakCount="3">
    <brk id="214" max="16383" man="1"/>
    <brk id="256" max="41" man="1"/>
    <brk id="287" max="41" man="1"/>
  </row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95"/>
  <sheetViews>
    <sheetView zoomScale="145" zoomScaleNormal="145" workbookViewId="0">
      <selection activeCell="R15" sqref="R15"/>
    </sheetView>
  </sheetViews>
  <sheetFormatPr defaultRowHeight="15"/>
  <sheetData>
    <row r="1" spans="1:3">
      <c r="A1" s="2946"/>
      <c r="B1" s="2946"/>
      <c r="C1" s="2947"/>
    </row>
    <row r="19" spans="1:29">
      <c r="A19" s="2946"/>
      <c r="B19" s="2946"/>
      <c r="J19" s="2946"/>
      <c r="K19" s="2946"/>
      <c r="AB19" s="2946"/>
      <c r="AC19" s="2946"/>
    </row>
    <row r="39" spans="1:34">
      <c r="A39" s="2946"/>
      <c r="B39" s="2946"/>
      <c r="K39" s="2946"/>
      <c r="L39" s="2946"/>
    </row>
    <row r="40" spans="1:34">
      <c r="W40" s="2946"/>
      <c r="X40" s="2946"/>
      <c r="AG40" s="2946"/>
      <c r="AH40" s="2946"/>
    </row>
    <row r="41" spans="1:34">
      <c r="U41" s="2658" t="s">
        <v>2603</v>
      </c>
      <c r="V41" s="2658"/>
    </row>
    <row r="42" spans="1:34">
      <c r="U42" s="2083"/>
      <c r="V42" s="2083"/>
    </row>
    <row r="43" spans="1:34">
      <c r="U43" s="2083"/>
      <c r="V43" s="2083"/>
    </row>
    <row r="44" spans="1:34">
      <c r="U44" s="2083"/>
      <c r="V44" s="2083"/>
    </row>
    <row r="45" spans="1:34">
      <c r="U45" s="2083"/>
      <c r="V45" s="2083"/>
    </row>
    <row r="46" spans="1:34">
      <c r="U46" s="2083"/>
      <c r="V46" s="2083"/>
    </row>
    <row r="47" spans="1:34">
      <c r="U47" s="2083"/>
      <c r="V47" s="2083"/>
    </row>
    <row r="48" spans="1:34">
      <c r="U48" s="2083"/>
      <c r="V48" s="2083"/>
    </row>
    <row r="49" spans="18:22">
      <c r="U49" s="2083"/>
      <c r="V49" s="2083"/>
    </row>
    <row r="50" spans="18:22">
      <c r="U50" s="2083"/>
      <c r="V50" s="2083"/>
    </row>
    <row r="51" spans="18:22">
      <c r="U51" s="2083"/>
      <c r="V51" s="2083"/>
    </row>
    <row r="52" spans="18:22">
      <c r="U52" s="2083"/>
      <c r="V52" s="2083"/>
    </row>
    <row r="53" spans="18:22">
      <c r="U53" s="2083"/>
      <c r="V53" s="2083"/>
    </row>
    <row r="54" spans="18:22">
      <c r="U54" s="2083"/>
      <c r="V54" s="2083"/>
    </row>
    <row r="55" spans="18:22">
      <c r="U55" s="2083"/>
      <c r="V55" s="2083"/>
    </row>
    <row r="56" spans="18:22">
      <c r="U56" s="2083"/>
      <c r="V56" s="2083"/>
    </row>
    <row r="57" spans="18:22">
      <c r="R57" s="2946"/>
      <c r="S57" s="2946"/>
    </row>
    <row r="58" spans="18:22">
      <c r="R58" s="2946"/>
      <c r="S58" s="2946"/>
    </row>
    <row r="77" spans="1:12">
      <c r="A77" s="2946"/>
      <c r="B77" s="2946"/>
      <c r="K77" s="2946"/>
      <c r="L77" s="2946"/>
    </row>
    <row r="95" spans="1:2">
      <c r="A95" s="2946"/>
      <c r="B95" s="2946"/>
    </row>
  </sheetData>
  <phoneticPr fontId="11"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11"/>
  <sheetViews>
    <sheetView workbookViewId="0"/>
  </sheetViews>
  <sheetFormatPr defaultColWidth="9" defaultRowHeight="12.5"/>
  <cols>
    <col min="1" max="1" width="23.75" style="844" customWidth="1"/>
    <col min="2" max="2" width="0" style="844" hidden="1" customWidth="1"/>
    <col min="3" max="3" width="9.58203125" style="844" hidden="1" customWidth="1"/>
    <col min="4" max="13" width="0" style="844" hidden="1" customWidth="1"/>
    <col min="14" max="23" width="9" style="844"/>
    <col min="24" max="25" width="9.08203125" style="844" bestFit="1" customWidth="1"/>
    <col min="26" max="16384" width="9" style="844"/>
  </cols>
  <sheetData>
    <row r="1" spans="1:25" ht="15">
      <c r="A1" s="1448" t="s">
        <v>1935</v>
      </c>
      <c r="B1" s="1449" t="s">
        <v>1936</v>
      </c>
      <c r="C1" s="1449" t="s">
        <v>1937</v>
      </c>
      <c r="D1" s="1449" t="s">
        <v>1938</v>
      </c>
      <c r="E1" s="1449" t="s">
        <v>1939</v>
      </c>
      <c r="F1" s="1449" t="s">
        <v>1940</v>
      </c>
      <c r="G1" s="1449" t="s">
        <v>1941</v>
      </c>
      <c r="H1" s="1449" t="s">
        <v>1942</v>
      </c>
      <c r="I1" s="1449" t="s">
        <v>1943</v>
      </c>
      <c r="J1" s="1449" t="s">
        <v>1944</v>
      </c>
      <c r="K1" s="1449" t="s">
        <v>1945</v>
      </c>
      <c r="L1" s="1449" t="s">
        <v>1946</v>
      </c>
      <c r="M1" s="1449" t="s">
        <v>1947</v>
      </c>
      <c r="N1" s="1449" t="s">
        <v>1948</v>
      </c>
      <c r="O1" s="1449" t="s">
        <v>1949</v>
      </c>
      <c r="P1" s="1449" t="s">
        <v>1950</v>
      </c>
      <c r="Q1" s="1449" t="s">
        <v>1951</v>
      </c>
      <c r="R1" s="1449" t="s">
        <v>1952</v>
      </c>
      <c r="S1" s="1449" t="s">
        <v>1953</v>
      </c>
      <c r="T1" s="1449" t="s">
        <v>1954</v>
      </c>
      <c r="U1" s="1450" t="s">
        <v>1955</v>
      </c>
      <c r="V1" s="1449" t="s">
        <v>1956</v>
      </c>
      <c r="W1" s="1450" t="s">
        <v>2050</v>
      </c>
      <c r="X1" s="1451" t="s">
        <v>2075</v>
      </c>
      <c r="Y1" s="1451" t="s">
        <v>2079</v>
      </c>
    </row>
    <row r="2" spans="1:25">
      <c r="A2" s="847" t="s">
        <v>1957</v>
      </c>
      <c r="B2" s="848">
        <v>1310</v>
      </c>
      <c r="C2" s="848">
        <v>1328</v>
      </c>
      <c r="D2" s="848">
        <v>1285</v>
      </c>
      <c r="E2" s="848">
        <v>1226</v>
      </c>
      <c r="F2" s="848">
        <v>1366</v>
      </c>
      <c r="G2" s="848">
        <v>1371</v>
      </c>
      <c r="H2" s="848">
        <v>1302</v>
      </c>
      <c r="I2" s="848">
        <v>1387</v>
      </c>
      <c r="J2" s="848">
        <v>1656</v>
      </c>
      <c r="K2" s="848">
        <v>1679</v>
      </c>
      <c r="L2" s="848">
        <v>1579</v>
      </c>
      <c r="M2" s="848">
        <v>1454</v>
      </c>
      <c r="N2" s="848">
        <v>1803</v>
      </c>
      <c r="O2" s="1452">
        <v>1761</v>
      </c>
      <c r="P2" s="1452">
        <v>1728</v>
      </c>
      <c r="Q2" s="1452">
        <v>1670</v>
      </c>
      <c r="R2" s="1452">
        <v>2078</v>
      </c>
      <c r="S2" s="1452">
        <v>2073</v>
      </c>
      <c r="T2" s="1452">
        <v>1963</v>
      </c>
      <c r="U2" s="1452">
        <v>1844</v>
      </c>
      <c r="V2" s="1452">
        <v>2217</v>
      </c>
      <c r="W2" s="1452">
        <v>2125</v>
      </c>
      <c r="X2" s="1452">
        <v>2060</v>
      </c>
      <c r="Y2" s="1452">
        <v>1894</v>
      </c>
    </row>
    <row r="3" spans="1:25" s="1455" customFormat="1" ht="13">
      <c r="A3" s="1453" t="s">
        <v>1958</v>
      </c>
      <c r="B3" s="1454">
        <v>0.17269999999999999</v>
      </c>
      <c r="C3" s="1454">
        <v>0.12</v>
      </c>
      <c r="D3" s="1454">
        <v>0.14000000000000001</v>
      </c>
      <c r="E3" s="1454">
        <v>0.11</v>
      </c>
      <c r="F3" s="1454">
        <f t="shared" ref="F3:S3" si="0">(F2-B2)/B2</f>
        <v>4.2748091603053436E-2</v>
      </c>
      <c r="G3" s="1454">
        <f t="shared" si="0"/>
        <v>3.2379518072289157E-2</v>
      </c>
      <c r="H3" s="1454">
        <f t="shared" si="0"/>
        <v>1.3229571984435798E-2</v>
      </c>
      <c r="I3" s="1454">
        <f t="shared" si="0"/>
        <v>0.13132137030995106</v>
      </c>
      <c r="J3" s="1454">
        <f t="shared" si="0"/>
        <v>0.212298682284041</v>
      </c>
      <c r="K3" s="1454">
        <f t="shared" si="0"/>
        <v>0.22465353756382203</v>
      </c>
      <c r="L3" s="1454">
        <f t="shared" si="0"/>
        <v>0.21274961597542244</v>
      </c>
      <c r="M3" s="1454">
        <f t="shared" si="0"/>
        <v>4.830569574621485E-2</v>
      </c>
      <c r="N3" s="1454">
        <f t="shared" si="0"/>
        <v>8.8768115942028991E-2</v>
      </c>
      <c r="O3" s="1454">
        <f t="shared" si="0"/>
        <v>4.8838594401429423E-2</v>
      </c>
      <c r="P3" s="1454">
        <f t="shared" si="0"/>
        <v>9.4363521215959464E-2</v>
      </c>
      <c r="Q3" s="1454">
        <f t="shared" si="0"/>
        <v>0.1485557083906465</v>
      </c>
      <c r="R3" s="1454">
        <f t="shared" si="0"/>
        <v>0.15252357182473655</v>
      </c>
      <c r="S3" s="1454">
        <f t="shared" si="0"/>
        <v>0.17717206132879046</v>
      </c>
      <c r="T3" s="1454">
        <v>0.14000000000000001</v>
      </c>
      <c r="U3" s="1454">
        <v>0.10419161676646715</v>
      </c>
      <c r="V3" s="1454">
        <v>7.0000000000000007E-2</v>
      </c>
      <c r="W3" s="1454">
        <v>2.5000000000000001E-2</v>
      </c>
      <c r="X3" s="1454">
        <v>0.05</v>
      </c>
      <c r="Y3" s="1454">
        <v>0.03</v>
      </c>
    </row>
    <row r="4" spans="1:25">
      <c r="A4" s="847" t="s">
        <v>1959</v>
      </c>
      <c r="B4" s="848">
        <v>100</v>
      </c>
      <c r="C4" s="848">
        <v>103</v>
      </c>
      <c r="D4" s="848">
        <v>97</v>
      </c>
      <c r="E4" s="848">
        <v>100</v>
      </c>
      <c r="F4" s="848">
        <v>98</v>
      </c>
      <c r="G4" s="848">
        <v>101</v>
      </c>
      <c r="H4" s="848">
        <v>94</v>
      </c>
      <c r="I4" s="848">
        <v>107</v>
      </c>
      <c r="J4" s="848">
        <v>110</v>
      </c>
      <c r="K4" s="848">
        <v>125</v>
      </c>
      <c r="L4" s="848">
        <v>112</v>
      </c>
      <c r="M4" s="848">
        <v>116</v>
      </c>
      <c r="N4" s="848">
        <v>123</v>
      </c>
      <c r="O4" s="846">
        <v>135</v>
      </c>
      <c r="P4" s="846">
        <v>126</v>
      </c>
      <c r="Q4" s="846">
        <v>137</v>
      </c>
      <c r="R4" s="846">
        <v>151</v>
      </c>
      <c r="S4" s="846">
        <v>156</v>
      </c>
      <c r="T4" s="846">
        <v>139</v>
      </c>
      <c r="U4" s="846">
        <v>155</v>
      </c>
      <c r="V4" s="846">
        <v>153</v>
      </c>
      <c r="W4" s="846">
        <v>163</v>
      </c>
      <c r="X4" s="846">
        <v>145</v>
      </c>
      <c r="Y4" s="846">
        <v>159</v>
      </c>
    </row>
    <row r="5" spans="1:25" s="1455" customFormat="1" ht="13">
      <c r="A5" s="1453" t="s">
        <v>1958</v>
      </c>
      <c r="B5" s="1454">
        <f>(100-89)/89</f>
        <v>0.12359550561797752</v>
      </c>
      <c r="C5" s="1454">
        <v>0.08</v>
      </c>
      <c r="D5" s="1454">
        <v>0.13</v>
      </c>
      <c r="E5" s="1454">
        <v>0.04</v>
      </c>
      <c r="F5" s="1454">
        <f t="shared" ref="F5:S5" si="1">(F4-B4)/B4</f>
        <v>-0.02</v>
      </c>
      <c r="G5" s="1454">
        <f t="shared" si="1"/>
        <v>-1.9417475728155338E-2</v>
      </c>
      <c r="H5" s="1454">
        <f t="shared" si="1"/>
        <v>-3.0927835051546393E-2</v>
      </c>
      <c r="I5" s="1454">
        <f t="shared" si="1"/>
        <v>7.0000000000000007E-2</v>
      </c>
      <c r="J5" s="1454">
        <f t="shared" si="1"/>
        <v>0.12244897959183673</v>
      </c>
      <c r="K5" s="1454">
        <f t="shared" si="1"/>
        <v>0.23762376237623761</v>
      </c>
      <c r="L5" s="1454">
        <f t="shared" si="1"/>
        <v>0.19148936170212766</v>
      </c>
      <c r="M5" s="1454">
        <f t="shared" si="1"/>
        <v>8.4112149532710276E-2</v>
      </c>
      <c r="N5" s="1454">
        <f t="shared" si="1"/>
        <v>0.11818181818181818</v>
      </c>
      <c r="O5" s="1454">
        <f t="shared" si="1"/>
        <v>0.08</v>
      </c>
      <c r="P5" s="1454">
        <f t="shared" si="1"/>
        <v>0.125</v>
      </c>
      <c r="Q5" s="1454">
        <f t="shared" si="1"/>
        <v>0.18103448275862069</v>
      </c>
      <c r="R5" s="1454">
        <f t="shared" si="1"/>
        <v>0.22764227642276422</v>
      </c>
      <c r="S5" s="1454">
        <f t="shared" si="1"/>
        <v>0.15555555555555556</v>
      </c>
      <c r="T5" s="1454">
        <v>0.1</v>
      </c>
      <c r="U5" s="1454">
        <v>0.13138686131386867</v>
      </c>
      <c r="V5" s="1454">
        <v>0.02</v>
      </c>
      <c r="W5" s="1454">
        <v>4.4999999999999998E-2</v>
      </c>
      <c r="X5" s="1454">
        <v>0.04</v>
      </c>
      <c r="Y5" s="1454">
        <v>0.03</v>
      </c>
    </row>
    <row r="6" spans="1:25">
      <c r="A6" s="847" t="s">
        <v>1960</v>
      </c>
      <c r="B6" s="848">
        <v>16</v>
      </c>
      <c r="C6" s="848">
        <v>17</v>
      </c>
      <c r="D6" s="848">
        <v>16</v>
      </c>
      <c r="E6" s="848">
        <v>11</v>
      </c>
      <c r="F6" s="848">
        <v>20</v>
      </c>
      <c r="G6" s="848">
        <v>24</v>
      </c>
      <c r="H6" s="848">
        <v>14</v>
      </c>
      <c r="I6" s="848">
        <v>10</v>
      </c>
      <c r="J6" s="848">
        <v>15</v>
      </c>
      <c r="K6" s="848">
        <v>26</v>
      </c>
      <c r="L6" s="848">
        <v>18</v>
      </c>
      <c r="M6" s="848">
        <v>21</v>
      </c>
      <c r="N6" s="848">
        <v>27</v>
      </c>
      <c r="O6" s="846">
        <v>28</v>
      </c>
      <c r="P6" s="846">
        <v>20</v>
      </c>
      <c r="Q6" s="846">
        <v>19</v>
      </c>
      <c r="R6" s="846">
        <v>27</v>
      </c>
      <c r="S6" s="846">
        <v>30</v>
      </c>
      <c r="T6" s="846">
        <v>19</v>
      </c>
      <c r="U6" s="846">
        <v>31</v>
      </c>
      <c r="V6" s="846">
        <v>29</v>
      </c>
      <c r="W6" s="846">
        <v>37</v>
      </c>
      <c r="X6" s="846">
        <v>19</v>
      </c>
      <c r="Y6" s="846">
        <v>31</v>
      </c>
    </row>
    <row r="7" spans="1:25" s="1455" customFormat="1" ht="13">
      <c r="A7" s="1453" t="s">
        <v>1958</v>
      </c>
      <c r="B7" s="1456">
        <f>4/12</f>
        <v>0.33333333333333331</v>
      </c>
      <c r="C7" s="1456">
        <v>-0.01</v>
      </c>
      <c r="D7" s="1456">
        <v>0.37</v>
      </c>
      <c r="E7" s="1456">
        <v>-0.42</v>
      </c>
      <c r="F7" s="1456">
        <v>0.19</v>
      </c>
      <c r="G7" s="1456">
        <v>0.35</v>
      </c>
      <c r="H7" s="1456">
        <v>-0.12</v>
      </c>
      <c r="I7" s="1456">
        <v>-0.02</v>
      </c>
      <c r="J7" s="1456">
        <v>-0.22</v>
      </c>
      <c r="K7" s="1456">
        <v>0.12</v>
      </c>
      <c r="L7" s="1456">
        <v>0.28000000000000003</v>
      </c>
      <c r="M7" s="1456">
        <v>0.97</v>
      </c>
      <c r="N7" s="1456">
        <v>0.76</v>
      </c>
      <c r="O7" s="1454">
        <v>0.05</v>
      </c>
      <c r="P7" s="1454">
        <v>0.13</v>
      </c>
      <c r="Q7" s="1454">
        <v>-7.0000000000000007E-2</v>
      </c>
      <c r="R7" s="1454">
        <v>-0.02</v>
      </c>
      <c r="S7" s="1454">
        <v>0.08</v>
      </c>
      <c r="T7" s="1454">
        <v>-0.08</v>
      </c>
      <c r="U7" s="1454">
        <v>0.65</v>
      </c>
      <c r="V7" s="1454">
        <v>0.09</v>
      </c>
      <c r="W7" s="1454">
        <v>0.24</v>
      </c>
      <c r="X7" s="1454">
        <v>-0.01</v>
      </c>
      <c r="Y7" s="1454">
        <v>-0.03</v>
      </c>
    </row>
    <row r="8" spans="1:25">
      <c r="A8" s="1457" t="s">
        <v>780</v>
      </c>
      <c r="B8" s="1458">
        <f>B6/B4</f>
        <v>0.16</v>
      </c>
      <c r="C8" s="1458">
        <f t="shared" ref="C8:S8" si="2">C6/C4</f>
        <v>0.1650485436893204</v>
      </c>
      <c r="D8" s="1458">
        <f t="shared" si="2"/>
        <v>0.16494845360824742</v>
      </c>
      <c r="E8" s="1458">
        <f t="shared" si="2"/>
        <v>0.11</v>
      </c>
      <c r="F8" s="1458">
        <f t="shared" si="2"/>
        <v>0.20408163265306123</v>
      </c>
      <c r="G8" s="1458">
        <f t="shared" si="2"/>
        <v>0.23762376237623761</v>
      </c>
      <c r="H8" s="1458">
        <f t="shared" si="2"/>
        <v>0.14893617021276595</v>
      </c>
      <c r="I8" s="1458">
        <f t="shared" si="2"/>
        <v>9.3457943925233641E-2</v>
      </c>
      <c r="J8" s="1458">
        <f t="shared" si="2"/>
        <v>0.13636363636363635</v>
      </c>
      <c r="K8" s="1458">
        <f t="shared" si="2"/>
        <v>0.20799999999999999</v>
      </c>
      <c r="L8" s="1458">
        <f t="shared" si="2"/>
        <v>0.16071428571428573</v>
      </c>
      <c r="M8" s="1458">
        <f t="shared" si="2"/>
        <v>0.18103448275862069</v>
      </c>
      <c r="N8" s="1458">
        <f t="shared" si="2"/>
        <v>0.21951219512195122</v>
      </c>
      <c r="O8" s="1458">
        <f t="shared" si="2"/>
        <v>0.2074074074074074</v>
      </c>
      <c r="P8" s="1458">
        <f t="shared" si="2"/>
        <v>0.15873015873015872</v>
      </c>
      <c r="Q8" s="1458">
        <f t="shared" si="2"/>
        <v>0.13868613138686131</v>
      </c>
      <c r="R8" s="1458">
        <f t="shared" si="2"/>
        <v>0.17880794701986755</v>
      </c>
      <c r="S8" s="1458">
        <f t="shared" si="2"/>
        <v>0.19230769230769232</v>
      </c>
      <c r="T8" s="1458">
        <f t="shared" ref="T8:Y8" si="3">T6/T4</f>
        <v>0.1366906474820144</v>
      </c>
      <c r="U8" s="1458">
        <f t="shared" si="3"/>
        <v>0.2</v>
      </c>
      <c r="V8" s="1458">
        <f t="shared" si="3"/>
        <v>0.18954248366013071</v>
      </c>
      <c r="W8" s="1458">
        <f t="shared" si="3"/>
        <v>0.22699386503067484</v>
      </c>
      <c r="X8" s="1458">
        <f t="shared" si="3"/>
        <v>0.1310344827586207</v>
      </c>
      <c r="Y8" s="1458">
        <f t="shared" si="3"/>
        <v>0.19496855345911951</v>
      </c>
    </row>
    <row r="11" spans="1:25">
      <c r="V11" s="676"/>
    </row>
  </sheetData>
  <phoneticPr fontId="11"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8"/>
  <sheetViews>
    <sheetView workbookViewId="0"/>
  </sheetViews>
  <sheetFormatPr defaultColWidth="9" defaultRowHeight="12.5"/>
  <cols>
    <col min="1" max="1" width="23.75" style="640" customWidth="1"/>
    <col min="2" max="2" width="9" style="640"/>
    <col min="3" max="3" width="9.58203125" style="640" bestFit="1" customWidth="1"/>
    <col min="4" max="16384" width="9" style="640"/>
  </cols>
  <sheetData>
    <row r="1" spans="1:15" ht="14">
      <c r="A1" s="729" t="s">
        <v>858</v>
      </c>
      <c r="B1" s="728" t="s">
        <v>863</v>
      </c>
      <c r="C1" s="728" t="s">
        <v>864</v>
      </c>
      <c r="D1" s="728" t="s">
        <v>865</v>
      </c>
      <c r="E1" s="728" t="s">
        <v>860</v>
      </c>
      <c r="F1" s="728" t="s">
        <v>866</v>
      </c>
      <c r="G1" s="728" t="s">
        <v>867</v>
      </c>
      <c r="H1" s="728" t="s">
        <v>868</v>
      </c>
      <c r="I1" s="728" t="s">
        <v>859</v>
      </c>
      <c r="J1" s="728" t="s">
        <v>869</v>
      </c>
      <c r="K1" s="728" t="s">
        <v>870</v>
      </c>
      <c r="L1" s="728" t="s">
        <v>871</v>
      </c>
      <c r="M1" s="728" t="s">
        <v>872</v>
      </c>
      <c r="N1" s="728" t="s">
        <v>862</v>
      </c>
      <c r="O1" s="728" t="s">
        <v>875</v>
      </c>
    </row>
    <row r="2" spans="1:15">
      <c r="A2" s="640" t="s">
        <v>873</v>
      </c>
      <c r="B2" s="726">
        <v>1310</v>
      </c>
      <c r="C2" s="726">
        <v>1328</v>
      </c>
      <c r="D2" s="726">
        <v>1285</v>
      </c>
      <c r="E2" s="726">
        <v>1226</v>
      </c>
      <c r="F2" s="726">
        <v>1366</v>
      </c>
      <c r="G2" s="726">
        <v>1371</v>
      </c>
      <c r="H2" s="726">
        <v>1302</v>
      </c>
      <c r="I2" s="726">
        <v>1387</v>
      </c>
      <c r="J2" s="726">
        <v>1656</v>
      </c>
      <c r="K2" s="726">
        <v>1679</v>
      </c>
      <c r="L2" s="726">
        <v>1579</v>
      </c>
      <c r="M2" s="726">
        <v>1454</v>
      </c>
      <c r="N2" s="726">
        <v>1803</v>
      </c>
      <c r="O2" s="724">
        <v>1761</v>
      </c>
    </row>
    <row r="3" spans="1:15">
      <c r="A3" s="640" t="s">
        <v>876</v>
      </c>
      <c r="B3" s="725">
        <v>0.17269999999999999</v>
      </c>
      <c r="C3" s="725">
        <v>0.12</v>
      </c>
      <c r="D3" s="725">
        <v>0.14000000000000001</v>
      </c>
      <c r="E3" s="725">
        <v>0.11</v>
      </c>
      <c r="F3" s="725">
        <f t="shared" ref="F3:N3" si="0">(F2-B2)/B2</f>
        <v>4.2748091603053436E-2</v>
      </c>
      <c r="G3" s="725">
        <f t="shared" si="0"/>
        <v>3.2379518072289157E-2</v>
      </c>
      <c r="H3" s="725">
        <f t="shared" si="0"/>
        <v>1.3229571984435798E-2</v>
      </c>
      <c r="I3" s="725">
        <f t="shared" si="0"/>
        <v>0.13132137030995106</v>
      </c>
      <c r="J3" s="725">
        <f t="shared" si="0"/>
        <v>0.212298682284041</v>
      </c>
      <c r="K3" s="725">
        <f t="shared" si="0"/>
        <v>0.22465353756382203</v>
      </c>
      <c r="L3" s="725">
        <f t="shared" si="0"/>
        <v>0.21274961597542244</v>
      </c>
      <c r="M3" s="725">
        <f t="shared" si="0"/>
        <v>4.830569574621485E-2</v>
      </c>
      <c r="N3" s="725">
        <f t="shared" si="0"/>
        <v>8.8768115942028991E-2</v>
      </c>
      <c r="O3" s="725">
        <v>0.05</v>
      </c>
    </row>
    <row r="4" spans="1:15">
      <c r="A4" s="640" t="s">
        <v>874</v>
      </c>
      <c r="B4" s="726">
        <v>100</v>
      </c>
      <c r="C4" s="726">
        <v>103</v>
      </c>
      <c r="D4" s="726">
        <v>97</v>
      </c>
      <c r="E4" s="726">
        <v>100</v>
      </c>
      <c r="F4" s="726">
        <v>98</v>
      </c>
      <c r="G4" s="726">
        <v>101</v>
      </c>
      <c r="H4" s="726">
        <v>94</v>
      </c>
      <c r="I4" s="726">
        <v>107</v>
      </c>
      <c r="J4" s="726">
        <v>110</v>
      </c>
      <c r="K4" s="726">
        <v>125</v>
      </c>
      <c r="L4" s="726">
        <v>112</v>
      </c>
      <c r="M4" s="726">
        <v>116</v>
      </c>
      <c r="N4" s="726">
        <v>123</v>
      </c>
      <c r="O4" s="640">
        <v>135</v>
      </c>
    </row>
    <row r="5" spans="1:15">
      <c r="A5" s="640" t="s">
        <v>876</v>
      </c>
      <c r="B5" s="725">
        <f>(100-89)/89</f>
        <v>0.12359550561797752</v>
      </c>
      <c r="C5" s="725">
        <v>0.08</v>
      </c>
      <c r="D5" s="725">
        <v>0.13</v>
      </c>
      <c r="E5" s="725">
        <v>0.04</v>
      </c>
      <c r="F5" s="725">
        <f t="shared" ref="F5:N5" si="1">(F4-B4)/B4</f>
        <v>-0.02</v>
      </c>
      <c r="G5" s="725">
        <f t="shared" si="1"/>
        <v>-1.9417475728155338E-2</v>
      </c>
      <c r="H5" s="725">
        <f t="shared" si="1"/>
        <v>-3.0927835051546393E-2</v>
      </c>
      <c r="I5" s="725">
        <f t="shared" si="1"/>
        <v>7.0000000000000007E-2</v>
      </c>
      <c r="J5" s="725">
        <f t="shared" si="1"/>
        <v>0.12244897959183673</v>
      </c>
      <c r="K5" s="725">
        <f t="shared" si="1"/>
        <v>0.23762376237623761</v>
      </c>
      <c r="L5" s="725">
        <f t="shared" si="1"/>
        <v>0.19148936170212766</v>
      </c>
      <c r="M5" s="725">
        <f t="shared" si="1"/>
        <v>8.4112149532710276E-2</v>
      </c>
      <c r="N5" s="725">
        <f t="shared" si="1"/>
        <v>0.11818181818181818</v>
      </c>
      <c r="O5" s="725">
        <v>0.08</v>
      </c>
    </row>
    <row r="6" spans="1:15">
      <c r="A6" s="640" t="s">
        <v>755</v>
      </c>
      <c r="B6" s="726">
        <v>16</v>
      </c>
      <c r="C6" s="726">
        <v>17</v>
      </c>
      <c r="D6" s="726">
        <v>16</v>
      </c>
      <c r="E6" s="726">
        <v>11</v>
      </c>
      <c r="F6" s="726">
        <v>20</v>
      </c>
      <c r="G6" s="726">
        <v>24</v>
      </c>
      <c r="H6" s="726">
        <v>14</v>
      </c>
      <c r="I6" s="726">
        <v>10</v>
      </c>
      <c r="J6" s="726">
        <v>15</v>
      </c>
      <c r="K6" s="726">
        <v>26</v>
      </c>
      <c r="L6" s="726">
        <v>18</v>
      </c>
      <c r="M6" s="726">
        <v>21</v>
      </c>
      <c r="N6" s="726">
        <v>27</v>
      </c>
      <c r="O6" s="640">
        <v>28</v>
      </c>
    </row>
    <row r="7" spans="1:15">
      <c r="A7" s="640" t="s">
        <v>876</v>
      </c>
      <c r="B7" s="676">
        <f>4/12</f>
        <v>0.33333333333333331</v>
      </c>
      <c r="C7" s="676">
        <v>-0.01</v>
      </c>
      <c r="D7" s="676">
        <v>0.37</v>
      </c>
      <c r="E7" s="676">
        <v>-0.42</v>
      </c>
      <c r="F7" s="676">
        <v>0.19</v>
      </c>
      <c r="G7" s="676">
        <v>0.35</v>
      </c>
      <c r="H7" s="676">
        <v>-0.12</v>
      </c>
      <c r="I7" s="676">
        <v>-0.02</v>
      </c>
      <c r="J7" s="676">
        <v>-0.22</v>
      </c>
      <c r="K7" s="676">
        <v>0.12</v>
      </c>
      <c r="L7" s="676">
        <v>0.28000000000000003</v>
      </c>
      <c r="M7" s="676">
        <v>0.97</v>
      </c>
      <c r="N7" s="676">
        <v>0.76</v>
      </c>
      <c r="O7" s="725">
        <v>0.05</v>
      </c>
    </row>
    <row r="8" spans="1:15">
      <c r="A8" s="640" t="s">
        <v>861</v>
      </c>
      <c r="B8" s="727">
        <f>B6/B4</f>
        <v>0.16</v>
      </c>
      <c r="C8" s="727">
        <f t="shared" ref="C8:M8" si="2">C6/C4</f>
        <v>0.1650485436893204</v>
      </c>
      <c r="D8" s="727">
        <f t="shared" si="2"/>
        <v>0.16494845360824742</v>
      </c>
      <c r="E8" s="727">
        <f t="shared" si="2"/>
        <v>0.11</v>
      </c>
      <c r="F8" s="727">
        <f t="shared" si="2"/>
        <v>0.20408163265306123</v>
      </c>
      <c r="G8" s="727">
        <f t="shared" si="2"/>
        <v>0.23762376237623761</v>
      </c>
      <c r="H8" s="727">
        <f t="shared" si="2"/>
        <v>0.14893617021276595</v>
      </c>
      <c r="I8" s="727">
        <f t="shared" si="2"/>
        <v>9.3457943925233641E-2</v>
      </c>
      <c r="J8" s="727">
        <f t="shared" si="2"/>
        <v>0.13636363636363635</v>
      </c>
      <c r="K8" s="727">
        <f t="shared" si="2"/>
        <v>0.20799999999999999</v>
      </c>
      <c r="L8" s="727">
        <f t="shared" si="2"/>
        <v>0.16071428571428573</v>
      </c>
      <c r="M8" s="727">
        <f t="shared" si="2"/>
        <v>0.18103448275862069</v>
      </c>
      <c r="N8" s="727">
        <f>N6/N4</f>
        <v>0.21951219512195122</v>
      </c>
      <c r="O8" s="727">
        <f>O6/O4</f>
        <v>0.2074074074074074</v>
      </c>
    </row>
  </sheetData>
  <phoneticPr fontId="11"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BB139"/>
  <sheetViews>
    <sheetView zoomScale="80" zoomScaleNormal="80" workbookViewId="0">
      <pane xSplit="5" ySplit="1" topLeftCell="F9" activePane="bottomRight" state="frozen"/>
      <selection pane="topRight" activeCell="F1" sqref="F1"/>
      <selection pane="bottomLeft" activeCell="A2" sqref="A2"/>
      <selection pane="bottomRight" activeCell="AI37" sqref="AI37"/>
    </sheetView>
  </sheetViews>
  <sheetFormatPr defaultColWidth="8.58203125" defaultRowHeight="15.5" outlineLevelRow="1" outlineLevelCol="1"/>
  <cols>
    <col min="1" max="1" width="31.75" style="2731" customWidth="1"/>
    <col min="2" max="4" width="7" style="2731" hidden="1" customWidth="1"/>
    <col min="5" max="5" width="7" style="2794" hidden="1" customWidth="1"/>
    <col min="6" max="7" width="9.75" style="2731" customWidth="1"/>
    <col min="8" max="8" width="9.75" style="2754" customWidth="1"/>
    <col min="9" max="9" width="10.4140625" style="2731" bestFit="1" customWidth="1"/>
    <col min="10" max="10" width="9.75" style="2983" hidden="1" customWidth="1" outlineLevel="1"/>
    <col min="11" max="12" width="9.75" style="2731" hidden="1" customWidth="1" outlineLevel="1"/>
    <col min="13" max="13" width="8" style="2794" hidden="1" customWidth="1" outlineLevel="1"/>
    <col min="14" max="14" width="8" style="2731" hidden="1" customWidth="1" outlineLevel="1"/>
    <col min="15" max="15" width="9.75" style="2731" hidden="1" customWidth="1" outlineLevel="1"/>
    <col min="16" max="16" width="8" style="2731" hidden="1" customWidth="1" outlineLevel="1"/>
    <col min="17" max="17" width="10.83203125" style="2794" hidden="1" customWidth="1" outlineLevel="1"/>
    <col min="18" max="18" width="9.75" style="2731" customWidth="1" collapsed="1"/>
    <col min="19" max="19" width="9.75" style="2729" customWidth="1"/>
    <col min="20" max="20" width="9.75" style="2754" customWidth="1"/>
    <col min="21" max="21" width="9.75" style="2794" customWidth="1"/>
    <col min="22" max="22" width="9.75" style="2731" customWidth="1"/>
    <col min="23" max="23" width="9.75" style="2729" customWidth="1"/>
    <col min="24" max="24" width="9.75" style="2754" customWidth="1"/>
    <col min="25" max="25" width="9.75" style="2794" customWidth="1"/>
    <col min="26" max="36" width="10.9140625" style="2754" customWidth="1"/>
    <col min="37" max="37" width="9.75" style="2731" customWidth="1"/>
    <col min="38" max="40" width="12.08203125" style="2731" bestFit="1" customWidth="1"/>
    <col min="41" max="43" width="9.08203125" style="2731" customWidth="1"/>
    <col min="44" max="47" width="14.25" style="2072" bestFit="1" customWidth="1"/>
    <col min="48" max="48" width="12.4140625" style="2072" bestFit="1" customWidth="1"/>
    <col min="49" max="16384" width="8.58203125" style="2072"/>
  </cols>
  <sheetData>
    <row r="1" spans="1:54">
      <c r="A1" s="2744" t="s">
        <v>2643</v>
      </c>
      <c r="B1" s="2732" t="s">
        <v>1952</v>
      </c>
      <c r="C1" s="2732" t="s">
        <v>2734</v>
      </c>
      <c r="D1" s="2732" t="s">
        <v>2735</v>
      </c>
      <c r="E1" s="2779" t="s">
        <v>2736</v>
      </c>
      <c r="F1" s="2732" t="s">
        <v>1956</v>
      </c>
      <c r="G1" s="2732" t="s">
        <v>2773</v>
      </c>
      <c r="H1" s="2779" t="s">
        <v>2071</v>
      </c>
      <c r="I1" s="2732" t="s">
        <v>2105</v>
      </c>
      <c r="J1" s="2969" t="s">
        <v>2600</v>
      </c>
      <c r="K1" s="2732" t="s">
        <v>2727</v>
      </c>
      <c r="L1" s="2732" t="s">
        <v>2728</v>
      </c>
      <c r="M1" s="2779" t="s">
        <v>2729</v>
      </c>
      <c r="N1" s="2732" t="s">
        <v>2730</v>
      </c>
      <c r="O1" s="2732" t="s">
        <v>2731</v>
      </c>
      <c r="P1" s="2732" t="s">
        <v>2732</v>
      </c>
      <c r="Q1" s="2779" t="s">
        <v>2733</v>
      </c>
      <c r="R1" s="2732" t="s">
        <v>2724</v>
      </c>
      <c r="S1" s="2732" t="s">
        <v>2725</v>
      </c>
      <c r="T1" s="2779" t="s">
        <v>2723</v>
      </c>
      <c r="U1" s="2779" t="s">
        <v>2749</v>
      </c>
      <c r="V1" s="2732" t="s">
        <v>2757</v>
      </c>
      <c r="W1" s="2732" t="s">
        <v>2760</v>
      </c>
      <c r="X1" s="2779" t="s">
        <v>2772</v>
      </c>
      <c r="Y1" s="2779" t="s">
        <v>2796</v>
      </c>
      <c r="Z1" s="2732" t="s">
        <v>2792</v>
      </c>
      <c r="AA1" s="2732" t="s">
        <v>2795</v>
      </c>
      <c r="AB1" s="2732" t="s">
        <v>2816</v>
      </c>
      <c r="AC1" s="2732" t="s">
        <v>2821</v>
      </c>
      <c r="AD1" s="2732" t="s">
        <v>2825</v>
      </c>
      <c r="AE1" s="2732" t="s">
        <v>2834</v>
      </c>
      <c r="AF1" s="2732" t="s">
        <v>2873</v>
      </c>
      <c r="AG1" s="2732" t="s">
        <v>2876</v>
      </c>
      <c r="AH1" s="2732" t="s">
        <v>2882</v>
      </c>
      <c r="AI1" s="2732" t="s">
        <v>2886</v>
      </c>
      <c r="AJ1" s="2732"/>
      <c r="AK1" s="2732" t="s">
        <v>2678</v>
      </c>
      <c r="AL1" s="2732" t="s">
        <v>2679</v>
      </c>
      <c r="AM1" s="2732" t="s">
        <v>2680</v>
      </c>
      <c r="AN1" s="2732" t="s">
        <v>2676</v>
      </c>
      <c r="AO1" s="2732" t="s">
        <v>2677</v>
      </c>
      <c r="AP1" s="2732" t="s">
        <v>2696</v>
      </c>
      <c r="AQ1" s="2732" t="s">
        <v>2709</v>
      </c>
      <c r="AR1" s="2732" t="s">
        <v>2751</v>
      </c>
      <c r="AS1" s="2732" t="s">
        <v>2780</v>
      </c>
      <c r="AT1" s="2732" t="s">
        <v>2822</v>
      </c>
      <c r="AU1" s="2732" t="s">
        <v>2878</v>
      </c>
      <c r="AV1" s="2732" t="s">
        <v>2844</v>
      </c>
      <c r="AW1" s="2073"/>
      <c r="AX1" s="2073"/>
      <c r="AY1" s="2073"/>
      <c r="AZ1" s="2073"/>
      <c r="BA1" s="2073"/>
      <c r="BB1" s="2073"/>
    </row>
    <row r="2" spans="1:54">
      <c r="A2" s="2750" t="s">
        <v>43</v>
      </c>
      <c r="B2" s="2733"/>
      <c r="C2" s="2733"/>
      <c r="D2" s="2733"/>
      <c r="E2" s="2780"/>
      <c r="F2" s="2733"/>
      <c r="G2" s="2733"/>
      <c r="H2" s="2780"/>
      <c r="I2" s="2733"/>
      <c r="J2" s="2970"/>
      <c r="K2" s="2733"/>
      <c r="L2" s="2733"/>
      <c r="M2" s="2780"/>
      <c r="N2" s="2733"/>
      <c r="O2" s="2733"/>
      <c r="P2" s="2733"/>
      <c r="Q2" s="2780"/>
      <c r="R2" s="2733"/>
      <c r="S2" s="3079"/>
      <c r="T2" s="2780"/>
      <c r="U2" s="2780"/>
      <c r="V2" s="2733"/>
      <c r="W2" s="3079"/>
      <c r="X2" s="2780"/>
      <c r="Y2" s="2780"/>
      <c r="Z2" s="3013"/>
      <c r="AA2" s="3013"/>
      <c r="AB2" s="3013"/>
      <c r="AC2" s="3013"/>
      <c r="AD2" s="3013"/>
      <c r="AE2" s="3013"/>
      <c r="AF2" s="3013"/>
      <c r="AG2" s="3013"/>
      <c r="AH2" s="3013"/>
      <c r="AI2" s="3013"/>
      <c r="AJ2" s="3013"/>
      <c r="AK2" s="2733"/>
      <c r="AL2" s="2733"/>
      <c r="AM2" s="2733"/>
      <c r="AN2" s="2733"/>
      <c r="AO2" s="2733"/>
      <c r="AP2" s="2733"/>
      <c r="AQ2" s="2733"/>
      <c r="AR2" s="2733"/>
      <c r="AS2" s="2733"/>
      <c r="AT2" s="2733"/>
      <c r="AU2" s="2733"/>
      <c r="AV2" s="2073"/>
      <c r="AW2" s="2073"/>
      <c r="AX2" s="2073"/>
      <c r="AY2" s="2073"/>
      <c r="AZ2" s="2073"/>
      <c r="BA2" s="2073"/>
      <c r="BB2" s="2073"/>
    </row>
    <row r="3" spans="1:54">
      <c r="A3" s="2731" t="s">
        <v>2877</v>
      </c>
      <c r="B3" s="2767">
        <v>62.217265000000005</v>
      </c>
      <c r="C3" s="2767">
        <v>64.803216000000006</v>
      </c>
      <c r="D3" s="2767">
        <v>65.826813000000001</v>
      </c>
      <c r="E3" s="2781">
        <v>57.533487999999991</v>
      </c>
      <c r="F3" s="2766">
        <v>81</v>
      </c>
      <c r="G3" s="2766">
        <v>84</v>
      </c>
      <c r="H3" s="3144">
        <f>21.7/(1-28%)+20.6/(1-28%)+19.5/(1-28%)</f>
        <v>85.833333333333343</v>
      </c>
      <c r="I3" s="2766">
        <f>26.6+24.7+24.5</f>
        <v>75.8</v>
      </c>
      <c r="J3" s="2971">
        <f>33.3+27.9-4.1</f>
        <v>57.099999999999994</v>
      </c>
      <c r="K3" s="2766">
        <f>-0.7+9.2+19.5</f>
        <v>28</v>
      </c>
      <c r="L3" s="2766">
        <f>21.7+20.6+19.5</f>
        <v>61.8</v>
      </c>
      <c r="M3" s="2802">
        <v>46.3</v>
      </c>
      <c r="N3" s="2766">
        <v>64.400000000000006</v>
      </c>
      <c r="O3" s="2766">
        <v>83.1</v>
      </c>
      <c r="P3" s="2766">
        <v>79.7</v>
      </c>
      <c r="Q3" s="2802">
        <v>73.400000000000006</v>
      </c>
      <c r="R3" s="2766">
        <v>102.1</v>
      </c>
      <c r="S3" s="3080">
        <v>103.7</v>
      </c>
      <c r="T3" s="3150">
        <v>99.7</v>
      </c>
      <c r="U3" s="2802">
        <v>88.2</v>
      </c>
      <c r="V3" s="2766">
        <v>121.1</v>
      </c>
      <c r="W3" s="3080">
        <v>115.1</v>
      </c>
      <c r="X3" s="3150">
        <v>113.2</v>
      </c>
      <c r="Y3" s="2802">
        <v>98.8</v>
      </c>
      <c r="Z3" s="3066">
        <v>132.6</v>
      </c>
      <c r="AA3" s="3066">
        <v>125.1</v>
      </c>
      <c r="AB3" s="3066">
        <v>122.8</v>
      </c>
      <c r="AC3" s="3066">
        <v>111</v>
      </c>
      <c r="AD3" s="3066">
        <v>143.1</v>
      </c>
      <c r="AE3" s="3066">
        <v>134.4</v>
      </c>
      <c r="AF3" s="3066">
        <v>133.6</v>
      </c>
      <c r="AG3" s="3066">
        <v>121.9</v>
      </c>
      <c r="AH3" s="3066">
        <v>156.19999999999999</v>
      </c>
      <c r="AI3" s="3066">
        <v>148.30000000000001</v>
      </c>
      <c r="AJ3" s="3066"/>
      <c r="AK3" s="2766">
        <v>72.400000000000006</v>
      </c>
      <c r="AL3" s="2766">
        <v>125.7</v>
      </c>
      <c r="AM3" s="2766">
        <v>185.8</v>
      </c>
      <c r="AN3" s="2766">
        <v>250.3</v>
      </c>
      <c r="AO3" s="2766">
        <v>326.89999999999998</v>
      </c>
      <c r="AP3" s="2766">
        <v>193.2</v>
      </c>
      <c r="AQ3" s="2766">
        <f>SUM(N3:Q3)</f>
        <v>300.60000000000002</v>
      </c>
      <c r="AR3" s="3024">
        <f>SUM(R3:U3)</f>
        <v>393.7</v>
      </c>
      <c r="AS3" s="3024">
        <f>SUM(V3:Y3)</f>
        <v>448.2</v>
      </c>
      <c r="AT3" s="3024">
        <v>491.5</v>
      </c>
      <c r="AU3" s="3024">
        <v>533</v>
      </c>
      <c r="AV3" s="2073"/>
      <c r="AW3" s="2073"/>
      <c r="AX3" s="2073"/>
      <c r="AY3" s="2073"/>
      <c r="AZ3" s="2073"/>
      <c r="BA3" s="2073"/>
      <c r="BB3" s="2073"/>
    </row>
    <row r="4" spans="1:54" s="2762" customFormat="1">
      <c r="A4" s="2763" t="s">
        <v>2660</v>
      </c>
      <c r="B4" s="2764"/>
      <c r="C4" s="2764"/>
      <c r="D4" s="2764"/>
      <c r="E4" s="2782"/>
      <c r="F4" s="2764">
        <f>F3/B3-1</f>
        <v>0.30188943535206825</v>
      </c>
      <c r="G4" s="2764">
        <f>G3/C3-1</f>
        <v>0.29623196478396996</v>
      </c>
      <c r="H4" s="2989">
        <f>H3/D3-1</f>
        <v>0.3039266132074987</v>
      </c>
      <c r="I4" s="2764">
        <f>I3/E3-1</f>
        <v>0.31749356131510753</v>
      </c>
      <c r="J4" s="2972">
        <f t="shared" ref="J4:O4" si="0">J3/F3-1</f>
        <v>-0.29506172839506184</v>
      </c>
      <c r="K4" s="2764">
        <f t="shared" si="0"/>
        <v>-0.66666666666666674</v>
      </c>
      <c r="L4" s="2764">
        <f t="shared" si="0"/>
        <v>-0.28000000000000014</v>
      </c>
      <c r="M4" s="2782">
        <f t="shared" si="0"/>
        <v>-0.3891820580474934</v>
      </c>
      <c r="N4" s="2764">
        <f t="shared" si="0"/>
        <v>0.12784588441331013</v>
      </c>
      <c r="O4" s="2764">
        <f t="shared" si="0"/>
        <v>1.9678571428571425</v>
      </c>
      <c r="P4" s="2764">
        <v>0.28999999999999998</v>
      </c>
      <c r="Q4" s="2782">
        <v>0.59</v>
      </c>
      <c r="R4" s="2764">
        <v>0.59</v>
      </c>
      <c r="S4" s="3081">
        <v>0.25</v>
      </c>
      <c r="T4" s="2989">
        <v>0.25</v>
      </c>
      <c r="U4" s="2782">
        <v>0.2</v>
      </c>
      <c r="V4" s="2764">
        <v>0.19</v>
      </c>
      <c r="W4" s="3081">
        <f t="shared" ref="W4:AB4" si="1">W3/S3-1</f>
        <v>0.10993249758919954</v>
      </c>
      <c r="X4" s="2989">
        <f t="shared" si="1"/>
        <v>0.13540621865596791</v>
      </c>
      <c r="Y4" s="2782">
        <f t="shared" si="1"/>
        <v>0.1201814058956916</v>
      </c>
      <c r="Z4" s="3433">
        <f t="shared" si="1"/>
        <v>9.4962840627580425E-2</v>
      </c>
      <c r="AA4" s="3433">
        <f t="shared" si="1"/>
        <v>8.6880973066898459E-2</v>
      </c>
      <c r="AB4" s="3433">
        <f t="shared" si="1"/>
        <v>8.4805653710247286E-2</v>
      </c>
      <c r="AC4" s="3433">
        <f t="shared" ref="AC4:AI4" si="2">AC3/Y3-1</f>
        <v>0.12348178137651833</v>
      </c>
      <c r="AD4" s="3433">
        <f t="shared" si="2"/>
        <v>7.9185520361990891E-2</v>
      </c>
      <c r="AE4" s="3067">
        <f t="shared" si="2"/>
        <v>7.4340527577937854E-2</v>
      </c>
      <c r="AF4" s="3067">
        <f t="shared" si="2"/>
        <v>8.7947882736156391E-2</v>
      </c>
      <c r="AG4" s="3433">
        <f t="shared" si="2"/>
        <v>9.8198198198198305E-2</v>
      </c>
      <c r="AH4" s="3433">
        <f t="shared" si="2"/>
        <v>9.1544374563242492E-2</v>
      </c>
      <c r="AI4" s="3433">
        <f t="shared" si="2"/>
        <v>0.10342261904761907</v>
      </c>
      <c r="AJ4" s="3433"/>
      <c r="AK4" s="2765"/>
      <c r="AL4" s="2764">
        <f t="shared" ref="AL4:AQ4" si="3">AL3/AK3-1</f>
        <v>0.73618784530386727</v>
      </c>
      <c r="AM4" s="2764">
        <f t="shared" si="3"/>
        <v>0.47812251392203664</v>
      </c>
      <c r="AN4" s="2764">
        <f t="shared" si="3"/>
        <v>0.34714747039827776</v>
      </c>
      <c r="AO4" s="2764">
        <f t="shared" si="3"/>
        <v>0.30603276068717533</v>
      </c>
      <c r="AP4" s="2764">
        <f t="shared" si="3"/>
        <v>-0.4089935760171306</v>
      </c>
      <c r="AQ4" s="2764">
        <f t="shared" si="3"/>
        <v>0.55590062111801264</v>
      </c>
      <c r="AR4" s="2764">
        <f>AR3/AQ3-1</f>
        <v>0.30971390552228861</v>
      </c>
      <c r="AS4" s="2764">
        <f>AS3/AR3-1</f>
        <v>0.13843027686055365</v>
      </c>
      <c r="AT4" s="2764">
        <f>AT3/AS3-1</f>
        <v>9.6608656849620722E-2</v>
      </c>
      <c r="AU4" s="2764">
        <f>AU3/AT3-1</f>
        <v>8.4435401831129298E-2</v>
      </c>
      <c r="AV4" s="2761"/>
      <c r="AW4" s="2761"/>
      <c r="AX4" s="2761"/>
      <c r="AY4" s="2761"/>
      <c r="AZ4" s="2761"/>
      <c r="BA4" s="2761"/>
      <c r="BB4" s="2761"/>
    </row>
    <row r="5" spans="1:54" s="2762" customFormat="1">
      <c r="A5" s="2763" t="s">
        <v>2715</v>
      </c>
      <c r="B5" s="2764"/>
      <c r="C5" s="2764"/>
      <c r="D5" s="2764"/>
      <c r="E5" s="2782"/>
      <c r="F5" s="2764"/>
      <c r="G5" s="2764"/>
      <c r="H5" s="2989"/>
      <c r="I5" s="2764"/>
      <c r="J5" s="2972"/>
      <c r="K5" s="2764"/>
      <c r="L5" s="2764"/>
      <c r="M5" s="2782"/>
      <c r="N5" s="2764">
        <f>N3/F3-1</f>
        <v>-0.20493827160493816</v>
      </c>
      <c r="O5" s="2764">
        <f>O3/G3-1</f>
        <v>-1.0714285714285787E-2</v>
      </c>
      <c r="P5" s="2764">
        <v>-7.0000000000000007E-2</v>
      </c>
      <c r="Q5" s="2782">
        <v>-0.03</v>
      </c>
      <c r="R5" s="2764">
        <v>0.26</v>
      </c>
      <c r="S5" s="3081">
        <v>0.24</v>
      </c>
      <c r="T5" s="2989">
        <f>T3/H3-1</f>
        <v>0.16155339805825242</v>
      </c>
      <c r="U5" s="2782">
        <f>U3/I3-1</f>
        <v>0.16358839050131935</v>
      </c>
      <c r="V5" s="2764">
        <v>0.49</v>
      </c>
      <c r="W5" s="3081">
        <f>W3/G3-1</f>
        <v>0.37023809523809526</v>
      </c>
      <c r="X5" s="2989">
        <f>X3/H3-1</f>
        <v>0.31883495145631047</v>
      </c>
      <c r="Y5" s="2782">
        <f>Y3/I3-1</f>
        <v>0.30343007915567277</v>
      </c>
      <c r="Z5" s="3015">
        <f>Z3/F3-1</f>
        <v>0.63703703703703707</v>
      </c>
      <c r="AA5" s="3015">
        <f>AA3/G3-1</f>
        <v>0.48928571428571432</v>
      </c>
      <c r="AB5" s="3015">
        <f>AB3/H3-1</f>
        <v>0.43067961165048518</v>
      </c>
      <c r="AC5" s="3015">
        <f>AC3/I3-1</f>
        <v>0.46437994722955156</v>
      </c>
      <c r="AD5" s="3015"/>
      <c r="AE5" s="3015"/>
      <c r="AF5" s="3015"/>
      <c r="AG5" s="3015"/>
      <c r="AH5" s="3015"/>
      <c r="AI5" s="3015"/>
      <c r="AJ5" s="3015"/>
      <c r="AK5" s="2765"/>
      <c r="AL5" s="2764"/>
      <c r="AM5" s="2764"/>
      <c r="AN5" s="2764"/>
      <c r="AO5" s="2764"/>
      <c r="AP5" s="2764"/>
      <c r="AQ5" s="2764">
        <f>AQ3/$AO3-1</f>
        <v>-8.0452737840318034E-2</v>
      </c>
      <c r="AR5" s="2764">
        <f>AR3/$AO3-1</f>
        <v>0.204343836035485</v>
      </c>
      <c r="AS5" s="2764">
        <f>AS3/$AO3-1</f>
        <v>0.37106148669317851</v>
      </c>
      <c r="AT5" s="2764">
        <f>AT3/$AO3-1</f>
        <v>0.50351789538085057</v>
      </c>
      <c r="AU5" s="2764">
        <f>AU3/$AO3-1</f>
        <v>0.63046803303762622</v>
      </c>
      <c r="AV5" s="2761"/>
      <c r="AW5" s="2761"/>
      <c r="AX5" s="2761"/>
      <c r="AY5" s="2761"/>
      <c r="AZ5" s="2761"/>
      <c r="BA5" s="2761"/>
      <c r="BB5" s="2761"/>
    </row>
    <row r="6" spans="1:54">
      <c r="A6" s="2731" t="s">
        <v>2659</v>
      </c>
      <c r="B6" s="2743">
        <v>7719.2377000000006</v>
      </c>
      <c r="C6" s="2743">
        <v>7708.9779999999992</v>
      </c>
      <c r="D6" s="2743">
        <v>7492.9007000000001</v>
      </c>
      <c r="E6" s="2783">
        <v>6519.5693000000001</v>
      </c>
      <c r="F6" s="2743">
        <v>9945.1</v>
      </c>
      <c r="G6" s="2743">
        <v>9827.7999999999993</v>
      </c>
      <c r="H6" s="2771">
        <v>9651.2000000000007</v>
      </c>
      <c r="I6" s="2743">
        <f>AO6-29424.2</f>
        <v>8538.3999999999978</v>
      </c>
      <c r="J6" s="2953">
        <f>4200+3500-900</f>
        <v>6800</v>
      </c>
      <c r="K6" s="2743">
        <f>-600+1100+2700</f>
        <v>3200</v>
      </c>
      <c r="L6" s="2743">
        <f>2800+2700+2500</f>
        <v>8000</v>
      </c>
      <c r="M6" s="2783">
        <v>5900</v>
      </c>
      <c r="N6" s="2743">
        <v>10289.700000000001</v>
      </c>
      <c r="O6" s="2771">
        <v>13421.4</v>
      </c>
      <c r="P6" s="2771">
        <v>11891.6</v>
      </c>
      <c r="Q6" s="3005">
        <v>11273.8</v>
      </c>
      <c r="R6" s="2743">
        <v>17164.8</v>
      </c>
      <c r="S6" s="3082">
        <v>16980</v>
      </c>
      <c r="T6" s="2771">
        <v>15600</v>
      </c>
      <c r="U6" s="3005">
        <v>13500</v>
      </c>
      <c r="V6" s="2743">
        <v>20400</v>
      </c>
      <c r="W6" s="3082">
        <v>19100</v>
      </c>
      <c r="X6" s="2771">
        <v>18300</v>
      </c>
      <c r="Y6" s="3005">
        <v>15500</v>
      </c>
      <c r="Z6" s="2771">
        <v>22900</v>
      </c>
      <c r="AA6" s="2771">
        <v>21200</v>
      </c>
      <c r="AB6" s="2771">
        <v>20085</v>
      </c>
      <c r="AC6" s="2771">
        <v>17600</v>
      </c>
      <c r="AD6" s="2771">
        <v>24515</v>
      </c>
      <c r="AE6" s="2771">
        <v>23447</v>
      </c>
      <c r="AF6" s="2771">
        <v>22892</v>
      </c>
      <c r="AG6" s="2771">
        <v>20434</v>
      </c>
      <c r="AH6" s="2771">
        <v>29187</v>
      </c>
      <c r="AI6" s="2771">
        <v>27200</v>
      </c>
      <c r="AJ6" s="2771"/>
      <c r="AK6" s="2743">
        <v>8057.7</v>
      </c>
      <c r="AL6" s="2743">
        <v>13924.8</v>
      </c>
      <c r="AM6" s="2743">
        <v>20975.3</v>
      </c>
      <c r="AN6" s="2743">
        <v>29440.7</v>
      </c>
      <c r="AO6" s="2743">
        <v>37962.6</v>
      </c>
      <c r="AP6" s="2743">
        <v>23900</v>
      </c>
      <c r="AQ6" s="2743">
        <f>SUM(N6:Q6)</f>
        <v>46876.5</v>
      </c>
      <c r="AR6" s="3024">
        <v>63212</v>
      </c>
      <c r="AS6" s="3157">
        <v>73252</v>
      </c>
      <c r="AT6" s="3157">
        <v>81800</v>
      </c>
      <c r="AU6" s="3157">
        <v>91273</v>
      </c>
      <c r="AV6" s="2073"/>
      <c r="AW6" s="2073"/>
      <c r="AX6" s="2073"/>
      <c r="AY6" s="2073"/>
      <c r="AZ6" s="2073"/>
      <c r="BA6" s="2073"/>
      <c r="BB6" s="2073"/>
    </row>
    <row r="7" spans="1:54" s="2762" customFormat="1">
      <c r="A7" s="2763" t="s">
        <v>2660</v>
      </c>
      <c r="B7" s="2765"/>
      <c r="C7" s="2765"/>
      <c r="D7" s="2765"/>
      <c r="E7" s="2784"/>
      <c r="F7" s="2764">
        <f t="shared" ref="F7:O7" si="4">F6/B6-1</f>
        <v>0.28835260507653482</v>
      </c>
      <c r="G7" s="2764">
        <f t="shared" si="4"/>
        <v>0.27485121892940945</v>
      </c>
      <c r="H7" s="2989">
        <f t="shared" si="4"/>
        <v>0.28804589656446411</v>
      </c>
      <c r="I7" s="2764">
        <f t="shared" si="4"/>
        <v>0.30965706584329089</v>
      </c>
      <c r="J7" s="2972">
        <f t="shared" si="4"/>
        <v>-0.3162461915918392</v>
      </c>
      <c r="K7" s="2764">
        <f t="shared" si="4"/>
        <v>-0.67439304829158098</v>
      </c>
      <c r="L7" s="2764">
        <f t="shared" si="4"/>
        <v>-0.17108753315649872</v>
      </c>
      <c r="M7" s="2782">
        <f t="shared" si="4"/>
        <v>-0.30900402885786549</v>
      </c>
      <c r="N7" s="2764">
        <f t="shared" si="4"/>
        <v>0.51319117647058832</v>
      </c>
      <c r="O7" s="2764">
        <f t="shared" si="4"/>
        <v>3.1941875</v>
      </c>
      <c r="P7" s="2764">
        <v>0.48</v>
      </c>
      <c r="Q7" s="2782">
        <v>0.91</v>
      </c>
      <c r="R7" s="2764">
        <v>0.67</v>
      </c>
      <c r="S7" s="3081">
        <v>0.27</v>
      </c>
      <c r="T7" s="2989">
        <v>0.31</v>
      </c>
      <c r="U7" s="2782">
        <v>0.2</v>
      </c>
      <c r="V7" s="2764">
        <v>0.19</v>
      </c>
      <c r="W7" s="3081">
        <v>0.13</v>
      </c>
      <c r="X7" s="2989">
        <v>0.17</v>
      </c>
      <c r="Y7" s="2782">
        <f>Y6/U6-1</f>
        <v>0.14814814814814814</v>
      </c>
      <c r="Z7" s="3096">
        <f>Z6/V6-1</f>
        <v>0.12254901960784315</v>
      </c>
      <c r="AA7" s="3096">
        <f>AA6/W6-1</f>
        <v>0.10994764397905765</v>
      </c>
      <c r="AB7" s="3096">
        <f>AB6/X6-1</f>
        <v>9.7540983606557274E-2</v>
      </c>
      <c r="AC7" s="3096">
        <v>0.13</v>
      </c>
      <c r="AD7" s="3096">
        <v>7.0000000000000007E-2</v>
      </c>
      <c r="AE7" s="3096">
        <v>0.11</v>
      </c>
      <c r="AF7" s="3096">
        <f>AF6/AB6-1</f>
        <v>0.13975603684341542</v>
      </c>
      <c r="AG7" s="3096">
        <f>AG6/AC6-1</f>
        <v>0.16102272727272737</v>
      </c>
      <c r="AH7" s="3096">
        <f>AH6/AD6-1</f>
        <v>0.19057719763410153</v>
      </c>
      <c r="AI7" s="3096">
        <f>AI6/AE6-1</f>
        <v>0.16006312108158816</v>
      </c>
      <c r="AJ7" s="3096"/>
      <c r="AK7" s="2765"/>
      <c r="AL7" s="2764">
        <f t="shared" ref="AL7:AQ7" si="5">AL6/AK6-1</f>
        <v>0.72813582039539804</v>
      </c>
      <c r="AM7" s="2764">
        <f t="shared" si="5"/>
        <v>0.50632684131908534</v>
      </c>
      <c r="AN7" s="2764">
        <f t="shared" si="5"/>
        <v>0.40358898323265935</v>
      </c>
      <c r="AO7" s="2764">
        <f t="shared" si="5"/>
        <v>0.28945982941981674</v>
      </c>
      <c r="AP7" s="2764">
        <f t="shared" si="5"/>
        <v>-0.3704330051155611</v>
      </c>
      <c r="AQ7" s="2764">
        <f t="shared" si="5"/>
        <v>0.96135983263598335</v>
      </c>
      <c r="AR7" s="2764">
        <f>AR6/AQ6-1</f>
        <v>0.34847951532217625</v>
      </c>
      <c r="AS7" s="2764">
        <f>AS6/AR6-1</f>
        <v>0.15883060178447139</v>
      </c>
      <c r="AT7" s="2764">
        <f>AT6/AS6-1</f>
        <v>0.11669305957516518</v>
      </c>
      <c r="AU7" s="2764">
        <f>AU6/AT6-1</f>
        <v>0.11580684596577018</v>
      </c>
      <c r="AV7" s="2761"/>
      <c r="AW7" s="2761"/>
      <c r="AX7" s="2761"/>
      <c r="AY7" s="2761"/>
      <c r="AZ7" s="2761"/>
      <c r="BA7" s="2761"/>
      <c r="BB7" s="2761"/>
    </row>
    <row r="8" spans="1:54">
      <c r="A8" s="2763" t="s">
        <v>2715</v>
      </c>
      <c r="B8" s="2734"/>
      <c r="C8" s="2734"/>
      <c r="D8" s="2734"/>
      <c r="E8" s="2785"/>
      <c r="F8" s="2734"/>
      <c r="G8" s="2734"/>
      <c r="H8" s="2769"/>
      <c r="I8" s="2734"/>
      <c r="J8" s="2973"/>
      <c r="K8" s="2746"/>
      <c r="L8" s="2734"/>
      <c r="M8" s="2785"/>
      <c r="N8" s="2764">
        <f>N6/F6-1</f>
        <v>3.4650229761389983E-2</v>
      </c>
      <c r="O8" s="2764">
        <f>O6/G6-1</f>
        <v>0.36565660676855449</v>
      </c>
      <c r="P8" s="2764">
        <v>0.23</v>
      </c>
      <c r="Q8" s="2782">
        <v>0.32</v>
      </c>
      <c r="R8" s="2764">
        <v>0.73</v>
      </c>
      <c r="S8" s="3081">
        <v>0.73</v>
      </c>
      <c r="T8" s="2989">
        <f>T6/H6-1</f>
        <v>0.6163793103448274</v>
      </c>
      <c r="U8" s="2782">
        <f>U6/I6-1</f>
        <v>0.58109247634217231</v>
      </c>
      <c r="V8" s="2764">
        <v>1.05</v>
      </c>
      <c r="W8" s="3081">
        <f>W6/G6-1</f>
        <v>0.94346649300962593</v>
      </c>
      <c r="X8" s="2989">
        <f>X6/H6-1</f>
        <v>0.8961372679045092</v>
      </c>
      <c r="Y8" s="2782">
        <f>Y6/I6-1</f>
        <v>0.81532839876323471</v>
      </c>
      <c r="Z8" s="3014">
        <f>Z6/F6-1</f>
        <v>1.3026415018451298</v>
      </c>
      <c r="AA8" s="3014">
        <f>AA6/G6-1</f>
        <v>1.1571460550682757</v>
      </c>
      <c r="AB8" s="3014">
        <f>AB6/H6-1</f>
        <v>1.0810883620689653</v>
      </c>
      <c r="AC8" s="3014">
        <f>AC6/I6-1</f>
        <v>1.0612761173053507</v>
      </c>
      <c r="AD8" s="3014"/>
      <c r="AE8" s="3014"/>
      <c r="AF8" s="3014"/>
      <c r="AG8" s="3014"/>
      <c r="AH8" s="3014"/>
      <c r="AI8" s="3014"/>
      <c r="AJ8" s="3014"/>
      <c r="AK8" s="2734"/>
      <c r="AL8" s="2745"/>
      <c r="AM8" s="2745"/>
      <c r="AN8" s="2745"/>
      <c r="AO8" s="2745"/>
      <c r="AP8" s="2745"/>
      <c r="AQ8" s="2745">
        <f>AQ6/$AO6-1</f>
        <v>0.234807415719682</v>
      </c>
      <c r="AR8" s="2745">
        <f>AR6/$AO6-1</f>
        <v>0.66511250546590595</v>
      </c>
      <c r="AS8" s="2745">
        <f>AS6/$AO6-1</f>
        <v>0.92958332674790456</v>
      </c>
      <c r="AT8" s="2745">
        <f>AT6/$AO6-1</f>
        <v>1.1547523088513434</v>
      </c>
      <c r="AU8" s="2745">
        <f>AU6/$AO6-1</f>
        <v>1.4042873775768783</v>
      </c>
      <c r="AV8" s="2073"/>
      <c r="AW8" s="2073"/>
      <c r="AX8" s="2073"/>
      <c r="AY8" s="2073"/>
      <c r="AZ8" s="2073"/>
      <c r="BA8" s="2073"/>
      <c r="BB8" s="2073"/>
    </row>
    <row r="9" spans="1:54">
      <c r="A9" s="3211" t="s">
        <v>2738</v>
      </c>
      <c r="B9" s="2813">
        <f>B15/B6</f>
        <v>8.327765318070203E-2</v>
      </c>
      <c r="C9" s="2813">
        <f>C15/C6</f>
        <v>0.11719205840255351</v>
      </c>
      <c r="D9" s="2813">
        <f>D15/D6</f>
        <v>0.16884342268141894</v>
      </c>
      <c r="E9" s="2814">
        <f>E15/E6</f>
        <v>0.12893290358919876</v>
      </c>
      <c r="F9" s="2813">
        <f t="shared" ref="F9:T9" si="6">F15/F6</f>
        <v>8.4363555922011849E-2</v>
      </c>
      <c r="G9" s="2813">
        <f t="shared" si="6"/>
        <v>0.12349437310486581</v>
      </c>
      <c r="H9" s="2949">
        <f t="shared" si="6"/>
        <v>0.17052397629310342</v>
      </c>
      <c r="I9" s="2813">
        <f t="shared" si="6"/>
        <v>0.12962569099597118</v>
      </c>
      <c r="J9" s="2950">
        <f t="shared" si="6"/>
        <v>0.12379852941176471</v>
      </c>
      <c r="K9" s="2813">
        <f t="shared" si="6"/>
        <v>0.104616875</v>
      </c>
      <c r="L9" s="2813">
        <f t="shared" si="6"/>
        <v>0.16779137499999999</v>
      </c>
      <c r="M9" s="2814">
        <f t="shared" si="6"/>
        <v>0.14563796610169491</v>
      </c>
      <c r="N9" s="2813">
        <f t="shared" si="6"/>
        <v>8.6196487749885808E-2</v>
      </c>
      <c r="O9" s="2949">
        <f t="shared" si="6"/>
        <v>9.9482617312649943E-2</v>
      </c>
      <c r="P9" s="2949">
        <f t="shared" si="6"/>
        <v>0.18815230919304379</v>
      </c>
      <c r="Q9" s="3006">
        <f t="shared" si="6"/>
        <v>0.13590767975305576</v>
      </c>
      <c r="R9" s="2813">
        <f t="shared" si="6"/>
        <v>8.7908801733780753E-2</v>
      </c>
      <c r="S9" s="2949">
        <f t="shared" si="6"/>
        <v>0.12391678445229681</v>
      </c>
      <c r="T9" s="2949">
        <f t="shared" si="6"/>
        <v>0.18489807692307692</v>
      </c>
      <c r="U9" s="3006">
        <f t="shared" ref="U9:Z9" si="7">U15/U6</f>
        <v>0.1408888888888889</v>
      </c>
      <c r="V9" s="2813">
        <f t="shared" si="7"/>
        <v>8.9117647058823524E-2</v>
      </c>
      <c r="W9" s="2949">
        <f t="shared" si="7"/>
        <v>0.13005235602094239</v>
      </c>
      <c r="X9" s="2949">
        <f t="shared" si="7"/>
        <v>0.18562841530054644</v>
      </c>
      <c r="Y9" s="3006">
        <f t="shared" si="7"/>
        <v>0.14309677419354838</v>
      </c>
      <c r="Z9" s="2949">
        <f t="shared" si="7"/>
        <v>9.3537117903930128E-2</v>
      </c>
      <c r="AA9" s="2949">
        <f t="shared" ref="AA9:AF9" si="8">AA15/AA6</f>
        <v>0.12962264150943395</v>
      </c>
      <c r="AB9" s="2949">
        <f t="shared" si="8"/>
        <v>0.18581030619865571</v>
      </c>
      <c r="AC9" s="2949">
        <f t="shared" si="8"/>
        <v>0.1409090909090909</v>
      </c>
      <c r="AD9" s="2949">
        <f t="shared" si="8"/>
        <v>9.2677952274117889E-2</v>
      </c>
      <c r="AE9" s="2949">
        <f t="shared" si="8"/>
        <v>0.13204247878193373</v>
      </c>
      <c r="AF9" s="2949">
        <f t="shared" si="8"/>
        <v>0.17888345273457976</v>
      </c>
      <c r="AG9" s="2949">
        <f>AG15/AG6</f>
        <v>0.13594988744249781</v>
      </c>
      <c r="AH9" s="2949">
        <f>AH15/AH6</f>
        <v>9.1753177784630144E-2</v>
      </c>
      <c r="AI9" s="2949">
        <f>AI15/AI6</f>
        <v>0.13264705882352942</v>
      </c>
      <c r="AJ9" s="2949"/>
      <c r="AK9" s="2813">
        <f>AK15/AK6</f>
        <v>0.11405748538664881</v>
      </c>
      <c r="AL9" s="2813">
        <f t="shared" ref="AL9:AS9" si="9">AL15/AL6</f>
        <v>0.11889405951970586</v>
      </c>
      <c r="AM9" s="2813">
        <f t="shared" si="9"/>
        <v>0.12213036285535844</v>
      </c>
      <c r="AN9" s="2813">
        <f t="shared" si="9"/>
        <v>0.12404545408227385</v>
      </c>
      <c r="AO9" s="2813">
        <f t="shared" si="9"/>
        <v>0.12657823752851491</v>
      </c>
      <c r="AP9" s="2813">
        <f t="shared" si="9"/>
        <v>0.14134723849372385</v>
      </c>
      <c r="AQ9" s="2813">
        <f t="shared" si="9"/>
        <v>0.12782012308939447</v>
      </c>
      <c r="AR9" s="2813">
        <f t="shared" si="9"/>
        <v>0.13287752325507815</v>
      </c>
      <c r="AS9" s="2813">
        <f t="shared" si="9"/>
        <v>0.13538196909299405</v>
      </c>
      <c r="AT9" s="2813">
        <f>AT15/AT6</f>
        <v>0.13572127139364304</v>
      </c>
      <c r="AU9" s="2813">
        <f>AU15/AU6</f>
        <v>0.13411414109320391</v>
      </c>
      <c r="AV9" s="2073"/>
      <c r="AW9" s="2073"/>
      <c r="AX9" s="2073"/>
      <c r="AY9" s="2073"/>
      <c r="AZ9" s="2073"/>
      <c r="BA9" s="2073"/>
      <c r="BB9" s="2073"/>
    </row>
    <row r="10" spans="1:54">
      <c r="A10" s="3211" t="s">
        <v>2739</v>
      </c>
      <c r="B10" s="2813"/>
      <c r="C10" s="2813"/>
      <c r="D10" s="2813"/>
      <c r="E10" s="2814"/>
      <c r="F10" s="2949">
        <f t="shared" ref="F10:S10" si="10">SUM(C15:F15)/SUM(C6:F6)</f>
        <v>0.12152095012061306</v>
      </c>
      <c r="G10" s="2949">
        <f t="shared" si="10"/>
        <v>0.12308274261906856</v>
      </c>
      <c r="H10" s="2949">
        <f t="shared" si="10"/>
        <v>0.12628176500611196</v>
      </c>
      <c r="I10" s="2949">
        <f t="shared" si="10"/>
        <v>0.12657857095818242</v>
      </c>
      <c r="J10" s="2949">
        <f t="shared" si="10"/>
        <v>0.13809374048607884</v>
      </c>
      <c r="K10" s="2949">
        <f t="shared" si="10"/>
        <v>0.13938335414479097</v>
      </c>
      <c r="L10" s="2949">
        <f t="shared" si="10"/>
        <v>0.13662206463087451</v>
      </c>
      <c r="M10" s="2949">
        <f t="shared" si="10"/>
        <v>0.14134723849372385</v>
      </c>
      <c r="N10" s="2949">
        <f t="shared" si="10"/>
        <v>0.12498512214445577</v>
      </c>
      <c r="O10" s="2949">
        <f t="shared" si="10"/>
        <v>0.11761759161524124</v>
      </c>
      <c r="P10" s="2949">
        <f t="shared" si="10"/>
        <v>0.12815619224773328</v>
      </c>
      <c r="Q10" s="2949">
        <f t="shared" si="10"/>
        <v>0.12782012308939447</v>
      </c>
      <c r="R10" s="2949">
        <f t="shared" si="10"/>
        <v>0.12304305360212531</v>
      </c>
      <c r="S10" s="2949">
        <f t="shared" si="10"/>
        <v>0.12881951205893541</v>
      </c>
      <c r="T10" s="2949">
        <f t="shared" ref="T10:AB10" si="11">SUM(Q15:T15)/SUM(Q6:T6)</f>
        <v>0.13159348133192175</v>
      </c>
      <c r="U10" s="2949">
        <f t="shared" si="11"/>
        <v>0.13280861035215544</v>
      </c>
      <c r="V10" s="2949">
        <f t="shared" si="11"/>
        <v>0.13099453971119132</v>
      </c>
      <c r="W10" s="2949">
        <f t="shared" si="11"/>
        <v>0.13248411078717201</v>
      </c>
      <c r="X10" s="2949">
        <f t="shared" si="11"/>
        <v>0.13465638148667602</v>
      </c>
      <c r="Y10" s="2949">
        <f>SUM(V15:Y15)/SUM(V6:Y6)</f>
        <v>0.13529331514324694</v>
      </c>
      <c r="Z10" s="2949">
        <f>SUM(W15:Z15)/SUM(W6:Z6)</f>
        <v>0.13510554089709761</v>
      </c>
      <c r="AA10" s="2949">
        <f>SUM(X15:AA15)/SUM(X6:AA6)</f>
        <v>0.13485237483953788</v>
      </c>
      <c r="AB10" s="2949">
        <f t="shared" si="11"/>
        <v>0.13603564033381441</v>
      </c>
      <c r="AC10" s="2949">
        <f t="shared" ref="AC10:AI10" si="12">SUM(Z15:AC15)/SUM(Z6:AC6)</f>
        <v>0.13574616372195392</v>
      </c>
      <c r="AD10" s="2949">
        <f t="shared" si="12"/>
        <v>0.13467625899280575</v>
      </c>
      <c r="AE10" s="2949">
        <f t="shared" si="12"/>
        <v>0.13520613681740165</v>
      </c>
      <c r="AF10" s="2949">
        <f t="shared" si="12"/>
        <v>0.13501933208221223</v>
      </c>
      <c r="AG10" s="2949">
        <f t="shared" si="12"/>
        <v>0.13409210411006922</v>
      </c>
      <c r="AH10" s="2949">
        <f t="shared" si="12"/>
        <v>0.13179449770737808</v>
      </c>
      <c r="AI10" s="2949">
        <f t="shared" si="12"/>
        <v>0.13196875031339947</v>
      </c>
      <c r="AJ10" s="2949"/>
      <c r="AK10" s="2758"/>
      <c r="AL10" s="2758"/>
      <c r="AM10" s="2758"/>
      <c r="AN10" s="2758"/>
      <c r="AO10" s="2758"/>
      <c r="AP10" s="2758"/>
      <c r="AQ10" s="2758"/>
      <c r="AR10" s="2073"/>
      <c r="AS10" s="2073"/>
      <c r="AT10" s="2073"/>
      <c r="AU10" s="2073"/>
      <c r="AV10" s="2073"/>
      <c r="AW10" s="2073"/>
      <c r="AX10" s="2073"/>
      <c r="AY10" s="2073"/>
      <c r="AZ10" s="2073"/>
      <c r="BA10" s="2073"/>
      <c r="BB10" s="2073"/>
    </row>
    <row r="11" spans="1:54">
      <c r="A11" s="2731" t="s">
        <v>2316</v>
      </c>
      <c r="B11" s="2734"/>
      <c r="C11" s="2734"/>
      <c r="D11" s="2734"/>
      <c r="E11" s="2785"/>
      <c r="F11" s="2743">
        <f t="shared" ref="F11:N11" si="13">F6/F3</f>
        <v>122.77901234567902</v>
      </c>
      <c r="G11" s="2743">
        <f t="shared" si="13"/>
        <v>116.99761904761904</v>
      </c>
      <c r="H11" s="2771">
        <f t="shared" si="13"/>
        <v>112.44116504854368</v>
      </c>
      <c r="I11" s="2743">
        <f t="shared" si="13"/>
        <v>112.64379947229548</v>
      </c>
      <c r="J11" s="2953">
        <f t="shared" si="13"/>
        <v>119.08931698774082</v>
      </c>
      <c r="K11" s="2743">
        <f t="shared" si="13"/>
        <v>114.28571428571429</v>
      </c>
      <c r="L11" s="2743">
        <f t="shared" si="13"/>
        <v>129.44983818770228</v>
      </c>
      <c r="M11" s="2783">
        <f t="shared" si="13"/>
        <v>127.42980561555076</v>
      </c>
      <c r="N11" s="2743">
        <f t="shared" si="13"/>
        <v>159.77795031055899</v>
      </c>
      <c r="O11" s="2743">
        <f>O6/O3</f>
        <v>161.50902527075812</v>
      </c>
      <c r="P11" s="2743">
        <f>P6/P3</f>
        <v>149.20451693851945</v>
      </c>
      <c r="Q11" s="2783">
        <f>Q6/Q3</f>
        <v>153.59400544959126</v>
      </c>
      <c r="R11" s="2743">
        <f>R6/R3</f>
        <v>168.11753183153772</v>
      </c>
      <c r="S11" s="3083">
        <v>164</v>
      </c>
      <c r="T11" s="2771">
        <v>156.44</v>
      </c>
      <c r="U11" s="2783">
        <v>153</v>
      </c>
      <c r="V11" s="2743">
        <v>168.43</v>
      </c>
      <c r="W11" s="3083">
        <v>166.01</v>
      </c>
      <c r="X11" s="2771">
        <v>161.38</v>
      </c>
      <c r="Y11" s="2783">
        <v>156.72999999999999</v>
      </c>
      <c r="Z11" s="2769">
        <v>173</v>
      </c>
      <c r="AA11" s="2769">
        <v>169.53</v>
      </c>
      <c r="AB11" s="2769">
        <v>163.63999999999999</v>
      </c>
      <c r="AC11" s="2769">
        <v>158</v>
      </c>
      <c r="AD11" s="2769">
        <v>171</v>
      </c>
      <c r="AE11" s="3432">
        <v>174.48</v>
      </c>
      <c r="AF11" s="3432">
        <v>171.29</v>
      </c>
      <c r="AG11" s="3432">
        <v>167.62</v>
      </c>
      <c r="AH11" s="3432">
        <v>187</v>
      </c>
      <c r="AI11" s="3432">
        <v>183.73</v>
      </c>
      <c r="AJ11" s="3432"/>
      <c r="AK11" s="2743">
        <f t="shared" ref="AK11:AS11" si="14">AK6/AK3</f>
        <v>111.29419889502762</v>
      </c>
      <c r="AL11" s="2743">
        <f t="shared" si="14"/>
        <v>110.7780429594272</v>
      </c>
      <c r="AM11" s="2743">
        <f t="shared" si="14"/>
        <v>112.8918191603875</v>
      </c>
      <c r="AN11" s="2743">
        <f t="shared" si="14"/>
        <v>117.62165401518178</v>
      </c>
      <c r="AO11" s="2743">
        <f t="shared" si="14"/>
        <v>116.1290914652799</v>
      </c>
      <c r="AP11" s="2743">
        <f t="shared" si="14"/>
        <v>123.70600414078676</v>
      </c>
      <c r="AQ11" s="2743">
        <f t="shared" si="14"/>
        <v>155.94311377245509</v>
      </c>
      <c r="AR11" s="2743">
        <f t="shared" si="14"/>
        <v>160.55880111760223</v>
      </c>
      <c r="AS11" s="2743">
        <f t="shared" si="14"/>
        <v>163.4359660865685</v>
      </c>
      <c r="AT11" s="2743">
        <f>AT6/AT3</f>
        <v>166.42929806714142</v>
      </c>
      <c r="AU11" s="2743">
        <f>AU6/AU3</f>
        <v>171.2439024390244</v>
      </c>
      <c r="AV11" s="2073"/>
      <c r="AW11" s="2073"/>
      <c r="AX11" s="2073"/>
      <c r="AY11" s="2073"/>
      <c r="AZ11" s="2073"/>
      <c r="BA11" s="2073"/>
      <c r="BB11" s="2073"/>
    </row>
    <row r="12" spans="1:54">
      <c r="A12" s="2763" t="s">
        <v>2054</v>
      </c>
      <c r="B12" s="2734"/>
      <c r="C12" s="2734"/>
      <c r="D12" s="2734"/>
      <c r="E12" s="2785"/>
      <c r="F12" s="2743"/>
      <c r="G12" s="2743"/>
      <c r="H12" s="2771"/>
      <c r="I12" s="2743"/>
      <c r="J12" s="2953"/>
      <c r="K12" s="2743"/>
      <c r="L12" s="2743"/>
      <c r="M12" s="2783"/>
      <c r="N12" s="2764">
        <v>0.35</v>
      </c>
      <c r="O12" s="2764">
        <v>0.41</v>
      </c>
      <c r="P12" s="2764">
        <v>0.15</v>
      </c>
      <c r="Q12" s="2782">
        <v>0.2</v>
      </c>
      <c r="R12" s="2764">
        <v>0.05</v>
      </c>
      <c r="S12" s="3081">
        <v>0.01</v>
      </c>
      <c r="T12" s="2989">
        <v>0.05</v>
      </c>
      <c r="U12" s="2782">
        <v>-0.01</v>
      </c>
      <c r="V12" s="2764">
        <v>0</v>
      </c>
      <c r="W12" s="3081">
        <v>0.01</v>
      </c>
      <c r="X12" s="2989">
        <v>0.03</v>
      </c>
      <c r="Y12" s="2782">
        <v>0.03</v>
      </c>
      <c r="Z12" s="2764">
        <f t="shared" ref="Z12:AF12" si="15">Z11/V11-1</f>
        <v>2.7132933562904471E-2</v>
      </c>
      <c r="AA12" s="2764">
        <f t="shared" si="15"/>
        <v>2.1203541955304051E-2</v>
      </c>
      <c r="AB12" s="2764">
        <f t="shared" si="15"/>
        <v>1.4004213657206499E-2</v>
      </c>
      <c r="AC12" s="2764">
        <f t="shared" si="15"/>
        <v>8.1031072545141303E-3</v>
      </c>
      <c r="AD12" s="2764">
        <f t="shared" si="15"/>
        <v>-1.1560693641618491E-2</v>
      </c>
      <c r="AE12" s="2764">
        <f t="shared" si="15"/>
        <v>2.9198371969562764E-2</v>
      </c>
      <c r="AF12" s="2764">
        <f t="shared" si="15"/>
        <v>4.6748961134197131E-2</v>
      </c>
      <c r="AG12" s="2764">
        <f>AG11/AC11-1</f>
        <v>6.0886075949367013E-2</v>
      </c>
      <c r="AH12" s="2764">
        <f>AH11/AD11-1</f>
        <v>9.3567251461988299E-2</v>
      </c>
      <c r="AI12" s="2764">
        <f>AI11/AE11-1</f>
        <v>5.3014672168729904E-2</v>
      </c>
      <c r="AJ12" s="2764"/>
      <c r="AK12" s="2764"/>
      <c r="AL12" s="2764">
        <f t="shared" ref="AL12:AQ12" si="16">AL11/AK11-1</f>
        <v>-4.6377613633507009E-3</v>
      </c>
      <c r="AM12" s="2764">
        <f t="shared" si="16"/>
        <v>1.9081183820285341E-2</v>
      </c>
      <c r="AN12" s="2764">
        <f t="shared" si="16"/>
        <v>4.189705587146686E-2</v>
      </c>
      <c r="AO12" s="2764">
        <f t="shared" si="16"/>
        <v>-1.2689521860568487E-2</v>
      </c>
      <c r="AP12" s="2764">
        <f t="shared" si="16"/>
        <v>6.524560366316301E-2</v>
      </c>
      <c r="AQ12" s="2764">
        <f t="shared" si="16"/>
        <v>0.26059454313131059</v>
      </c>
      <c r="AR12" s="2764">
        <f>AR11/AQ11-1</f>
        <v>2.9598532653914544E-2</v>
      </c>
      <c r="AS12" s="2764">
        <f>AS11/AR11-1</f>
        <v>1.7919696391223594E-2</v>
      </c>
      <c r="AT12" s="2764">
        <f>AT11/AS11-1</f>
        <v>1.8315013838431371E-2</v>
      </c>
      <c r="AU12" s="2764">
        <f>AU11/AT11-1</f>
        <v>2.8928827002206337E-2</v>
      </c>
      <c r="AV12" s="2073"/>
      <c r="AW12" s="2073"/>
      <c r="AX12" s="2073"/>
      <c r="AY12" s="2073"/>
      <c r="AZ12" s="2073"/>
      <c r="BA12" s="2073"/>
      <c r="BB12" s="2073"/>
    </row>
    <row r="13" spans="1:54">
      <c r="A13" s="2763" t="s">
        <v>2715</v>
      </c>
      <c r="B13" s="2734"/>
      <c r="C13" s="2734"/>
      <c r="D13" s="2734"/>
      <c r="E13" s="2785"/>
      <c r="F13" s="2734"/>
      <c r="G13" s="2734"/>
      <c r="H13" s="2769"/>
      <c r="I13" s="2734"/>
      <c r="J13" s="2973"/>
      <c r="K13" s="2734"/>
      <c r="L13" s="2734"/>
      <c r="M13" s="2785"/>
      <c r="N13" s="2764">
        <v>0.31</v>
      </c>
      <c r="O13" s="2764">
        <v>0.38</v>
      </c>
      <c r="P13" s="2764">
        <v>0.33</v>
      </c>
      <c r="Q13" s="2782">
        <v>0.36</v>
      </c>
      <c r="R13" s="2764">
        <v>0.37</v>
      </c>
      <c r="S13" s="3081">
        <v>0.4</v>
      </c>
      <c r="T13" s="2989">
        <f>T11/H11-1</f>
        <v>0.39130539898320071</v>
      </c>
      <c r="U13" s="2782">
        <f>U11/I11-1</f>
        <v>0.35826384334301542</v>
      </c>
      <c r="V13" s="2764">
        <v>0.38</v>
      </c>
      <c r="W13" s="3081">
        <f>W11/G11-1</f>
        <v>0.41891776389425917</v>
      </c>
      <c r="X13" s="2989">
        <f>X11/H11-1</f>
        <v>0.43523948662687895</v>
      </c>
      <c r="Y13" s="2782">
        <v>0.39</v>
      </c>
      <c r="Z13" s="2764">
        <f>Z11/F11-1</f>
        <v>0.40903560547405249</v>
      </c>
      <c r="AA13" s="2764">
        <f>AA11/G11-1</f>
        <v>0.44900384623211709</v>
      </c>
      <c r="AB13" s="2764">
        <f>AB11/H11-1</f>
        <v>0.4553388870468611</v>
      </c>
      <c r="AC13" s="2764">
        <f>AC11/I11-1</f>
        <v>0.40265155064180691</v>
      </c>
      <c r="AD13" s="2764"/>
      <c r="AE13" s="2764"/>
      <c r="AF13" s="2764"/>
      <c r="AG13" s="2764"/>
      <c r="AH13" s="2764"/>
      <c r="AI13" s="2764"/>
      <c r="AJ13" s="2764"/>
      <c r="AK13" s="2734"/>
      <c r="AL13" s="2734"/>
      <c r="AM13" s="2734"/>
      <c r="AN13" s="2734"/>
      <c r="AO13" s="2764"/>
      <c r="AP13" s="2764"/>
      <c r="AQ13" s="2764">
        <f>AQ11/$AO11-1</f>
        <v>0.34284279507240201</v>
      </c>
      <c r="AR13" s="2764">
        <f>AR11/$AO11-1</f>
        <v>0.38258897139142656</v>
      </c>
      <c r="AS13" s="2764">
        <f>AS11/$AO11-1</f>
        <v>0.40736454599261496</v>
      </c>
      <c r="AT13" s="2764">
        <f>AT11/$AO11-1</f>
        <v>0.43314044712818744</v>
      </c>
      <c r="AU13" s="2764">
        <f>AU11/$AO11-1</f>
        <v>0.47459951919302368</v>
      </c>
      <c r="AV13" s="2073"/>
      <c r="AW13" s="2073"/>
      <c r="AX13" s="2073"/>
      <c r="AY13" s="2073"/>
      <c r="AZ13" s="2073"/>
      <c r="BA13" s="2073"/>
      <c r="BB13" s="2073"/>
    </row>
    <row r="14" spans="1:54">
      <c r="A14" s="2751" t="s">
        <v>46</v>
      </c>
      <c r="B14" s="2735"/>
      <c r="C14" s="2735"/>
      <c r="D14" s="2735"/>
      <c r="E14" s="2786"/>
      <c r="F14" s="2735"/>
      <c r="G14" s="2735"/>
      <c r="H14" s="2735"/>
      <c r="I14" s="2735"/>
      <c r="J14" s="2974"/>
      <c r="K14" s="2735"/>
      <c r="L14" s="2735"/>
      <c r="M14" s="2786"/>
      <c r="N14" s="2735"/>
      <c r="O14" s="2735"/>
      <c r="P14" s="2735"/>
      <c r="Q14" s="2786"/>
      <c r="R14" s="2735"/>
      <c r="S14" s="3084"/>
      <c r="T14" s="2735"/>
      <c r="U14" s="2786"/>
      <c r="V14" s="2735"/>
      <c r="W14" s="3084"/>
      <c r="X14" s="2735"/>
      <c r="Y14" s="2786"/>
      <c r="Z14" s="3013"/>
      <c r="AA14" s="3013"/>
      <c r="AB14" s="3013"/>
      <c r="AC14" s="3013"/>
      <c r="AD14" s="3013"/>
      <c r="AE14" s="3013"/>
      <c r="AF14" s="3013"/>
      <c r="AG14" s="3013"/>
      <c r="AH14" s="3013"/>
      <c r="AI14" s="3013"/>
      <c r="AJ14" s="3013"/>
      <c r="AK14" s="2735"/>
      <c r="AL14" s="2735"/>
      <c r="AM14" s="2735"/>
      <c r="AN14" s="2735"/>
      <c r="AO14" s="2735"/>
      <c r="AP14" s="2735"/>
      <c r="AQ14" s="2735"/>
      <c r="AR14" s="2735"/>
      <c r="AS14" s="2735"/>
      <c r="AT14" s="2735"/>
      <c r="AU14" s="2735"/>
      <c r="AV14" s="2073"/>
      <c r="AW14" s="2073"/>
      <c r="AX14" s="2073"/>
      <c r="AY14" s="2073"/>
      <c r="AZ14" s="2073"/>
      <c r="BA14" s="2073"/>
      <c r="BB14" s="2073"/>
    </row>
    <row r="15" spans="1:54">
      <c r="A15" s="2731" t="s">
        <v>251</v>
      </c>
      <c r="B15" s="2730">
        <v>642.84</v>
      </c>
      <c r="C15" s="2730">
        <v>903.43100000000004</v>
      </c>
      <c r="D15" s="2730">
        <v>1265.127</v>
      </c>
      <c r="E15" s="2787">
        <v>840.58699999999999</v>
      </c>
      <c r="F15" s="2730">
        <v>839.00400000000002</v>
      </c>
      <c r="G15" s="2730">
        <v>1213.6780000000001</v>
      </c>
      <c r="H15" s="2772">
        <v>1645.761</v>
      </c>
      <c r="I15" s="2730">
        <v>1106.796</v>
      </c>
      <c r="J15" s="2975">
        <v>841.83</v>
      </c>
      <c r="K15" s="2730">
        <v>334.774</v>
      </c>
      <c r="L15" s="2730">
        <v>1342.3309999999999</v>
      </c>
      <c r="M15" s="2787">
        <v>859.26400000000001</v>
      </c>
      <c r="N15" s="2730">
        <v>886.93600000000004</v>
      </c>
      <c r="O15" s="2730">
        <v>1335.1959999999999</v>
      </c>
      <c r="P15" s="2730">
        <v>2237.4319999999998</v>
      </c>
      <c r="Q15" s="2787">
        <v>1532.1959999999999</v>
      </c>
      <c r="R15" s="2730">
        <v>1508.9369999999999</v>
      </c>
      <c r="S15" s="2741">
        <v>2104.107</v>
      </c>
      <c r="T15" s="2772">
        <v>2884.41</v>
      </c>
      <c r="U15" s="2787">
        <v>1902</v>
      </c>
      <c r="V15" s="2730">
        <v>1818</v>
      </c>
      <c r="W15" s="2741">
        <v>2484</v>
      </c>
      <c r="X15" s="2772">
        <v>3397</v>
      </c>
      <c r="Y15" s="2787">
        <v>2218</v>
      </c>
      <c r="Z15" s="3066">
        <v>2142</v>
      </c>
      <c r="AA15" s="3066">
        <v>2748</v>
      </c>
      <c r="AB15" s="3066">
        <v>3732</v>
      </c>
      <c r="AC15" s="3066">
        <v>2480</v>
      </c>
      <c r="AD15" s="3066">
        <v>2272</v>
      </c>
      <c r="AE15" s="3066">
        <v>3096</v>
      </c>
      <c r="AF15" s="3066">
        <v>4095</v>
      </c>
      <c r="AG15" s="3066">
        <v>2778</v>
      </c>
      <c r="AH15" s="3066">
        <v>2678</v>
      </c>
      <c r="AI15" s="3066">
        <v>3608</v>
      </c>
      <c r="AJ15" s="3066"/>
      <c r="AK15" s="2730">
        <v>919.04100000000005</v>
      </c>
      <c r="AL15" s="2730">
        <v>1655.576</v>
      </c>
      <c r="AM15" s="2730">
        <v>2561.721</v>
      </c>
      <c r="AN15" s="2730">
        <v>3651.9850000000001</v>
      </c>
      <c r="AO15" s="2730">
        <v>4805.2389999999996</v>
      </c>
      <c r="AP15" s="2730">
        <v>3378.1990000000001</v>
      </c>
      <c r="AQ15" s="2730">
        <v>5991.76</v>
      </c>
      <c r="AR15" s="3024">
        <f>SUM(R15:U15)</f>
        <v>8399.4539999999997</v>
      </c>
      <c r="AS15" s="3157">
        <f>SUM(V15:Y15)</f>
        <v>9917</v>
      </c>
      <c r="AT15" s="3157">
        <v>11102</v>
      </c>
      <c r="AU15" s="3157">
        <v>12241</v>
      </c>
      <c r="AV15" s="2073"/>
      <c r="AW15" s="2073"/>
      <c r="AX15" s="2073"/>
      <c r="AY15" s="2073"/>
      <c r="AZ15" s="2073"/>
      <c r="BA15" s="2073"/>
      <c r="BB15" s="2073"/>
    </row>
    <row r="16" spans="1:54">
      <c r="A16" s="2763" t="s">
        <v>2270</v>
      </c>
      <c r="B16" s="2730"/>
      <c r="C16" s="2730"/>
      <c r="D16" s="2730"/>
      <c r="E16" s="2787"/>
      <c r="F16" s="2730"/>
      <c r="G16" s="2730"/>
      <c r="H16" s="2772"/>
      <c r="I16" s="2730"/>
      <c r="J16" s="2987"/>
      <c r="K16" s="2730"/>
      <c r="L16" s="2730"/>
      <c r="M16" s="2787"/>
      <c r="N16" s="2868"/>
      <c r="O16" s="2868"/>
      <c r="P16" s="2868"/>
      <c r="Q16" s="3007"/>
      <c r="R16" s="2868"/>
      <c r="S16" s="3085"/>
      <c r="T16" s="3067"/>
      <c r="U16" s="3007"/>
      <c r="V16" s="2868"/>
      <c r="W16" s="3085"/>
      <c r="X16" s="3067"/>
      <c r="Y16" s="3007"/>
      <c r="Z16" s="2755"/>
      <c r="AA16" s="2755"/>
      <c r="AB16" s="2755"/>
      <c r="AC16" s="2755"/>
      <c r="AD16" s="2764">
        <f t="shared" ref="AD16:AI16" si="17">AD15/Z15-1</f>
        <v>6.0690943043884227E-2</v>
      </c>
      <c r="AE16" s="2764">
        <f t="shared" si="17"/>
        <v>0.1266375545851528</v>
      </c>
      <c r="AF16" s="2764">
        <f t="shared" si="17"/>
        <v>9.726688102893899E-2</v>
      </c>
      <c r="AG16" s="2764">
        <f t="shared" si="17"/>
        <v>0.12016129032258061</v>
      </c>
      <c r="AH16" s="2764">
        <f t="shared" si="17"/>
        <v>0.17869718309859151</v>
      </c>
      <c r="AI16" s="2764">
        <f t="shared" si="17"/>
        <v>0.1653746770025839</v>
      </c>
      <c r="AJ16" s="2764"/>
      <c r="AK16" s="2730"/>
      <c r="AL16" s="2730"/>
      <c r="AM16" s="2730"/>
      <c r="AN16" s="2730"/>
      <c r="AO16" s="2730"/>
      <c r="AP16" s="2730"/>
      <c r="AQ16" s="2730"/>
      <c r="AR16" s="2764">
        <f>AR15/AQ15-1</f>
        <v>0.40183418561491102</v>
      </c>
      <c r="AS16" s="2764">
        <f>AS15/AR15-1</f>
        <v>0.18067198177405341</v>
      </c>
      <c r="AT16" s="2764">
        <f>AT15/AS15-1</f>
        <v>0.11949178178884745</v>
      </c>
      <c r="AU16" s="2764">
        <f>AU15/AT15-1</f>
        <v>0.10259412718429117</v>
      </c>
      <c r="AV16" s="2073"/>
      <c r="AW16" s="2073"/>
      <c r="AX16" s="2073"/>
      <c r="AY16" s="2073"/>
      <c r="AZ16" s="2073"/>
      <c r="BA16" s="2073"/>
      <c r="BB16" s="2073"/>
    </row>
    <row r="17" spans="1:54">
      <c r="A17" s="2731" t="s">
        <v>2640</v>
      </c>
      <c r="B17" s="2730">
        <v>202.845</v>
      </c>
      <c r="C17" s="2730">
        <v>218.52500000000001</v>
      </c>
      <c r="D17" s="2730">
        <v>227.28299999999999</v>
      </c>
      <c r="E17" s="2787">
        <v>215.65199999999999</v>
      </c>
      <c r="F17" s="2730">
        <v>280.56799999999998</v>
      </c>
      <c r="G17" s="2730">
        <v>313.45999999999998</v>
      </c>
      <c r="H17" s="2772">
        <v>308.66699999999997</v>
      </c>
      <c r="I17" s="2730">
        <v>293.61799999999999</v>
      </c>
      <c r="J17" s="2975">
        <v>277.77199999999999</v>
      </c>
      <c r="K17" s="2730">
        <v>161.19800000000001</v>
      </c>
      <c r="L17" s="2730">
        <v>227.32499999999999</v>
      </c>
      <c r="M17" s="2787">
        <v>209.74700000000001</v>
      </c>
      <c r="N17" s="2730">
        <v>254.51499999999999</v>
      </c>
      <c r="O17" s="2730">
        <v>294.42700000000002</v>
      </c>
      <c r="P17" s="2730">
        <v>311.58</v>
      </c>
      <c r="Q17" s="2787">
        <v>295.31099999999998</v>
      </c>
      <c r="R17" s="2730">
        <v>362.62299999999999</v>
      </c>
      <c r="S17" s="2741">
        <v>390.10700000000003</v>
      </c>
      <c r="T17" s="2772">
        <v>401.149</v>
      </c>
      <c r="U17" s="2787">
        <v>345</v>
      </c>
      <c r="V17" s="2730">
        <v>428</v>
      </c>
      <c r="W17" s="2741">
        <v>432</v>
      </c>
      <c r="X17" s="2772">
        <v>459</v>
      </c>
      <c r="Y17" s="2787">
        <v>384</v>
      </c>
      <c r="Z17" s="2772">
        <v>480</v>
      </c>
      <c r="AA17" s="2772">
        <v>506</v>
      </c>
      <c r="AB17" s="2772">
        <v>465</v>
      </c>
      <c r="AC17" s="2772">
        <v>427</v>
      </c>
      <c r="AD17" s="2772">
        <v>506</v>
      </c>
      <c r="AE17" s="2772">
        <v>544</v>
      </c>
      <c r="AF17" s="2772">
        <v>549</v>
      </c>
      <c r="AG17" s="2772">
        <v>487</v>
      </c>
      <c r="AH17" s="2772">
        <v>581</v>
      </c>
      <c r="AI17" s="2772">
        <v>633</v>
      </c>
      <c r="AJ17" s="2772"/>
      <c r="AK17" s="2730">
        <v>226.39699999999999</v>
      </c>
      <c r="AL17" s="2730">
        <v>412.74799999999999</v>
      </c>
      <c r="AM17" s="2730">
        <v>647.69000000000005</v>
      </c>
      <c r="AN17" s="2730">
        <v>864.03200000000004</v>
      </c>
      <c r="AO17" s="2730">
        <v>1196.3130000000001</v>
      </c>
      <c r="AP17" s="2730">
        <v>876.04200000000003</v>
      </c>
      <c r="AQ17" s="2730">
        <v>1155.8330000000001</v>
      </c>
      <c r="AR17" s="2073">
        <v>1499</v>
      </c>
      <c r="AS17" s="2073">
        <v>1703</v>
      </c>
      <c r="AT17" s="2073">
        <v>1878</v>
      </c>
      <c r="AU17" s="2073">
        <v>2086</v>
      </c>
      <c r="AV17" s="2073"/>
      <c r="AW17" s="2073"/>
      <c r="AX17" s="2073"/>
      <c r="AY17" s="2073"/>
      <c r="AZ17" s="2073"/>
      <c r="BA17" s="2073"/>
      <c r="BB17" s="2073"/>
    </row>
    <row r="18" spans="1:54">
      <c r="A18" s="2729" t="s">
        <v>1510</v>
      </c>
      <c r="B18" s="2741">
        <f t="shared" ref="B18:T18" si="18">B15-B17</f>
        <v>439.995</v>
      </c>
      <c r="C18" s="2741">
        <f t="shared" si="18"/>
        <v>684.90600000000006</v>
      </c>
      <c r="D18" s="2741">
        <f t="shared" si="18"/>
        <v>1037.8440000000001</v>
      </c>
      <c r="E18" s="2788">
        <f t="shared" si="18"/>
        <v>624.93499999999995</v>
      </c>
      <c r="F18" s="2741">
        <f t="shared" si="18"/>
        <v>558.43600000000004</v>
      </c>
      <c r="G18" s="2741">
        <f t="shared" si="18"/>
        <v>900.21800000000007</v>
      </c>
      <c r="H18" s="2773">
        <f t="shared" si="18"/>
        <v>1337.0940000000001</v>
      </c>
      <c r="I18" s="2741">
        <f t="shared" si="18"/>
        <v>813.17800000000011</v>
      </c>
      <c r="J18" s="2976">
        <f t="shared" si="18"/>
        <v>564.05799999999999</v>
      </c>
      <c r="K18" s="2741">
        <f t="shared" si="18"/>
        <v>173.57599999999999</v>
      </c>
      <c r="L18" s="2741">
        <f t="shared" si="18"/>
        <v>1115.0059999999999</v>
      </c>
      <c r="M18" s="2788">
        <f t="shared" si="18"/>
        <v>649.51700000000005</v>
      </c>
      <c r="N18" s="2741">
        <f t="shared" si="18"/>
        <v>632.42100000000005</v>
      </c>
      <c r="O18" s="2741">
        <f t="shared" si="18"/>
        <v>1040.7689999999998</v>
      </c>
      <c r="P18" s="2741">
        <f t="shared" si="18"/>
        <v>1925.8519999999999</v>
      </c>
      <c r="Q18" s="2788">
        <f t="shared" si="18"/>
        <v>1236.885</v>
      </c>
      <c r="R18" s="2741">
        <f t="shared" si="18"/>
        <v>1146.3139999999999</v>
      </c>
      <c r="S18" s="2741">
        <f t="shared" si="18"/>
        <v>1714</v>
      </c>
      <c r="T18" s="2773">
        <f t="shared" si="18"/>
        <v>2483.261</v>
      </c>
      <c r="U18" s="2788">
        <f t="shared" ref="U18:Z18" si="19">U15-U17</f>
        <v>1557</v>
      </c>
      <c r="V18" s="2741">
        <f t="shared" si="19"/>
        <v>1390</v>
      </c>
      <c r="W18" s="2741">
        <f t="shared" si="19"/>
        <v>2052</v>
      </c>
      <c r="X18" s="2773">
        <f t="shared" si="19"/>
        <v>2938</v>
      </c>
      <c r="Y18" s="2788">
        <f t="shared" si="19"/>
        <v>1834</v>
      </c>
      <c r="Z18" s="3141">
        <f t="shared" si="19"/>
        <v>1662</v>
      </c>
      <c r="AA18" s="3141">
        <f t="shared" ref="AA18:AF18" si="20">AA15-AA17</f>
        <v>2242</v>
      </c>
      <c r="AB18" s="3141">
        <f t="shared" si="20"/>
        <v>3267</v>
      </c>
      <c r="AC18" s="3141">
        <f t="shared" si="20"/>
        <v>2053</v>
      </c>
      <c r="AD18" s="3141">
        <f t="shared" si="20"/>
        <v>1766</v>
      </c>
      <c r="AE18" s="3141">
        <f t="shared" si="20"/>
        <v>2552</v>
      </c>
      <c r="AF18" s="3141">
        <f t="shared" si="20"/>
        <v>3546</v>
      </c>
      <c r="AG18" s="3141">
        <f>AG15-AG17</f>
        <v>2291</v>
      </c>
      <c r="AH18" s="3141">
        <f>AH15-AH17</f>
        <v>2097</v>
      </c>
      <c r="AI18" s="3141">
        <f>AI15-AI17</f>
        <v>2975</v>
      </c>
      <c r="AJ18" s="3141"/>
      <c r="AK18" s="2741">
        <f t="shared" ref="AK18:AS18" si="21">AK15-AK17</f>
        <v>692.64400000000001</v>
      </c>
      <c r="AL18" s="2741">
        <f t="shared" si="21"/>
        <v>1242.828</v>
      </c>
      <c r="AM18" s="2741">
        <f t="shared" si="21"/>
        <v>1914.0309999999999</v>
      </c>
      <c r="AN18" s="2741">
        <f t="shared" si="21"/>
        <v>2787.953</v>
      </c>
      <c r="AO18" s="2741">
        <f t="shared" si="21"/>
        <v>3608.9259999999995</v>
      </c>
      <c r="AP18" s="2741">
        <f t="shared" si="21"/>
        <v>2502.1570000000002</v>
      </c>
      <c r="AQ18" s="2741">
        <f t="shared" si="21"/>
        <v>4835.9269999999997</v>
      </c>
      <c r="AR18" s="2741">
        <f t="shared" si="21"/>
        <v>6900.4539999999997</v>
      </c>
      <c r="AS18" s="2741">
        <f t="shared" si="21"/>
        <v>8214</v>
      </c>
      <c r="AT18" s="2741">
        <f>AT15-AT17</f>
        <v>9224</v>
      </c>
      <c r="AU18" s="2741">
        <f>AU15-AU17</f>
        <v>10155</v>
      </c>
      <c r="AV18" s="2073"/>
      <c r="AW18" s="2073"/>
      <c r="AX18" s="2073"/>
      <c r="AY18" s="2073"/>
      <c r="AZ18" s="2073"/>
      <c r="BA18" s="2073"/>
      <c r="BB18" s="2073"/>
    </row>
    <row r="19" spans="1:54" s="2762" customFormat="1">
      <c r="A19" s="2759" t="s">
        <v>2665</v>
      </c>
      <c r="B19" s="2760">
        <f t="shared" ref="B19:T19" si="22">B18/B15</f>
        <v>0.6844549187978346</v>
      </c>
      <c r="C19" s="2760">
        <f t="shared" si="22"/>
        <v>0.75811655787769072</v>
      </c>
      <c r="D19" s="2760">
        <f t="shared" si="22"/>
        <v>0.82034768050954576</v>
      </c>
      <c r="E19" s="2789">
        <f t="shared" si="22"/>
        <v>0.74345070766024213</v>
      </c>
      <c r="F19" s="2760">
        <f t="shared" si="22"/>
        <v>0.66559396617894551</v>
      </c>
      <c r="G19" s="2760">
        <f t="shared" si="22"/>
        <v>0.74172721265442731</v>
      </c>
      <c r="H19" s="3145">
        <f t="shared" si="22"/>
        <v>0.81244725084626512</v>
      </c>
      <c r="I19" s="2760">
        <f t="shared" si="22"/>
        <v>0.73471353347861768</v>
      </c>
      <c r="J19" s="2977">
        <f t="shared" si="22"/>
        <v>0.67003789363648236</v>
      </c>
      <c r="K19" s="2760">
        <f t="shared" si="22"/>
        <v>0.51848709875916288</v>
      </c>
      <c r="L19" s="2760">
        <f t="shared" si="22"/>
        <v>0.83064907239719554</v>
      </c>
      <c r="M19" s="2789">
        <f t="shared" si="22"/>
        <v>0.75589923469387765</v>
      </c>
      <c r="N19" s="2760">
        <f t="shared" si="22"/>
        <v>0.71304017426285549</v>
      </c>
      <c r="O19" s="2760">
        <f t="shared" si="22"/>
        <v>0.77948780553566654</v>
      </c>
      <c r="P19" s="2760">
        <f t="shared" si="22"/>
        <v>0.86074213652079712</v>
      </c>
      <c r="Q19" s="2789">
        <f t="shared" si="22"/>
        <v>0.80726290892287933</v>
      </c>
      <c r="R19" s="2760">
        <f t="shared" si="22"/>
        <v>0.75968314117819358</v>
      </c>
      <c r="S19" s="3086">
        <f t="shared" si="22"/>
        <v>0.81459735650325771</v>
      </c>
      <c r="T19" s="3145">
        <f t="shared" si="22"/>
        <v>0.86092511120125093</v>
      </c>
      <c r="U19" s="2789">
        <f t="shared" ref="U19:Z19" si="23">U18/U15</f>
        <v>0.81861198738170349</v>
      </c>
      <c r="V19" s="2760">
        <f t="shared" si="23"/>
        <v>0.76457645764576454</v>
      </c>
      <c r="W19" s="3086">
        <f t="shared" si="23"/>
        <v>0.82608695652173914</v>
      </c>
      <c r="X19" s="3145">
        <f t="shared" si="23"/>
        <v>0.8648807771563144</v>
      </c>
      <c r="Y19" s="2789">
        <f t="shared" si="23"/>
        <v>0.82687105500450853</v>
      </c>
      <c r="Z19" s="2760">
        <f t="shared" si="23"/>
        <v>0.77591036414565828</v>
      </c>
      <c r="AA19" s="2760">
        <f t="shared" ref="AA19:AF19" si="24">AA18/AA15</f>
        <v>0.81586608442503639</v>
      </c>
      <c r="AB19" s="2760">
        <f t="shared" si="24"/>
        <v>0.87540192926045013</v>
      </c>
      <c r="AC19" s="2760">
        <f t="shared" si="24"/>
        <v>0.82782258064516134</v>
      </c>
      <c r="AD19" s="2760">
        <f t="shared" si="24"/>
        <v>0.77728873239436624</v>
      </c>
      <c r="AE19" s="2760">
        <f t="shared" si="24"/>
        <v>0.82428940568475451</v>
      </c>
      <c r="AF19" s="2760">
        <f t="shared" si="24"/>
        <v>0.86593406593406597</v>
      </c>
      <c r="AG19" s="2760">
        <f>AG18/AG15</f>
        <v>0.82469402447804174</v>
      </c>
      <c r="AH19" s="2760">
        <f>AH18/AH15</f>
        <v>0.78304705003734132</v>
      </c>
      <c r="AI19" s="2760">
        <f>AI18/AI15</f>
        <v>0.82455654101995568</v>
      </c>
      <c r="AJ19" s="2760"/>
      <c r="AK19" s="2760">
        <f t="shared" ref="AK19:AS19" si="25">AK18/AK15</f>
        <v>0.75365952117478974</v>
      </c>
      <c r="AL19" s="2760">
        <f t="shared" si="25"/>
        <v>0.75069220621705068</v>
      </c>
      <c r="AM19" s="2760">
        <f t="shared" si="25"/>
        <v>0.74716606531312346</v>
      </c>
      <c r="AN19" s="2760">
        <f t="shared" si="25"/>
        <v>0.76340757149878757</v>
      </c>
      <c r="AO19" s="2760">
        <f t="shared" si="25"/>
        <v>0.75103985462533696</v>
      </c>
      <c r="AP19" s="2760">
        <f t="shared" si="25"/>
        <v>0.74067779902841724</v>
      </c>
      <c r="AQ19" s="2760">
        <f t="shared" si="25"/>
        <v>0.80709624551050096</v>
      </c>
      <c r="AR19" s="2760">
        <f t="shared" si="25"/>
        <v>0.82153601888884686</v>
      </c>
      <c r="AS19" s="2760">
        <f t="shared" si="25"/>
        <v>0.82827467984269432</v>
      </c>
      <c r="AT19" s="2760">
        <f>AT18/AT15</f>
        <v>0.83084128985768335</v>
      </c>
      <c r="AU19" s="3487">
        <f>AU18/AU15</f>
        <v>0.82958908585899849</v>
      </c>
      <c r="AV19" s="2761"/>
      <c r="AW19" s="2761"/>
      <c r="AX19" s="2761"/>
      <c r="AY19" s="2761"/>
      <c r="AZ19" s="2761"/>
      <c r="BA19" s="2761"/>
      <c r="BB19" s="2761"/>
    </row>
    <row r="20" spans="1:54">
      <c r="B20" s="2730"/>
      <c r="C20" s="2730"/>
      <c r="D20" s="2730"/>
      <c r="E20" s="2787"/>
      <c r="F20" s="2730"/>
      <c r="G20" s="2730"/>
      <c r="H20" s="2772"/>
      <c r="I20" s="2730"/>
      <c r="J20" s="2975"/>
      <c r="K20" s="2730"/>
      <c r="L20" s="2730"/>
      <c r="M20" s="2787"/>
      <c r="N20" s="2730"/>
      <c r="O20" s="2730"/>
      <c r="P20" s="2730"/>
      <c r="Q20" s="2787"/>
      <c r="R20" s="2730"/>
      <c r="S20" s="2741"/>
      <c r="T20" s="2772"/>
      <c r="U20" s="2787"/>
      <c r="V20" s="2730"/>
      <c r="W20" s="2741"/>
      <c r="X20" s="2772"/>
      <c r="Y20" s="2787"/>
      <c r="Z20" s="2772"/>
      <c r="AA20" s="2772"/>
      <c r="AB20" s="2772"/>
      <c r="AC20" s="2772"/>
      <c r="AD20" s="2772"/>
      <c r="AE20" s="2772"/>
      <c r="AF20" s="2772"/>
      <c r="AG20" s="2772"/>
      <c r="AH20" s="2772"/>
      <c r="AI20" s="2772"/>
      <c r="AJ20" s="2772"/>
      <c r="AK20" s="2730"/>
      <c r="AL20" s="2730"/>
      <c r="AM20" s="2730"/>
      <c r="AN20" s="2730"/>
      <c r="AO20" s="2730"/>
      <c r="AP20" s="2730"/>
      <c r="AQ20" s="2730"/>
      <c r="AR20" s="2073"/>
      <c r="AS20" s="2073"/>
      <c r="AT20" s="2073"/>
      <c r="AU20" s="2073"/>
      <c r="AV20" s="2073"/>
      <c r="AW20" s="2073"/>
      <c r="AX20" s="2073"/>
      <c r="AY20" s="2073"/>
      <c r="AZ20" s="2073"/>
      <c r="BA20" s="2073"/>
      <c r="BB20" s="2073"/>
    </row>
    <row r="21" spans="1:54">
      <c r="A21" s="2748" t="s">
        <v>2650</v>
      </c>
      <c r="B21" s="2737"/>
      <c r="C21" s="2737"/>
      <c r="D21" s="2737"/>
      <c r="E21" s="2790"/>
      <c r="F21" s="2737"/>
      <c r="G21" s="2737"/>
      <c r="H21" s="3146"/>
      <c r="I21" s="2737"/>
      <c r="J21" s="2978"/>
      <c r="K21" s="2737"/>
      <c r="L21" s="2737"/>
      <c r="M21" s="2790"/>
      <c r="N21" s="2737"/>
      <c r="O21" s="2737"/>
      <c r="P21" s="2737"/>
      <c r="Q21" s="2790"/>
      <c r="R21" s="2737"/>
      <c r="S21" s="3087"/>
      <c r="T21" s="3146"/>
      <c r="U21" s="2790"/>
      <c r="V21" s="2737"/>
      <c r="W21" s="3087"/>
      <c r="X21" s="3146"/>
      <c r="Y21" s="2790"/>
      <c r="AK21" s="2737"/>
      <c r="AL21" s="2737"/>
      <c r="AM21" s="2737"/>
      <c r="AN21" s="2737"/>
      <c r="AO21" s="2737"/>
      <c r="AP21" s="2737"/>
      <c r="AQ21" s="2737"/>
      <c r="AR21" s="2073"/>
      <c r="AS21" s="2073"/>
      <c r="AT21" s="2073"/>
      <c r="AU21" s="2073"/>
      <c r="AV21" s="2073"/>
      <c r="AW21" s="2073"/>
      <c r="AX21" s="2073"/>
      <c r="AY21" s="2073"/>
      <c r="AZ21" s="2073"/>
      <c r="BA21" s="2073"/>
      <c r="BB21" s="2073"/>
    </row>
    <row r="22" spans="1:54">
      <c r="A22" s="2731" t="s">
        <v>2652</v>
      </c>
      <c r="B22" s="2730">
        <v>127.789</v>
      </c>
      <c r="C22" s="2730">
        <v>153.87700000000001</v>
      </c>
      <c r="D22" s="2730">
        <v>170.03700000000001</v>
      </c>
      <c r="E22" s="2787">
        <v>157.499</v>
      </c>
      <c r="F22" s="2730">
        <v>166.755</v>
      </c>
      <c r="G22" s="2730">
        <v>210.56899999999999</v>
      </c>
      <c r="H22" s="2772">
        <v>223.464</v>
      </c>
      <c r="I22" s="2730">
        <v>214.286</v>
      </c>
      <c r="J22" s="2975">
        <v>221.78700000000001</v>
      </c>
      <c r="K22" s="2730">
        <v>160.476</v>
      </c>
      <c r="L22" s="2730">
        <v>166.10599999999999</v>
      </c>
      <c r="M22" s="2787">
        <v>329.53199999999998</v>
      </c>
      <c r="N22" s="2730">
        <v>185.43600000000001</v>
      </c>
      <c r="O22" s="2730">
        <v>208.125</v>
      </c>
      <c r="P22" s="2730">
        <v>228.33</v>
      </c>
      <c r="Q22" s="2787">
        <v>225.166</v>
      </c>
      <c r="R22" s="2730">
        <v>233.012</v>
      </c>
      <c r="S22" s="2741">
        <v>258.255</v>
      </c>
      <c r="T22" s="2772">
        <v>289.94600000000003</v>
      </c>
      <c r="U22" s="2787">
        <v>260</v>
      </c>
      <c r="V22" s="2730">
        <v>282</v>
      </c>
      <c r="W22" s="2741">
        <v>317</v>
      </c>
      <c r="X22" s="2772">
        <v>316</v>
      </c>
      <c r="Y22" s="2787">
        <v>271</v>
      </c>
      <c r="Z22" s="2772">
        <v>285</v>
      </c>
      <c r="AA22" s="2772">
        <v>338</v>
      </c>
      <c r="AB22" s="2772">
        <v>369</v>
      </c>
      <c r="AC22" s="2772">
        <v>290</v>
      </c>
      <c r="AD22" s="2772">
        <v>303</v>
      </c>
      <c r="AE22" s="2772">
        <v>332</v>
      </c>
      <c r="AF22" s="2772">
        <v>365</v>
      </c>
      <c r="AG22" s="2772">
        <v>327</v>
      </c>
      <c r="AH22" s="2772">
        <v>326</v>
      </c>
      <c r="AI22" s="2772">
        <v>361</v>
      </c>
      <c r="AJ22" s="2772"/>
      <c r="AK22" s="2730">
        <v>181.285</v>
      </c>
      <c r="AL22" s="2730">
        <v>270.29199999999997</v>
      </c>
      <c r="AM22" s="2730">
        <v>395.73899999999998</v>
      </c>
      <c r="AN22" s="2730">
        <v>609.202</v>
      </c>
      <c r="AO22" s="2730">
        <v>815.07399999999996</v>
      </c>
      <c r="AP22" s="2730">
        <v>877.90099999999995</v>
      </c>
      <c r="AQ22" s="2730">
        <v>847.05700000000002</v>
      </c>
      <c r="AR22" s="2073">
        <v>1041</v>
      </c>
      <c r="AS22" s="2073">
        <v>1186</v>
      </c>
      <c r="AT22" s="2073">
        <v>1282</v>
      </c>
      <c r="AU22" s="2073">
        <v>1327</v>
      </c>
      <c r="AV22" s="2073"/>
      <c r="AW22" s="2073"/>
      <c r="AX22" s="2073"/>
      <c r="AY22" s="2073"/>
      <c r="AZ22" s="2073"/>
      <c r="BA22" s="2073"/>
      <c r="BB22" s="2073"/>
    </row>
    <row r="23" spans="1:54">
      <c r="A23" s="2731" t="s">
        <v>2641</v>
      </c>
      <c r="B23" s="2730">
        <v>122.893</v>
      </c>
      <c r="C23" s="2730">
        <v>154.39699999999999</v>
      </c>
      <c r="D23" s="2730">
        <v>141.97800000000001</v>
      </c>
      <c r="E23" s="2787">
        <v>159.92500000000001</v>
      </c>
      <c r="F23" s="2730">
        <v>185.101</v>
      </c>
      <c r="G23" s="2730">
        <v>232.327</v>
      </c>
      <c r="H23" s="2772">
        <v>276.36799999999999</v>
      </c>
      <c r="I23" s="2730">
        <v>282.899</v>
      </c>
      <c r="J23" s="2975">
        <v>258.81900000000002</v>
      </c>
      <c r="K23" s="2730">
        <v>217.93799999999999</v>
      </c>
      <c r="L23" s="2730">
        <v>213.92</v>
      </c>
      <c r="M23" s="2787">
        <v>2062.1950000000002</v>
      </c>
      <c r="N23" s="2730">
        <v>363.06099999999998</v>
      </c>
      <c r="O23" s="2730">
        <v>349.73399999999998</v>
      </c>
      <c r="P23" s="2730">
        <v>344.41</v>
      </c>
      <c r="Q23" s="2787">
        <v>367.84300000000002</v>
      </c>
      <c r="R23" s="2730">
        <v>362.92700000000002</v>
      </c>
      <c r="S23" s="2741">
        <v>375.05</v>
      </c>
      <c r="T23" s="2772">
        <v>366.18200000000002</v>
      </c>
      <c r="U23" s="2787">
        <v>398</v>
      </c>
      <c r="V23" s="2730">
        <v>420</v>
      </c>
      <c r="W23" s="2741">
        <v>451</v>
      </c>
      <c r="X23" s="2772">
        <v>419</v>
      </c>
      <c r="Y23" s="2787">
        <v>432</v>
      </c>
      <c r="Z23" s="2772">
        <v>475</v>
      </c>
      <c r="AA23" s="2772">
        <v>519</v>
      </c>
      <c r="AB23" s="2772">
        <v>524</v>
      </c>
      <c r="AC23" s="2772">
        <v>538</v>
      </c>
      <c r="AD23" s="2772">
        <v>568</v>
      </c>
      <c r="AE23" s="2772">
        <v>610</v>
      </c>
      <c r="AF23" s="2772">
        <v>587</v>
      </c>
      <c r="AG23" s="2772">
        <v>589</v>
      </c>
      <c r="AH23" s="2772">
        <v>638</v>
      </c>
      <c r="AI23" s="2772">
        <v>672</v>
      </c>
      <c r="AJ23" s="2772"/>
      <c r="AK23" s="2730">
        <v>99.685000000000002</v>
      </c>
      <c r="AL23" s="2730">
        <v>228.06100000000001</v>
      </c>
      <c r="AM23" s="2730">
        <v>400.74900000000002</v>
      </c>
      <c r="AN23" s="2730">
        <v>579.19299999999998</v>
      </c>
      <c r="AO23" s="2730">
        <v>976.69500000000005</v>
      </c>
      <c r="AP23" s="2730">
        <v>2752.8719999999998</v>
      </c>
      <c r="AQ23" s="2730">
        <v>1425.048</v>
      </c>
      <c r="AR23" s="2073">
        <v>1502</v>
      </c>
      <c r="AS23" s="2073">
        <v>1722</v>
      </c>
      <c r="AT23" s="2073">
        <v>2056</v>
      </c>
      <c r="AU23" s="2073">
        <v>2354</v>
      </c>
      <c r="AV23" s="2073"/>
      <c r="AW23" s="2073"/>
      <c r="AX23" s="2073"/>
      <c r="AY23" s="2073"/>
      <c r="AZ23" s="2073"/>
      <c r="BA23" s="2073"/>
      <c r="BB23" s="2073"/>
    </row>
    <row r="24" spans="1:54">
      <c r="A24" s="2731" t="s">
        <v>2642</v>
      </c>
      <c r="B24" s="2730">
        <v>231.977</v>
      </c>
      <c r="C24" s="2730">
        <v>263.86</v>
      </c>
      <c r="D24" s="2730">
        <v>306.37400000000002</v>
      </c>
      <c r="E24" s="2787">
        <v>299.11599999999999</v>
      </c>
      <c r="F24" s="2730">
        <v>366.54599999999999</v>
      </c>
      <c r="G24" s="2730">
        <v>388.24599999999998</v>
      </c>
      <c r="H24" s="2772">
        <v>429.714</v>
      </c>
      <c r="I24" s="2730">
        <v>437.01299999999998</v>
      </c>
      <c r="J24" s="2975">
        <v>317.17899999999997</v>
      </c>
      <c r="K24" s="2730">
        <v>114.837</v>
      </c>
      <c r="L24" s="2730">
        <v>113.494</v>
      </c>
      <c r="M24" s="2787">
        <v>629.81500000000005</v>
      </c>
      <c r="N24" s="2730">
        <v>229.125</v>
      </c>
      <c r="O24" s="2730">
        <v>315.32299999999998</v>
      </c>
      <c r="P24" s="2730">
        <v>290.85599999999999</v>
      </c>
      <c r="Q24" s="2787">
        <v>351.02800000000002</v>
      </c>
      <c r="R24" s="2730">
        <v>344.61599999999999</v>
      </c>
      <c r="S24" s="2741">
        <v>379.875</v>
      </c>
      <c r="T24" s="2772">
        <v>383.16500000000002</v>
      </c>
      <c r="U24" s="2787">
        <v>408</v>
      </c>
      <c r="V24" s="2730">
        <v>450</v>
      </c>
      <c r="W24" s="2741">
        <v>486</v>
      </c>
      <c r="X24" s="2772">
        <v>403</v>
      </c>
      <c r="Y24" s="2787">
        <v>424</v>
      </c>
      <c r="Z24" s="2772">
        <v>514</v>
      </c>
      <c r="AA24" s="2772">
        <v>573</v>
      </c>
      <c r="AB24" s="2772">
        <v>514</v>
      </c>
      <c r="AC24" s="2772">
        <v>547</v>
      </c>
      <c r="AD24" s="2772">
        <v>563</v>
      </c>
      <c r="AE24" s="2772">
        <v>691</v>
      </c>
      <c r="AF24" s="2772">
        <v>639</v>
      </c>
      <c r="AG24" s="2772">
        <v>695</v>
      </c>
      <c r="AH24" s="2772">
        <v>751</v>
      </c>
      <c r="AI24" s="2772">
        <v>875</v>
      </c>
      <c r="AJ24" s="2772"/>
      <c r="AK24" s="2730">
        <v>397.238</v>
      </c>
      <c r="AL24" s="2730">
        <v>663.05700000000002</v>
      </c>
      <c r="AM24" s="2730">
        <v>871.74900000000002</v>
      </c>
      <c r="AN24" s="2730">
        <v>1101.327</v>
      </c>
      <c r="AO24" s="2730">
        <v>1621.519</v>
      </c>
      <c r="AP24" s="2730">
        <v>1175.325</v>
      </c>
      <c r="AQ24" s="2730">
        <v>1186.3320000000001</v>
      </c>
      <c r="AR24" s="2073">
        <v>1516</v>
      </c>
      <c r="AS24" s="3157">
        <f>SUM(V24:Y24)</f>
        <v>1763</v>
      </c>
      <c r="AT24" s="3157">
        <v>2148</v>
      </c>
      <c r="AU24" s="3157">
        <v>2588</v>
      </c>
      <c r="AV24" s="2073"/>
      <c r="AW24" s="2073"/>
      <c r="AX24" s="2073"/>
      <c r="AY24" s="2073"/>
      <c r="AZ24" s="2073"/>
      <c r="BA24" s="2073"/>
      <c r="BB24" s="2073"/>
    </row>
    <row r="25" spans="1:54">
      <c r="A25" s="2731" t="s">
        <v>96</v>
      </c>
      <c r="B25" s="2730">
        <v>92.808999999999997</v>
      </c>
      <c r="C25" s="2730">
        <v>101.68</v>
      </c>
      <c r="D25" s="2730">
        <v>98.177000000000007</v>
      </c>
      <c r="E25" s="2787">
        <v>186.821</v>
      </c>
      <c r="F25" s="2730">
        <v>146.01300000000001</v>
      </c>
      <c r="G25" s="2730">
        <v>169.23099999999999</v>
      </c>
      <c r="H25" s="2772">
        <v>175.018</v>
      </c>
      <c r="I25" s="2730">
        <v>206.91900000000001</v>
      </c>
      <c r="J25" s="2975">
        <v>91.762</v>
      </c>
      <c r="K25" s="2730">
        <v>149.29900000000001</v>
      </c>
      <c r="L25" s="2730">
        <v>180.02099999999999</v>
      </c>
      <c r="M25" s="2787">
        <v>713.76900000000001</v>
      </c>
      <c r="N25" s="2730">
        <v>189.762</v>
      </c>
      <c r="O25" s="2730">
        <v>218.303</v>
      </c>
      <c r="P25" s="2730">
        <v>210.74799999999999</v>
      </c>
      <c r="Q25" s="2787">
        <v>216.511</v>
      </c>
      <c r="R25" s="2730">
        <v>210</v>
      </c>
      <c r="S25" s="2741">
        <v>243.25399999999999</v>
      </c>
      <c r="T25" s="2772">
        <v>240.435</v>
      </c>
      <c r="U25" s="2787">
        <v>256</v>
      </c>
      <c r="V25" s="2730">
        <v>243</v>
      </c>
      <c r="W25" s="2741">
        <v>275</v>
      </c>
      <c r="X25" s="2772">
        <v>304</v>
      </c>
      <c r="Y25" s="2787">
        <v>1203</v>
      </c>
      <c r="Z25" s="2772">
        <v>287</v>
      </c>
      <c r="AA25" s="2772">
        <v>315</v>
      </c>
      <c r="AB25" s="2772">
        <v>335</v>
      </c>
      <c r="AC25" s="2772">
        <v>248</v>
      </c>
      <c r="AD25" s="2772">
        <v>294</v>
      </c>
      <c r="AE25" s="2772">
        <v>307</v>
      </c>
      <c r="AF25" s="2772">
        <v>330</v>
      </c>
      <c r="AG25" s="2772">
        <v>411</v>
      </c>
      <c r="AH25" s="2772">
        <v>296</v>
      </c>
      <c r="AI25" s="2772">
        <v>309</v>
      </c>
      <c r="AJ25" s="2772"/>
      <c r="AK25" s="2730">
        <v>138.13300000000001</v>
      </c>
      <c r="AL25" s="2730">
        <v>214.411</v>
      </c>
      <c r="AM25" s="2730">
        <v>327.15600000000001</v>
      </c>
      <c r="AN25" s="2730">
        <v>479.48700000000002</v>
      </c>
      <c r="AO25" s="2730">
        <v>697.18100000000004</v>
      </c>
      <c r="AP25" s="2730">
        <v>1134.8510000000001</v>
      </c>
      <c r="AQ25" s="2730">
        <v>836</v>
      </c>
      <c r="AR25" s="2073">
        <v>950</v>
      </c>
      <c r="AS25" s="2073">
        <v>2025</v>
      </c>
      <c r="AT25" s="2073">
        <v>1185</v>
      </c>
      <c r="AU25" s="2073">
        <v>1342</v>
      </c>
      <c r="AV25" s="2073"/>
      <c r="AW25" s="2073"/>
      <c r="AX25" s="2073"/>
      <c r="AY25" s="2073"/>
      <c r="AZ25" s="2073"/>
      <c r="BA25" s="2073"/>
      <c r="BB25" s="2073"/>
    </row>
    <row r="26" spans="1:54">
      <c r="A26" s="2731" t="s">
        <v>2644</v>
      </c>
      <c r="B26" s="2730">
        <v>0</v>
      </c>
      <c r="C26" s="2730">
        <v>0</v>
      </c>
      <c r="D26" s="2730">
        <v>0</v>
      </c>
      <c r="E26" s="2787">
        <v>0</v>
      </c>
      <c r="F26" s="2730">
        <v>0</v>
      </c>
      <c r="G26" s="2730">
        <v>0</v>
      </c>
      <c r="H26" s="2772">
        <v>0</v>
      </c>
      <c r="I26" s="2730">
        <v>0</v>
      </c>
      <c r="J26" s="2975">
        <v>0</v>
      </c>
      <c r="K26" s="2730">
        <v>114.241</v>
      </c>
      <c r="L26" s="2730">
        <v>22.728000000000002</v>
      </c>
      <c r="M26" s="2787">
        <v>14.385999999999999</v>
      </c>
      <c r="N26" s="2730">
        <v>111.982</v>
      </c>
      <c r="O26" s="2730">
        <v>0.56200000000000006</v>
      </c>
      <c r="P26" s="2730">
        <v>-0.46500000000000002</v>
      </c>
      <c r="Q26" s="2787">
        <v>0.77</v>
      </c>
      <c r="R26" s="2730">
        <v>0.317</v>
      </c>
      <c r="S26" s="2741">
        <v>88.742999999999995</v>
      </c>
      <c r="T26" s="2772">
        <v>5.1999999999999998E-2</v>
      </c>
      <c r="U26" s="2787">
        <v>0</v>
      </c>
      <c r="V26" s="2730"/>
      <c r="W26" s="2741"/>
      <c r="X26" s="2772"/>
      <c r="Y26" s="2787"/>
      <c r="Z26" s="2772"/>
      <c r="AA26" s="2772"/>
      <c r="AB26" s="2772"/>
      <c r="AC26" s="2772"/>
      <c r="AD26" s="2772"/>
      <c r="AE26" s="2772"/>
      <c r="AF26" s="2772"/>
      <c r="AG26" s="2772"/>
      <c r="AH26" s="2772"/>
      <c r="AI26" s="2772"/>
      <c r="AJ26" s="2772"/>
      <c r="AK26" s="2730">
        <v>0</v>
      </c>
      <c r="AL26" s="2730">
        <v>0</v>
      </c>
      <c r="AM26" s="2730">
        <v>0</v>
      </c>
      <c r="AN26" s="2730">
        <v>0</v>
      </c>
      <c r="AO26" s="2730">
        <v>0</v>
      </c>
      <c r="AP26" s="2730">
        <f>SUM(J26:M26)</f>
        <v>151.35499999999999</v>
      </c>
      <c r="AQ26" s="2730">
        <v>112.849</v>
      </c>
      <c r="AR26" s="2073">
        <v>89</v>
      </c>
      <c r="AS26" s="3164">
        <v>0</v>
      </c>
      <c r="AT26" s="3164">
        <v>0</v>
      </c>
      <c r="AU26" s="3164">
        <v>0</v>
      </c>
      <c r="AV26" s="2073"/>
      <c r="AW26" s="2073"/>
      <c r="AX26" s="2073"/>
      <c r="AY26" s="2073"/>
      <c r="AZ26" s="2073"/>
      <c r="BA26" s="2073"/>
      <c r="BB26" s="2073"/>
    </row>
    <row r="27" spans="1:54">
      <c r="A27" s="2729" t="s">
        <v>2645</v>
      </c>
      <c r="B27" s="2741">
        <f>SUM(B22:B26)</f>
        <v>575.46799999999996</v>
      </c>
      <c r="C27" s="2741">
        <f t="shared" ref="C27:M27" si="26">SUM(C22:C26)</f>
        <v>673.81400000000008</v>
      </c>
      <c r="D27" s="2741">
        <f t="shared" si="26"/>
        <v>716.56600000000003</v>
      </c>
      <c r="E27" s="2788">
        <f t="shared" si="26"/>
        <v>803.36099999999999</v>
      </c>
      <c r="F27" s="2741">
        <f t="shared" si="26"/>
        <v>864.41500000000008</v>
      </c>
      <c r="G27" s="2741">
        <f t="shared" si="26"/>
        <v>1000.3729999999999</v>
      </c>
      <c r="H27" s="2773">
        <f t="shared" si="26"/>
        <v>1104.5640000000001</v>
      </c>
      <c r="I27" s="2741">
        <f t="shared" si="26"/>
        <v>1141.117</v>
      </c>
      <c r="J27" s="2976">
        <f t="shared" si="26"/>
        <v>889.54700000000003</v>
      </c>
      <c r="K27" s="2741">
        <f t="shared" si="26"/>
        <v>756.79099999999994</v>
      </c>
      <c r="L27" s="2741">
        <f t="shared" si="26"/>
        <v>696.26899999999989</v>
      </c>
      <c r="M27" s="2788">
        <f t="shared" si="26"/>
        <v>3749.6970000000006</v>
      </c>
      <c r="N27" s="2741">
        <f t="shared" ref="N27:V27" si="27">SUM(N22:N26)</f>
        <v>1079.366</v>
      </c>
      <c r="O27" s="2741">
        <f t="shared" si="27"/>
        <v>1092.0469999999998</v>
      </c>
      <c r="P27" s="2741">
        <f t="shared" si="27"/>
        <v>1073.8790000000001</v>
      </c>
      <c r="Q27" s="2788">
        <f t="shared" si="27"/>
        <v>1161.318</v>
      </c>
      <c r="R27" s="2741">
        <f t="shared" si="27"/>
        <v>1150.8720000000001</v>
      </c>
      <c r="S27" s="2741">
        <f t="shared" si="27"/>
        <v>1345.1769999999999</v>
      </c>
      <c r="T27" s="2773">
        <f t="shared" si="27"/>
        <v>1279.78</v>
      </c>
      <c r="U27" s="2788">
        <f t="shared" si="27"/>
        <v>1322</v>
      </c>
      <c r="V27" s="2741">
        <f t="shared" si="27"/>
        <v>1395</v>
      </c>
      <c r="W27" s="2741">
        <f t="shared" ref="W27:AB27" si="28">SUM(W22:W25)</f>
        <v>1529</v>
      </c>
      <c r="X27" s="2773">
        <f t="shared" si="28"/>
        <v>1442</v>
      </c>
      <c r="Y27" s="2788">
        <f t="shared" si="28"/>
        <v>2330</v>
      </c>
      <c r="Z27" s="3142">
        <f t="shared" si="28"/>
        <v>1561</v>
      </c>
      <c r="AA27" s="3142">
        <f t="shared" si="28"/>
        <v>1745</v>
      </c>
      <c r="AB27" s="3142">
        <f t="shared" si="28"/>
        <v>1742</v>
      </c>
      <c r="AC27" s="3142">
        <f t="shared" ref="AC27:AH27" si="29">SUM(AC22:AC25)</f>
        <v>1623</v>
      </c>
      <c r="AD27" s="3142">
        <f t="shared" si="29"/>
        <v>1728</v>
      </c>
      <c r="AE27" s="3142">
        <f t="shared" si="29"/>
        <v>1940</v>
      </c>
      <c r="AF27" s="3142">
        <f t="shared" si="29"/>
        <v>1921</v>
      </c>
      <c r="AG27" s="3142">
        <f t="shared" si="29"/>
        <v>2022</v>
      </c>
      <c r="AH27" s="3142">
        <f t="shared" si="29"/>
        <v>2011</v>
      </c>
      <c r="AI27" s="3142">
        <f t="shared" ref="AI27" si="30">SUM(AI22:AI25)</f>
        <v>2217</v>
      </c>
      <c r="AJ27" s="3142"/>
      <c r="AK27" s="2730">
        <f>SUM(AK22:AK26)</f>
        <v>816.34100000000012</v>
      </c>
      <c r="AL27" s="2730">
        <f t="shared" ref="AL27:AS27" si="31">SUM(AL22:AL26)</f>
        <v>1375.8209999999999</v>
      </c>
      <c r="AM27" s="2730">
        <f t="shared" si="31"/>
        <v>1995.393</v>
      </c>
      <c r="AN27" s="2730">
        <f t="shared" si="31"/>
        <v>2769.2089999999998</v>
      </c>
      <c r="AO27" s="2730">
        <f t="shared" si="31"/>
        <v>4110.4690000000001</v>
      </c>
      <c r="AP27" s="2730">
        <f t="shared" si="31"/>
        <v>6092.3040000000001</v>
      </c>
      <c r="AQ27" s="2730">
        <f t="shared" si="31"/>
        <v>4407.2860000000001</v>
      </c>
      <c r="AR27" s="2730">
        <f t="shared" si="31"/>
        <v>5098</v>
      </c>
      <c r="AS27" s="2730">
        <f t="shared" si="31"/>
        <v>6696</v>
      </c>
      <c r="AT27" s="2730">
        <f>SUM(AT22:AT26)</f>
        <v>6671</v>
      </c>
      <c r="AU27" s="2730">
        <f>SUM(AU22:AU26)</f>
        <v>7611</v>
      </c>
      <c r="AV27" s="2073"/>
      <c r="AW27" s="2073"/>
      <c r="AX27" s="2073"/>
      <c r="AY27" s="2073"/>
      <c r="AZ27" s="2073"/>
      <c r="BA27" s="2073"/>
      <c r="BB27" s="2073"/>
    </row>
    <row r="28" spans="1:54">
      <c r="A28" s="2729"/>
      <c r="B28" s="2730"/>
      <c r="C28" s="2730"/>
      <c r="D28" s="2730"/>
      <c r="E28" s="2787"/>
      <c r="F28" s="2730"/>
      <c r="G28" s="2730"/>
      <c r="H28" s="2772"/>
      <c r="I28" s="2730"/>
      <c r="J28" s="2975"/>
      <c r="K28" s="2730"/>
      <c r="L28" s="2730"/>
      <c r="M28" s="2787"/>
      <c r="N28" s="2730"/>
      <c r="O28" s="2730"/>
      <c r="P28" s="2730"/>
      <c r="Q28" s="2787"/>
      <c r="R28" s="2730"/>
      <c r="S28" s="2741"/>
      <c r="T28" s="2772"/>
      <c r="U28" s="2787"/>
      <c r="V28" s="2730"/>
      <c r="W28" s="2741"/>
      <c r="X28" s="2772"/>
      <c r="Y28" s="2787"/>
      <c r="Z28" s="2772"/>
      <c r="AA28" s="2772"/>
      <c r="AB28" s="2772"/>
      <c r="AC28" s="2772"/>
      <c r="AD28" s="2772"/>
      <c r="AE28" s="2772"/>
      <c r="AF28" s="2772"/>
      <c r="AG28" s="2772"/>
      <c r="AH28" s="2772"/>
      <c r="AI28" s="2772"/>
      <c r="AJ28" s="2772"/>
      <c r="AK28" s="2730"/>
      <c r="AL28" s="2730"/>
      <c r="AM28" s="2730"/>
      <c r="AN28" s="2730"/>
      <c r="AO28" s="2730"/>
      <c r="AP28" s="2730"/>
      <c r="AQ28" s="2730"/>
      <c r="AR28" s="2073"/>
      <c r="AS28" s="2073"/>
      <c r="AT28" s="2073"/>
      <c r="AU28" s="2073"/>
      <c r="AV28" s="2073"/>
      <c r="AW28" s="2073"/>
      <c r="AX28" s="2073"/>
      <c r="AY28" s="2073"/>
      <c r="AZ28" s="2073"/>
      <c r="BA28" s="2073"/>
      <c r="BB28" s="2073"/>
    </row>
    <row r="29" spans="1:54">
      <c r="A29" s="2803" t="s">
        <v>2646</v>
      </c>
      <c r="B29" s="2804">
        <f t="shared" ref="B29:V29" si="32">B18-B27</f>
        <v>-135.47299999999996</v>
      </c>
      <c r="C29" s="2804">
        <f t="shared" si="32"/>
        <v>11.091999999999985</v>
      </c>
      <c r="D29" s="2804">
        <f t="shared" si="32"/>
        <v>321.27800000000002</v>
      </c>
      <c r="E29" s="2805">
        <f t="shared" si="32"/>
        <v>-178.42600000000004</v>
      </c>
      <c r="F29" s="2804">
        <f t="shared" si="32"/>
        <v>-305.97900000000004</v>
      </c>
      <c r="G29" s="2804">
        <f t="shared" si="32"/>
        <v>-100.15499999999986</v>
      </c>
      <c r="H29" s="2804">
        <f t="shared" si="32"/>
        <v>232.52999999999997</v>
      </c>
      <c r="I29" s="2804">
        <f t="shared" si="32"/>
        <v>-327.93899999999985</v>
      </c>
      <c r="J29" s="2979">
        <f t="shared" si="32"/>
        <v>-325.48900000000003</v>
      </c>
      <c r="K29" s="2804">
        <f t="shared" si="32"/>
        <v>-583.21499999999992</v>
      </c>
      <c r="L29" s="2804">
        <f t="shared" si="32"/>
        <v>418.73699999999997</v>
      </c>
      <c r="M29" s="2805">
        <f t="shared" si="32"/>
        <v>-3100.1800000000003</v>
      </c>
      <c r="N29" s="2804">
        <f t="shared" si="32"/>
        <v>-446.94499999999994</v>
      </c>
      <c r="O29" s="2804">
        <f t="shared" si="32"/>
        <v>-51.27800000000002</v>
      </c>
      <c r="P29" s="2804">
        <f t="shared" si="32"/>
        <v>851.97299999999973</v>
      </c>
      <c r="Q29" s="2805">
        <f t="shared" si="32"/>
        <v>75.567000000000007</v>
      </c>
      <c r="R29" s="2804">
        <f t="shared" si="32"/>
        <v>-4.5580000000002201</v>
      </c>
      <c r="S29" s="2806">
        <f t="shared" si="32"/>
        <v>368.82300000000009</v>
      </c>
      <c r="T29" s="2804">
        <f t="shared" si="32"/>
        <v>1203.481</v>
      </c>
      <c r="U29" s="2805">
        <f t="shared" si="32"/>
        <v>235</v>
      </c>
      <c r="V29" s="2804">
        <f t="shared" si="32"/>
        <v>-5</v>
      </c>
      <c r="W29" s="2806">
        <f t="shared" ref="W29:AB29" si="33">W18-W27</f>
        <v>523</v>
      </c>
      <c r="X29" s="2804">
        <f t="shared" si="33"/>
        <v>1496</v>
      </c>
      <c r="Y29" s="2805">
        <f t="shared" si="33"/>
        <v>-496</v>
      </c>
      <c r="Z29" s="3143">
        <f t="shared" si="33"/>
        <v>101</v>
      </c>
      <c r="AA29" s="3143">
        <f t="shared" si="33"/>
        <v>497</v>
      </c>
      <c r="AB29" s="3143">
        <f t="shared" si="33"/>
        <v>1525</v>
      </c>
      <c r="AC29" s="3143">
        <f t="shared" ref="AC29:AH29" si="34">AC18-AC27</f>
        <v>430</v>
      </c>
      <c r="AD29" s="3143">
        <f t="shared" si="34"/>
        <v>38</v>
      </c>
      <c r="AE29" s="3143">
        <f t="shared" si="34"/>
        <v>612</v>
      </c>
      <c r="AF29" s="3143">
        <f t="shared" si="34"/>
        <v>1625</v>
      </c>
      <c r="AG29" s="3143">
        <f t="shared" si="34"/>
        <v>269</v>
      </c>
      <c r="AH29" s="3143">
        <f t="shared" si="34"/>
        <v>86</v>
      </c>
      <c r="AI29" s="3143">
        <f t="shared" ref="AI29" si="35">AI18-AI27</f>
        <v>758</v>
      </c>
      <c r="AJ29" s="3143"/>
      <c r="AK29" s="2804">
        <f t="shared" ref="AK29:AS29" si="36">AK18-AK27</f>
        <v>-123.69700000000012</v>
      </c>
      <c r="AL29" s="2804">
        <f t="shared" si="36"/>
        <v>-132.99299999999994</v>
      </c>
      <c r="AM29" s="2804">
        <f t="shared" si="36"/>
        <v>-81.36200000000008</v>
      </c>
      <c r="AN29" s="2804">
        <f t="shared" si="36"/>
        <v>18.744000000000142</v>
      </c>
      <c r="AO29" s="2804">
        <f t="shared" si="36"/>
        <v>-501.54300000000057</v>
      </c>
      <c r="AP29" s="2804">
        <f t="shared" si="36"/>
        <v>-3590.1469999999999</v>
      </c>
      <c r="AQ29" s="2804">
        <f t="shared" si="36"/>
        <v>428.64099999999962</v>
      </c>
      <c r="AR29" s="2804">
        <f t="shared" si="36"/>
        <v>1802.4539999999997</v>
      </c>
      <c r="AS29" s="2804">
        <f t="shared" si="36"/>
        <v>1518</v>
      </c>
      <c r="AT29" s="2804">
        <f>AT18-AT27</f>
        <v>2553</v>
      </c>
      <c r="AU29" s="2804">
        <f>AU18-AU27</f>
        <v>2544</v>
      </c>
      <c r="AV29" s="2073"/>
      <c r="AW29" s="2073"/>
      <c r="AX29" s="2073"/>
      <c r="AY29" s="2073"/>
      <c r="AZ29" s="2073"/>
      <c r="BA29" s="2073"/>
      <c r="BB29" s="2073"/>
    </row>
    <row r="30" spans="1:54">
      <c r="B30" s="2730"/>
      <c r="C30" s="2730"/>
      <c r="D30" s="2730"/>
      <c r="E30" s="2787"/>
      <c r="F30" s="2730"/>
      <c r="G30" s="2730"/>
      <c r="H30" s="2772"/>
      <c r="I30" s="2730"/>
      <c r="J30" s="2975"/>
      <c r="K30" s="2730"/>
      <c r="L30" s="2730"/>
      <c r="M30" s="2787"/>
      <c r="N30" s="2730"/>
      <c r="O30" s="2730"/>
      <c r="P30" s="2742"/>
      <c r="Q30" s="2799"/>
      <c r="R30" s="2730"/>
      <c r="S30" s="2741"/>
      <c r="T30" s="2755"/>
      <c r="U30" s="2799"/>
      <c r="V30" s="2730"/>
      <c r="W30" s="2741"/>
      <c r="X30" s="2755"/>
      <c r="Y30" s="2799"/>
      <c r="Z30" s="2772"/>
      <c r="AA30" s="2755"/>
      <c r="AB30" s="3067"/>
      <c r="AC30" s="3433">
        <f t="shared" ref="AC30:AH30" si="37">AC29/AC15</f>
        <v>0.17338709677419356</v>
      </c>
      <c r="AD30" s="3433">
        <f t="shared" si="37"/>
        <v>1.6725352112676055E-2</v>
      </c>
      <c r="AE30" s="3433">
        <f t="shared" si="37"/>
        <v>0.19767441860465115</v>
      </c>
      <c r="AF30" s="3433">
        <f t="shared" si="37"/>
        <v>0.3968253968253968</v>
      </c>
      <c r="AG30" s="3067">
        <f t="shared" si="37"/>
        <v>9.6832253419726427E-2</v>
      </c>
      <c r="AH30" s="3067">
        <f t="shared" si="37"/>
        <v>3.2113517550410753E-2</v>
      </c>
      <c r="AI30" s="3067">
        <f t="shared" ref="AI30" si="38">AI29/AI15</f>
        <v>0.21008869179600886</v>
      </c>
      <c r="AJ30" s="3067"/>
      <c r="AK30" s="2730"/>
      <c r="AL30" s="2730"/>
      <c r="AM30" s="2730"/>
      <c r="AN30" s="2730"/>
      <c r="AO30" s="2730"/>
      <c r="AP30" s="2742">
        <f t="shared" ref="AP30:AU30" si="39">AP29/AP15</f>
        <v>-1.0627399392398138</v>
      </c>
      <c r="AQ30" s="2742">
        <f t="shared" si="39"/>
        <v>7.153841275351476E-2</v>
      </c>
      <c r="AR30" s="2742">
        <f t="shared" si="39"/>
        <v>0.21459180561022179</v>
      </c>
      <c r="AS30" s="2742">
        <f t="shared" si="39"/>
        <v>0.15307048502571341</v>
      </c>
      <c r="AT30" s="2742">
        <f t="shared" si="39"/>
        <v>0.2299585660241398</v>
      </c>
      <c r="AU30" s="2742">
        <f t="shared" si="39"/>
        <v>0.20782615799362797</v>
      </c>
      <c r="AV30" s="2073"/>
      <c r="AW30" s="2073"/>
      <c r="AX30" s="2073"/>
      <c r="AY30" s="2073"/>
      <c r="AZ30" s="2073"/>
      <c r="BA30" s="2073"/>
      <c r="BB30" s="2073"/>
    </row>
    <row r="31" spans="1:54">
      <c r="A31" s="2731" t="s">
        <v>2647</v>
      </c>
      <c r="B31" s="2730">
        <v>10.013</v>
      </c>
      <c r="C31" s="2730">
        <v>16.029</v>
      </c>
      <c r="D31" s="2730">
        <v>19.710999999999999</v>
      </c>
      <c r="E31" s="2787">
        <v>21.04</v>
      </c>
      <c r="F31" s="2730">
        <v>22.303999999999998</v>
      </c>
      <c r="G31" s="2730">
        <v>24.367000000000001</v>
      </c>
      <c r="H31" s="2772">
        <v>21.99</v>
      </c>
      <c r="I31" s="2730">
        <v>17.241</v>
      </c>
      <c r="J31" s="2975">
        <v>13.648999999999999</v>
      </c>
      <c r="K31" s="2730">
        <v>5.8559999999999999</v>
      </c>
      <c r="L31" s="2730">
        <v>4.3250000000000002</v>
      </c>
      <c r="M31" s="2787">
        <v>3.2869999999999999</v>
      </c>
      <c r="N31" s="2730">
        <v>3.052</v>
      </c>
      <c r="O31" s="2730">
        <v>2.9420000000000002</v>
      </c>
      <c r="P31" s="2730">
        <v>2.9620000000000002</v>
      </c>
      <c r="Q31" s="2787">
        <v>3.778</v>
      </c>
      <c r="R31" s="2730">
        <v>4.7439999999999998</v>
      </c>
      <c r="S31" s="3097">
        <v>20.247</v>
      </c>
      <c r="T31" s="2772">
        <v>59</v>
      </c>
      <c r="U31" s="2787">
        <v>102</v>
      </c>
      <c r="V31" s="2730">
        <v>146</v>
      </c>
      <c r="W31" s="3097">
        <v>191</v>
      </c>
      <c r="X31" s="2772">
        <v>192</v>
      </c>
      <c r="Y31" s="2787">
        <v>192</v>
      </c>
      <c r="Z31" s="2772">
        <v>202</v>
      </c>
      <c r="AA31" s="2772">
        <v>226</v>
      </c>
      <c r="AB31" s="2772">
        <v>207</v>
      </c>
      <c r="AC31" s="2772">
        <v>183</v>
      </c>
      <c r="AD31" s="2772">
        <v>173</v>
      </c>
      <c r="AE31" s="2772">
        <v>190</v>
      </c>
      <c r="AF31" s="2772">
        <v>180</v>
      </c>
      <c r="AG31" s="2772">
        <v>162</v>
      </c>
      <c r="AH31" s="2772">
        <v>155</v>
      </c>
      <c r="AI31" s="2772">
        <v>183</v>
      </c>
      <c r="AJ31" s="2772"/>
      <c r="AK31" s="2730">
        <v>3.9609999999999999</v>
      </c>
      <c r="AL31" s="2730">
        <v>11.53</v>
      </c>
      <c r="AM31" s="2730">
        <v>32.101999999999997</v>
      </c>
      <c r="AN31" s="2730">
        <v>66.793000000000006</v>
      </c>
      <c r="AO31" s="2730">
        <v>85.902000000000001</v>
      </c>
      <c r="AP31" s="2730">
        <v>27.117000000000001</v>
      </c>
      <c r="AQ31" s="2730">
        <v>12.734</v>
      </c>
      <c r="AR31" s="2073">
        <v>186</v>
      </c>
      <c r="AS31" s="2073">
        <v>721</v>
      </c>
      <c r="AT31" s="2073">
        <v>818</v>
      </c>
      <c r="AU31" s="2073">
        <v>818</v>
      </c>
      <c r="AV31" s="2073"/>
      <c r="AW31" s="2073"/>
      <c r="AX31" s="2073"/>
      <c r="AY31" s="2073"/>
      <c r="AZ31" s="2073"/>
      <c r="BA31" s="2073"/>
      <c r="BB31" s="2073"/>
    </row>
    <row r="32" spans="1:54">
      <c r="A32" s="2731" t="s">
        <v>2648</v>
      </c>
      <c r="B32" s="2730">
        <v>-5.0830000000000002</v>
      </c>
      <c r="C32" s="2730">
        <v>-5.6529999999999996</v>
      </c>
      <c r="D32" s="2730">
        <v>-4.9480000000000004</v>
      </c>
      <c r="E32" s="2787">
        <v>-10.459</v>
      </c>
      <c r="F32" s="2730">
        <v>-1.8180000000000001</v>
      </c>
      <c r="G32" s="2730">
        <v>-2.4500000000000002</v>
      </c>
      <c r="H32" s="2772">
        <v>-2.5329999999999999</v>
      </c>
      <c r="I32" s="2730">
        <v>-3.1669999999999998</v>
      </c>
      <c r="J32" s="2975">
        <v>1.51</v>
      </c>
      <c r="K32" s="2730">
        <v>-49.191000000000003</v>
      </c>
      <c r="L32" s="2730">
        <v>-59.866999999999997</v>
      </c>
      <c r="M32" s="2787">
        <v>-64.14</v>
      </c>
      <c r="N32" s="2730">
        <v>-421.911</v>
      </c>
      <c r="O32" s="2730">
        <v>-6.52</v>
      </c>
      <c r="P32" s="2730">
        <v>-6.649</v>
      </c>
      <c r="Q32" s="2787">
        <v>-2.5190000000000001</v>
      </c>
      <c r="R32" s="2730">
        <v>-5.7640000000000002</v>
      </c>
      <c r="S32" s="3097">
        <v>-6.52</v>
      </c>
      <c r="T32" s="2772">
        <v>-5</v>
      </c>
      <c r="U32" s="2787">
        <v>-5</v>
      </c>
      <c r="V32" s="2730">
        <v>-4</v>
      </c>
      <c r="W32" s="3097">
        <v>-2</v>
      </c>
      <c r="X32" s="2772">
        <v>-6</v>
      </c>
      <c r="Y32" s="2787">
        <v>-71</v>
      </c>
      <c r="Z32" s="2772"/>
      <c r="AA32" s="2772"/>
      <c r="AB32" s="2772"/>
      <c r="AC32" s="2772"/>
      <c r="AD32" s="2772"/>
      <c r="AE32" s="2772"/>
      <c r="AF32" s="2772"/>
      <c r="AG32" s="2772"/>
      <c r="AH32" s="2772"/>
      <c r="AI32" s="2772">
        <v>37</v>
      </c>
      <c r="AJ32" s="2772"/>
      <c r="AK32" s="2730">
        <v>-7.9020000000000001</v>
      </c>
      <c r="AL32" s="2730">
        <v>-12.254</v>
      </c>
      <c r="AM32" s="2730">
        <v>-16.402999999999999</v>
      </c>
      <c r="AN32" s="2730">
        <v>-26.143000000000001</v>
      </c>
      <c r="AO32" s="2730">
        <v>-9.968</v>
      </c>
      <c r="AP32" s="2730">
        <v>-171.68799999999999</v>
      </c>
      <c r="AQ32" s="2730">
        <v>-437.59899999999999</v>
      </c>
      <c r="AR32" s="2730">
        <v>-24</v>
      </c>
      <c r="AS32" s="2730">
        <v>-83</v>
      </c>
      <c r="AT32" s="2730"/>
      <c r="AU32" s="2730"/>
      <c r="AV32" s="2073"/>
      <c r="AW32" s="2073"/>
      <c r="AX32" s="2073"/>
      <c r="AY32" s="2073"/>
      <c r="AZ32" s="2073"/>
      <c r="BA32" s="2073"/>
      <c r="BB32" s="2073"/>
    </row>
    <row r="33" spans="1:54">
      <c r="A33" s="2731" t="s">
        <v>2649</v>
      </c>
      <c r="B33" s="2730">
        <v>-1.651</v>
      </c>
      <c r="C33" s="2730">
        <v>0.16600000000000001</v>
      </c>
      <c r="D33" s="2730">
        <v>-5.7240000000000002</v>
      </c>
      <c r="E33" s="2787">
        <v>-5.1520000000000001</v>
      </c>
      <c r="F33" s="2730">
        <v>6.5309999999999997</v>
      </c>
      <c r="G33" s="2730">
        <v>6.2839999999999998</v>
      </c>
      <c r="H33" s="2772">
        <v>29.315000000000001</v>
      </c>
      <c r="I33" s="2730">
        <v>-28.224</v>
      </c>
      <c r="J33" s="2975">
        <v>-46.76</v>
      </c>
      <c r="K33" s="2730">
        <v>-12.848000000000001</v>
      </c>
      <c r="L33" s="2730">
        <v>-56.143000000000001</v>
      </c>
      <c r="M33" s="2787">
        <v>-831.46900000000005</v>
      </c>
      <c r="N33" s="2730">
        <v>-300.09800000000001</v>
      </c>
      <c r="O33" s="2730">
        <v>-2.1280000000000001</v>
      </c>
      <c r="P33" s="2730">
        <v>2.1720000000000002</v>
      </c>
      <c r="Q33" s="2787">
        <v>-4</v>
      </c>
      <c r="R33" s="2730">
        <v>-1.9350000000000001</v>
      </c>
      <c r="S33" s="2741">
        <v>1.524</v>
      </c>
      <c r="T33" s="2772">
        <v>13</v>
      </c>
      <c r="U33" s="2787">
        <v>12</v>
      </c>
      <c r="V33" s="2730">
        <v>-7</v>
      </c>
      <c r="W33" s="2741">
        <v>-36</v>
      </c>
      <c r="X33" s="2772">
        <v>-3</v>
      </c>
      <c r="Y33" s="2787">
        <v>-8</v>
      </c>
      <c r="Z33" s="2772">
        <v>-10</v>
      </c>
      <c r="AA33" s="2772">
        <v>-42</v>
      </c>
      <c r="AB33" s="2772">
        <v>3</v>
      </c>
      <c r="AC33" s="2772">
        <v>9</v>
      </c>
      <c r="AD33" s="2772">
        <v>-38</v>
      </c>
      <c r="AE33" s="2772">
        <v>-23</v>
      </c>
      <c r="AF33" s="2772">
        <v>-13</v>
      </c>
      <c r="AG33" s="2772">
        <v>-38</v>
      </c>
      <c r="AH33" s="2772">
        <v>40</v>
      </c>
      <c r="AI33" s="2772">
        <v>-7</v>
      </c>
      <c r="AJ33" s="2772"/>
      <c r="AK33" s="2730">
        <v>-3.16</v>
      </c>
      <c r="AL33" s="2730">
        <v>-2.63</v>
      </c>
      <c r="AM33" s="2730">
        <v>6.5640000000000001</v>
      </c>
      <c r="AN33" s="2730">
        <v>-12.361000000000001</v>
      </c>
      <c r="AO33" s="2730">
        <v>13.906000000000001</v>
      </c>
      <c r="AP33" s="2730">
        <v>-947.22</v>
      </c>
      <c r="AQ33" s="2730">
        <v>-304.65899999999999</v>
      </c>
      <c r="AR33" s="2073">
        <v>25</v>
      </c>
      <c r="AS33" s="2730">
        <v>-54</v>
      </c>
      <c r="AT33" s="2730">
        <v>-40</v>
      </c>
      <c r="AU33" s="2730">
        <v>-40</v>
      </c>
      <c r="AV33" s="2073"/>
      <c r="AW33" s="2073"/>
      <c r="AX33" s="2073"/>
      <c r="AY33" s="2073"/>
      <c r="AZ33" s="2073"/>
      <c r="BA33" s="2073"/>
      <c r="BB33" s="2073"/>
    </row>
    <row r="34" spans="1:54">
      <c r="B34" s="2730"/>
      <c r="C34" s="2730"/>
      <c r="D34" s="2730"/>
      <c r="E34" s="2787"/>
      <c r="F34" s="2730"/>
      <c r="G34" s="2730"/>
      <c r="H34" s="2772"/>
      <c r="I34" s="2730"/>
      <c r="J34" s="2975"/>
      <c r="K34" s="2730"/>
      <c r="L34" s="2730"/>
      <c r="M34" s="2787"/>
      <c r="N34" s="2730"/>
      <c r="O34" s="2730"/>
      <c r="P34" s="2730"/>
      <c r="Q34" s="2787"/>
      <c r="R34" s="2730"/>
      <c r="S34" s="2741"/>
      <c r="T34" s="2772"/>
      <c r="U34" s="2787"/>
      <c r="V34" s="2730"/>
      <c r="W34" s="2741"/>
      <c r="X34" s="2772"/>
      <c r="Y34" s="2787"/>
      <c r="Z34" s="2772"/>
      <c r="AA34" s="2772"/>
      <c r="AB34" s="2772"/>
      <c r="AC34" s="2772"/>
      <c r="AD34" s="2772"/>
      <c r="AE34" s="2772"/>
      <c r="AF34" s="2772"/>
      <c r="AG34" s="2772"/>
      <c r="AH34" s="2772"/>
      <c r="AI34" s="2772"/>
      <c r="AJ34" s="2772"/>
      <c r="AK34" s="2730"/>
      <c r="AL34" s="2730"/>
      <c r="AM34" s="2730"/>
      <c r="AN34" s="2730"/>
      <c r="AO34" s="2730"/>
      <c r="AP34" s="2730"/>
      <c r="AQ34" s="2730"/>
      <c r="AR34" s="2073"/>
      <c r="AS34" s="2073"/>
      <c r="AT34" s="2073"/>
      <c r="AU34" s="2073"/>
      <c r="AV34" s="2073"/>
      <c r="AW34" s="2073"/>
      <c r="AX34" s="2073"/>
      <c r="AY34" s="2073"/>
      <c r="AZ34" s="2073"/>
      <c r="BA34" s="2073"/>
      <c r="BB34" s="2073"/>
    </row>
    <row r="35" spans="1:54">
      <c r="A35" s="2731" t="s">
        <v>2651</v>
      </c>
      <c r="B35" s="2738">
        <f t="shared" ref="B35:R35" si="40">B29+SUM(B31:B33)</f>
        <v>-132.19399999999996</v>
      </c>
      <c r="C35" s="2738">
        <f t="shared" si="40"/>
        <v>21.633999999999986</v>
      </c>
      <c r="D35" s="2738">
        <f t="shared" si="40"/>
        <v>330.31700000000001</v>
      </c>
      <c r="E35" s="2791">
        <f t="shared" si="40"/>
        <v>-172.99700000000004</v>
      </c>
      <c r="F35" s="2738">
        <f t="shared" si="40"/>
        <v>-278.96200000000005</v>
      </c>
      <c r="G35" s="2738">
        <f t="shared" si="40"/>
        <v>-71.953999999999866</v>
      </c>
      <c r="H35" s="2774">
        <f t="shared" si="40"/>
        <v>281.30199999999996</v>
      </c>
      <c r="I35" s="2738">
        <f t="shared" si="40"/>
        <v>-342.08899999999983</v>
      </c>
      <c r="J35" s="2980">
        <f t="shared" si="40"/>
        <v>-357.09000000000003</v>
      </c>
      <c r="K35" s="2738">
        <f t="shared" si="40"/>
        <v>-639.39799999999991</v>
      </c>
      <c r="L35" s="2738">
        <f t="shared" si="40"/>
        <v>307.05199999999996</v>
      </c>
      <c r="M35" s="2791">
        <f t="shared" si="40"/>
        <v>-3992.5020000000004</v>
      </c>
      <c r="N35" s="2738">
        <f t="shared" si="40"/>
        <v>-1165.902</v>
      </c>
      <c r="O35" s="2738">
        <f t="shared" si="40"/>
        <v>-56.984000000000023</v>
      </c>
      <c r="P35" s="2738">
        <f t="shared" si="40"/>
        <v>850.45799999999974</v>
      </c>
      <c r="Q35" s="2791">
        <f t="shared" si="40"/>
        <v>72.826000000000008</v>
      </c>
      <c r="R35" s="2738">
        <f t="shared" si="40"/>
        <v>-7.5130000000002202</v>
      </c>
      <c r="S35" s="3088">
        <v>383.11099999999999</v>
      </c>
      <c r="T35" s="2774">
        <v>1269.8989999999999</v>
      </c>
      <c r="U35" s="2791">
        <f>U29+SUM(U31:U33)</f>
        <v>344</v>
      </c>
      <c r="V35" s="2738">
        <v>130</v>
      </c>
      <c r="W35" s="3088">
        <v>676</v>
      </c>
      <c r="X35" s="2774">
        <v>1679</v>
      </c>
      <c r="Y35" s="2791">
        <v>-383</v>
      </c>
      <c r="Z35" s="2774">
        <v>293</v>
      </c>
      <c r="AA35" s="2774">
        <v>681</v>
      </c>
      <c r="AB35" s="2774">
        <v>1735</v>
      </c>
      <c r="AC35" s="2774">
        <v>622</v>
      </c>
      <c r="AD35" s="2774">
        <v>173</v>
      </c>
      <c r="AE35" s="2774">
        <f>SUM(AE29,AE31,AE33)</f>
        <v>779</v>
      </c>
      <c r="AF35" s="2774">
        <f>SUM(AF29,AF31,AF33)</f>
        <v>1792</v>
      </c>
      <c r="AG35" s="2774">
        <f>SUM(AG29,AG31,AG33)</f>
        <v>393</v>
      </c>
      <c r="AH35" s="2774">
        <v>281</v>
      </c>
      <c r="AI35" s="2774">
        <v>897</v>
      </c>
      <c r="AJ35" s="2774"/>
      <c r="AK35" s="2738">
        <f>AK29+SUM(AK31:AK33)</f>
        <v>-130.79800000000012</v>
      </c>
      <c r="AL35" s="2738">
        <f t="shared" ref="AL35:AQ35" si="41">AL29+SUM(AL31:AL33)</f>
        <v>-136.34699999999995</v>
      </c>
      <c r="AM35" s="2738">
        <f t="shared" si="41"/>
        <v>-59.099000000000082</v>
      </c>
      <c r="AN35" s="2738">
        <f t="shared" si="41"/>
        <v>47.033000000000143</v>
      </c>
      <c r="AO35" s="2738">
        <f t="shared" si="41"/>
        <v>-411.70300000000054</v>
      </c>
      <c r="AP35" s="2738">
        <f t="shared" si="41"/>
        <v>-4681.9380000000001</v>
      </c>
      <c r="AQ35" s="2738">
        <f t="shared" si="41"/>
        <v>-300.88300000000038</v>
      </c>
      <c r="AR35" s="2073">
        <v>1989</v>
      </c>
      <c r="AS35" s="2073">
        <v>2102</v>
      </c>
      <c r="AT35" s="2073">
        <v>3331</v>
      </c>
      <c r="AU35" s="2073">
        <v>3137</v>
      </c>
      <c r="AV35" s="2073"/>
      <c r="AW35" s="2073"/>
      <c r="AX35" s="2073"/>
      <c r="AY35" s="2073"/>
      <c r="AZ35" s="2073"/>
      <c r="BA35" s="2073"/>
      <c r="BB35" s="2073"/>
    </row>
    <row r="36" spans="1:54">
      <c r="A36" s="2731" t="s">
        <v>2836</v>
      </c>
      <c r="B36" s="2749">
        <v>-14.036</v>
      </c>
      <c r="C36" s="2749">
        <v>-11.693</v>
      </c>
      <c r="D36" s="2749">
        <v>7.5789999999999997</v>
      </c>
      <c r="E36" s="2792">
        <v>-45.743000000000002</v>
      </c>
      <c r="F36" s="2749">
        <v>-13.065</v>
      </c>
      <c r="G36" s="2749">
        <v>-225.47</v>
      </c>
      <c r="H36" s="2775">
        <v>-14.651999999999999</v>
      </c>
      <c r="I36" s="2749">
        <v>-9.4489999999999998</v>
      </c>
      <c r="J36" s="2981">
        <v>16.484999999999999</v>
      </c>
      <c r="K36" s="2749">
        <v>63.81</v>
      </c>
      <c r="L36" s="2749">
        <v>-87.724000000000004</v>
      </c>
      <c r="M36" s="2792">
        <v>104.651</v>
      </c>
      <c r="N36" s="2749">
        <v>-6.3090000000000002</v>
      </c>
      <c r="O36" s="2749">
        <v>-11.233000000000001</v>
      </c>
      <c r="P36" s="2749">
        <v>-16.565000000000001</v>
      </c>
      <c r="Q36" s="2792">
        <v>-17.72</v>
      </c>
      <c r="R36" s="2749">
        <v>-10.706</v>
      </c>
      <c r="S36" s="3089">
        <v>4.2699999999999996</v>
      </c>
      <c r="T36" s="2775">
        <v>-55.610999999999997</v>
      </c>
      <c r="U36" s="2792">
        <v>-25</v>
      </c>
      <c r="V36" s="2749">
        <v>-13</v>
      </c>
      <c r="W36" s="3089">
        <v>26</v>
      </c>
      <c r="X36" s="2775">
        <v>-2695</v>
      </c>
      <c r="Y36" s="2792">
        <v>34</v>
      </c>
      <c r="Z36" s="2775">
        <v>29</v>
      </c>
      <c r="AA36" s="2775">
        <v>126</v>
      </c>
      <c r="AB36" s="2775">
        <v>367</v>
      </c>
      <c r="AC36" s="2775">
        <v>161</v>
      </c>
      <c r="AD36" s="2775">
        <v>19</v>
      </c>
      <c r="AE36" s="2775">
        <v>137</v>
      </c>
      <c r="AF36" s="2775">
        <v>418</v>
      </c>
      <c r="AG36" s="2775">
        <v>52</v>
      </c>
      <c r="AH36" s="2775">
        <v>121</v>
      </c>
      <c r="AI36" s="2775">
        <v>81</v>
      </c>
      <c r="AJ36" s="2775"/>
      <c r="AK36" s="2749">
        <v>-4.6479999999999997</v>
      </c>
      <c r="AL36" s="2749">
        <v>-11.003</v>
      </c>
      <c r="AM36" s="2749">
        <v>-10.946999999999999</v>
      </c>
      <c r="AN36" s="2749">
        <v>-63.893000000000001</v>
      </c>
      <c r="AO36" s="2749">
        <v>-262.63600000000002</v>
      </c>
      <c r="AP36" s="2749">
        <f>SUM(J36:M36)</f>
        <v>97.221999999999994</v>
      </c>
      <c r="AQ36" s="2749">
        <v>-51.826999999999998</v>
      </c>
      <c r="AR36" s="2749">
        <v>-96</v>
      </c>
      <c r="AS36" s="2749">
        <v>2690</v>
      </c>
      <c r="AT36" s="2749">
        <v>-683</v>
      </c>
      <c r="AU36" s="2749">
        <v>-626</v>
      </c>
      <c r="AV36" s="2073"/>
      <c r="AW36" s="2073"/>
      <c r="AX36" s="2073"/>
      <c r="AY36" s="2073"/>
      <c r="AZ36" s="2073"/>
      <c r="BA36" s="2073"/>
      <c r="BB36" s="2073"/>
    </row>
    <row r="37" spans="1:54" s="2812" customFormat="1" ht="15">
      <c r="A37" s="2729" t="s">
        <v>2653</v>
      </c>
      <c r="B37" s="2741">
        <f t="shared" ref="B37:R37" si="42">B35+B36</f>
        <v>-146.22999999999996</v>
      </c>
      <c r="C37" s="2741">
        <f t="shared" si="42"/>
        <v>9.9409999999999865</v>
      </c>
      <c r="D37" s="2741">
        <f t="shared" si="42"/>
        <v>337.89600000000002</v>
      </c>
      <c r="E37" s="2788">
        <f t="shared" si="42"/>
        <v>-218.74000000000004</v>
      </c>
      <c r="F37" s="2741">
        <f t="shared" si="42"/>
        <v>-292.02700000000004</v>
      </c>
      <c r="G37" s="2741">
        <f t="shared" si="42"/>
        <v>-297.42399999999986</v>
      </c>
      <c r="H37" s="2773">
        <f t="shared" si="42"/>
        <v>266.64999999999998</v>
      </c>
      <c r="I37" s="2741">
        <f t="shared" si="42"/>
        <v>-351.53799999999984</v>
      </c>
      <c r="J37" s="2976">
        <f t="shared" si="42"/>
        <v>-340.60500000000002</v>
      </c>
      <c r="K37" s="2741">
        <f t="shared" si="42"/>
        <v>-575.58799999999997</v>
      </c>
      <c r="L37" s="2741">
        <f t="shared" si="42"/>
        <v>219.32799999999997</v>
      </c>
      <c r="M37" s="2788">
        <f t="shared" si="42"/>
        <v>-3887.8510000000006</v>
      </c>
      <c r="N37" s="2741">
        <f t="shared" si="42"/>
        <v>-1172.211</v>
      </c>
      <c r="O37" s="2741">
        <f t="shared" si="42"/>
        <v>-68.217000000000027</v>
      </c>
      <c r="P37" s="2741">
        <f t="shared" si="42"/>
        <v>833.89299999999969</v>
      </c>
      <c r="Q37" s="2788">
        <f t="shared" si="42"/>
        <v>55.106000000000009</v>
      </c>
      <c r="R37" s="2741">
        <f t="shared" si="42"/>
        <v>-18.219000000000221</v>
      </c>
      <c r="S37" s="2741">
        <v>378.84100000000001</v>
      </c>
      <c r="T37" s="2773">
        <v>1214.288</v>
      </c>
      <c r="U37" s="2788">
        <f>U35+U36</f>
        <v>319</v>
      </c>
      <c r="V37" s="2741">
        <f>V35+V36</f>
        <v>117</v>
      </c>
      <c r="W37" s="2741">
        <v>650</v>
      </c>
      <c r="X37" s="2773">
        <v>4374</v>
      </c>
      <c r="Y37" s="2788">
        <f>Y35+Y36</f>
        <v>-349</v>
      </c>
      <c r="Z37" s="2773">
        <v>264</v>
      </c>
      <c r="AA37" s="2773">
        <v>555</v>
      </c>
      <c r="AB37" s="2773">
        <v>1368</v>
      </c>
      <c r="AC37" s="2773">
        <v>461</v>
      </c>
      <c r="AD37" s="2773">
        <v>154</v>
      </c>
      <c r="AE37" s="2773">
        <f>AE35-AE36</f>
        <v>642</v>
      </c>
      <c r="AF37" s="2773">
        <f>AF35-AF36</f>
        <v>1374</v>
      </c>
      <c r="AG37" s="2773">
        <f>AG35-AG36</f>
        <v>341</v>
      </c>
      <c r="AH37" s="2773">
        <f>AH35-AH36</f>
        <v>160</v>
      </c>
      <c r="AI37" s="2773">
        <f>AI35-AI36</f>
        <v>816</v>
      </c>
      <c r="AJ37" s="2773"/>
      <c r="AK37" s="2741">
        <f>AK35+AK36</f>
        <v>-135.44600000000011</v>
      </c>
      <c r="AL37" s="2741">
        <f t="shared" ref="AL37:AS37" si="43">AL35+AL36</f>
        <v>-147.34999999999997</v>
      </c>
      <c r="AM37" s="2741">
        <f t="shared" si="43"/>
        <v>-70.046000000000078</v>
      </c>
      <c r="AN37" s="2741">
        <f t="shared" si="43"/>
        <v>-16.859999999999857</v>
      </c>
      <c r="AO37" s="2741">
        <f t="shared" si="43"/>
        <v>-674.33900000000062</v>
      </c>
      <c r="AP37" s="2741">
        <f t="shared" si="43"/>
        <v>-4584.7160000000003</v>
      </c>
      <c r="AQ37" s="2741">
        <f t="shared" si="43"/>
        <v>-352.71000000000038</v>
      </c>
      <c r="AR37" s="2741">
        <f t="shared" si="43"/>
        <v>1893</v>
      </c>
      <c r="AS37" s="2741">
        <f t="shared" si="43"/>
        <v>4792</v>
      </c>
      <c r="AT37" s="2741">
        <f>AT35+AT36</f>
        <v>2648</v>
      </c>
      <c r="AU37" s="2741">
        <f>AU35+AU36</f>
        <v>2511</v>
      </c>
      <c r="AV37" s="2811"/>
      <c r="AW37" s="2811"/>
      <c r="AX37" s="2811"/>
      <c r="AY37" s="2811"/>
      <c r="AZ37" s="2811"/>
      <c r="BA37" s="2811"/>
      <c r="BB37" s="2811"/>
    </row>
    <row r="38" spans="1:54">
      <c r="B38" s="2730"/>
      <c r="C38" s="2730"/>
      <c r="D38" s="2730"/>
      <c r="E38" s="2787"/>
      <c r="F38" s="2730"/>
      <c r="G38" s="2730"/>
      <c r="H38" s="2772"/>
      <c r="I38" s="2730"/>
      <c r="J38" s="2975"/>
      <c r="K38" s="2730"/>
      <c r="L38" s="2730"/>
      <c r="M38" s="2787"/>
      <c r="N38" s="2730"/>
      <c r="O38" s="2730"/>
      <c r="P38" s="2730"/>
      <c r="Q38" s="2787"/>
      <c r="R38" s="2730"/>
      <c r="S38" s="2741"/>
      <c r="T38" s="2772"/>
      <c r="U38" s="2787"/>
      <c r="V38" s="2730"/>
      <c r="W38" s="2741"/>
      <c r="X38" s="2772"/>
      <c r="Y38" s="2787"/>
      <c r="Z38" s="2772"/>
      <c r="AA38" s="2772"/>
      <c r="AB38" s="2772"/>
      <c r="AC38" s="2772"/>
      <c r="AD38" s="2772"/>
      <c r="AE38" s="2772"/>
      <c r="AF38" s="2772"/>
      <c r="AG38" s="2772"/>
      <c r="AH38" s="2772"/>
      <c r="AI38" s="2772"/>
      <c r="AJ38" s="2772"/>
      <c r="AK38" s="2730"/>
      <c r="AL38" s="2730"/>
      <c r="AM38" s="2730"/>
      <c r="AN38" s="2730"/>
      <c r="AO38" s="2730"/>
      <c r="AP38" s="2730"/>
      <c r="AQ38" s="2730"/>
      <c r="AR38" s="2073"/>
      <c r="AS38" s="2073"/>
      <c r="AT38" s="2073"/>
      <c r="AU38" s="2073"/>
      <c r="AV38" s="2073"/>
      <c r="AW38" s="2073"/>
      <c r="AX38" s="2073"/>
      <c r="AY38" s="2073"/>
      <c r="AZ38" s="2073"/>
      <c r="BA38" s="2073"/>
      <c r="BB38" s="2073"/>
    </row>
    <row r="39" spans="1:54">
      <c r="A39" s="2729" t="s">
        <v>2654</v>
      </c>
      <c r="B39" s="2730"/>
      <c r="C39" s="2730"/>
      <c r="D39" s="2730"/>
      <c r="E39" s="2787"/>
      <c r="F39" s="2730"/>
      <c r="G39" s="2730"/>
      <c r="H39" s="2772"/>
      <c r="I39" s="2730"/>
      <c r="J39" s="2975"/>
      <c r="K39" s="2730"/>
      <c r="L39" s="2730"/>
      <c r="M39" s="2787"/>
      <c r="N39" s="2730"/>
      <c r="O39" s="2730"/>
      <c r="P39" s="2730"/>
      <c r="Q39" s="2787"/>
      <c r="R39" s="2730"/>
      <c r="S39" s="2741"/>
      <c r="T39" s="2772"/>
      <c r="U39" s="2787"/>
      <c r="V39" s="2730"/>
      <c r="W39" s="2741"/>
      <c r="X39" s="2772"/>
      <c r="Y39" s="2787"/>
      <c r="Z39" s="2772"/>
      <c r="AA39" s="2772"/>
      <c r="AB39" s="2772"/>
      <c r="AC39" s="2772"/>
      <c r="AD39" s="2772"/>
      <c r="AE39" s="2772"/>
      <c r="AF39" s="2772"/>
      <c r="AG39" s="2772"/>
      <c r="AH39" s="2772"/>
      <c r="AI39" s="2772"/>
      <c r="AJ39" s="2772"/>
      <c r="AK39" s="2730"/>
      <c r="AL39" s="2730"/>
      <c r="AM39" s="2730"/>
      <c r="AN39" s="2730"/>
      <c r="AO39" s="2730"/>
      <c r="AP39" s="2730"/>
      <c r="AQ39" s="2730"/>
      <c r="AR39" s="2073"/>
      <c r="AS39" s="2073"/>
      <c r="AT39" s="2073"/>
      <c r="AU39" s="2073"/>
      <c r="AV39" s="2073"/>
      <c r="AW39" s="2073"/>
      <c r="AX39" s="2073"/>
      <c r="AY39" s="2073"/>
      <c r="AZ39" s="2073"/>
      <c r="BA39" s="2073"/>
      <c r="BB39" s="2073"/>
    </row>
    <row r="40" spans="1:54">
      <c r="A40" s="2731" t="s">
        <v>2652</v>
      </c>
      <c r="B40" s="2739">
        <v>1.0840000000000001</v>
      </c>
      <c r="C40" s="2739">
        <v>2.5000000000000001E-2</v>
      </c>
      <c r="D40" s="2739">
        <v>2.9000000000000001E-2</v>
      </c>
      <c r="E40" s="2793">
        <v>0.83</v>
      </c>
      <c r="F40" s="2739">
        <v>3.1E-2</v>
      </c>
      <c r="G40" s="2739">
        <v>0.124</v>
      </c>
      <c r="H40" s="2776">
        <v>0.128</v>
      </c>
      <c r="I40" s="2739">
        <v>0.53400000000000003</v>
      </c>
      <c r="J40" s="2982">
        <v>0.94899999999999995</v>
      </c>
      <c r="K40" s="2739">
        <v>0.85499999999999998</v>
      </c>
      <c r="L40" s="2730">
        <v>1.0649999999999999</v>
      </c>
      <c r="M40" s="2787">
        <v>141.12799999999999</v>
      </c>
      <c r="N40" s="2730">
        <v>11.412000000000001</v>
      </c>
      <c r="O40" s="2730">
        <v>14.236000000000001</v>
      </c>
      <c r="P40" s="2730">
        <v>11.162000000000001</v>
      </c>
      <c r="Q40" s="2787">
        <v>11.663</v>
      </c>
      <c r="R40" s="2730">
        <v>11.695</v>
      </c>
      <c r="S40" s="2741">
        <v>16.914000000000001</v>
      </c>
      <c r="T40" s="2772">
        <v>17.946999999999999</v>
      </c>
      <c r="U40" s="2787">
        <v>16</v>
      </c>
      <c r="V40" s="2730">
        <v>15</v>
      </c>
      <c r="W40" s="2741">
        <v>19</v>
      </c>
      <c r="X40" s="2772">
        <v>17</v>
      </c>
      <c r="Y40" s="2787">
        <v>17</v>
      </c>
      <c r="Z40" s="2772">
        <v>19</v>
      </c>
      <c r="AA40" s="2772">
        <v>24</v>
      </c>
      <c r="AB40" s="2772">
        <v>22</v>
      </c>
      <c r="AC40" s="2772">
        <v>25</v>
      </c>
      <c r="AD40" s="2772">
        <v>21</v>
      </c>
      <c r="AE40" s="2772">
        <v>23</v>
      </c>
      <c r="AF40" s="2772">
        <v>22</v>
      </c>
      <c r="AG40" s="2772">
        <v>24</v>
      </c>
      <c r="AH40" s="2772">
        <v>25</v>
      </c>
      <c r="AI40" s="2772">
        <v>38</v>
      </c>
      <c r="AJ40" s="2772"/>
      <c r="AK40" s="2739">
        <v>0.36499999999999999</v>
      </c>
      <c r="AL40" s="2739">
        <v>0.35299999999999998</v>
      </c>
      <c r="AM40" s="2739">
        <v>1.841</v>
      </c>
      <c r="AN40" s="2739">
        <v>1.968</v>
      </c>
      <c r="AO40" s="2739">
        <v>0.81699999999999995</v>
      </c>
      <c r="AP40" s="2730">
        <f t="shared" ref="AP40:AP45" si="44">SUM(J40:M40)</f>
        <v>143.99699999999999</v>
      </c>
      <c r="AQ40" s="2730">
        <v>48.472999999999999</v>
      </c>
      <c r="AR40" s="2073">
        <v>63</v>
      </c>
      <c r="AS40" s="2073">
        <v>68</v>
      </c>
      <c r="AT40" s="2073">
        <v>90</v>
      </c>
      <c r="AU40" s="2073">
        <v>90</v>
      </c>
      <c r="AV40" s="2073"/>
      <c r="AW40" s="2073"/>
      <c r="AX40" s="2073"/>
      <c r="AY40" s="2073"/>
      <c r="AZ40" s="2073"/>
      <c r="BA40" s="2073"/>
      <c r="BB40" s="2073"/>
    </row>
    <row r="41" spans="1:54">
      <c r="A41" s="2731" t="s">
        <v>2655</v>
      </c>
      <c r="B41" s="2730">
        <v>9.9339999999999993</v>
      </c>
      <c r="C41" s="2730">
        <v>7.8940000000000001</v>
      </c>
      <c r="D41" s="2730">
        <v>7.8940000000000001</v>
      </c>
      <c r="E41" s="2787">
        <v>8.14</v>
      </c>
      <c r="F41" s="2730">
        <v>6.7110000000000003</v>
      </c>
      <c r="G41" s="2730">
        <v>7.9950000000000001</v>
      </c>
      <c r="H41" s="2772">
        <v>30.285</v>
      </c>
      <c r="I41" s="2730">
        <v>11.641</v>
      </c>
      <c r="J41" s="2975">
        <v>22.436</v>
      </c>
      <c r="K41" s="2730">
        <v>20.716000000000001</v>
      </c>
      <c r="L41" s="2730">
        <v>20.936</v>
      </c>
      <c r="M41" s="2787">
        <v>1814.7049999999999</v>
      </c>
      <c r="N41" s="2730">
        <v>143.715</v>
      </c>
      <c r="O41" s="2730">
        <v>143.81200000000001</v>
      </c>
      <c r="P41" s="2730">
        <v>131.27699999999999</v>
      </c>
      <c r="Q41" s="2787">
        <v>126.309</v>
      </c>
      <c r="R41" s="2730">
        <v>117.876</v>
      </c>
      <c r="S41" s="2741">
        <v>144.93199999999999</v>
      </c>
      <c r="T41" s="2772">
        <v>135</v>
      </c>
      <c r="U41" s="2787">
        <v>150</v>
      </c>
      <c r="V41" s="2730">
        <v>149</v>
      </c>
      <c r="W41" s="2741">
        <v>191</v>
      </c>
      <c r="X41" s="2772">
        <v>175</v>
      </c>
      <c r="Y41" s="2787">
        <v>179</v>
      </c>
      <c r="Z41" s="2772">
        <v>185</v>
      </c>
      <c r="AA41" s="2772">
        <v>239</v>
      </c>
      <c r="AB41" s="2772">
        <v>230</v>
      </c>
      <c r="AC41" s="2772">
        <v>232</v>
      </c>
      <c r="AD41" s="2772">
        <v>230</v>
      </c>
      <c r="AE41" s="2772">
        <v>279</v>
      </c>
      <c r="AF41" s="2772">
        <v>254</v>
      </c>
      <c r="AG41" s="2772">
        <v>254</v>
      </c>
      <c r="AH41" s="2772">
        <v>263</v>
      </c>
      <c r="AI41" s="2772">
        <v>298</v>
      </c>
      <c r="AJ41" s="2772"/>
      <c r="AK41" s="2730">
        <v>4.8120000000000003</v>
      </c>
      <c r="AL41" s="2730">
        <v>7.7320000000000002</v>
      </c>
      <c r="AM41" s="2730">
        <v>20.309000000000001</v>
      </c>
      <c r="AN41" s="2730">
        <v>33.895000000000003</v>
      </c>
      <c r="AO41" s="2730">
        <v>56.631999999999998</v>
      </c>
      <c r="AP41" s="2730">
        <f t="shared" si="44"/>
        <v>1878.7929999999999</v>
      </c>
      <c r="AQ41" s="2730">
        <v>545.11300000000006</v>
      </c>
      <c r="AR41" s="2073">
        <v>548</v>
      </c>
      <c r="AS41" s="2073">
        <v>694</v>
      </c>
      <c r="AT41" s="2073">
        <v>886</v>
      </c>
      <c r="AU41" s="2073">
        <v>1017</v>
      </c>
      <c r="AV41" s="2073"/>
      <c r="AW41" s="2073"/>
      <c r="AX41" s="2073"/>
      <c r="AY41" s="2073"/>
      <c r="AZ41" s="2073"/>
      <c r="BA41" s="2073"/>
      <c r="BB41" s="2073"/>
    </row>
    <row r="42" spans="1:54">
      <c r="A42" s="2731" t="s">
        <v>1650</v>
      </c>
      <c r="B42" s="2730">
        <v>2.9580000000000002</v>
      </c>
      <c r="C42" s="2730">
        <v>3.085</v>
      </c>
      <c r="D42" s="2730">
        <v>3.085</v>
      </c>
      <c r="E42" s="2787">
        <v>3.363</v>
      </c>
      <c r="F42" s="2730">
        <v>4.7930000000000001</v>
      </c>
      <c r="G42" s="2730">
        <v>6.1970000000000001</v>
      </c>
      <c r="H42" s="2772">
        <v>6.0839999999999996</v>
      </c>
      <c r="I42" s="2730">
        <v>6.8449999999999998</v>
      </c>
      <c r="J42" s="2975">
        <v>6.048</v>
      </c>
      <c r="K42" s="2730">
        <v>4.3869999999999996</v>
      </c>
      <c r="L42" s="2730">
        <v>1.544</v>
      </c>
      <c r="M42" s="2787">
        <v>423.29300000000001</v>
      </c>
      <c r="N42" s="2730">
        <v>25.901</v>
      </c>
      <c r="O42" s="2730">
        <v>24.064</v>
      </c>
      <c r="P42" s="2730">
        <v>23.710999999999999</v>
      </c>
      <c r="Q42" s="2787">
        <v>26.292999999999999</v>
      </c>
      <c r="R42" s="2730">
        <v>21.207000000000001</v>
      </c>
      <c r="S42" s="2741">
        <v>29.117999999999999</v>
      </c>
      <c r="T42" s="2772">
        <v>28</v>
      </c>
      <c r="U42" s="2787">
        <v>36</v>
      </c>
      <c r="V42" s="2730">
        <v>28</v>
      </c>
      <c r="W42" s="2741">
        <v>36</v>
      </c>
      <c r="X42" s="2772">
        <v>33</v>
      </c>
      <c r="Y42" s="2787">
        <v>33</v>
      </c>
      <c r="Z42" s="2772">
        <v>35</v>
      </c>
      <c r="AA42" s="2772">
        <v>46</v>
      </c>
      <c r="AB42" s="2772">
        <v>43</v>
      </c>
      <c r="AC42" s="2772">
        <v>46</v>
      </c>
      <c r="AD42" s="2772">
        <v>44</v>
      </c>
      <c r="AE42" s="2772">
        <v>52</v>
      </c>
      <c r="AF42" s="2772">
        <v>54</v>
      </c>
      <c r="AG42" s="2772">
        <v>62</v>
      </c>
      <c r="AH42" s="2772">
        <v>55</v>
      </c>
      <c r="AI42" s="2772">
        <v>67</v>
      </c>
      <c r="AJ42" s="2772"/>
      <c r="AK42" s="2730">
        <v>3.0310000000000001</v>
      </c>
      <c r="AL42" s="2730">
        <v>9.3689999999999998</v>
      </c>
      <c r="AM42" s="2730">
        <v>5.9969999999999999</v>
      </c>
      <c r="AN42" s="2730">
        <v>12.465</v>
      </c>
      <c r="AO42" s="2730">
        <v>23.919</v>
      </c>
      <c r="AP42" s="2730">
        <f t="shared" si="44"/>
        <v>435.27199999999999</v>
      </c>
      <c r="AQ42" s="2730">
        <v>99.968999999999994</v>
      </c>
      <c r="AR42" s="2073">
        <v>114</v>
      </c>
      <c r="AS42" s="2073">
        <v>130</v>
      </c>
      <c r="AT42" s="2073">
        <v>170</v>
      </c>
      <c r="AU42" s="2073">
        <v>212</v>
      </c>
      <c r="AV42" s="2073"/>
      <c r="AW42" s="2073"/>
      <c r="AX42" s="2073"/>
      <c r="AY42" s="2073"/>
      <c r="AZ42" s="2073"/>
      <c r="BA42" s="2073"/>
      <c r="BB42" s="2073"/>
    </row>
    <row r="43" spans="1:54">
      <c r="A43" s="2731" t="s">
        <v>2656</v>
      </c>
      <c r="B43" s="2730">
        <v>-1.548</v>
      </c>
      <c r="C43" s="2730">
        <v>2.3570000000000002</v>
      </c>
      <c r="D43" s="2730">
        <v>2.3570000000000002</v>
      </c>
      <c r="E43" s="2787">
        <v>2.371</v>
      </c>
      <c r="F43" s="2730">
        <v>2.528</v>
      </c>
      <c r="G43" s="2730">
        <v>3.7330000000000001</v>
      </c>
      <c r="H43" s="2772">
        <v>3.7010000000000001</v>
      </c>
      <c r="I43" s="2730">
        <v>6.2169999999999996</v>
      </c>
      <c r="J43" s="2975">
        <v>12.193</v>
      </c>
      <c r="K43" s="2730">
        <v>13.608000000000001</v>
      </c>
      <c r="L43" s="2730">
        <v>5.8879999999999999</v>
      </c>
      <c r="M43" s="2787">
        <v>512.39700000000005</v>
      </c>
      <c r="N43" s="2730">
        <v>48.457000000000001</v>
      </c>
      <c r="O43" s="2730">
        <v>50.728000000000002</v>
      </c>
      <c r="P43" s="2730">
        <v>44.689</v>
      </c>
      <c r="Q43" s="2787">
        <v>61.417999999999999</v>
      </c>
      <c r="R43" s="2730">
        <v>44.113999999999997</v>
      </c>
      <c r="S43" s="2741">
        <v>56.164000000000001</v>
      </c>
      <c r="T43" s="2772">
        <v>53.066000000000003</v>
      </c>
      <c r="U43" s="2787">
        <v>52</v>
      </c>
      <c r="V43" s="2730">
        <v>48</v>
      </c>
      <c r="W43" s="2741">
        <v>58</v>
      </c>
      <c r="X43" s="2772">
        <v>61</v>
      </c>
      <c r="Y43" s="2787">
        <v>61</v>
      </c>
      <c r="Z43" s="2772">
        <v>56</v>
      </c>
      <c r="AA43" s="2772">
        <v>73</v>
      </c>
      <c r="AB43" s="2772">
        <v>67</v>
      </c>
      <c r="AC43" s="2772">
        <v>65</v>
      </c>
      <c r="AD43" s="2772">
        <v>63</v>
      </c>
      <c r="AE43" s="2772">
        <v>70</v>
      </c>
      <c r="AF43" s="2772">
        <v>69</v>
      </c>
      <c r="AG43" s="2772">
        <v>71</v>
      </c>
      <c r="AH43" s="2772">
        <v>67</v>
      </c>
      <c r="AI43" s="2772">
        <v>84</v>
      </c>
      <c r="AJ43" s="2772"/>
      <c r="AK43" s="2730">
        <v>14.583</v>
      </c>
      <c r="AL43" s="2730">
        <v>16.420000000000002</v>
      </c>
      <c r="AM43" s="2730">
        <v>10.210000000000001</v>
      </c>
      <c r="AN43" s="2730">
        <v>5.5650000000000004</v>
      </c>
      <c r="AO43" s="2730">
        <v>16.178999999999998</v>
      </c>
      <c r="AP43" s="2730">
        <f t="shared" si="44"/>
        <v>544.08600000000001</v>
      </c>
      <c r="AQ43" s="2730">
        <v>205.292</v>
      </c>
      <c r="AR43" s="2073">
        <v>205</v>
      </c>
      <c r="AS43" s="2073">
        <v>228</v>
      </c>
      <c r="AT43" s="2073">
        <v>261</v>
      </c>
      <c r="AU43" s="2073">
        <v>273</v>
      </c>
      <c r="AV43" s="2073"/>
      <c r="AW43" s="2073"/>
      <c r="AX43" s="2073"/>
      <c r="AY43" s="2073"/>
      <c r="AZ43" s="2073"/>
      <c r="BA43" s="2073"/>
      <c r="BB43" s="2073"/>
    </row>
    <row r="44" spans="1:54">
      <c r="A44" s="2731" t="s">
        <v>2657</v>
      </c>
      <c r="B44" s="2730">
        <v>0</v>
      </c>
      <c r="C44" s="2730">
        <v>0</v>
      </c>
      <c r="D44" s="2730">
        <v>0</v>
      </c>
      <c r="E44" s="2787">
        <v>0</v>
      </c>
      <c r="F44" s="2730">
        <v>0</v>
      </c>
      <c r="G44" s="2730">
        <v>0</v>
      </c>
      <c r="H44" s="2772">
        <v>0</v>
      </c>
      <c r="I44" s="2730">
        <v>0</v>
      </c>
      <c r="J44" s="2975">
        <v>0</v>
      </c>
      <c r="K44" s="2730">
        <v>-1.76</v>
      </c>
      <c r="L44" s="2730">
        <v>-7.2999999999999995E-2</v>
      </c>
      <c r="M44" s="2787">
        <v>1.649</v>
      </c>
      <c r="N44" s="2730">
        <v>-1.0999999999999999E-2</v>
      </c>
      <c r="O44" s="2730">
        <v>2.3E-2</v>
      </c>
      <c r="P44" s="2730">
        <v>-0.05</v>
      </c>
      <c r="Q44" s="2787">
        <v>2.1000000000000001E-2</v>
      </c>
      <c r="R44" s="2730">
        <v>3.1E-2</v>
      </c>
      <c r="S44" s="2741">
        <v>-2.3E-2</v>
      </c>
      <c r="T44" s="2772">
        <v>0</v>
      </c>
      <c r="U44" s="2787">
        <v>0</v>
      </c>
      <c r="V44" s="2730"/>
      <c r="W44" s="2741"/>
      <c r="X44" s="2772"/>
      <c r="Y44" s="2787"/>
      <c r="Z44" s="2772"/>
      <c r="AA44" s="2772"/>
      <c r="AB44" s="2772"/>
      <c r="AC44" s="2772"/>
      <c r="AD44" s="2772"/>
      <c r="AE44" s="2772"/>
      <c r="AF44" s="2772"/>
      <c r="AG44" s="2772"/>
      <c r="AH44" s="2772"/>
      <c r="AI44" s="2772"/>
      <c r="AJ44" s="2772"/>
      <c r="AK44" s="2730">
        <v>0</v>
      </c>
      <c r="AL44" s="2730">
        <v>0</v>
      </c>
      <c r="AM44" s="2730">
        <v>0</v>
      </c>
      <c r="AN44" s="2730">
        <v>0</v>
      </c>
      <c r="AO44" s="2730">
        <v>0</v>
      </c>
      <c r="AP44" s="2730">
        <f t="shared" si="44"/>
        <v>-0.18399999999999994</v>
      </c>
      <c r="AQ44" s="2730">
        <v>-1.7000000000000001E-2</v>
      </c>
      <c r="AR44" s="2073">
        <v>0</v>
      </c>
      <c r="AS44" s="2073">
        <v>0</v>
      </c>
      <c r="AT44" s="2073">
        <v>0</v>
      </c>
      <c r="AU44" s="2073">
        <v>0</v>
      </c>
      <c r="AV44" s="2073"/>
      <c r="AW44" s="2073"/>
      <c r="AX44" s="2073"/>
      <c r="AY44" s="2073"/>
      <c r="AZ44" s="2073"/>
      <c r="BA44" s="2073"/>
      <c r="BB44" s="2073"/>
    </row>
    <row r="45" spans="1:54">
      <c r="A45" s="2731" t="s">
        <v>2658</v>
      </c>
      <c r="B45" s="2730">
        <f>SUM(B40:B44)</f>
        <v>12.427999999999999</v>
      </c>
      <c r="C45" s="2730">
        <f t="shared" ref="C45:V45" si="45">SUM(C40:C44)</f>
        <v>13.361000000000001</v>
      </c>
      <c r="D45" s="2730">
        <f t="shared" si="45"/>
        <v>13.364999999999998</v>
      </c>
      <c r="E45" s="2787">
        <f t="shared" si="45"/>
        <v>14.704000000000001</v>
      </c>
      <c r="F45" s="2730">
        <f t="shared" si="45"/>
        <v>14.063000000000001</v>
      </c>
      <c r="G45" s="2730">
        <f t="shared" si="45"/>
        <v>18.048999999999999</v>
      </c>
      <c r="H45" s="2772">
        <f t="shared" si="45"/>
        <v>40.198</v>
      </c>
      <c r="I45" s="2730">
        <f t="shared" si="45"/>
        <v>25.236999999999998</v>
      </c>
      <c r="J45" s="2975">
        <f t="shared" si="45"/>
        <v>41.625999999999998</v>
      </c>
      <c r="K45" s="2730">
        <f t="shared" si="45"/>
        <v>37.806000000000004</v>
      </c>
      <c r="L45" s="2730">
        <f t="shared" si="45"/>
        <v>29.36</v>
      </c>
      <c r="M45" s="2787">
        <f t="shared" si="45"/>
        <v>2893.1719999999996</v>
      </c>
      <c r="N45" s="2730">
        <f t="shared" si="45"/>
        <v>229.47400000000002</v>
      </c>
      <c r="O45" s="2730">
        <f t="shared" si="45"/>
        <v>232.863</v>
      </c>
      <c r="P45" s="2730">
        <f t="shared" si="45"/>
        <v>210.78899999999996</v>
      </c>
      <c r="Q45" s="2787">
        <f t="shared" si="45"/>
        <v>225.70400000000001</v>
      </c>
      <c r="R45" s="2730">
        <f t="shared" si="45"/>
        <v>194.923</v>
      </c>
      <c r="S45" s="2741">
        <f t="shared" si="45"/>
        <v>247.10499999999999</v>
      </c>
      <c r="T45" s="2772">
        <f t="shared" si="45"/>
        <v>234.01300000000001</v>
      </c>
      <c r="U45" s="2787">
        <f t="shared" si="45"/>
        <v>254</v>
      </c>
      <c r="V45" s="2730">
        <f t="shared" si="45"/>
        <v>240</v>
      </c>
      <c r="W45" s="2741">
        <v>304</v>
      </c>
      <c r="X45" s="2772">
        <v>286</v>
      </c>
      <c r="Y45" s="2787">
        <v>290</v>
      </c>
      <c r="Z45" s="2772">
        <v>295</v>
      </c>
      <c r="AA45" s="2772">
        <v>382</v>
      </c>
      <c r="AB45" s="2772">
        <v>362</v>
      </c>
      <c r="AC45" s="2772">
        <v>368</v>
      </c>
      <c r="AD45" s="2772">
        <v>358</v>
      </c>
      <c r="AE45" s="2772">
        <f>SUM(AE40:AE43)</f>
        <v>424</v>
      </c>
      <c r="AF45" s="2772">
        <f>SUM(AF40:AF43)</f>
        <v>399</v>
      </c>
      <c r="AG45" s="2772">
        <f>SUM(AG40:AG43)</f>
        <v>411</v>
      </c>
      <c r="AH45" s="2772">
        <f>SUM(AH40:AH43)</f>
        <v>410</v>
      </c>
      <c r="AI45" s="2772">
        <f>SUM(AI40:AI43)</f>
        <v>487</v>
      </c>
      <c r="AJ45" s="2772"/>
      <c r="AK45" s="2730">
        <f>SUM(AK40:AK44)</f>
        <v>22.791</v>
      </c>
      <c r="AL45" s="2730">
        <f t="shared" ref="AL45:AS45" si="46">SUM(AL40:AL44)</f>
        <v>33.874000000000002</v>
      </c>
      <c r="AM45" s="2730">
        <f t="shared" si="46"/>
        <v>38.356999999999999</v>
      </c>
      <c r="AN45" s="2730">
        <f t="shared" si="46"/>
        <v>53.893000000000001</v>
      </c>
      <c r="AO45" s="2730">
        <f t="shared" si="46"/>
        <v>97.546999999999997</v>
      </c>
      <c r="AP45" s="2730">
        <f t="shared" si="44"/>
        <v>3001.9639999999995</v>
      </c>
      <c r="AQ45" s="2730">
        <f t="shared" si="46"/>
        <v>898.83</v>
      </c>
      <c r="AR45" s="2730">
        <f t="shared" si="46"/>
        <v>930</v>
      </c>
      <c r="AS45" s="2730">
        <f t="shared" si="46"/>
        <v>1120</v>
      </c>
      <c r="AT45" s="2730">
        <f>SUM(AT40:AT44)</f>
        <v>1407</v>
      </c>
      <c r="AU45" s="2730">
        <f>SUM(AU40:AU44)</f>
        <v>1592</v>
      </c>
      <c r="AV45" s="2073"/>
      <c r="AW45" s="2073"/>
      <c r="AX45" s="2073"/>
      <c r="AY45" s="2073"/>
      <c r="AZ45" s="2073"/>
      <c r="BA45" s="2073"/>
      <c r="BB45" s="2073"/>
    </row>
    <row r="46" spans="1:54">
      <c r="B46" s="2730"/>
      <c r="C46" s="2730"/>
      <c r="D46" s="2730"/>
      <c r="E46" s="2787"/>
      <c r="F46" s="2730"/>
      <c r="G46" s="2730"/>
      <c r="H46" s="2772"/>
      <c r="I46" s="2730"/>
      <c r="J46" s="2975"/>
      <c r="K46" s="2730"/>
      <c r="L46" s="2730"/>
      <c r="M46" s="2787"/>
      <c r="N46" s="2730"/>
      <c r="O46" s="2730"/>
      <c r="P46" s="2730"/>
      <c r="Q46" s="2787"/>
      <c r="R46" s="2730"/>
      <c r="S46" s="2741"/>
      <c r="T46" s="2772"/>
      <c r="U46" s="2787"/>
      <c r="V46" s="2730"/>
      <c r="W46" s="2741"/>
      <c r="X46" s="2772"/>
      <c r="Y46" s="2787"/>
      <c r="Z46" s="2772"/>
      <c r="AA46" s="2772"/>
      <c r="AB46" s="2772"/>
      <c r="AC46" s="2772"/>
      <c r="AD46" s="2772"/>
      <c r="AE46" s="2772"/>
      <c r="AF46" s="2772"/>
      <c r="AG46" s="2772"/>
      <c r="AH46" s="2772"/>
      <c r="AI46" s="2772"/>
      <c r="AJ46" s="2772"/>
      <c r="AK46" s="2730"/>
      <c r="AL46" s="2730"/>
      <c r="AM46" s="2730"/>
      <c r="AN46" s="2730"/>
      <c r="AO46" s="2730"/>
      <c r="AP46" s="2730"/>
      <c r="AQ46" s="2730"/>
      <c r="AR46" s="2073"/>
      <c r="AS46" s="2073"/>
      <c r="AT46" s="2073"/>
      <c r="AU46" s="2073"/>
      <c r="AV46" s="2073"/>
      <c r="AW46" s="2073"/>
      <c r="AX46" s="2073"/>
      <c r="AY46" s="2073"/>
      <c r="AZ46" s="2073"/>
      <c r="BA46" s="2073"/>
      <c r="BB46" s="2073"/>
    </row>
    <row r="47" spans="1:54" outlineLevel="1">
      <c r="A47" s="2729" t="s">
        <v>2697</v>
      </c>
      <c r="B47" s="2730"/>
      <c r="C47" s="2730"/>
      <c r="D47" s="2730"/>
      <c r="E47" s="2787"/>
      <c r="F47" s="2730"/>
      <c r="G47" s="2730"/>
      <c r="H47" s="2772"/>
      <c r="I47" s="2730"/>
      <c r="J47" s="2975"/>
      <c r="K47" s="2730"/>
      <c r="L47" s="2730"/>
      <c r="M47" s="2787"/>
      <c r="N47" s="2730"/>
      <c r="O47" s="2730"/>
      <c r="P47" s="2730"/>
      <c r="Q47" s="2787"/>
      <c r="R47" s="2730"/>
      <c r="S47" s="2741"/>
      <c r="T47" s="2772"/>
      <c r="U47" s="2787"/>
      <c r="V47" s="2730"/>
      <c r="W47" s="2741"/>
      <c r="X47" s="2772"/>
      <c r="Y47" s="2787"/>
      <c r="Z47" s="2772"/>
      <c r="AA47" s="2772"/>
      <c r="AB47" s="2772"/>
      <c r="AC47" s="2772"/>
      <c r="AD47" s="2772"/>
      <c r="AE47" s="2772"/>
      <c r="AF47" s="2772"/>
      <c r="AG47" s="2772"/>
      <c r="AH47" s="2772"/>
      <c r="AI47" s="2772"/>
      <c r="AJ47" s="2772"/>
      <c r="AK47" s="2730"/>
      <c r="AL47" s="2730"/>
      <c r="AM47" s="2730"/>
      <c r="AN47" s="2730"/>
      <c r="AO47" s="2730"/>
      <c r="AP47" s="2772"/>
      <c r="AQ47" s="2772"/>
      <c r="AR47" s="2073"/>
      <c r="AS47" s="2073"/>
      <c r="AT47" s="2073"/>
      <c r="AU47" s="2073"/>
      <c r="AV47" s="2073"/>
      <c r="AW47" s="2073"/>
      <c r="AX47" s="2073"/>
      <c r="AY47" s="2073"/>
      <c r="AZ47" s="2073"/>
      <c r="BA47" s="2073"/>
      <c r="BB47" s="2073"/>
    </row>
    <row r="48" spans="1:54" outlineLevel="1">
      <c r="A48" s="2731" t="s">
        <v>2652</v>
      </c>
      <c r="B48" s="2730"/>
      <c r="C48" s="2730"/>
      <c r="D48" s="2730"/>
      <c r="E48" s="2787"/>
      <c r="F48" s="2730"/>
      <c r="G48" s="2730"/>
      <c r="H48" s="2772"/>
      <c r="I48" s="2730"/>
      <c r="J48" s="2975"/>
      <c r="K48" s="2730"/>
      <c r="L48" s="2730"/>
      <c r="M48" s="2787">
        <v>4.9020000000000001</v>
      </c>
      <c r="N48" s="2730"/>
      <c r="O48" s="2730"/>
      <c r="P48" s="2730"/>
      <c r="Q48" s="2787"/>
      <c r="R48" s="2730"/>
      <c r="S48" s="2741"/>
      <c r="T48" s="2772"/>
      <c r="U48" s="2787"/>
      <c r="V48" s="2730"/>
      <c r="W48" s="2741"/>
      <c r="X48" s="2772"/>
      <c r="Y48" s="2787"/>
      <c r="Z48" s="2772"/>
      <c r="AA48" s="2772"/>
      <c r="AB48" s="2772"/>
      <c r="AC48" s="2772"/>
      <c r="AD48" s="2772"/>
      <c r="AE48" s="2772"/>
      <c r="AF48" s="2772"/>
      <c r="AG48" s="2772"/>
      <c r="AH48" s="2772"/>
      <c r="AI48" s="2772"/>
      <c r="AJ48" s="2772"/>
      <c r="AK48" s="2730"/>
      <c r="AL48" s="2730"/>
      <c r="AM48" s="2730"/>
      <c r="AN48" s="2730"/>
      <c r="AO48" s="2730"/>
      <c r="AP48" s="2772">
        <v>4.9020000000000001</v>
      </c>
      <c r="AQ48" s="2772"/>
      <c r="AR48" s="2073"/>
      <c r="AS48" s="2073"/>
      <c r="AT48" s="2073"/>
      <c r="AU48" s="2073"/>
      <c r="AV48" s="2073"/>
      <c r="AW48" s="2073"/>
      <c r="AX48" s="2073"/>
      <c r="AY48" s="2073"/>
      <c r="AZ48" s="2073"/>
      <c r="BA48" s="2073"/>
      <c r="BB48" s="2073"/>
    </row>
    <row r="49" spans="1:54" outlineLevel="1">
      <c r="A49" s="2731" t="s">
        <v>2655</v>
      </c>
      <c r="B49" s="2730"/>
      <c r="C49" s="2730"/>
      <c r="D49" s="2730"/>
      <c r="E49" s="2787"/>
      <c r="F49" s="2730"/>
      <c r="G49" s="2730"/>
      <c r="H49" s="2772"/>
      <c r="I49" s="2730"/>
      <c r="J49" s="2975"/>
      <c r="K49" s="2730"/>
      <c r="L49" s="2730"/>
      <c r="M49" s="2787">
        <v>46.091000000000001</v>
      </c>
      <c r="N49" s="2730"/>
      <c r="O49" s="2730"/>
      <c r="P49" s="2730"/>
      <c r="Q49" s="2787"/>
      <c r="R49" s="2730"/>
      <c r="S49" s="2741"/>
      <c r="T49" s="2772"/>
      <c r="U49" s="2787"/>
      <c r="V49" s="2730"/>
      <c r="W49" s="2741"/>
      <c r="X49" s="2772"/>
      <c r="Y49" s="2787"/>
      <c r="Z49" s="2772"/>
      <c r="AA49" s="2772"/>
      <c r="AB49" s="2772"/>
      <c r="AC49" s="2772"/>
      <c r="AD49" s="2772"/>
      <c r="AE49" s="2772"/>
      <c r="AF49" s="2772"/>
      <c r="AG49" s="2772"/>
      <c r="AH49" s="2772"/>
      <c r="AI49" s="2772"/>
      <c r="AJ49" s="2772"/>
      <c r="AK49" s="2730"/>
      <c r="AL49" s="2730"/>
      <c r="AM49" s="2730"/>
      <c r="AN49" s="2730"/>
      <c r="AO49" s="2730"/>
      <c r="AP49" s="2772">
        <v>46.091000000000001</v>
      </c>
      <c r="AQ49" s="2772"/>
      <c r="AR49" s="2073"/>
      <c r="AS49" s="2073"/>
      <c r="AT49" s="2073"/>
      <c r="AU49" s="2073"/>
      <c r="AV49" s="2073"/>
      <c r="AW49" s="2073"/>
      <c r="AX49" s="2073"/>
      <c r="AY49" s="2073"/>
      <c r="AZ49" s="2073"/>
      <c r="BA49" s="2073"/>
      <c r="BB49" s="2073"/>
    </row>
    <row r="50" spans="1:54" outlineLevel="1">
      <c r="A50" s="2731" t="s">
        <v>1650</v>
      </c>
      <c r="B50" s="2730"/>
      <c r="C50" s="2730"/>
      <c r="D50" s="2730"/>
      <c r="E50" s="2787"/>
      <c r="F50" s="2730"/>
      <c r="G50" s="2730"/>
      <c r="H50" s="2772"/>
      <c r="I50" s="2730"/>
      <c r="J50" s="2975"/>
      <c r="K50" s="2730"/>
      <c r="L50" s="2730"/>
      <c r="M50" s="2787">
        <v>21.364000000000001</v>
      </c>
      <c r="N50" s="2730"/>
      <c r="O50" s="2730"/>
      <c r="P50" s="2730"/>
      <c r="Q50" s="2787"/>
      <c r="R50" s="2730"/>
      <c r="S50" s="2741"/>
      <c r="T50" s="2772"/>
      <c r="U50" s="2787"/>
      <c r="V50" s="2730"/>
      <c r="W50" s="2741"/>
      <c r="X50" s="2772"/>
      <c r="Y50" s="2787"/>
      <c r="Z50" s="2772"/>
      <c r="AA50" s="2772"/>
      <c r="AB50" s="2772"/>
      <c r="AC50" s="2772"/>
      <c r="AD50" s="2772"/>
      <c r="AE50" s="2772"/>
      <c r="AF50" s="2772"/>
      <c r="AG50" s="2772"/>
      <c r="AH50" s="2772"/>
      <c r="AI50" s="2772"/>
      <c r="AJ50" s="2772"/>
      <c r="AK50" s="2730"/>
      <c r="AL50" s="2730"/>
      <c r="AM50" s="2730"/>
      <c r="AN50" s="2730"/>
      <c r="AO50" s="2730"/>
      <c r="AP50" s="2772">
        <v>21.364000000000001</v>
      </c>
      <c r="AQ50" s="2772"/>
      <c r="AR50" s="2073"/>
      <c r="AS50" s="2073"/>
      <c r="AT50" s="2073"/>
      <c r="AU50" s="2073"/>
      <c r="AV50" s="2073"/>
      <c r="AW50" s="2073"/>
      <c r="AX50" s="2073"/>
      <c r="AY50" s="2073"/>
      <c r="AZ50" s="2073"/>
      <c r="BA50" s="2073"/>
      <c r="BB50" s="2073"/>
    </row>
    <row r="51" spans="1:54" outlineLevel="1">
      <c r="A51" s="2731" t="s">
        <v>96</v>
      </c>
      <c r="B51" s="2730"/>
      <c r="C51" s="2730"/>
      <c r="D51" s="2730"/>
      <c r="E51" s="2787"/>
      <c r="F51" s="2730"/>
      <c r="G51" s="2730"/>
      <c r="H51" s="2772"/>
      <c r="I51" s="2730"/>
      <c r="J51" s="2975"/>
      <c r="K51" s="2730"/>
      <c r="L51" s="2730"/>
      <c r="M51" s="2787">
        <v>31.053999999999998</v>
      </c>
      <c r="N51" s="2730"/>
      <c r="O51" s="2730"/>
      <c r="P51" s="2730"/>
      <c r="Q51" s="2787"/>
      <c r="R51" s="2730"/>
      <c r="S51" s="2741"/>
      <c r="T51" s="2772"/>
      <c r="U51" s="2787"/>
      <c r="V51" s="2730"/>
      <c r="W51" s="2741"/>
      <c r="X51" s="2772"/>
      <c r="Y51" s="2787"/>
      <c r="Z51" s="2772"/>
      <c r="AA51" s="2772"/>
      <c r="AB51" s="2772"/>
      <c r="AC51" s="2772"/>
      <c r="AD51" s="2772"/>
      <c r="AE51" s="2772"/>
      <c r="AF51" s="2772"/>
      <c r="AG51" s="2772"/>
      <c r="AH51" s="2772"/>
      <c r="AI51" s="2772"/>
      <c r="AJ51" s="2772"/>
      <c r="AK51" s="2730"/>
      <c r="AL51" s="2730"/>
      <c r="AM51" s="2730"/>
      <c r="AN51" s="2730"/>
      <c r="AO51" s="2730"/>
      <c r="AP51" s="2772">
        <v>31.053999999999998</v>
      </c>
      <c r="AQ51" s="2772"/>
      <c r="AR51" s="2073"/>
      <c r="AS51" s="2073"/>
      <c r="AT51" s="2073"/>
      <c r="AU51" s="2073"/>
      <c r="AV51" s="2073"/>
      <c r="AW51" s="2073"/>
      <c r="AX51" s="2073"/>
      <c r="AY51" s="2073"/>
      <c r="AZ51" s="2073"/>
      <c r="BA51" s="2073"/>
      <c r="BB51" s="2073"/>
    </row>
    <row r="52" spans="1:54" outlineLevel="1">
      <c r="A52" s="2731" t="s">
        <v>2644</v>
      </c>
      <c r="B52" s="2730"/>
      <c r="C52" s="2730"/>
      <c r="D52" s="2730"/>
      <c r="E52" s="2787"/>
      <c r="F52" s="2730"/>
      <c r="G52" s="2730"/>
      <c r="H52" s="2772"/>
      <c r="I52" s="2730"/>
      <c r="J52" s="2975"/>
      <c r="K52" s="2730"/>
      <c r="L52" s="2730"/>
      <c r="M52" s="2787"/>
      <c r="N52" s="2730"/>
      <c r="O52" s="2730"/>
      <c r="P52" s="2730"/>
      <c r="Q52" s="2787"/>
      <c r="R52" s="2730"/>
      <c r="S52" s="2741"/>
      <c r="T52" s="2772"/>
      <c r="U52" s="2787"/>
      <c r="V52" s="2730"/>
      <c r="W52" s="2741"/>
      <c r="X52" s="2772"/>
      <c r="Y52" s="2787"/>
      <c r="Z52" s="2772"/>
      <c r="AA52" s="2772"/>
      <c r="AB52" s="2772"/>
      <c r="AC52" s="2772"/>
      <c r="AD52" s="2772"/>
      <c r="AE52" s="2772"/>
      <c r="AF52" s="2772"/>
      <c r="AG52" s="2772"/>
      <c r="AH52" s="2772"/>
      <c r="AI52" s="2772"/>
      <c r="AJ52" s="2772"/>
      <c r="AK52" s="2730"/>
      <c r="AL52" s="2730"/>
      <c r="AM52" s="2730"/>
      <c r="AN52" s="2730"/>
      <c r="AO52" s="2730"/>
      <c r="AP52" s="2772"/>
      <c r="AQ52" s="2772"/>
      <c r="AR52" s="2073"/>
      <c r="AS52" s="2073"/>
      <c r="AT52" s="2073"/>
      <c r="AU52" s="2073"/>
      <c r="AV52" s="2073"/>
      <c r="AW52" s="2073"/>
      <c r="AX52" s="2073"/>
      <c r="AY52" s="2073"/>
      <c r="AZ52" s="2073"/>
      <c r="BA52" s="2073"/>
      <c r="BB52" s="2073"/>
    </row>
    <row r="53" spans="1:54" outlineLevel="1">
      <c r="A53" s="2731" t="s">
        <v>2698</v>
      </c>
      <c r="B53" s="2730"/>
      <c r="C53" s="2730"/>
      <c r="D53" s="2730"/>
      <c r="E53" s="2787"/>
      <c r="F53" s="2730"/>
      <c r="G53" s="2730"/>
      <c r="H53" s="2772"/>
      <c r="I53" s="2730"/>
      <c r="J53" s="2975"/>
      <c r="K53" s="2730"/>
      <c r="L53" s="2730"/>
      <c r="M53" s="2787">
        <f>SUM(M48:M52)</f>
        <v>103.411</v>
      </c>
      <c r="N53" s="2730"/>
      <c r="O53" s="2730"/>
      <c r="P53" s="2730"/>
      <c r="Q53" s="2787"/>
      <c r="R53" s="2730"/>
      <c r="S53" s="2741"/>
      <c r="T53" s="2772"/>
      <c r="U53" s="2787"/>
      <c r="V53" s="2730"/>
      <c r="W53" s="2741"/>
      <c r="X53" s="2772"/>
      <c r="Y53" s="2787"/>
      <c r="Z53" s="2772"/>
      <c r="AA53" s="2772"/>
      <c r="AB53" s="2772"/>
      <c r="AC53" s="2772"/>
      <c r="AD53" s="2772"/>
      <c r="AE53" s="2772"/>
      <c r="AF53" s="2772"/>
      <c r="AG53" s="2772"/>
      <c r="AH53" s="2772"/>
      <c r="AI53" s="2772"/>
      <c r="AJ53" s="2772"/>
      <c r="AK53" s="2730"/>
      <c r="AL53" s="2730"/>
      <c r="AM53" s="2730"/>
      <c r="AN53" s="2730"/>
      <c r="AO53" s="2730"/>
      <c r="AP53" s="2730">
        <f>SUM(AP48:AP52)</f>
        <v>103.411</v>
      </c>
      <c r="AQ53" s="2730"/>
      <c r="AR53" s="2073"/>
      <c r="AS53" s="2073"/>
      <c r="AT53" s="2073"/>
      <c r="AU53" s="2073"/>
      <c r="AV53" s="2073"/>
      <c r="AW53" s="2073"/>
      <c r="AX53" s="2073"/>
      <c r="AY53" s="2073"/>
      <c r="AZ53" s="2073"/>
      <c r="BA53" s="2073"/>
      <c r="BB53" s="2073"/>
    </row>
    <row r="54" spans="1:54" outlineLevel="1">
      <c r="AL54" s="2730"/>
      <c r="AM54" s="2730"/>
      <c r="AN54" s="2730"/>
      <c r="AO54" s="2730"/>
      <c r="AP54" s="2730"/>
      <c r="AQ54" s="2730"/>
    </row>
    <row r="55" spans="1:54">
      <c r="A55" s="2731" t="s">
        <v>2661</v>
      </c>
      <c r="B55" s="2730">
        <v>-95.082999999999998</v>
      </c>
      <c r="C55" s="2730">
        <v>49.457000000000001</v>
      </c>
      <c r="D55" s="2730">
        <v>360.005</v>
      </c>
      <c r="E55" s="2787">
        <v>-143.75399999999999</v>
      </c>
      <c r="F55" s="2730">
        <v>-247.86500000000001</v>
      </c>
      <c r="G55" s="2730">
        <v>-42.591999999999999</v>
      </c>
      <c r="H55" s="2772">
        <v>313.58300000000003</v>
      </c>
      <c r="I55" s="2730">
        <v>-276.38600000000002</v>
      </c>
      <c r="J55" s="2975">
        <v>-334.27100000000002</v>
      </c>
      <c r="K55" s="2730">
        <v>-397.32600000000002</v>
      </c>
      <c r="L55" s="2730">
        <v>501.44299999999998</v>
      </c>
      <c r="M55" s="2787">
        <v>-20.518999999999998</v>
      </c>
      <c r="N55" s="2730">
        <v>-58.637999999999998</v>
      </c>
      <c r="O55" s="2730">
        <v>217.39400000000001</v>
      </c>
      <c r="P55" s="2730">
        <v>1101.2809999999999</v>
      </c>
      <c r="Q55" s="2787">
        <v>333.36900000000003</v>
      </c>
      <c r="R55" s="2730">
        <v>229.1</v>
      </c>
      <c r="S55" s="2741">
        <v>711</v>
      </c>
      <c r="T55" s="2772">
        <v>1457</v>
      </c>
      <c r="U55" s="2787">
        <v>506</v>
      </c>
      <c r="V55" s="2730">
        <v>262</v>
      </c>
      <c r="W55" s="2741">
        <v>819</v>
      </c>
      <c r="X55" s="2772">
        <v>1834</v>
      </c>
      <c r="Y55" s="2787">
        <v>738</v>
      </c>
      <c r="Z55" s="2772">
        <v>424</v>
      </c>
      <c r="AA55" s="2772">
        <v>894</v>
      </c>
      <c r="AB55" s="2772">
        <v>1958</v>
      </c>
      <c r="AC55" s="2772">
        <v>765</v>
      </c>
      <c r="AD55" s="2772">
        <v>417</v>
      </c>
      <c r="AE55" s="2772">
        <v>1043</v>
      </c>
      <c r="AF55" s="2772">
        <v>2051</v>
      </c>
      <c r="AG55" s="2772">
        <v>786</v>
      </c>
      <c r="AH55" s="2772">
        <v>519</v>
      </c>
      <c r="AI55" s="2772">
        <v>1261</v>
      </c>
      <c r="AJ55" s="2772"/>
      <c r="AK55" s="2730">
        <v>-93.977999999999994</v>
      </c>
      <c r="AL55" s="2730">
        <v>-52.677</v>
      </c>
      <c r="AM55" s="2730">
        <v>60.018999999999998</v>
      </c>
      <c r="AN55" s="2730">
        <v>170.625</v>
      </c>
      <c r="AO55" s="2730">
        <v>-253.26</v>
      </c>
      <c r="AP55" s="2730">
        <v>-250.673</v>
      </c>
      <c r="AQ55" s="2730">
        <f>SUM(N55:Q55)</f>
        <v>1593.4059999999999</v>
      </c>
      <c r="AR55" s="2730">
        <f>SUM(R55:U55)</f>
        <v>2903.1</v>
      </c>
      <c r="AS55" s="2730">
        <v>3653</v>
      </c>
      <c r="AT55" s="2730">
        <f>SUM(Z55:AC55)</f>
        <v>4041</v>
      </c>
      <c r="AU55" s="2730">
        <v>4297</v>
      </c>
    </row>
    <row r="56" spans="1:54" s="2762" customFormat="1">
      <c r="A56" s="2808" t="s">
        <v>2662</v>
      </c>
      <c r="B56" s="2809">
        <f t="shared" ref="B56:AB56" si="47">B55/B15</f>
        <v>-0.14791083317777362</v>
      </c>
      <c r="C56" s="2809">
        <f t="shared" si="47"/>
        <v>5.4743527729289782E-2</v>
      </c>
      <c r="D56" s="2809">
        <f t="shared" si="47"/>
        <v>0.28456036429544229</v>
      </c>
      <c r="E56" s="2810">
        <f t="shared" si="47"/>
        <v>-0.17101620653186403</v>
      </c>
      <c r="F56" s="2809">
        <f t="shared" si="47"/>
        <v>-0.29542767376556012</v>
      </c>
      <c r="G56" s="2809">
        <f t="shared" si="47"/>
        <v>-3.5093327884331754E-2</v>
      </c>
      <c r="H56" s="3008">
        <f t="shared" si="47"/>
        <v>0.19053981714234328</v>
      </c>
      <c r="I56" s="3008">
        <f t="shared" si="47"/>
        <v>-0.24971720172461773</v>
      </c>
      <c r="J56" s="3008">
        <f t="shared" si="47"/>
        <v>-0.39707660691588564</v>
      </c>
      <c r="K56" s="3008">
        <f t="shared" si="47"/>
        <v>-1.1868484410378346</v>
      </c>
      <c r="L56" s="3008">
        <f t="shared" si="47"/>
        <v>0.37356136452186534</v>
      </c>
      <c r="M56" s="3008">
        <f t="shared" si="47"/>
        <v>-2.3879738939371366E-2</v>
      </c>
      <c r="N56" s="3008">
        <f t="shared" si="47"/>
        <v>-6.611300026157467E-2</v>
      </c>
      <c r="O56" s="3008">
        <f t="shared" si="47"/>
        <v>0.16281804319365847</v>
      </c>
      <c r="P56" s="3008">
        <f t="shared" si="47"/>
        <v>0.49220758440926921</v>
      </c>
      <c r="Q56" s="3008">
        <f t="shared" si="47"/>
        <v>0.2175759498132093</v>
      </c>
      <c r="R56" s="3008">
        <f t="shared" si="47"/>
        <v>0.15182873771403313</v>
      </c>
      <c r="S56" s="3008">
        <f t="shared" si="47"/>
        <v>0.33791057203839919</v>
      </c>
      <c r="T56" s="3008">
        <f t="shared" si="47"/>
        <v>0.50512929853938937</v>
      </c>
      <c r="U56" s="3008">
        <f t="shared" si="47"/>
        <v>0.26603575184016826</v>
      </c>
      <c r="V56" s="3008">
        <f t="shared" si="47"/>
        <v>0.14411441144114412</v>
      </c>
      <c r="W56" s="3319">
        <f t="shared" si="47"/>
        <v>0.32971014492753625</v>
      </c>
      <c r="X56" s="3008">
        <f t="shared" si="47"/>
        <v>0.53988813659110979</v>
      </c>
      <c r="Y56" s="3008">
        <f t="shared" si="47"/>
        <v>0.33273219116321012</v>
      </c>
      <c r="Z56" s="2952">
        <f t="shared" si="47"/>
        <v>0.19794584500466852</v>
      </c>
      <c r="AA56" s="3318">
        <f t="shared" si="47"/>
        <v>0.32532751091703055</v>
      </c>
      <c r="AB56" s="3318">
        <f t="shared" si="47"/>
        <v>0.52465166130760987</v>
      </c>
      <c r="AC56" s="3318">
        <f t="shared" ref="AC56:AH56" si="48">AC55/AC15</f>
        <v>0.30846774193548387</v>
      </c>
      <c r="AD56" s="2952">
        <f t="shared" si="48"/>
        <v>0.18353873239436619</v>
      </c>
      <c r="AE56" s="2952">
        <f t="shared" si="48"/>
        <v>0.33688630490956073</v>
      </c>
      <c r="AF56" s="3318">
        <f t="shared" si="48"/>
        <v>0.50085470085470085</v>
      </c>
      <c r="AG56" s="3318">
        <f t="shared" si="48"/>
        <v>0.28293736501079914</v>
      </c>
      <c r="AH56" s="3318">
        <f t="shared" si="48"/>
        <v>0.19380134428678117</v>
      </c>
      <c r="AI56" s="3318">
        <f t="shared" ref="AI56" si="49">AI55/AI15</f>
        <v>0.3495011086474501</v>
      </c>
      <c r="AJ56" s="3318"/>
      <c r="AK56" s="2809">
        <f t="shared" ref="AK56:AS56" si="50">AK55/AK15</f>
        <v>-0.10225659138166848</v>
      </c>
      <c r="AL56" s="2809">
        <f t="shared" si="50"/>
        <v>-3.1817929228256513E-2</v>
      </c>
      <c r="AM56" s="2809">
        <f t="shared" si="50"/>
        <v>2.3429171248547362E-2</v>
      </c>
      <c r="AN56" s="2809">
        <f t="shared" si="50"/>
        <v>4.6721166707968408E-2</v>
      </c>
      <c r="AO56" s="2809">
        <f t="shared" si="50"/>
        <v>-5.2704974716137949E-2</v>
      </c>
      <c r="AP56" s="2809">
        <f t="shared" si="50"/>
        <v>-7.4203147890340382E-2</v>
      </c>
      <c r="AQ56" s="2809">
        <f t="shared" si="50"/>
        <v>0.26593288115678865</v>
      </c>
      <c r="AR56" s="2809">
        <f t="shared" si="50"/>
        <v>0.34562960878171367</v>
      </c>
      <c r="AS56" s="2809">
        <f t="shared" si="50"/>
        <v>0.36835736613895331</v>
      </c>
      <c r="AT56" s="2809">
        <f>AT55/AT15</f>
        <v>0.3639884705458476</v>
      </c>
      <c r="AU56" s="2809">
        <f>AU55/AU15</f>
        <v>0.3510334123029164</v>
      </c>
    </row>
    <row r="57" spans="1:54">
      <c r="A57" s="2747"/>
      <c r="B57" s="2736"/>
      <c r="C57" s="2736"/>
      <c r="D57" s="2736"/>
      <c r="E57" s="2795"/>
      <c r="F57" s="2736"/>
      <c r="G57" s="2736"/>
      <c r="H57" s="2777"/>
      <c r="I57" s="2736"/>
      <c r="J57" s="2951"/>
      <c r="K57" s="2736"/>
      <c r="L57" s="2736"/>
      <c r="M57" s="2736"/>
      <c r="N57" s="2951"/>
      <c r="O57" s="2736"/>
      <c r="P57" s="2736"/>
      <c r="Q57" s="2795"/>
      <c r="R57" s="2951"/>
      <c r="S57" s="3090"/>
      <c r="T57" s="2777"/>
      <c r="U57" s="2795"/>
      <c r="V57" s="2951"/>
      <c r="W57" s="3090"/>
      <c r="X57" s="2777"/>
      <c r="Y57" s="2795"/>
      <c r="Z57" s="2777"/>
      <c r="AA57" s="2777"/>
      <c r="AB57" s="2777"/>
      <c r="AC57" s="2777"/>
      <c r="AD57" s="2777"/>
      <c r="AE57" s="2777"/>
      <c r="AF57" s="2777"/>
      <c r="AG57" s="2777"/>
      <c r="AH57" s="2777"/>
      <c r="AI57" s="2777"/>
      <c r="AJ57" s="2777"/>
      <c r="AK57" s="2736"/>
      <c r="AL57" s="2736"/>
      <c r="AM57" s="2736"/>
      <c r="AN57" s="2736"/>
      <c r="AO57" s="2736"/>
      <c r="AP57" s="2736"/>
      <c r="AQ57" s="2736"/>
    </row>
    <row r="58" spans="1:54">
      <c r="A58" s="2748" t="s">
        <v>2664</v>
      </c>
      <c r="B58" s="2736"/>
      <c r="C58" s="2736"/>
      <c r="D58" s="2736"/>
      <c r="E58" s="2795"/>
      <c r="F58" s="2736"/>
      <c r="G58" s="2736"/>
      <c r="H58" s="2777"/>
      <c r="I58" s="2736"/>
      <c r="J58" s="2951"/>
      <c r="K58" s="2736"/>
      <c r="L58" s="2736"/>
      <c r="M58" s="2795"/>
      <c r="N58" s="2736"/>
      <c r="O58" s="2736"/>
      <c r="P58" s="2736"/>
      <c r="Q58" s="2795"/>
      <c r="R58" s="2736"/>
      <c r="S58" s="3090"/>
      <c r="T58" s="2777"/>
      <c r="U58" s="2795"/>
      <c r="V58" s="2736"/>
      <c r="W58" s="3090"/>
      <c r="X58" s="2777"/>
      <c r="Y58" s="2795"/>
      <c r="Z58" s="2777"/>
      <c r="AA58" s="2777"/>
      <c r="AB58" s="2777"/>
      <c r="AC58" s="2777"/>
      <c r="AD58" s="2777"/>
      <c r="AE58" s="2777"/>
      <c r="AF58" s="2777"/>
      <c r="AG58" s="2777"/>
      <c r="AH58" s="2777"/>
      <c r="AI58" s="2777"/>
      <c r="AJ58" s="2777"/>
      <c r="AK58" s="2736"/>
      <c r="AL58" s="2736"/>
      <c r="AM58" s="2736"/>
      <c r="AN58" s="2736"/>
      <c r="AO58" s="2736"/>
      <c r="AP58" s="2736"/>
      <c r="AQ58" s="2736"/>
    </row>
    <row r="59" spans="1:54">
      <c r="A59" s="2731" t="s">
        <v>2652</v>
      </c>
      <c r="B59" s="2730">
        <f t="shared" ref="B59:L59" si="51">B22-B40</f>
        <v>126.705</v>
      </c>
      <c r="C59" s="2730">
        <f t="shared" si="51"/>
        <v>153.852</v>
      </c>
      <c r="D59" s="2730">
        <f t="shared" si="51"/>
        <v>170.00800000000001</v>
      </c>
      <c r="E59" s="2787">
        <f t="shared" si="51"/>
        <v>156.66899999999998</v>
      </c>
      <c r="F59" s="2730">
        <f t="shared" si="51"/>
        <v>166.72399999999999</v>
      </c>
      <c r="G59" s="2730">
        <f t="shared" si="51"/>
        <v>210.44499999999999</v>
      </c>
      <c r="H59" s="2772">
        <f t="shared" si="51"/>
        <v>223.33600000000001</v>
      </c>
      <c r="I59" s="2730">
        <f t="shared" si="51"/>
        <v>213.75200000000001</v>
      </c>
      <c r="J59" s="2975">
        <f t="shared" si="51"/>
        <v>220.83799999999999</v>
      </c>
      <c r="K59" s="2730">
        <f t="shared" si="51"/>
        <v>159.62100000000001</v>
      </c>
      <c r="L59" s="2730">
        <f t="shared" si="51"/>
        <v>165.041</v>
      </c>
      <c r="M59" s="2787">
        <f t="shared" ref="M59:O60" si="52">M22-M40-M48</f>
        <v>183.50200000000001</v>
      </c>
      <c r="N59" s="2730">
        <f t="shared" si="52"/>
        <v>174.024</v>
      </c>
      <c r="O59" s="2730">
        <f t="shared" si="52"/>
        <v>193.88900000000001</v>
      </c>
      <c r="P59" s="2730">
        <f t="shared" ref="P59:W60" si="53">P22-P40-P48</f>
        <v>217.16800000000001</v>
      </c>
      <c r="Q59" s="2787">
        <f t="shared" si="53"/>
        <v>213.50299999999999</v>
      </c>
      <c r="R59" s="2730">
        <f t="shared" si="53"/>
        <v>221.31700000000001</v>
      </c>
      <c r="S59" s="2741">
        <f t="shared" si="53"/>
        <v>241.34100000000001</v>
      </c>
      <c r="T59" s="2772">
        <f t="shared" si="53"/>
        <v>271.99900000000002</v>
      </c>
      <c r="U59" s="2787">
        <f t="shared" si="53"/>
        <v>244</v>
      </c>
      <c r="V59" s="2730">
        <f>V22-V40-V48</f>
        <v>267</v>
      </c>
      <c r="W59" s="2741">
        <f t="shared" si="53"/>
        <v>298</v>
      </c>
      <c r="X59" s="2772">
        <f t="shared" ref="X59:Z62" si="54">X22-X40-X48</f>
        <v>299</v>
      </c>
      <c r="Y59" s="2787">
        <f t="shared" si="54"/>
        <v>254</v>
      </c>
      <c r="Z59" s="2741">
        <f t="shared" si="54"/>
        <v>266</v>
      </c>
      <c r="AA59" s="2741">
        <f t="shared" ref="AA59:AB62" si="55">AA22-AA40-AA48</f>
        <v>314</v>
      </c>
      <c r="AB59" s="2741">
        <f t="shared" si="55"/>
        <v>347</v>
      </c>
      <c r="AC59" s="2741">
        <f t="shared" ref="AC59:AD62" si="56">AC22-AC40-AC48</f>
        <v>265</v>
      </c>
      <c r="AD59" s="2741">
        <f t="shared" si="56"/>
        <v>282</v>
      </c>
      <c r="AE59" s="2741">
        <f t="shared" ref="AE59:AF62" si="57">AE22-AE40-AE48</f>
        <v>309</v>
      </c>
      <c r="AF59" s="2741">
        <f t="shared" si="57"/>
        <v>343</v>
      </c>
      <c r="AG59" s="2741">
        <f t="shared" ref="AG59:AH62" si="58">AG22-AG40-AG48</f>
        <v>303</v>
      </c>
      <c r="AH59" s="2741">
        <f t="shared" si="58"/>
        <v>301</v>
      </c>
      <c r="AI59" s="2741">
        <f t="shared" ref="AI59" si="59">AI22-AI40-AI48</f>
        <v>323</v>
      </c>
      <c r="AJ59" s="2741"/>
      <c r="AK59" s="2730">
        <f t="shared" ref="AK59:AO63" si="60">AK22-AK40</f>
        <v>180.92</v>
      </c>
      <c r="AL59" s="2730">
        <f t="shared" si="60"/>
        <v>269.93899999999996</v>
      </c>
      <c r="AM59" s="2730">
        <f t="shared" si="60"/>
        <v>393.89799999999997</v>
      </c>
      <c r="AN59" s="2730">
        <f t="shared" si="60"/>
        <v>607.23400000000004</v>
      </c>
      <c r="AO59" s="2730">
        <f t="shared" si="60"/>
        <v>814.25699999999995</v>
      </c>
      <c r="AP59" s="2730">
        <f t="shared" ref="AP59:AS60" si="61">AP22-AP40-AP48</f>
        <v>729.00199999999995</v>
      </c>
      <c r="AQ59" s="2730">
        <f t="shared" si="61"/>
        <v>798.58400000000006</v>
      </c>
      <c r="AR59" s="2730">
        <f t="shared" si="61"/>
        <v>978</v>
      </c>
      <c r="AS59" s="2730">
        <f t="shared" si="61"/>
        <v>1118</v>
      </c>
      <c r="AT59" s="2730">
        <f>AT22-AT40-AT48</f>
        <v>1192</v>
      </c>
      <c r="AU59" s="2730">
        <f>AU22-AU40-AU48</f>
        <v>1237</v>
      </c>
    </row>
    <row r="60" spans="1:54">
      <c r="A60" s="2731" t="s">
        <v>2641</v>
      </c>
      <c r="B60" s="2730">
        <f t="shared" ref="B60:L60" si="62">B23-B41</f>
        <v>112.959</v>
      </c>
      <c r="C60" s="2730">
        <f t="shared" si="62"/>
        <v>146.50299999999999</v>
      </c>
      <c r="D60" s="2730">
        <f t="shared" si="62"/>
        <v>134.084</v>
      </c>
      <c r="E60" s="2787">
        <f t="shared" si="62"/>
        <v>151.78500000000003</v>
      </c>
      <c r="F60" s="2730">
        <f t="shared" si="62"/>
        <v>178.39</v>
      </c>
      <c r="G60" s="2730">
        <f t="shared" si="62"/>
        <v>224.33199999999999</v>
      </c>
      <c r="H60" s="2772">
        <f t="shared" si="62"/>
        <v>246.083</v>
      </c>
      <c r="I60" s="2730">
        <f t="shared" si="62"/>
        <v>271.25799999999998</v>
      </c>
      <c r="J60" s="2975">
        <f t="shared" si="62"/>
        <v>236.38300000000001</v>
      </c>
      <c r="K60" s="2730">
        <f t="shared" si="62"/>
        <v>197.22199999999998</v>
      </c>
      <c r="L60" s="2730">
        <f t="shared" si="62"/>
        <v>192.98399999999998</v>
      </c>
      <c r="M60" s="2787">
        <f t="shared" si="52"/>
        <v>201.39900000000023</v>
      </c>
      <c r="N60" s="2730">
        <f t="shared" si="52"/>
        <v>219.34599999999998</v>
      </c>
      <c r="O60" s="2730">
        <f t="shared" si="52"/>
        <v>205.92199999999997</v>
      </c>
      <c r="P60" s="2730">
        <f t="shared" si="53"/>
        <v>213.13300000000004</v>
      </c>
      <c r="Q60" s="2787">
        <f t="shared" si="53"/>
        <v>241.53400000000002</v>
      </c>
      <c r="R60" s="2730">
        <f t="shared" si="53"/>
        <v>245.05100000000002</v>
      </c>
      <c r="S60" s="2741">
        <f t="shared" si="53"/>
        <v>230.11800000000002</v>
      </c>
      <c r="T60" s="2772">
        <f t="shared" si="53"/>
        <v>231.18200000000002</v>
      </c>
      <c r="U60" s="2787">
        <f t="shared" si="53"/>
        <v>248</v>
      </c>
      <c r="V60" s="2730">
        <f>V23-V41-V49</f>
        <v>271</v>
      </c>
      <c r="W60" s="2741">
        <f>W23-W41-W49</f>
        <v>260</v>
      </c>
      <c r="X60" s="2772">
        <f t="shared" si="54"/>
        <v>244</v>
      </c>
      <c r="Y60" s="2787">
        <f t="shared" si="54"/>
        <v>253</v>
      </c>
      <c r="Z60" s="2741">
        <f t="shared" si="54"/>
        <v>290</v>
      </c>
      <c r="AA60" s="2741">
        <f t="shared" si="55"/>
        <v>280</v>
      </c>
      <c r="AB60" s="2741">
        <f t="shared" si="55"/>
        <v>294</v>
      </c>
      <c r="AC60" s="2741">
        <f t="shared" si="56"/>
        <v>306</v>
      </c>
      <c r="AD60" s="2741">
        <f t="shared" si="56"/>
        <v>338</v>
      </c>
      <c r="AE60" s="2741">
        <f t="shared" si="57"/>
        <v>331</v>
      </c>
      <c r="AF60" s="2741">
        <f t="shared" si="57"/>
        <v>333</v>
      </c>
      <c r="AG60" s="2741">
        <f t="shared" si="58"/>
        <v>335</v>
      </c>
      <c r="AH60" s="2741">
        <f t="shared" si="58"/>
        <v>375</v>
      </c>
      <c r="AI60" s="2741">
        <f t="shared" ref="AI60" si="63">AI23-AI41-AI49</f>
        <v>374</v>
      </c>
      <c r="AJ60" s="2741"/>
      <c r="AK60" s="2730">
        <f t="shared" si="60"/>
        <v>94.873000000000005</v>
      </c>
      <c r="AL60" s="2730">
        <f t="shared" si="60"/>
        <v>220.32900000000001</v>
      </c>
      <c r="AM60" s="2730">
        <f t="shared" si="60"/>
        <v>380.44</v>
      </c>
      <c r="AN60" s="2730">
        <f t="shared" si="60"/>
        <v>545.298</v>
      </c>
      <c r="AO60" s="2730">
        <f t="shared" si="60"/>
        <v>920.0630000000001</v>
      </c>
      <c r="AP60" s="2730">
        <f t="shared" si="61"/>
        <v>827.98799999999994</v>
      </c>
      <c r="AQ60" s="2730">
        <f t="shared" si="61"/>
        <v>879.93499999999995</v>
      </c>
      <c r="AR60" s="2730">
        <f t="shared" si="61"/>
        <v>954</v>
      </c>
      <c r="AS60" s="2730">
        <f t="shared" si="61"/>
        <v>1028</v>
      </c>
      <c r="AT60" s="2730">
        <f>AT23-AT41-AT49</f>
        <v>1170</v>
      </c>
      <c r="AU60" s="2730">
        <f>AU23-AU41-AU49</f>
        <v>1337</v>
      </c>
    </row>
    <row r="61" spans="1:54">
      <c r="A61" s="2731" t="s">
        <v>2642</v>
      </c>
      <c r="B61" s="2730">
        <f t="shared" ref="B61:L61" si="64">B24-B42</f>
        <v>229.01900000000001</v>
      </c>
      <c r="C61" s="2730">
        <f t="shared" si="64"/>
        <v>260.77500000000003</v>
      </c>
      <c r="D61" s="2730">
        <f t="shared" si="64"/>
        <v>303.28900000000004</v>
      </c>
      <c r="E61" s="2787">
        <f t="shared" si="64"/>
        <v>295.75299999999999</v>
      </c>
      <c r="F61" s="2730">
        <f t="shared" si="64"/>
        <v>361.75299999999999</v>
      </c>
      <c r="G61" s="2730">
        <f t="shared" si="64"/>
        <v>382.04899999999998</v>
      </c>
      <c r="H61" s="2772">
        <f t="shared" si="64"/>
        <v>423.63</v>
      </c>
      <c r="I61" s="2730">
        <f t="shared" si="64"/>
        <v>430.16799999999995</v>
      </c>
      <c r="J61" s="2975">
        <f t="shared" si="64"/>
        <v>311.13099999999997</v>
      </c>
      <c r="K61" s="2730">
        <f t="shared" si="64"/>
        <v>110.45</v>
      </c>
      <c r="L61" s="2730">
        <f t="shared" si="64"/>
        <v>111.95</v>
      </c>
      <c r="M61" s="2866">
        <f>M24-M42-M50-37.215</f>
        <v>147.94300000000004</v>
      </c>
      <c r="N61" s="2772">
        <f>N24-N42-N50-7.989</f>
        <v>195.23499999999999</v>
      </c>
      <c r="O61" s="2772">
        <f>O24-O42-O50+0.741</f>
        <v>291.99999999999994</v>
      </c>
      <c r="P61" s="2772">
        <f>P24-P42-P50-3.2</f>
        <v>263.94499999999999</v>
      </c>
      <c r="Q61" s="2866">
        <f>Q24-Q42-Q50-0.8</f>
        <v>323.935</v>
      </c>
      <c r="R61" s="2772">
        <f>R24-R42-R50-11.4</f>
        <v>312.00900000000001</v>
      </c>
      <c r="S61" s="2773">
        <f>S24-S42-S50</f>
        <v>350.75700000000001</v>
      </c>
      <c r="T61" s="2772">
        <f>T24-T42-T50</f>
        <v>355.16500000000002</v>
      </c>
      <c r="U61" s="2866">
        <f>U24-U42-U50</f>
        <v>372</v>
      </c>
      <c r="V61" s="2772">
        <f>V24-V42-V50</f>
        <v>422</v>
      </c>
      <c r="W61" s="2773">
        <f>W24-W42-W50</f>
        <v>450</v>
      </c>
      <c r="X61" s="2772">
        <f t="shared" si="54"/>
        <v>370</v>
      </c>
      <c r="Y61" s="2866">
        <f t="shared" si="54"/>
        <v>391</v>
      </c>
      <c r="Z61" s="2773">
        <f t="shared" si="54"/>
        <v>479</v>
      </c>
      <c r="AA61" s="2773">
        <f t="shared" si="55"/>
        <v>527</v>
      </c>
      <c r="AB61" s="2773">
        <f t="shared" si="55"/>
        <v>471</v>
      </c>
      <c r="AC61" s="2773">
        <f t="shared" si="56"/>
        <v>501</v>
      </c>
      <c r="AD61" s="2773">
        <f t="shared" si="56"/>
        <v>519</v>
      </c>
      <c r="AE61" s="2773">
        <f t="shared" si="57"/>
        <v>639</v>
      </c>
      <c r="AF61" s="2773">
        <f t="shared" si="57"/>
        <v>585</v>
      </c>
      <c r="AG61" s="2773">
        <f t="shared" si="58"/>
        <v>633</v>
      </c>
      <c r="AH61" s="2773">
        <f t="shared" si="58"/>
        <v>696</v>
      </c>
      <c r="AI61" s="2773">
        <f t="shared" ref="AI61" si="65">AI24-AI42-AI50</f>
        <v>808</v>
      </c>
      <c r="AJ61" s="2773"/>
      <c r="AK61" s="2730">
        <f t="shared" si="60"/>
        <v>394.20699999999999</v>
      </c>
      <c r="AL61" s="2730">
        <f t="shared" si="60"/>
        <v>653.68799999999999</v>
      </c>
      <c r="AM61" s="2730">
        <f t="shared" si="60"/>
        <v>865.75200000000007</v>
      </c>
      <c r="AN61" s="2730">
        <f t="shared" si="60"/>
        <v>1088.8620000000001</v>
      </c>
      <c r="AO61" s="2730">
        <f t="shared" si="60"/>
        <v>1597.6</v>
      </c>
      <c r="AP61" s="2730">
        <f>AP24-AP42-AP50-37.215</f>
        <v>681.47400000000005</v>
      </c>
      <c r="AQ61" s="2730">
        <f>AQ24-AQ42-AQ50-11.248</f>
        <v>1075.115</v>
      </c>
      <c r="AR61" s="2772">
        <f>SUM(R61:U61)</f>
        <v>1389.931</v>
      </c>
      <c r="AS61" s="3163">
        <f>SUM(V61:Y61)</f>
        <v>1633</v>
      </c>
      <c r="AT61" s="3163">
        <f>SUM(W61:Z61)</f>
        <v>1690</v>
      </c>
      <c r="AU61" s="3163">
        <f>SUM(X61:AA61)</f>
        <v>1767</v>
      </c>
    </row>
    <row r="62" spans="1:54">
      <c r="A62" s="2731" t="s">
        <v>96</v>
      </c>
      <c r="B62" s="2730">
        <f t="shared" ref="B62:L62" si="66">B25-B43</f>
        <v>94.356999999999999</v>
      </c>
      <c r="C62" s="2730">
        <f t="shared" si="66"/>
        <v>99.323000000000008</v>
      </c>
      <c r="D62" s="2730">
        <f t="shared" si="66"/>
        <v>95.820000000000007</v>
      </c>
      <c r="E62" s="2787">
        <f t="shared" si="66"/>
        <v>184.45</v>
      </c>
      <c r="F62" s="2730">
        <f t="shared" si="66"/>
        <v>143.48500000000001</v>
      </c>
      <c r="G62" s="2730">
        <f t="shared" si="66"/>
        <v>165.49799999999999</v>
      </c>
      <c r="H62" s="2772">
        <f t="shared" si="66"/>
        <v>171.31700000000001</v>
      </c>
      <c r="I62" s="2730">
        <f t="shared" si="66"/>
        <v>200.702</v>
      </c>
      <c r="J62" s="2975">
        <f t="shared" si="66"/>
        <v>79.569000000000003</v>
      </c>
      <c r="K62" s="2730">
        <f t="shared" si="66"/>
        <v>135.691</v>
      </c>
      <c r="L62" s="2730">
        <f t="shared" si="66"/>
        <v>174.13299999999998</v>
      </c>
      <c r="M62" s="2787">
        <f t="shared" ref="M62:S62" si="67">M25-M43-M51</f>
        <v>170.31799999999996</v>
      </c>
      <c r="N62" s="2730">
        <f t="shared" si="67"/>
        <v>141.30500000000001</v>
      </c>
      <c r="O62" s="2730">
        <f t="shared" si="67"/>
        <v>167.57499999999999</v>
      </c>
      <c r="P62" s="2730">
        <f t="shared" si="67"/>
        <v>166.059</v>
      </c>
      <c r="Q62" s="2787">
        <f t="shared" si="67"/>
        <v>155.09299999999999</v>
      </c>
      <c r="R62" s="2730">
        <f t="shared" si="67"/>
        <v>165.886</v>
      </c>
      <c r="S62" s="2741">
        <f t="shared" si="67"/>
        <v>187.08999999999997</v>
      </c>
      <c r="T62" s="2772">
        <f>T25-T43-T51</f>
        <v>187.369</v>
      </c>
      <c r="U62" s="2787">
        <f>U25-U43-U51</f>
        <v>204</v>
      </c>
      <c r="V62" s="2730">
        <f>V25-V43-V51</f>
        <v>195</v>
      </c>
      <c r="W62" s="2741">
        <f>W25-W43-W51</f>
        <v>217</v>
      </c>
      <c r="X62" s="2772">
        <f t="shared" si="54"/>
        <v>243</v>
      </c>
      <c r="Y62" s="2787">
        <f t="shared" si="54"/>
        <v>1142</v>
      </c>
      <c r="Z62" s="2741">
        <f t="shared" si="54"/>
        <v>231</v>
      </c>
      <c r="AA62" s="2741">
        <f t="shared" si="55"/>
        <v>242</v>
      </c>
      <c r="AB62" s="2741">
        <f t="shared" si="55"/>
        <v>268</v>
      </c>
      <c r="AC62" s="2741">
        <f t="shared" si="56"/>
        <v>183</v>
      </c>
      <c r="AD62" s="2741">
        <f t="shared" si="56"/>
        <v>231</v>
      </c>
      <c r="AE62" s="2741">
        <f t="shared" si="57"/>
        <v>237</v>
      </c>
      <c r="AF62" s="2741">
        <f t="shared" si="57"/>
        <v>261</v>
      </c>
      <c r="AG62" s="2741">
        <f t="shared" si="58"/>
        <v>340</v>
      </c>
      <c r="AH62" s="2741">
        <f t="shared" si="58"/>
        <v>229</v>
      </c>
      <c r="AI62" s="2741">
        <f t="shared" ref="AI62" si="68">AI25-AI43-AI51</f>
        <v>225</v>
      </c>
      <c r="AJ62" s="2741"/>
      <c r="AK62" s="2730">
        <f t="shared" si="60"/>
        <v>123.55000000000001</v>
      </c>
      <c r="AL62" s="2730">
        <f t="shared" si="60"/>
        <v>197.99099999999999</v>
      </c>
      <c r="AM62" s="2730">
        <f t="shared" si="60"/>
        <v>316.94600000000003</v>
      </c>
      <c r="AN62" s="2730">
        <f t="shared" si="60"/>
        <v>473.92200000000003</v>
      </c>
      <c r="AO62" s="2730">
        <f t="shared" si="60"/>
        <v>681.00200000000007</v>
      </c>
      <c r="AP62" s="2730">
        <f t="shared" ref="AP62:AU62" si="69">AP25-AP43-AP51</f>
        <v>559.71100000000013</v>
      </c>
      <c r="AQ62" s="2730">
        <f t="shared" si="69"/>
        <v>630.70799999999997</v>
      </c>
      <c r="AR62" s="2730">
        <f t="shared" si="69"/>
        <v>745</v>
      </c>
      <c r="AS62" s="2730">
        <f t="shared" si="69"/>
        <v>1797</v>
      </c>
      <c r="AT62" s="2730">
        <f t="shared" si="69"/>
        <v>924</v>
      </c>
      <c r="AU62" s="2730">
        <f t="shared" si="69"/>
        <v>1069</v>
      </c>
    </row>
    <row r="63" spans="1:54">
      <c r="A63" s="2731" t="s">
        <v>2644</v>
      </c>
      <c r="B63" s="2730">
        <f t="shared" ref="B63:L63" si="70">B26-B44</f>
        <v>0</v>
      </c>
      <c r="C63" s="2730">
        <f t="shared" si="70"/>
        <v>0</v>
      </c>
      <c r="D63" s="2730">
        <f t="shared" si="70"/>
        <v>0</v>
      </c>
      <c r="E63" s="2787">
        <f t="shared" si="70"/>
        <v>0</v>
      </c>
      <c r="F63" s="2730">
        <f t="shared" si="70"/>
        <v>0</v>
      </c>
      <c r="G63" s="2730">
        <f t="shared" si="70"/>
        <v>0</v>
      </c>
      <c r="H63" s="2772">
        <f t="shared" si="70"/>
        <v>0</v>
      </c>
      <c r="I63" s="2730">
        <f t="shared" si="70"/>
        <v>0</v>
      </c>
      <c r="J63" s="2975">
        <f t="shared" si="70"/>
        <v>0</v>
      </c>
      <c r="K63" s="2730">
        <f t="shared" si="70"/>
        <v>116.001</v>
      </c>
      <c r="L63" s="2730">
        <f t="shared" si="70"/>
        <v>22.801000000000002</v>
      </c>
      <c r="M63" s="2787">
        <f t="shared" ref="M63:W63" si="71">M26-M44</f>
        <v>12.736999999999998</v>
      </c>
      <c r="N63" s="2730">
        <f t="shared" si="71"/>
        <v>111.99299999999999</v>
      </c>
      <c r="O63" s="2730">
        <f t="shared" si="71"/>
        <v>0.53900000000000003</v>
      </c>
      <c r="P63" s="2730">
        <f t="shared" si="71"/>
        <v>-0.41500000000000004</v>
      </c>
      <c r="Q63" s="2787">
        <f t="shared" si="71"/>
        <v>0.749</v>
      </c>
      <c r="R63" s="2730">
        <f t="shared" si="71"/>
        <v>0.28600000000000003</v>
      </c>
      <c r="S63" s="2741">
        <f t="shared" si="71"/>
        <v>88.765999999999991</v>
      </c>
      <c r="T63" s="2772">
        <f t="shared" si="71"/>
        <v>5.1999999999999998E-2</v>
      </c>
      <c r="U63" s="2787">
        <f t="shared" si="71"/>
        <v>0</v>
      </c>
      <c r="V63" s="2730">
        <f>V26-V44</f>
        <v>0</v>
      </c>
      <c r="W63" s="2741">
        <f t="shared" si="71"/>
        <v>0</v>
      </c>
      <c r="X63" s="2772"/>
      <c r="Y63" s="2787"/>
      <c r="Z63" s="2730"/>
      <c r="AA63" s="2730"/>
      <c r="AB63" s="2730"/>
      <c r="AC63" s="2730"/>
      <c r="AD63" s="2730"/>
      <c r="AE63" s="2730"/>
      <c r="AF63" s="2730"/>
      <c r="AG63" s="2730"/>
      <c r="AH63" s="2730"/>
      <c r="AI63" s="2730"/>
      <c r="AJ63" s="2730"/>
      <c r="AK63" s="2730">
        <f t="shared" si="60"/>
        <v>0</v>
      </c>
      <c r="AL63" s="2730">
        <f t="shared" si="60"/>
        <v>0</v>
      </c>
      <c r="AM63" s="2730">
        <f t="shared" si="60"/>
        <v>0</v>
      </c>
      <c r="AN63" s="2730">
        <f t="shared" si="60"/>
        <v>0</v>
      </c>
      <c r="AO63" s="2730">
        <f t="shared" si="60"/>
        <v>0</v>
      </c>
      <c r="AP63" s="2730">
        <f t="shared" ref="AP63:AU63" si="72">AP26-AP44</f>
        <v>151.53899999999999</v>
      </c>
      <c r="AQ63" s="2730">
        <f t="shared" si="72"/>
        <v>112.866</v>
      </c>
      <c r="AR63" s="2730">
        <f t="shared" si="72"/>
        <v>89</v>
      </c>
      <c r="AS63" s="2730">
        <f t="shared" si="72"/>
        <v>0</v>
      </c>
      <c r="AT63" s="2730">
        <f t="shared" si="72"/>
        <v>0</v>
      </c>
      <c r="AU63" s="2730">
        <f t="shared" si="72"/>
        <v>0</v>
      </c>
    </row>
    <row r="64" spans="1:54">
      <c r="A64" s="2729" t="s">
        <v>2645</v>
      </c>
      <c r="B64" s="2740">
        <f t="shared" ref="B64:L64" si="73">SUM(B59:B63)</f>
        <v>563.04</v>
      </c>
      <c r="C64" s="2740">
        <f t="shared" si="73"/>
        <v>660.45300000000009</v>
      </c>
      <c r="D64" s="2740">
        <f t="shared" si="73"/>
        <v>703.20100000000014</v>
      </c>
      <c r="E64" s="2796">
        <f t="shared" si="73"/>
        <v>788.65699999999993</v>
      </c>
      <c r="F64" s="2740">
        <f t="shared" si="73"/>
        <v>850.35199999999998</v>
      </c>
      <c r="G64" s="2740">
        <f t="shared" si="73"/>
        <v>982.32400000000007</v>
      </c>
      <c r="H64" s="3147">
        <f t="shared" si="73"/>
        <v>1064.366</v>
      </c>
      <c r="I64" s="2740">
        <f t="shared" si="73"/>
        <v>1115.8799999999999</v>
      </c>
      <c r="J64" s="2984">
        <f t="shared" si="73"/>
        <v>847.92099999999994</v>
      </c>
      <c r="K64" s="2740">
        <f t="shared" si="73"/>
        <v>718.9849999999999</v>
      </c>
      <c r="L64" s="2740">
        <f t="shared" si="73"/>
        <v>666.90899999999999</v>
      </c>
      <c r="M64" s="2796">
        <f t="shared" ref="M64:AA64" si="74">SUM(M59:M63)</f>
        <v>715.89900000000023</v>
      </c>
      <c r="N64" s="2740">
        <f t="shared" si="74"/>
        <v>841.90300000000002</v>
      </c>
      <c r="O64" s="2740">
        <f t="shared" si="74"/>
        <v>859.92499999999995</v>
      </c>
      <c r="P64" s="2740">
        <f t="shared" si="74"/>
        <v>859.8900000000001</v>
      </c>
      <c r="Q64" s="2796">
        <f t="shared" si="74"/>
        <v>934.81399999999996</v>
      </c>
      <c r="R64" s="2740">
        <f t="shared" si="74"/>
        <v>944.54899999999998</v>
      </c>
      <c r="S64" s="3091">
        <f t="shared" si="74"/>
        <v>1098.0720000000001</v>
      </c>
      <c r="T64" s="3147">
        <f t="shared" si="74"/>
        <v>1045.7669999999998</v>
      </c>
      <c r="U64" s="2796">
        <f t="shared" si="74"/>
        <v>1068</v>
      </c>
      <c r="V64" s="2740">
        <f>SUM(V59:V63)</f>
        <v>1155</v>
      </c>
      <c r="W64" s="3091">
        <f t="shared" si="74"/>
        <v>1225</v>
      </c>
      <c r="X64" s="3147">
        <f t="shared" si="74"/>
        <v>1156</v>
      </c>
      <c r="Y64" s="2796">
        <f t="shared" si="74"/>
        <v>2040</v>
      </c>
      <c r="Z64" s="2796">
        <f t="shared" si="74"/>
        <v>1266</v>
      </c>
      <c r="AA64" s="2796">
        <f t="shared" si="74"/>
        <v>1363</v>
      </c>
      <c r="AB64" s="2796">
        <f t="shared" ref="AB64:AH64" si="75">SUM(AB59:AB63)</f>
        <v>1380</v>
      </c>
      <c r="AC64" s="2796">
        <f t="shared" si="75"/>
        <v>1255</v>
      </c>
      <c r="AD64" s="2796">
        <f t="shared" si="75"/>
        <v>1370</v>
      </c>
      <c r="AE64" s="2796">
        <f t="shared" si="75"/>
        <v>1516</v>
      </c>
      <c r="AF64" s="2796">
        <f t="shared" si="75"/>
        <v>1522</v>
      </c>
      <c r="AG64" s="2796">
        <f t="shared" si="75"/>
        <v>1611</v>
      </c>
      <c r="AH64" s="2796">
        <f t="shared" si="75"/>
        <v>1601</v>
      </c>
      <c r="AI64" s="2796">
        <f t="shared" ref="AI64" si="76">SUM(AI59:AI63)</f>
        <v>1730</v>
      </c>
      <c r="AJ64" s="2740"/>
      <c r="AK64" s="2740">
        <f t="shared" ref="AK64:AS64" si="77">SUM(AK59:AK63)</f>
        <v>793.55</v>
      </c>
      <c r="AL64" s="2740">
        <f t="shared" si="77"/>
        <v>1341.9469999999999</v>
      </c>
      <c r="AM64" s="2740">
        <f t="shared" si="77"/>
        <v>1957.0360000000001</v>
      </c>
      <c r="AN64" s="2740">
        <f t="shared" si="77"/>
        <v>2715.3160000000003</v>
      </c>
      <c r="AO64" s="2740">
        <f t="shared" si="77"/>
        <v>4012.922</v>
      </c>
      <c r="AP64" s="2740">
        <f t="shared" si="77"/>
        <v>2949.7139999999999</v>
      </c>
      <c r="AQ64" s="2740">
        <f t="shared" si="77"/>
        <v>3497.2080000000001</v>
      </c>
      <c r="AR64" s="2740">
        <f t="shared" si="77"/>
        <v>4155.9310000000005</v>
      </c>
      <c r="AS64" s="2740">
        <f t="shared" si="77"/>
        <v>5576</v>
      </c>
      <c r="AT64" s="2740">
        <f>SUM(AT59:AT63)</f>
        <v>4976</v>
      </c>
      <c r="AU64" s="2740">
        <f>SUM(AU59:AU63)</f>
        <v>5410</v>
      </c>
    </row>
    <row r="65" spans="1:47">
      <c r="A65" s="2747"/>
      <c r="B65" s="2736"/>
      <c r="C65" s="2736"/>
      <c r="D65" s="2736"/>
      <c r="E65" s="2795"/>
      <c r="F65" s="2736"/>
      <c r="G65" s="2736"/>
      <c r="H65" s="2777"/>
      <c r="I65" s="2736"/>
      <c r="J65" s="2951"/>
      <c r="K65" s="2736"/>
      <c r="L65" s="2736"/>
      <c r="M65" s="2795"/>
      <c r="N65" s="2736"/>
      <c r="O65" s="2736"/>
      <c r="P65" s="2736"/>
      <c r="Q65" s="2795"/>
      <c r="R65" s="2736"/>
      <c r="S65" s="3090"/>
      <c r="T65" s="2777"/>
      <c r="U65" s="2795"/>
      <c r="V65" s="2736"/>
      <c r="W65" s="3090"/>
      <c r="X65" s="2777"/>
      <c r="Y65" s="2795"/>
      <c r="Z65" s="2777"/>
      <c r="AA65" s="2777"/>
      <c r="AB65" s="2777"/>
      <c r="AC65" s="2777"/>
      <c r="AD65" s="2777"/>
      <c r="AE65" s="2777"/>
      <c r="AF65" s="2777"/>
      <c r="AG65" s="2777"/>
      <c r="AH65" s="2777"/>
      <c r="AI65" s="2777"/>
      <c r="AJ65" s="2777"/>
      <c r="AK65" s="2736"/>
      <c r="AL65" s="2736"/>
      <c r="AM65" s="2736"/>
      <c r="AN65" s="2736"/>
      <c r="AO65" s="2736"/>
      <c r="AP65" s="2736"/>
      <c r="AQ65" s="2736"/>
    </row>
    <row r="66" spans="1:47">
      <c r="A66" s="2803" t="s">
        <v>2664</v>
      </c>
      <c r="B66" s="2806">
        <f t="shared" ref="B66:O66" si="78">B18-B64</f>
        <v>-123.04499999999996</v>
      </c>
      <c r="C66" s="2806">
        <f t="shared" si="78"/>
        <v>24.452999999999975</v>
      </c>
      <c r="D66" s="2806">
        <f t="shared" si="78"/>
        <v>334.64299999999992</v>
      </c>
      <c r="E66" s="2807">
        <f t="shared" si="78"/>
        <v>-163.72199999999998</v>
      </c>
      <c r="F66" s="2806">
        <f t="shared" si="78"/>
        <v>-291.91599999999994</v>
      </c>
      <c r="G66" s="2806">
        <f t="shared" si="78"/>
        <v>-82.105999999999995</v>
      </c>
      <c r="H66" s="2806">
        <f t="shared" si="78"/>
        <v>272.72800000000007</v>
      </c>
      <c r="I66" s="2806">
        <f t="shared" si="78"/>
        <v>-302.70199999999977</v>
      </c>
      <c r="J66" s="2985">
        <f t="shared" si="78"/>
        <v>-283.86299999999994</v>
      </c>
      <c r="K66" s="2806">
        <f t="shared" si="78"/>
        <v>-545.40899999999988</v>
      </c>
      <c r="L66" s="2806">
        <f t="shared" si="78"/>
        <v>448.09699999999987</v>
      </c>
      <c r="M66" s="2807">
        <f t="shared" si="78"/>
        <v>-66.382000000000176</v>
      </c>
      <c r="N66" s="2806">
        <f t="shared" si="78"/>
        <v>-209.48199999999997</v>
      </c>
      <c r="O66" s="2806">
        <f t="shared" si="78"/>
        <v>180.84399999999982</v>
      </c>
      <c r="P66" s="2806">
        <f t="shared" ref="P66:U66" si="79">P18-P64</f>
        <v>1065.9619999999998</v>
      </c>
      <c r="Q66" s="2807">
        <f t="shared" si="79"/>
        <v>302.07100000000003</v>
      </c>
      <c r="R66" s="2806">
        <f t="shared" si="79"/>
        <v>201.76499999999987</v>
      </c>
      <c r="S66" s="2806">
        <f t="shared" si="79"/>
        <v>615.92799999999988</v>
      </c>
      <c r="T66" s="2806">
        <f t="shared" si="79"/>
        <v>1437.4940000000001</v>
      </c>
      <c r="U66" s="2807">
        <f t="shared" si="79"/>
        <v>489</v>
      </c>
      <c r="V66" s="2806">
        <f t="shared" ref="V66:AB66" si="80">V18-V64</f>
        <v>235</v>
      </c>
      <c r="W66" s="2806">
        <f t="shared" si="80"/>
        <v>827</v>
      </c>
      <c r="X66" s="2806">
        <f t="shared" si="80"/>
        <v>1782</v>
      </c>
      <c r="Y66" s="2807">
        <f t="shared" si="80"/>
        <v>-206</v>
      </c>
      <c r="Z66" s="2807">
        <f t="shared" si="80"/>
        <v>396</v>
      </c>
      <c r="AA66" s="2807">
        <f t="shared" si="80"/>
        <v>879</v>
      </c>
      <c r="AB66" s="2807">
        <f t="shared" si="80"/>
        <v>1887</v>
      </c>
      <c r="AC66" s="2807">
        <f t="shared" ref="AC66:AH66" si="81">AC18-AC64</f>
        <v>798</v>
      </c>
      <c r="AD66" s="2807">
        <f t="shared" si="81"/>
        <v>396</v>
      </c>
      <c r="AE66" s="2807">
        <f t="shared" si="81"/>
        <v>1036</v>
      </c>
      <c r="AF66" s="2807">
        <f t="shared" si="81"/>
        <v>2024</v>
      </c>
      <c r="AG66" s="2807">
        <f t="shared" si="81"/>
        <v>680</v>
      </c>
      <c r="AH66" s="2807">
        <f t="shared" si="81"/>
        <v>496</v>
      </c>
      <c r="AI66" s="2807">
        <f t="shared" ref="AI66" si="82">AI18-AI64</f>
        <v>1245</v>
      </c>
      <c r="AJ66" s="2806"/>
      <c r="AK66" s="2806">
        <f t="shared" ref="AK66:AT66" si="83">AK18-AK64</f>
        <v>-100.90599999999995</v>
      </c>
      <c r="AL66" s="2806">
        <f t="shared" si="83"/>
        <v>-99.118999999999915</v>
      </c>
      <c r="AM66" s="2806">
        <f t="shared" si="83"/>
        <v>-43.005000000000109</v>
      </c>
      <c r="AN66" s="2806">
        <f t="shared" si="83"/>
        <v>72.636999999999716</v>
      </c>
      <c r="AO66" s="2806">
        <f t="shared" si="83"/>
        <v>-403.99600000000055</v>
      </c>
      <c r="AP66" s="2806">
        <f t="shared" si="83"/>
        <v>-447.55699999999979</v>
      </c>
      <c r="AQ66" s="2806">
        <f t="shared" si="83"/>
        <v>1338.7189999999996</v>
      </c>
      <c r="AR66" s="2806">
        <f t="shared" si="83"/>
        <v>2744.5229999999992</v>
      </c>
      <c r="AS66" s="2806">
        <f t="shared" si="83"/>
        <v>2638</v>
      </c>
      <c r="AT66" s="2806">
        <f t="shared" si="83"/>
        <v>4248</v>
      </c>
      <c r="AU66" s="2806">
        <f>AU18-AU64</f>
        <v>4745</v>
      </c>
    </row>
    <row r="67" spans="1:47">
      <c r="A67" s="2747" t="s">
        <v>2663</v>
      </c>
      <c r="B67" s="2736">
        <f t="shared" ref="B67:S67" si="84">B66/B15</f>
        <v>-0.19140843755833481</v>
      </c>
      <c r="C67" s="2736">
        <f t="shared" si="84"/>
        <v>2.7066815285284623E-2</v>
      </c>
      <c r="D67" s="2736">
        <f t="shared" si="84"/>
        <v>0.26451336506137324</v>
      </c>
      <c r="E67" s="2795">
        <f t="shared" si="84"/>
        <v>-0.19477103500292056</v>
      </c>
      <c r="F67" s="2736">
        <f t="shared" si="84"/>
        <v>-0.34793159508178739</v>
      </c>
      <c r="G67" s="2736">
        <f t="shared" si="84"/>
        <v>-6.765056299941169E-2</v>
      </c>
      <c r="H67" s="2777">
        <f t="shared" si="84"/>
        <v>0.16571543498721872</v>
      </c>
      <c r="I67" s="2736">
        <f t="shared" si="84"/>
        <v>-0.27349394106953745</v>
      </c>
      <c r="J67" s="2951">
        <f t="shared" si="84"/>
        <v>-0.33719753394390783</v>
      </c>
      <c r="K67" s="2736">
        <f t="shared" si="84"/>
        <v>-1.629185659579298</v>
      </c>
      <c r="L67" s="2736">
        <f t="shared" si="84"/>
        <v>0.33382004885531208</v>
      </c>
      <c r="M67" s="2795">
        <f t="shared" si="84"/>
        <v>-7.7254487561448135E-2</v>
      </c>
      <c r="N67" s="2736">
        <f t="shared" si="84"/>
        <v>-0.23618615097368914</v>
      </c>
      <c r="O67" s="2736">
        <f t="shared" si="84"/>
        <v>0.13544378503230975</v>
      </c>
      <c r="P67" s="2736">
        <f t="shared" si="84"/>
        <v>0.47642207673797454</v>
      </c>
      <c r="Q67" s="2795">
        <f t="shared" si="84"/>
        <v>0.19714905925873716</v>
      </c>
      <c r="R67" s="2736">
        <f t="shared" si="84"/>
        <v>0.13371333594444293</v>
      </c>
      <c r="S67" s="3090">
        <f t="shared" si="84"/>
        <v>0.29272655810754866</v>
      </c>
      <c r="T67" s="2777">
        <f t="shared" ref="T67:AB67" si="85">T66/T15</f>
        <v>0.498366737045011</v>
      </c>
      <c r="U67" s="2795">
        <f t="shared" si="85"/>
        <v>0.25709779179810727</v>
      </c>
      <c r="V67" s="2736">
        <f t="shared" si="85"/>
        <v>0.12926292629262925</v>
      </c>
      <c r="W67" s="3090">
        <f t="shared" si="85"/>
        <v>0.3329307568438003</v>
      </c>
      <c r="X67" s="2777">
        <f t="shared" si="85"/>
        <v>0.5245805122166618</v>
      </c>
      <c r="Y67" s="2795">
        <f t="shared" si="85"/>
        <v>-9.2876465284039672E-2</v>
      </c>
      <c r="Z67" s="2795">
        <f t="shared" si="85"/>
        <v>0.18487394957983194</v>
      </c>
      <c r="AA67" s="2795">
        <f t="shared" si="85"/>
        <v>0.31986899563318777</v>
      </c>
      <c r="AB67" s="2795">
        <f t="shared" si="85"/>
        <v>0.50562700964630225</v>
      </c>
      <c r="AC67" s="2795">
        <f t="shared" ref="AC67:AH67" si="86">AC66/AC15</f>
        <v>0.3217741935483871</v>
      </c>
      <c r="AD67" s="2795">
        <f t="shared" si="86"/>
        <v>0.17429577464788731</v>
      </c>
      <c r="AE67" s="2795">
        <f t="shared" si="86"/>
        <v>0.33462532299741604</v>
      </c>
      <c r="AF67" s="2795">
        <f t="shared" si="86"/>
        <v>0.49426129426129428</v>
      </c>
      <c r="AG67" s="2795">
        <f t="shared" si="86"/>
        <v>0.24478041756659466</v>
      </c>
      <c r="AH67" s="2795">
        <f t="shared" si="86"/>
        <v>0.18521284540702015</v>
      </c>
      <c r="AI67" s="2795">
        <f t="shared" ref="AI67" si="87">AI66/AI15</f>
        <v>0.34506651884700668</v>
      </c>
      <c r="AJ67" s="2736"/>
      <c r="AK67" s="2736">
        <f t="shared" ref="AK67:AS67" si="88">AK66/AK15</f>
        <v>-0.10979488401496772</v>
      </c>
      <c r="AL67" s="2736">
        <f t="shared" si="88"/>
        <v>-5.9869797581023107E-2</v>
      </c>
      <c r="AM67" s="2736">
        <f t="shared" si="88"/>
        <v>-1.6787542437291223E-2</v>
      </c>
      <c r="AN67" s="2736">
        <f t="shared" si="88"/>
        <v>1.9889731200976923E-2</v>
      </c>
      <c r="AO67" s="2736">
        <f t="shared" si="88"/>
        <v>-8.4074069989026681E-2</v>
      </c>
      <c r="AP67" s="2736">
        <f t="shared" si="88"/>
        <v>-0.13248390636549232</v>
      </c>
      <c r="AQ67" s="2736">
        <f t="shared" si="88"/>
        <v>0.22342667263041235</v>
      </c>
      <c r="AR67" s="2736">
        <f t="shared" si="88"/>
        <v>0.32675016733230511</v>
      </c>
      <c r="AS67" s="2736">
        <f t="shared" si="88"/>
        <v>0.26600786528183928</v>
      </c>
      <c r="AT67" s="2736">
        <f>AT66/AT15</f>
        <v>0.38263375968294</v>
      </c>
      <c r="AU67" s="2736">
        <f>AU66/AU15</f>
        <v>0.38763172943386981</v>
      </c>
    </row>
    <row r="68" spans="1:47">
      <c r="A68" s="2747"/>
      <c r="B68" s="2736"/>
      <c r="C68" s="2736"/>
      <c r="D68" s="2736"/>
      <c r="E68" s="2795"/>
      <c r="F68" s="2736"/>
      <c r="G68" s="2736"/>
      <c r="H68" s="2777"/>
      <c r="I68" s="2736"/>
      <c r="J68" s="2951"/>
      <c r="K68" s="2736"/>
      <c r="L68" s="2736"/>
      <c r="M68" s="2795"/>
      <c r="N68" s="2736"/>
      <c r="O68" s="2736"/>
      <c r="P68" s="2736"/>
      <c r="Q68" s="2795"/>
      <c r="R68" s="2736"/>
      <c r="S68" s="3090"/>
      <c r="T68" s="2777"/>
      <c r="U68" s="2795"/>
      <c r="V68" s="2736"/>
      <c r="W68" s="3090"/>
      <c r="X68" s="2777"/>
      <c r="Y68" s="2795"/>
      <c r="Z68" s="2777"/>
      <c r="AA68" s="2777"/>
      <c r="AB68" s="2777"/>
      <c r="AC68" s="2777"/>
      <c r="AD68" s="2777"/>
      <c r="AE68" s="2777"/>
      <c r="AF68" s="2777"/>
      <c r="AG68" s="2777"/>
      <c r="AH68" s="2777"/>
      <c r="AI68" s="2777"/>
      <c r="AJ68" s="2777"/>
      <c r="AK68" s="2736"/>
      <c r="AL68" s="2736"/>
      <c r="AM68" s="2736"/>
      <c r="AN68" s="2736"/>
      <c r="AO68" s="2736"/>
      <c r="AP68" s="2736"/>
      <c r="AQ68" s="2736"/>
    </row>
    <row r="69" spans="1:47" s="3431" customFormat="1">
      <c r="A69" s="3424" t="s">
        <v>2682</v>
      </c>
      <c r="B69" s="3425">
        <f>B37-B45</f>
        <v>-158.65799999999996</v>
      </c>
      <c r="C69" s="3425">
        <f t="shared" ref="C69:AS69" si="89">C37-C45</f>
        <v>-3.4200000000000141</v>
      </c>
      <c r="D69" s="3425">
        <f t="shared" si="89"/>
        <v>324.53100000000001</v>
      </c>
      <c r="E69" s="3425">
        <f t="shared" si="89"/>
        <v>-233.44400000000005</v>
      </c>
      <c r="F69" s="3426">
        <f t="shared" si="89"/>
        <v>-306.09000000000003</v>
      </c>
      <c r="G69" s="3425">
        <f t="shared" si="89"/>
        <v>-315.47299999999984</v>
      </c>
      <c r="H69" s="3427">
        <f t="shared" si="89"/>
        <v>226.45199999999997</v>
      </c>
      <c r="I69" s="3425">
        <f t="shared" si="89"/>
        <v>-376.77499999999986</v>
      </c>
      <c r="J69" s="3426">
        <f t="shared" si="89"/>
        <v>-382.23099999999999</v>
      </c>
      <c r="K69" s="3425">
        <f t="shared" si="89"/>
        <v>-613.39400000000001</v>
      </c>
      <c r="L69" s="3425">
        <f t="shared" si="89"/>
        <v>189.96799999999996</v>
      </c>
      <c r="M69" s="3428">
        <f t="shared" si="89"/>
        <v>-6781.0230000000001</v>
      </c>
      <c r="N69" s="3425">
        <f t="shared" si="89"/>
        <v>-1401.6849999999999</v>
      </c>
      <c r="O69" s="3425">
        <f t="shared" si="89"/>
        <v>-301.08000000000004</v>
      </c>
      <c r="P69" s="3425">
        <f t="shared" si="89"/>
        <v>623.1039999999997</v>
      </c>
      <c r="Q69" s="3428">
        <f t="shared" si="89"/>
        <v>-170.59800000000001</v>
      </c>
      <c r="R69" s="3425">
        <f t="shared" si="89"/>
        <v>-213.14200000000022</v>
      </c>
      <c r="S69" s="3429">
        <f t="shared" si="89"/>
        <v>131.73600000000002</v>
      </c>
      <c r="T69" s="3427">
        <f t="shared" si="89"/>
        <v>980.27499999999998</v>
      </c>
      <c r="U69" s="3428">
        <f t="shared" si="89"/>
        <v>65</v>
      </c>
      <c r="V69" s="3425">
        <f t="shared" si="89"/>
        <v>-123</v>
      </c>
      <c r="W69" s="3429">
        <f t="shared" si="89"/>
        <v>346</v>
      </c>
      <c r="X69" s="3427">
        <f t="shared" si="89"/>
        <v>4088</v>
      </c>
      <c r="Y69" s="3428">
        <f t="shared" si="89"/>
        <v>-639</v>
      </c>
      <c r="Z69" s="3425">
        <f t="shared" si="89"/>
        <v>-31</v>
      </c>
      <c r="AA69" s="3425">
        <f t="shared" si="89"/>
        <v>173</v>
      </c>
      <c r="AB69" s="3425">
        <f t="shared" si="89"/>
        <v>1006</v>
      </c>
      <c r="AC69" s="3425">
        <f>AC37-AC45</f>
        <v>93</v>
      </c>
      <c r="AD69" s="3430">
        <f>AD37-AD45</f>
        <v>-204</v>
      </c>
      <c r="AE69" s="3425"/>
      <c r="AF69" s="3425"/>
      <c r="AG69" s="3425"/>
      <c r="AH69" s="3425"/>
      <c r="AI69" s="3425"/>
      <c r="AJ69" s="3425"/>
      <c r="AK69" s="3425">
        <f t="shared" si="89"/>
        <v>-158.23700000000011</v>
      </c>
      <c r="AL69" s="3425">
        <f t="shared" si="89"/>
        <v>-181.22399999999996</v>
      </c>
      <c r="AM69" s="3425">
        <f t="shared" si="89"/>
        <v>-108.40300000000008</v>
      </c>
      <c r="AN69" s="3425">
        <f t="shared" si="89"/>
        <v>-70.752999999999858</v>
      </c>
      <c r="AO69" s="3425">
        <f t="shared" si="89"/>
        <v>-771.88600000000065</v>
      </c>
      <c r="AP69" s="3425">
        <f t="shared" si="89"/>
        <v>-7586.68</v>
      </c>
      <c r="AQ69" s="3425">
        <f t="shared" si="89"/>
        <v>-1251.5400000000004</v>
      </c>
      <c r="AR69" s="3425">
        <f t="shared" si="89"/>
        <v>963</v>
      </c>
      <c r="AS69" s="3425">
        <f t="shared" si="89"/>
        <v>3672</v>
      </c>
      <c r="AT69" s="3425">
        <f>AT37-AT45</f>
        <v>1241</v>
      </c>
      <c r="AU69" s="3425">
        <f>AU37-AU45</f>
        <v>919</v>
      </c>
    </row>
    <row r="70" spans="1:47">
      <c r="A70" s="2747" t="s">
        <v>2835</v>
      </c>
      <c r="F70" s="3148">
        <f t="shared" ref="F70:AC70" si="90">F37+F45</f>
        <v>-277.96400000000006</v>
      </c>
      <c r="G70" s="3148">
        <f t="shared" si="90"/>
        <v>-279.37499999999989</v>
      </c>
      <c r="H70" s="3148">
        <f t="shared" si="90"/>
        <v>306.84799999999996</v>
      </c>
      <c r="I70" s="3148">
        <f t="shared" si="90"/>
        <v>-326.30099999999982</v>
      </c>
      <c r="J70" s="3148">
        <f t="shared" si="90"/>
        <v>-298.97900000000004</v>
      </c>
      <c r="K70" s="3148">
        <f t="shared" si="90"/>
        <v>-537.78199999999993</v>
      </c>
      <c r="L70" s="3148">
        <f t="shared" si="90"/>
        <v>248.68799999999999</v>
      </c>
      <c r="M70" s="3148">
        <f t="shared" si="90"/>
        <v>-994.679000000001</v>
      </c>
      <c r="N70" s="3148">
        <f t="shared" si="90"/>
        <v>-942.73699999999997</v>
      </c>
      <c r="O70" s="3148">
        <f t="shared" si="90"/>
        <v>164.64599999999996</v>
      </c>
      <c r="P70" s="3148">
        <f t="shared" si="90"/>
        <v>1044.6819999999996</v>
      </c>
      <c r="Q70" s="3148">
        <f t="shared" si="90"/>
        <v>280.81</v>
      </c>
      <c r="R70" s="3148">
        <f t="shared" si="90"/>
        <v>176.70399999999978</v>
      </c>
      <c r="S70" s="3148">
        <f t="shared" si="90"/>
        <v>625.94600000000003</v>
      </c>
      <c r="T70" s="3148">
        <f t="shared" si="90"/>
        <v>1448.3009999999999</v>
      </c>
      <c r="U70" s="3148">
        <f t="shared" si="90"/>
        <v>573</v>
      </c>
      <c r="V70" s="3148">
        <f t="shared" si="90"/>
        <v>357</v>
      </c>
      <c r="W70" s="3148">
        <f t="shared" si="90"/>
        <v>954</v>
      </c>
      <c r="X70" s="3148">
        <f t="shared" si="90"/>
        <v>4660</v>
      </c>
      <c r="Y70" s="3148">
        <f t="shared" si="90"/>
        <v>-59</v>
      </c>
      <c r="Z70" s="3148">
        <f t="shared" si="90"/>
        <v>559</v>
      </c>
      <c r="AA70" s="3148">
        <f t="shared" si="90"/>
        <v>937</v>
      </c>
      <c r="AB70" s="3148">
        <f t="shared" si="90"/>
        <v>1730</v>
      </c>
      <c r="AC70" s="3148">
        <f t="shared" si="90"/>
        <v>829</v>
      </c>
      <c r="AD70" s="3148">
        <f t="shared" ref="AD70:AI70" si="91">AD37+AD45</f>
        <v>512</v>
      </c>
      <c r="AE70" s="3148">
        <f t="shared" si="91"/>
        <v>1066</v>
      </c>
      <c r="AF70" s="3148">
        <f t="shared" si="91"/>
        <v>1773</v>
      </c>
      <c r="AG70" s="3148">
        <f t="shared" si="91"/>
        <v>752</v>
      </c>
      <c r="AH70" s="3148">
        <f t="shared" si="91"/>
        <v>570</v>
      </c>
      <c r="AI70" s="3148">
        <f t="shared" si="91"/>
        <v>1303</v>
      </c>
      <c r="AJ70" s="3148"/>
    </row>
    <row r="71" spans="1:47">
      <c r="A71" s="2757" t="s">
        <v>2670</v>
      </c>
      <c r="B71" s="2757"/>
      <c r="C71" s="2757"/>
      <c r="D71" s="2757"/>
      <c r="E71" s="2797"/>
      <c r="F71" s="2757"/>
      <c r="G71" s="2757"/>
      <c r="H71" s="2757"/>
      <c r="I71" s="2757"/>
      <c r="J71" s="2757"/>
      <c r="K71" s="2757"/>
      <c r="L71" s="2757"/>
      <c r="M71" s="2757"/>
      <c r="N71" s="2757"/>
      <c r="O71" s="2757"/>
      <c r="P71" s="2757"/>
      <c r="Q71" s="2757"/>
      <c r="R71" s="2757"/>
      <c r="S71" s="2757"/>
      <c r="T71" s="2757"/>
      <c r="U71" s="2757"/>
      <c r="V71" s="2757"/>
      <c r="W71" s="2757"/>
      <c r="X71" s="2757"/>
      <c r="Y71" s="2757"/>
      <c r="Z71" s="2757"/>
      <c r="AA71" s="2757"/>
      <c r="AB71" s="2757"/>
      <c r="AC71" s="2757"/>
      <c r="AD71" s="2757"/>
      <c r="AE71" s="2757"/>
      <c r="AF71" s="2757"/>
      <c r="AG71" s="2757"/>
      <c r="AH71" s="2757"/>
      <c r="AI71" s="2757"/>
      <c r="AJ71" s="2757"/>
      <c r="AK71" s="2757"/>
      <c r="AL71" s="2757"/>
      <c r="AM71" s="2757"/>
      <c r="AN71" s="2757"/>
      <c r="AO71" s="2757"/>
      <c r="AP71" s="2757"/>
      <c r="AQ71" s="2757"/>
      <c r="AR71" s="2757"/>
      <c r="AS71" s="2757"/>
      <c r="AT71" s="2757"/>
      <c r="AU71" s="2757"/>
    </row>
    <row r="72" spans="1:47">
      <c r="A72" s="2752" t="s">
        <v>2669</v>
      </c>
      <c r="B72" s="2754"/>
      <c r="C72" s="2754"/>
      <c r="D72" s="2754"/>
      <c r="E72" s="2798"/>
      <c r="F72" s="2754"/>
      <c r="G72" s="2754"/>
      <c r="I72" s="2754"/>
      <c r="J72" s="2986"/>
      <c r="K72" s="2754"/>
      <c r="L72" s="2754"/>
      <c r="M72" s="2798"/>
      <c r="N72" s="2754"/>
      <c r="O72" s="2754"/>
      <c r="P72" s="2754"/>
      <c r="Q72" s="2798"/>
      <c r="R72" s="2754"/>
      <c r="S72" s="2778"/>
      <c r="U72" s="2798"/>
      <c r="V72" s="2754"/>
      <c r="W72" s="2778"/>
      <c r="Y72" s="2798"/>
      <c r="AK72" s="2754"/>
      <c r="AL72" s="2754"/>
      <c r="AM72" s="2754"/>
      <c r="AN72" s="2754"/>
      <c r="AO72" s="2754"/>
      <c r="AP72" s="2754"/>
      <c r="AQ72" s="2754"/>
    </row>
    <row r="73" spans="1:47">
      <c r="A73" s="2731" t="s">
        <v>2652</v>
      </c>
      <c r="B73" s="2742">
        <f t="shared" ref="B73:L73" si="92">B22/B$15</f>
        <v>0.19878818990728642</v>
      </c>
      <c r="C73" s="2742">
        <f t="shared" si="92"/>
        <v>0.17032512720949358</v>
      </c>
      <c r="D73" s="2742">
        <f t="shared" si="92"/>
        <v>0.1344031073560204</v>
      </c>
      <c r="E73" s="2799">
        <f t="shared" si="92"/>
        <v>0.18736787506825586</v>
      </c>
      <c r="F73" s="2742">
        <f t="shared" si="92"/>
        <v>0.19875352203326802</v>
      </c>
      <c r="G73" s="2742">
        <f t="shared" si="92"/>
        <v>0.17349659464866296</v>
      </c>
      <c r="H73" s="2755">
        <f t="shared" si="92"/>
        <v>0.13578156245044087</v>
      </c>
      <c r="I73" s="2742">
        <f t="shared" si="92"/>
        <v>0.19360930108168081</v>
      </c>
      <c r="J73" s="2987">
        <f t="shared" si="92"/>
        <v>0.26345818039271585</v>
      </c>
      <c r="K73" s="2742">
        <f t="shared" si="92"/>
        <v>0.47935622240675801</v>
      </c>
      <c r="L73" s="2742">
        <f t="shared" si="92"/>
        <v>0.12374444157216068</v>
      </c>
      <c r="M73" s="2799">
        <f t="shared" ref="M73:U73" si="93">M22/M$15</f>
        <v>0.38350495307612092</v>
      </c>
      <c r="N73" s="2742">
        <f t="shared" si="93"/>
        <v>0.20907483741780691</v>
      </c>
      <c r="O73" s="2742">
        <f t="shared" si="93"/>
        <v>0.1558759912402374</v>
      </c>
      <c r="P73" s="2742">
        <f t="shared" si="93"/>
        <v>0.10205002878299767</v>
      </c>
      <c r="Q73" s="3011">
        <f t="shared" si="93"/>
        <v>0.14695639461269969</v>
      </c>
      <c r="R73" s="2868">
        <f t="shared" si="93"/>
        <v>0.15442129127988777</v>
      </c>
      <c r="S73" s="3092">
        <f t="shared" si="93"/>
        <v>0.1227385299321755</v>
      </c>
      <c r="T73" s="2755">
        <f t="shared" si="93"/>
        <v>0.10052177048339177</v>
      </c>
      <c r="U73" s="3011">
        <f t="shared" si="93"/>
        <v>0.1366982124079916</v>
      </c>
      <c r="V73" s="2868">
        <f t="shared" ref="V73:X76" si="94">V22/V$15</f>
        <v>0.15511551155115511</v>
      </c>
      <c r="W73" s="3092">
        <f t="shared" si="94"/>
        <v>0.12761674718196458</v>
      </c>
      <c r="X73" s="2755">
        <f t="shared" si="94"/>
        <v>9.3023255813953487E-2</v>
      </c>
      <c r="Y73" s="3011">
        <f t="shared" ref="Y73:AA76" si="95">Y22/Y$15</f>
        <v>0.12218214607754734</v>
      </c>
      <c r="Z73" s="2742">
        <f t="shared" si="95"/>
        <v>0.13305322128851541</v>
      </c>
      <c r="AA73" s="2742">
        <f t="shared" si="95"/>
        <v>0.12299854439592431</v>
      </c>
      <c r="AB73" s="2742">
        <f t="shared" ref="AB73:AC76" si="96">AB22/AB$15</f>
        <v>9.8874598070739547E-2</v>
      </c>
      <c r="AC73" s="2742">
        <f t="shared" si="96"/>
        <v>0.11693548387096774</v>
      </c>
      <c r="AD73" s="2742">
        <f t="shared" ref="AD73:AE76" si="97">AD22/AD$15</f>
        <v>0.13336267605633803</v>
      </c>
      <c r="AE73" s="2742">
        <f t="shared" si="97"/>
        <v>0.10723514211886305</v>
      </c>
      <c r="AF73" s="2742">
        <f t="shared" ref="AF73:AG76" si="98">AF22/AF$15</f>
        <v>8.9133089133089136E-2</v>
      </c>
      <c r="AG73" s="2742">
        <f t="shared" si="98"/>
        <v>0.11771058315334773</v>
      </c>
      <c r="AH73" s="2742">
        <f t="shared" ref="AH73:AI73" si="99">AH22/AH$15</f>
        <v>0.12173263629574309</v>
      </c>
      <c r="AI73" s="2742">
        <f t="shared" si="99"/>
        <v>0.10005543237250554</v>
      </c>
      <c r="AJ73" s="2742"/>
      <c r="AK73" s="2742">
        <f>AK22/AK$15</f>
        <v>0.19725452944971986</v>
      </c>
      <c r="AL73" s="2742">
        <f>AL22/AL$15</f>
        <v>0.16326160804457179</v>
      </c>
      <c r="AM73" s="2742">
        <f>AM22/AM$15</f>
        <v>0.15448169414233634</v>
      </c>
      <c r="AN73" s="2742">
        <f>AN22/AN$15</f>
        <v>0.16681393817334955</v>
      </c>
      <c r="AO73" s="2742">
        <f>AO22/AO$15</f>
        <v>0.1696219480446238</v>
      </c>
      <c r="AP73" s="2742">
        <f t="shared" ref="AP73:AQ76" si="100">AP22/AP$15</f>
        <v>0.25987249418995151</v>
      </c>
      <c r="AQ73" s="2742">
        <f t="shared" si="100"/>
        <v>0.14137031523291987</v>
      </c>
      <c r="AR73" s="2742">
        <f t="shared" ref="AR73:AS76" si="101">AR22/AR$15</f>
        <v>0.12393662730934654</v>
      </c>
      <c r="AS73" s="2742">
        <f t="shared" si="101"/>
        <v>0.11959261873550468</v>
      </c>
      <c r="AT73" s="2742">
        <f t="shared" ref="AT73:AU76" si="102">AT22/AT$15</f>
        <v>0.11547468924518105</v>
      </c>
      <c r="AU73" s="2742">
        <f t="shared" si="102"/>
        <v>0.10840617596601584</v>
      </c>
    </row>
    <row r="74" spans="1:47">
      <c r="A74" s="2731" t="s">
        <v>2641</v>
      </c>
      <c r="B74" s="2742">
        <f t="shared" ref="B74:AO74" si="103">B23/B$15</f>
        <v>0.19117198680853711</v>
      </c>
      <c r="C74" s="2742">
        <f t="shared" si="103"/>
        <v>0.17090071073496479</v>
      </c>
      <c r="D74" s="2742">
        <f t="shared" si="103"/>
        <v>0.11222430633446287</v>
      </c>
      <c r="E74" s="2799">
        <f t="shared" si="103"/>
        <v>0.19025395348726545</v>
      </c>
      <c r="F74" s="2742">
        <f t="shared" si="103"/>
        <v>0.22061992553074836</v>
      </c>
      <c r="G74" s="2742">
        <f t="shared" si="103"/>
        <v>0.19142391968874775</v>
      </c>
      <c r="H74" s="2755">
        <f t="shared" si="103"/>
        <v>0.16792717776153401</v>
      </c>
      <c r="I74" s="2742">
        <f t="shared" si="103"/>
        <v>0.25560175497562332</v>
      </c>
      <c r="J74" s="2987">
        <f t="shared" si="103"/>
        <v>0.30744805958447669</v>
      </c>
      <c r="K74" s="2742">
        <f t="shared" si="103"/>
        <v>0.65100037637331454</v>
      </c>
      <c r="L74" s="2742">
        <f t="shared" si="103"/>
        <v>0.15936456805363208</v>
      </c>
      <c r="M74" s="2799">
        <f t="shared" si="103"/>
        <v>2.3999550778340537</v>
      </c>
      <c r="N74" s="2742">
        <f t="shared" si="103"/>
        <v>0.40934295146436717</v>
      </c>
      <c r="O74" s="2742">
        <f t="shared" si="103"/>
        <v>0.26193457739537868</v>
      </c>
      <c r="P74" s="2742">
        <f t="shared" si="103"/>
        <v>0.15393093510774855</v>
      </c>
      <c r="Q74" s="3011">
        <f t="shared" si="103"/>
        <v>0.24007568222342313</v>
      </c>
      <c r="R74" s="2868">
        <f t="shared" si="103"/>
        <v>0.2405183251520773</v>
      </c>
      <c r="S74" s="3092">
        <f t="shared" si="103"/>
        <v>0.17824663859775192</v>
      </c>
      <c r="T74" s="2755">
        <f t="shared" si="103"/>
        <v>0.1269521323251549</v>
      </c>
      <c r="U74" s="3011">
        <f t="shared" si="103"/>
        <v>0.2092534174553102</v>
      </c>
      <c r="V74" s="2868">
        <f t="shared" si="94"/>
        <v>0.23102310231023102</v>
      </c>
      <c r="W74" s="3092">
        <f t="shared" si="94"/>
        <v>0.18156199677938809</v>
      </c>
      <c r="X74" s="2755">
        <f t="shared" si="94"/>
        <v>0.12334412717103327</v>
      </c>
      <c r="Y74" s="3011">
        <f t="shared" si="95"/>
        <v>0.19477006311992787</v>
      </c>
      <c r="Z74" s="2742">
        <f t="shared" si="95"/>
        <v>0.22175536881419233</v>
      </c>
      <c r="AA74" s="2742">
        <f t="shared" si="95"/>
        <v>0.18886462882096069</v>
      </c>
      <c r="AB74" s="2742">
        <f t="shared" si="96"/>
        <v>0.14040728831725616</v>
      </c>
      <c r="AC74" s="2742">
        <f t="shared" si="96"/>
        <v>0.21693548387096775</v>
      </c>
      <c r="AD74" s="2742">
        <f t="shared" si="97"/>
        <v>0.25</v>
      </c>
      <c r="AE74" s="2742">
        <f t="shared" si="97"/>
        <v>0.19702842377260982</v>
      </c>
      <c r="AF74" s="2742">
        <f t="shared" si="98"/>
        <v>0.14334554334554334</v>
      </c>
      <c r="AG74" s="2742">
        <f t="shared" si="98"/>
        <v>0.21202303815694745</v>
      </c>
      <c r="AH74" s="2742">
        <f t="shared" ref="AH74:AI74" si="104">AH23/AH$15</f>
        <v>0.23823749066467514</v>
      </c>
      <c r="AI74" s="2742">
        <f t="shared" si="104"/>
        <v>0.18625277161862527</v>
      </c>
      <c r="AJ74" s="2742"/>
      <c r="AK74" s="2742">
        <f t="shared" si="103"/>
        <v>0.10846632522379306</v>
      </c>
      <c r="AL74" s="2742">
        <f t="shared" si="103"/>
        <v>0.137753265328804</v>
      </c>
      <c r="AM74" s="2742">
        <f t="shared" si="103"/>
        <v>0.15643741063136854</v>
      </c>
      <c r="AN74" s="2742">
        <f t="shared" si="103"/>
        <v>0.15859676313018808</v>
      </c>
      <c r="AO74" s="2742">
        <f t="shared" si="103"/>
        <v>0.20325627924022097</v>
      </c>
      <c r="AP74" s="2742">
        <f t="shared" si="100"/>
        <v>0.81489337957888208</v>
      </c>
      <c r="AQ74" s="2742">
        <f t="shared" si="100"/>
        <v>0.23783462622000881</v>
      </c>
      <c r="AR74" s="2742">
        <f t="shared" si="101"/>
        <v>0.17882114718409078</v>
      </c>
      <c r="AS74" s="2742">
        <f t="shared" si="101"/>
        <v>0.17364122214379349</v>
      </c>
      <c r="AT74" s="2742">
        <f t="shared" si="102"/>
        <v>0.18519185732300486</v>
      </c>
      <c r="AU74" s="2742">
        <f t="shared" si="102"/>
        <v>0.19230455028183971</v>
      </c>
    </row>
    <row r="75" spans="1:47" s="2756" customFormat="1">
      <c r="A75" s="2754" t="s">
        <v>2642</v>
      </c>
      <c r="B75" s="2755">
        <f t="shared" ref="B75:AO75" si="105">B24/B$15</f>
        <v>0.36086273411735426</v>
      </c>
      <c r="C75" s="2755">
        <f t="shared" si="105"/>
        <v>0.29206436352084442</v>
      </c>
      <c r="D75" s="2755">
        <f t="shared" si="105"/>
        <v>0.24216857279941068</v>
      </c>
      <c r="E75" s="2800">
        <f t="shared" si="105"/>
        <v>0.3558418105442982</v>
      </c>
      <c r="F75" s="2755">
        <f t="shared" si="105"/>
        <v>0.43688230330248723</v>
      </c>
      <c r="G75" s="2755">
        <f t="shared" si="105"/>
        <v>0.31989209658575007</v>
      </c>
      <c r="H75" s="2755">
        <f t="shared" si="105"/>
        <v>0.26110352596762226</v>
      </c>
      <c r="I75" s="2755">
        <f t="shared" si="105"/>
        <v>0.39484512051001264</v>
      </c>
      <c r="J75" s="2988">
        <f t="shared" si="105"/>
        <v>0.376773220246368</v>
      </c>
      <c r="K75" s="2755">
        <f t="shared" si="105"/>
        <v>0.34302843112069636</v>
      </c>
      <c r="L75" s="2755">
        <f t="shared" si="105"/>
        <v>8.4549935895095921E-2</v>
      </c>
      <c r="M75" s="2800">
        <f t="shared" si="105"/>
        <v>0.73297030947415465</v>
      </c>
      <c r="N75" s="2755">
        <f t="shared" si="105"/>
        <v>0.25833318300305769</v>
      </c>
      <c r="O75" s="2755">
        <f t="shared" si="105"/>
        <v>0.23616233122328106</v>
      </c>
      <c r="P75" s="2755">
        <f t="shared" si="105"/>
        <v>0.12999545907987373</v>
      </c>
      <c r="Q75" s="3012">
        <f t="shared" si="105"/>
        <v>0.22910123770065974</v>
      </c>
      <c r="R75" s="3067">
        <f t="shared" si="105"/>
        <v>0.22838329234421317</v>
      </c>
      <c r="S75" s="3093">
        <f t="shared" si="105"/>
        <v>0.18053977292979873</v>
      </c>
      <c r="T75" s="2755">
        <f t="shared" si="105"/>
        <v>0.13283999154073103</v>
      </c>
      <c r="U75" s="3012">
        <f t="shared" si="105"/>
        <v>0.21451104100946372</v>
      </c>
      <c r="V75" s="3067">
        <f t="shared" si="94"/>
        <v>0.24752475247524752</v>
      </c>
      <c r="W75" s="3093">
        <f t="shared" si="94"/>
        <v>0.19565217391304349</v>
      </c>
      <c r="X75" s="2755">
        <f t="shared" si="94"/>
        <v>0.11863408890197233</v>
      </c>
      <c r="Y75" s="3012">
        <f t="shared" si="95"/>
        <v>0.19116321009918846</v>
      </c>
      <c r="Z75" s="2755">
        <f t="shared" si="95"/>
        <v>0.23996265172735762</v>
      </c>
      <c r="AA75" s="2755">
        <f t="shared" si="95"/>
        <v>0.20851528384279475</v>
      </c>
      <c r="AB75" s="2755">
        <f t="shared" si="96"/>
        <v>0.13772775991425509</v>
      </c>
      <c r="AC75" s="2755">
        <f t="shared" si="96"/>
        <v>0.22056451612903225</v>
      </c>
      <c r="AD75" s="2755">
        <f t="shared" si="97"/>
        <v>0.24779929577464788</v>
      </c>
      <c r="AE75" s="2755">
        <f t="shared" si="97"/>
        <v>0.22319121447028423</v>
      </c>
      <c r="AF75" s="2755">
        <f t="shared" si="98"/>
        <v>0.15604395604395604</v>
      </c>
      <c r="AG75" s="2755">
        <f t="shared" si="98"/>
        <v>0.2501799856011519</v>
      </c>
      <c r="AH75" s="2755">
        <f t="shared" ref="AH75:AI75" si="106">AH24/AH$15</f>
        <v>0.28043315907393579</v>
      </c>
      <c r="AI75" s="2755">
        <f t="shared" si="106"/>
        <v>0.24251662971175167</v>
      </c>
      <c r="AJ75" s="2755"/>
      <c r="AK75" s="2755">
        <f t="shared" si="105"/>
        <v>0.43223098860660186</v>
      </c>
      <c r="AL75" s="2755">
        <f t="shared" si="105"/>
        <v>0.40049928242496874</v>
      </c>
      <c r="AM75" s="2755">
        <f t="shared" si="105"/>
        <v>0.34029818235475295</v>
      </c>
      <c r="AN75" s="2755">
        <f t="shared" si="105"/>
        <v>0.30156942046585622</v>
      </c>
      <c r="AO75" s="2755">
        <f t="shared" si="105"/>
        <v>0.33744814774041421</v>
      </c>
      <c r="AP75" s="2755">
        <f t="shared" si="100"/>
        <v>0.34791467287747113</v>
      </c>
      <c r="AQ75" s="2755">
        <f t="shared" si="100"/>
        <v>0.19799391163865043</v>
      </c>
      <c r="AR75" s="2755">
        <f t="shared" si="101"/>
        <v>0.18048792219113291</v>
      </c>
      <c r="AS75" s="2755">
        <f t="shared" si="101"/>
        <v>0.17777553695674095</v>
      </c>
      <c r="AT75" s="2755">
        <f t="shared" si="102"/>
        <v>0.19347865249504595</v>
      </c>
      <c r="AU75" s="2755">
        <f t="shared" si="102"/>
        <v>0.21142063556898946</v>
      </c>
    </row>
    <row r="76" spans="1:47">
      <c r="A76" s="2731" t="s">
        <v>96</v>
      </c>
      <c r="B76" s="2742">
        <f t="shared" ref="B76:AO76" si="107">B25/B$15</f>
        <v>0.1443734055130359</v>
      </c>
      <c r="C76" s="2742">
        <f t="shared" si="107"/>
        <v>0.11254871705752847</v>
      </c>
      <c r="D76" s="2742">
        <f t="shared" si="107"/>
        <v>7.7602485758346801E-2</v>
      </c>
      <c r="E76" s="2799">
        <f t="shared" si="107"/>
        <v>0.22225064151598822</v>
      </c>
      <c r="F76" s="2742">
        <f t="shared" si="107"/>
        <v>0.17403135145958781</v>
      </c>
      <c r="G76" s="2742">
        <f t="shared" si="107"/>
        <v>0.13943648974439676</v>
      </c>
      <c r="H76" s="2755">
        <f t="shared" si="107"/>
        <v>0.10634472441624269</v>
      </c>
      <c r="I76" s="2742">
        <f t="shared" si="107"/>
        <v>0.18695315125822645</v>
      </c>
      <c r="J76" s="2987">
        <f t="shared" si="107"/>
        <v>0.10900300535737618</v>
      </c>
      <c r="K76" s="2742">
        <f t="shared" si="107"/>
        <v>0.44596951973570231</v>
      </c>
      <c r="L76" s="2742">
        <f t="shared" si="107"/>
        <v>0.13411073721757152</v>
      </c>
      <c r="M76" s="2799">
        <f t="shared" si="107"/>
        <v>0.83067485662148066</v>
      </c>
      <c r="N76" s="2742">
        <f t="shared" si="107"/>
        <v>0.21395230321015271</v>
      </c>
      <c r="O76" s="2742">
        <f t="shared" si="107"/>
        <v>0.16349884211756177</v>
      </c>
      <c r="P76" s="2742">
        <f t="shared" si="107"/>
        <v>9.4191912871542022E-2</v>
      </c>
      <c r="Q76" s="3011">
        <f t="shared" si="107"/>
        <v>0.14130763949259756</v>
      </c>
      <c r="R76" s="2868">
        <f t="shared" si="107"/>
        <v>0.13917082025293304</v>
      </c>
      <c r="S76" s="3092">
        <f t="shared" si="107"/>
        <v>0.11560913964926689</v>
      </c>
      <c r="T76" s="2755">
        <f t="shared" si="107"/>
        <v>8.3356734999531973E-2</v>
      </c>
      <c r="U76" s="3011">
        <f t="shared" si="107"/>
        <v>0.13459516298633017</v>
      </c>
      <c r="V76" s="2868">
        <f t="shared" si="94"/>
        <v>0.13366336633663367</v>
      </c>
      <c r="W76" s="3092">
        <f t="shared" si="94"/>
        <v>0.11070853462157811</v>
      </c>
      <c r="X76" s="2755">
        <f t="shared" si="94"/>
        <v>8.9490727112157789E-2</v>
      </c>
      <c r="Y76" s="3011">
        <f t="shared" si="95"/>
        <v>0.542380522993688</v>
      </c>
      <c r="Z76" s="2742">
        <f t="shared" si="95"/>
        <v>0.13398692810457516</v>
      </c>
      <c r="AA76" s="2742">
        <f t="shared" si="95"/>
        <v>0.11462882096069869</v>
      </c>
      <c r="AB76" s="2742">
        <f t="shared" si="96"/>
        <v>8.9764201500535906E-2</v>
      </c>
      <c r="AC76" s="2742">
        <f t="shared" si="96"/>
        <v>0.1</v>
      </c>
      <c r="AD76" s="2742">
        <f t="shared" si="97"/>
        <v>0.12940140845070422</v>
      </c>
      <c r="AE76" s="2742">
        <f t="shared" si="97"/>
        <v>9.9160206718346258E-2</v>
      </c>
      <c r="AF76" s="2742">
        <f t="shared" si="98"/>
        <v>8.0586080586080591E-2</v>
      </c>
      <c r="AG76" s="2742">
        <f t="shared" si="98"/>
        <v>0.14794816414686826</v>
      </c>
      <c r="AH76" s="2742">
        <f t="shared" ref="AH76:AI76" si="108">AH25/AH$15</f>
        <v>0.11053024645257654</v>
      </c>
      <c r="AI76" s="2742">
        <f t="shared" si="108"/>
        <v>8.5643015521064306E-2</v>
      </c>
      <c r="AJ76" s="2742"/>
      <c r="AK76" s="2742">
        <f t="shared" si="107"/>
        <v>0.15030123792083269</v>
      </c>
      <c r="AL76" s="2742">
        <f t="shared" si="107"/>
        <v>0.12950840070162892</v>
      </c>
      <c r="AM76" s="2742">
        <f t="shared" si="107"/>
        <v>0.12770945782151921</v>
      </c>
      <c r="AN76" s="2742">
        <f t="shared" si="107"/>
        <v>0.13129489852778695</v>
      </c>
      <c r="AO76" s="2742">
        <f t="shared" si="107"/>
        <v>0.14508768450435039</v>
      </c>
      <c r="AP76" s="2742">
        <f t="shared" si="100"/>
        <v>0.33593373273747346</v>
      </c>
      <c r="AQ76" s="2742">
        <f t="shared" si="100"/>
        <v>0.13952494759469672</v>
      </c>
      <c r="AR76" s="2742">
        <f t="shared" si="101"/>
        <v>0.11310258976357274</v>
      </c>
      <c r="AS76" s="2742">
        <f t="shared" si="101"/>
        <v>0.20419481698094183</v>
      </c>
      <c r="AT76" s="2742">
        <f t="shared" si="102"/>
        <v>0.10673752477031166</v>
      </c>
      <c r="AU76" s="2742">
        <f t="shared" si="102"/>
        <v>0.10963156604852545</v>
      </c>
    </row>
    <row r="77" spans="1:47">
      <c r="R77" s="3068"/>
      <c r="V77" s="3068"/>
      <c r="AR77" s="2731"/>
      <c r="AS77" s="2731"/>
      <c r="AT77" s="2731"/>
      <c r="AU77" s="2731"/>
    </row>
    <row r="78" spans="1:47">
      <c r="A78" s="2752" t="s">
        <v>2666</v>
      </c>
      <c r="R78" s="3068"/>
      <c r="V78" s="3068"/>
      <c r="AR78" s="2731"/>
      <c r="AS78" s="2731"/>
      <c r="AT78" s="2731"/>
      <c r="AU78" s="2731"/>
    </row>
    <row r="79" spans="1:47">
      <c r="A79" s="2731" t="s">
        <v>2652</v>
      </c>
      <c r="B79" s="2742">
        <f t="shared" ref="B79:L79" si="109">B59/B$15</f>
        <v>0.19710192271793914</v>
      </c>
      <c r="C79" s="2742">
        <f t="shared" si="109"/>
        <v>0.17029745492461515</v>
      </c>
      <c r="D79" s="2742">
        <f t="shared" si="109"/>
        <v>0.13438018475615493</v>
      </c>
      <c r="E79" s="2799">
        <f t="shared" si="109"/>
        <v>0.18638046983833914</v>
      </c>
      <c r="F79" s="2742">
        <f t="shared" si="109"/>
        <v>0.19871657346091315</v>
      </c>
      <c r="G79" s="2742">
        <f t="shared" si="109"/>
        <v>0.17339442586913495</v>
      </c>
      <c r="H79" s="2755">
        <f t="shared" si="109"/>
        <v>0.13570378688035506</v>
      </c>
      <c r="I79" s="2742">
        <f t="shared" si="109"/>
        <v>0.19312682734668357</v>
      </c>
      <c r="J79" s="2987">
        <f t="shared" si="109"/>
        <v>0.26233087440457098</v>
      </c>
      <c r="K79" s="2742">
        <f t="shared" si="109"/>
        <v>0.47680226062955905</v>
      </c>
      <c r="L79" s="2742">
        <f t="shared" si="109"/>
        <v>0.12295104560648604</v>
      </c>
      <c r="M79" s="2799">
        <f t="shared" ref="M79:U79" si="110">M59/M$15</f>
        <v>0.2135571838224341</v>
      </c>
      <c r="N79" s="2742">
        <f t="shared" si="110"/>
        <v>0.19620806912787392</v>
      </c>
      <c r="O79" s="2742">
        <f t="shared" si="110"/>
        <v>0.14521388620097725</v>
      </c>
      <c r="P79" s="2742">
        <f t="shared" si="110"/>
        <v>9.7061273817483626E-2</v>
      </c>
      <c r="Q79" s="3011">
        <f t="shared" si="110"/>
        <v>0.13934444418338124</v>
      </c>
      <c r="R79" s="2868">
        <f t="shared" si="110"/>
        <v>0.14667080202818278</v>
      </c>
      <c r="S79" s="3092">
        <f t="shared" si="110"/>
        <v>0.114699965353473</v>
      </c>
      <c r="T79" s="2755">
        <f t="shared" si="110"/>
        <v>9.4299700805364026E-2</v>
      </c>
      <c r="U79" s="3011">
        <f t="shared" si="110"/>
        <v>0.12828601472134596</v>
      </c>
      <c r="V79" s="2868">
        <f t="shared" ref="V79:X82" si="111">V59/V$15</f>
        <v>0.14686468646864687</v>
      </c>
      <c r="W79" s="3092">
        <f t="shared" si="111"/>
        <v>0.11996779388083736</v>
      </c>
      <c r="X79" s="2755">
        <f t="shared" si="111"/>
        <v>8.8018840153076247E-2</v>
      </c>
      <c r="Y79" s="3011">
        <f t="shared" ref="Y79:AA81" si="112">Y59/Y$15</f>
        <v>0.11451758340847611</v>
      </c>
      <c r="Z79" s="2742">
        <f t="shared" si="112"/>
        <v>0.12418300653594772</v>
      </c>
      <c r="AA79" s="2742">
        <f t="shared" si="112"/>
        <v>0.11426491994177583</v>
      </c>
      <c r="AB79" s="2742">
        <f t="shared" ref="AB79:AC82" si="113">AB59/AB$15</f>
        <v>9.2979635584137188E-2</v>
      </c>
      <c r="AC79" s="2742">
        <f t="shared" si="113"/>
        <v>0.10685483870967742</v>
      </c>
      <c r="AD79" s="2742">
        <f t="shared" ref="AD79:AE82" si="114">AD59/AD$15</f>
        <v>0.12411971830985916</v>
      </c>
      <c r="AE79" s="2742">
        <f t="shared" si="114"/>
        <v>9.9806201550387594E-2</v>
      </c>
      <c r="AF79" s="2742">
        <f t="shared" ref="AF79:AG82" si="115">AF59/AF$15</f>
        <v>8.3760683760683755E-2</v>
      </c>
      <c r="AG79" s="2742">
        <f t="shared" si="115"/>
        <v>0.10907127429805616</v>
      </c>
      <c r="AH79" s="2742">
        <f t="shared" ref="AH79:AI79" si="116">AH59/AH$15</f>
        <v>0.11239731142643763</v>
      </c>
      <c r="AI79" s="2742">
        <f t="shared" si="116"/>
        <v>8.9523281596452328E-2</v>
      </c>
      <c r="AJ79" s="2742"/>
      <c r="AK79" s="2742">
        <f t="shared" ref="AK79:AO82" si="117">AK59/AK$15</f>
        <v>0.19685737633032691</v>
      </c>
      <c r="AL79" s="2742">
        <f t="shared" si="117"/>
        <v>0.16304838920109976</v>
      </c>
      <c r="AM79" s="2742">
        <f t="shared" si="117"/>
        <v>0.15376303664606722</v>
      </c>
      <c r="AN79" s="2742">
        <f t="shared" si="117"/>
        <v>0.16627505315602337</v>
      </c>
      <c r="AO79" s="2742">
        <f t="shared" si="117"/>
        <v>0.16945192528404934</v>
      </c>
      <c r="AP79" s="2742">
        <f t="shared" ref="AP79:AQ82" si="118">AP59/AP$15</f>
        <v>0.21579604990706586</v>
      </c>
      <c r="AQ79" s="2742">
        <f t="shared" si="118"/>
        <v>0.1332803717104824</v>
      </c>
      <c r="AR79" s="2742">
        <f t="shared" ref="AR79:AS82" si="119">AR59/AR$15</f>
        <v>0.11643613977765697</v>
      </c>
      <c r="AS79" s="2742">
        <f t="shared" si="119"/>
        <v>0.11273570636281133</v>
      </c>
      <c r="AT79" s="2742">
        <f t="shared" ref="AT79:AU82" si="120">AT59/AT$15</f>
        <v>0.1073680417942713</v>
      </c>
      <c r="AU79" s="2742">
        <f t="shared" si="120"/>
        <v>0.10105383547095825</v>
      </c>
    </row>
    <row r="80" spans="1:47">
      <c r="A80" s="2731" t="s">
        <v>2641</v>
      </c>
      <c r="B80" s="2742">
        <f t="shared" ref="B80:L80" si="121">B60/B$15</f>
        <v>0.17571868583162217</v>
      </c>
      <c r="C80" s="2742">
        <f t="shared" si="121"/>
        <v>0.16216291006175346</v>
      </c>
      <c r="D80" s="2742">
        <f t="shared" si="121"/>
        <v>0.10598461656418684</v>
      </c>
      <c r="E80" s="2799">
        <f t="shared" si="121"/>
        <v>0.18057024436494976</v>
      </c>
      <c r="F80" s="2742">
        <f t="shared" si="121"/>
        <v>0.21262115556064093</v>
      </c>
      <c r="G80" s="2742">
        <f t="shared" si="121"/>
        <v>0.18483650523450204</v>
      </c>
      <c r="H80" s="2755">
        <f t="shared" si="121"/>
        <v>0.14952535635490208</v>
      </c>
      <c r="I80" s="2742">
        <f t="shared" si="121"/>
        <v>0.24508400825445698</v>
      </c>
      <c r="J80" s="2987">
        <f t="shared" si="121"/>
        <v>0.2807965978879346</v>
      </c>
      <c r="K80" s="2742">
        <f t="shared" si="121"/>
        <v>0.58911982412015262</v>
      </c>
      <c r="L80" s="2742">
        <f t="shared" si="121"/>
        <v>0.14376781881667039</v>
      </c>
      <c r="M80" s="2799">
        <f t="shared" ref="M80:U80" si="122">M60/M$15</f>
        <v>0.23438547408014326</v>
      </c>
      <c r="N80" s="2742">
        <f t="shared" si="122"/>
        <v>0.24730758476372586</v>
      </c>
      <c r="O80" s="2742">
        <f t="shared" si="122"/>
        <v>0.1542260462134398</v>
      </c>
      <c r="P80" s="2742">
        <f t="shared" si="122"/>
        <v>9.5257867054730633E-2</v>
      </c>
      <c r="Q80" s="3011">
        <f t="shared" si="122"/>
        <v>0.15763910100274381</v>
      </c>
      <c r="R80" s="2868">
        <f t="shared" si="122"/>
        <v>0.16239975558953093</v>
      </c>
      <c r="S80" s="3092">
        <f t="shared" si="122"/>
        <v>0.10936611113408207</v>
      </c>
      <c r="T80" s="2755">
        <f t="shared" si="122"/>
        <v>8.0148799927888204E-2</v>
      </c>
      <c r="U80" s="3011">
        <f t="shared" si="122"/>
        <v>0.13038906414300735</v>
      </c>
      <c r="V80" s="2868">
        <f t="shared" si="111"/>
        <v>0.14906490649064907</v>
      </c>
      <c r="W80" s="3092">
        <f t="shared" si="111"/>
        <v>0.10466988727858294</v>
      </c>
      <c r="X80" s="2755">
        <f t="shared" si="111"/>
        <v>7.1828083603179271E-2</v>
      </c>
      <c r="Y80" s="3011">
        <f t="shared" si="112"/>
        <v>0.11406672678088368</v>
      </c>
      <c r="Z80" s="2742">
        <f t="shared" si="112"/>
        <v>0.13538748832866479</v>
      </c>
      <c r="AA80" s="2742">
        <f t="shared" si="112"/>
        <v>0.10189228529839883</v>
      </c>
      <c r="AB80" s="2742">
        <f t="shared" si="113"/>
        <v>7.8778135048231515E-2</v>
      </c>
      <c r="AC80" s="2742">
        <f t="shared" si="113"/>
        <v>0.12338709677419354</v>
      </c>
      <c r="AD80" s="2742">
        <f t="shared" si="114"/>
        <v>0.14876760563380281</v>
      </c>
      <c r="AE80" s="2742">
        <f t="shared" si="114"/>
        <v>0.10691214470284238</v>
      </c>
      <c r="AF80" s="2742">
        <f t="shared" si="115"/>
        <v>8.1318681318681321E-2</v>
      </c>
      <c r="AG80" s="2742">
        <f t="shared" si="115"/>
        <v>0.12059035277177826</v>
      </c>
      <c r="AH80" s="2742">
        <f t="shared" ref="AH80:AI80" si="123">AH60/AH$15</f>
        <v>0.14002987303958178</v>
      </c>
      <c r="AI80" s="2742">
        <f t="shared" si="123"/>
        <v>0.10365853658536585</v>
      </c>
      <c r="AJ80" s="2742"/>
      <c r="AK80" s="2742">
        <f t="shared" si="117"/>
        <v>0.10323043259223473</v>
      </c>
      <c r="AL80" s="2742">
        <f t="shared" si="117"/>
        <v>0.1330829874315646</v>
      </c>
      <c r="AM80" s="2742">
        <f t="shared" si="117"/>
        <v>0.14850953714319398</v>
      </c>
      <c r="AN80" s="2742">
        <f t="shared" si="117"/>
        <v>0.14931550923675754</v>
      </c>
      <c r="AO80" s="2742">
        <f t="shared" si="117"/>
        <v>0.19147080925631382</v>
      </c>
      <c r="AP80" s="2742">
        <f t="shared" si="118"/>
        <v>0.24509746169482613</v>
      </c>
      <c r="AQ80" s="2742">
        <f t="shared" si="118"/>
        <v>0.14685751765758306</v>
      </c>
      <c r="AR80" s="2742">
        <f t="shared" si="119"/>
        <v>0.11357881119415619</v>
      </c>
      <c r="AS80" s="2742">
        <f t="shared" si="119"/>
        <v>0.10366038116365836</v>
      </c>
      <c r="AT80" s="2742">
        <f t="shared" si="120"/>
        <v>0.1053864168618267</v>
      </c>
      <c r="AU80" s="2742">
        <f t="shared" si="120"/>
        <v>0.10922310268768891</v>
      </c>
    </row>
    <row r="81" spans="1:47" s="2756" customFormat="1">
      <c r="A81" s="2754" t="s">
        <v>2642</v>
      </c>
      <c r="B81" s="2755">
        <f t="shared" ref="B81:L81" si="124">B61/B$15</f>
        <v>0.35626127807852653</v>
      </c>
      <c r="C81" s="2755">
        <f t="shared" si="124"/>
        <v>0.28864960356684688</v>
      </c>
      <c r="D81" s="2755">
        <f t="shared" si="124"/>
        <v>0.23973008243441177</v>
      </c>
      <c r="E81" s="2800">
        <f t="shared" si="124"/>
        <v>0.35184103489585256</v>
      </c>
      <c r="F81" s="2755">
        <f t="shared" si="124"/>
        <v>0.43116957726065663</v>
      </c>
      <c r="G81" s="2755">
        <f t="shared" si="124"/>
        <v>0.31478612943466056</v>
      </c>
      <c r="H81" s="2755">
        <f t="shared" si="124"/>
        <v>0.25740675590198092</v>
      </c>
      <c r="I81" s="2755">
        <f t="shared" si="124"/>
        <v>0.38866060231515104</v>
      </c>
      <c r="J81" s="2988">
        <f t="shared" si="124"/>
        <v>0.36958887186249001</v>
      </c>
      <c r="K81" s="2755">
        <f t="shared" si="124"/>
        <v>0.32992406817733755</v>
      </c>
      <c r="L81" s="2755">
        <f t="shared" si="124"/>
        <v>8.3399697988052135E-2</v>
      </c>
      <c r="M81" s="2800">
        <f t="shared" ref="M81:U81" si="125">M61/M$15</f>
        <v>0.172174093177417</v>
      </c>
      <c r="N81" s="2755">
        <f t="shared" si="125"/>
        <v>0.22012298519848103</v>
      </c>
      <c r="O81" s="2755">
        <f t="shared" si="125"/>
        <v>0.21869448380612283</v>
      </c>
      <c r="P81" s="2755">
        <f t="shared" si="125"/>
        <v>0.11796783097765653</v>
      </c>
      <c r="Q81" s="3012">
        <f t="shared" si="125"/>
        <v>0.21141877409939722</v>
      </c>
      <c r="R81" s="3067">
        <f t="shared" si="125"/>
        <v>0.2067740402680828</v>
      </c>
      <c r="S81" s="3093">
        <f t="shared" si="125"/>
        <v>0.16670112308927257</v>
      </c>
      <c r="T81" s="2755">
        <f t="shared" si="125"/>
        <v>0.12313263371018685</v>
      </c>
      <c r="U81" s="3012">
        <f t="shared" si="125"/>
        <v>0.19558359621451105</v>
      </c>
      <c r="V81" s="3067">
        <f t="shared" si="111"/>
        <v>0.23212321232123212</v>
      </c>
      <c r="W81" s="3093">
        <f t="shared" si="111"/>
        <v>0.18115942028985507</v>
      </c>
      <c r="X81" s="2755">
        <f t="shared" si="111"/>
        <v>0.10891963497203415</v>
      </c>
      <c r="Y81" s="3012">
        <f t="shared" si="112"/>
        <v>0.1762849413886384</v>
      </c>
      <c r="Z81" s="2755">
        <f t="shared" si="112"/>
        <v>0.22362278244631187</v>
      </c>
      <c r="AA81" s="2755">
        <f t="shared" si="112"/>
        <v>0.19177583697234352</v>
      </c>
      <c r="AB81" s="2755">
        <f t="shared" si="113"/>
        <v>0.12620578778135047</v>
      </c>
      <c r="AC81" s="2755">
        <f t="shared" si="113"/>
        <v>0.20201612903225807</v>
      </c>
      <c r="AD81" s="2755">
        <f t="shared" si="114"/>
        <v>0.22843309859154928</v>
      </c>
      <c r="AE81" s="2755">
        <f t="shared" si="114"/>
        <v>0.20639534883720931</v>
      </c>
      <c r="AF81" s="2755">
        <f t="shared" si="115"/>
        <v>0.14285714285714285</v>
      </c>
      <c r="AG81" s="2755">
        <f t="shared" si="115"/>
        <v>0.22786177105831534</v>
      </c>
      <c r="AH81" s="2755">
        <f t="shared" ref="AH81:AI81" si="126">AH61/AH$15</f>
        <v>0.25989544436146378</v>
      </c>
      <c r="AI81" s="2755">
        <f t="shared" si="126"/>
        <v>0.22394678492239467</v>
      </c>
      <c r="AJ81" s="2755"/>
      <c r="AK81" s="2755">
        <f t="shared" si="117"/>
        <v>0.42893298557953341</v>
      </c>
      <c r="AL81" s="2755">
        <f t="shared" si="117"/>
        <v>0.39484022479185493</v>
      </c>
      <c r="AM81" s="2755">
        <f t="shared" si="117"/>
        <v>0.33795717800650427</v>
      </c>
      <c r="AN81" s="2755">
        <f t="shared" si="117"/>
        <v>0.29815620819910271</v>
      </c>
      <c r="AO81" s="2755">
        <f t="shared" si="117"/>
        <v>0.33247045568389005</v>
      </c>
      <c r="AP81" s="2755">
        <f t="shared" si="118"/>
        <v>0.20172701489758302</v>
      </c>
      <c r="AQ81" s="2755">
        <f t="shared" si="118"/>
        <v>0.17943225362831622</v>
      </c>
      <c r="AR81" s="2755">
        <f t="shared" si="119"/>
        <v>0.16547873230807622</v>
      </c>
      <c r="AS81" s="2755">
        <f t="shared" si="119"/>
        <v>0.16466673389129777</v>
      </c>
      <c r="AT81" s="2755">
        <f t="shared" si="120"/>
        <v>0.1522248243559719</v>
      </c>
      <c r="AU81" s="2755">
        <f t="shared" si="120"/>
        <v>0.14435095171963075</v>
      </c>
    </row>
    <row r="82" spans="1:47">
      <c r="A82" s="2731" t="s">
        <v>96</v>
      </c>
      <c r="B82" s="2742">
        <f t="shared" ref="B82:L82" si="127">B62/B$15</f>
        <v>0.14678146972808162</v>
      </c>
      <c r="C82" s="2742">
        <f t="shared" si="127"/>
        <v>0.1099397740391906</v>
      </c>
      <c r="D82" s="2742">
        <f t="shared" si="127"/>
        <v>7.5739431693418929E-2</v>
      </c>
      <c r="E82" s="2799">
        <f t="shared" si="127"/>
        <v>0.21942999356402132</v>
      </c>
      <c r="F82" s="2742">
        <f t="shared" si="127"/>
        <v>0.17101825497852216</v>
      </c>
      <c r="G82" s="2742">
        <f t="shared" si="127"/>
        <v>0.13636071511554135</v>
      </c>
      <c r="H82" s="2755">
        <f t="shared" si="127"/>
        <v>0.10409591672180833</v>
      </c>
      <c r="I82" s="2742">
        <f t="shared" si="127"/>
        <v>0.18133603663186348</v>
      </c>
      <c r="J82" s="2987">
        <f t="shared" si="127"/>
        <v>9.4519083425394668E-2</v>
      </c>
      <c r="K82" s="2742">
        <f t="shared" si="127"/>
        <v>0.40532120176596748</v>
      </c>
      <c r="L82" s="2742">
        <f t="shared" si="127"/>
        <v>0.12972433773786049</v>
      </c>
      <c r="M82" s="2799">
        <f t="shared" ref="M82:U82" si="128">M62/M$15</f>
        <v>0.19821382019961264</v>
      </c>
      <c r="N82" s="2742">
        <f t="shared" si="128"/>
        <v>0.15931814696889066</v>
      </c>
      <c r="O82" s="2742">
        <f t="shared" si="128"/>
        <v>0.12550591823222956</v>
      </c>
      <c r="P82" s="2742">
        <f t="shared" si="128"/>
        <v>7.4218568430236095E-2</v>
      </c>
      <c r="Q82" s="3011">
        <f t="shared" si="128"/>
        <v>0.10122268952536098</v>
      </c>
      <c r="R82" s="2868">
        <f t="shared" si="128"/>
        <v>0.10993566994513357</v>
      </c>
      <c r="S82" s="3092">
        <f t="shared" si="128"/>
        <v>8.8916580763240646E-2</v>
      </c>
      <c r="T82" s="2755">
        <f t="shared" si="128"/>
        <v>6.495921176254417E-2</v>
      </c>
      <c r="U82" s="3011">
        <f t="shared" si="128"/>
        <v>0.10725552050473186</v>
      </c>
      <c r="V82" s="2868">
        <f t="shared" si="111"/>
        <v>0.10726072607260725</v>
      </c>
      <c r="W82" s="3092">
        <f t="shared" si="111"/>
        <v>8.7359098228663445E-2</v>
      </c>
      <c r="X82" s="2755">
        <f t="shared" si="111"/>
        <v>7.1533706211362971E-2</v>
      </c>
      <c r="Y82" s="3011">
        <f>(Y62-935)/Y$15</f>
        <v>9.3327321911632108E-2</v>
      </c>
      <c r="Z82" s="2755">
        <f>Z62/Z$15</f>
        <v>0.10784313725490197</v>
      </c>
      <c r="AA82" s="2755">
        <f>AA62/AA$15</f>
        <v>8.8064046579330424E-2</v>
      </c>
      <c r="AB82" s="2755">
        <f t="shared" si="113"/>
        <v>7.1811361200428719E-2</v>
      </c>
      <c r="AC82" s="2755">
        <f t="shared" si="113"/>
        <v>7.3790322580645162E-2</v>
      </c>
      <c r="AD82" s="2755">
        <f t="shared" si="114"/>
        <v>0.10167253521126761</v>
      </c>
      <c r="AE82" s="2755">
        <f t="shared" si="114"/>
        <v>7.6550387596899222E-2</v>
      </c>
      <c r="AF82" s="2755">
        <f t="shared" si="115"/>
        <v>6.3736263736263732E-2</v>
      </c>
      <c r="AG82" s="2755">
        <f t="shared" si="115"/>
        <v>0.12239020878329733</v>
      </c>
      <c r="AH82" s="2755">
        <f t="shared" ref="AH82:AI82" si="129">AH62/AH$15</f>
        <v>8.5511575802837941E-2</v>
      </c>
      <c r="AI82" s="2755">
        <f t="shared" si="129"/>
        <v>6.2361419068736143E-2</v>
      </c>
      <c r="AJ82" s="2755"/>
      <c r="AK82" s="2742">
        <f t="shared" si="117"/>
        <v>0.13443361068766246</v>
      </c>
      <c r="AL82" s="2742">
        <f t="shared" si="117"/>
        <v>0.11959040237355457</v>
      </c>
      <c r="AM82" s="2742">
        <f t="shared" si="117"/>
        <v>0.12372385595464924</v>
      </c>
      <c r="AN82" s="2742">
        <f t="shared" si="117"/>
        <v>0.12977106970592706</v>
      </c>
      <c r="AO82" s="2742">
        <f t="shared" si="117"/>
        <v>0.14172073439011049</v>
      </c>
      <c r="AP82" s="2742">
        <f t="shared" si="118"/>
        <v>0.16568325311800758</v>
      </c>
      <c r="AQ82" s="2742">
        <f t="shared" si="118"/>
        <v>0.10526256058320092</v>
      </c>
      <c r="AR82" s="2742">
        <f t="shared" si="119"/>
        <v>8.8696241446170193E-2</v>
      </c>
      <c r="AS82" s="2742">
        <f t="shared" si="119"/>
        <v>0.18120399314308763</v>
      </c>
      <c r="AT82" s="2742">
        <f t="shared" si="120"/>
        <v>8.3228247162673394E-2</v>
      </c>
      <c r="AU82" s="2742">
        <f t="shared" si="120"/>
        <v>8.7329466546850754E-2</v>
      </c>
    </row>
    <row r="84" spans="1:47">
      <c r="A84" s="2757" t="s">
        <v>2667</v>
      </c>
      <c r="B84" s="2753"/>
      <c r="C84" s="2753"/>
      <c r="D84" s="2753"/>
      <c r="E84" s="2801"/>
      <c r="F84" s="2753"/>
      <c r="G84" s="2757"/>
      <c r="H84" s="2757"/>
      <c r="I84" s="2757"/>
      <c r="J84" s="2757"/>
      <c r="K84" s="2757"/>
      <c r="L84" s="2757"/>
      <c r="M84" s="2757"/>
      <c r="N84" s="2757"/>
      <c r="O84" s="2757"/>
      <c r="P84" s="2757"/>
      <c r="Q84" s="2757"/>
      <c r="R84" s="2757"/>
      <c r="S84" s="2757"/>
      <c r="T84" s="2757"/>
      <c r="U84" s="2757"/>
      <c r="V84" s="2757"/>
      <c r="W84" s="2757"/>
      <c r="X84" s="2757"/>
      <c r="Y84" s="2757"/>
      <c r="Z84" s="2757"/>
      <c r="AA84" s="2757"/>
      <c r="AB84" s="2757"/>
      <c r="AC84" s="2757"/>
      <c r="AD84" s="2757"/>
      <c r="AE84" s="2757"/>
      <c r="AF84" s="2757"/>
      <c r="AG84" s="2757"/>
      <c r="AH84" s="2757"/>
      <c r="AI84" s="2757"/>
      <c r="AJ84" s="2757"/>
      <c r="AK84" s="2753"/>
      <c r="AL84" s="2753"/>
      <c r="AM84" s="2753"/>
      <c r="AN84" s="2753"/>
      <c r="AO84" s="2753"/>
      <c r="AP84" s="2753"/>
      <c r="AQ84" s="2753"/>
      <c r="AR84" s="2753"/>
      <c r="AS84" s="2753"/>
      <c r="AT84" s="2753"/>
      <c r="AU84" s="2753"/>
    </row>
    <row r="85" spans="1:47">
      <c r="A85" s="2731" t="s">
        <v>2668</v>
      </c>
      <c r="F85" s="2742">
        <f t="shared" ref="F85:O85" si="130">F15/B15-1</f>
        <v>0.30515213739033031</v>
      </c>
      <c r="G85" s="2742">
        <f t="shared" si="130"/>
        <v>0.3434097346670637</v>
      </c>
      <c r="H85" s="2755">
        <f t="shared" si="130"/>
        <v>0.30086623714457117</v>
      </c>
      <c r="I85" s="2742">
        <f t="shared" si="130"/>
        <v>0.31669416729023903</v>
      </c>
      <c r="J85" s="2987">
        <f t="shared" si="130"/>
        <v>3.3682795314444736E-3</v>
      </c>
      <c r="K85" s="2742">
        <f t="shared" si="130"/>
        <v>-0.7241657177603944</v>
      </c>
      <c r="L85" s="2742">
        <f t="shared" si="130"/>
        <v>-0.18437063461827086</v>
      </c>
      <c r="M85" s="2799">
        <f t="shared" si="130"/>
        <v>-0.22364735687516035</v>
      </c>
      <c r="N85" s="2742">
        <f t="shared" si="130"/>
        <v>5.3580889253174613E-2</v>
      </c>
      <c r="O85" s="2742">
        <f t="shared" si="130"/>
        <v>2.9883503497882149</v>
      </c>
      <c r="P85" s="2742">
        <v>0.67</v>
      </c>
      <c r="Q85" s="2799">
        <f t="shared" ref="Q85:AI85" si="131">Q15/M15-1</f>
        <v>0.78314929986593174</v>
      </c>
      <c r="R85" s="2742">
        <f t="shared" si="131"/>
        <v>0.7012918632235019</v>
      </c>
      <c r="S85" s="3092">
        <f t="shared" si="131"/>
        <v>0.57587874738989631</v>
      </c>
      <c r="T85" s="2755">
        <f t="shared" si="131"/>
        <v>0.28916096667965774</v>
      </c>
      <c r="U85" s="2799">
        <f t="shared" si="131"/>
        <v>0.24135554459090103</v>
      </c>
      <c r="V85" s="2742">
        <f t="shared" si="131"/>
        <v>0.20482167247539174</v>
      </c>
      <c r="W85" s="3092">
        <f t="shared" si="131"/>
        <v>0.18054832762782502</v>
      </c>
      <c r="X85" s="2755">
        <f t="shared" si="131"/>
        <v>0.17771051965566631</v>
      </c>
      <c r="Y85" s="2799">
        <f t="shared" si="131"/>
        <v>0.16614090431125139</v>
      </c>
      <c r="Z85" s="2742">
        <f t="shared" si="131"/>
        <v>0.17821782178217815</v>
      </c>
      <c r="AA85" s="2742">
        <f t="shared" si="131"/>
        <v>0.106280193236715</v>
      </c>
      <c r="AB85" s="2742">
        <f t="shared" si="131"/>
        <v>9.8616426258463452E-2</v>
      </c>
      <c r="AC85" s="2742">
        <f t="shared" si="131"/>
        <v>0.11812443642921555</v>
      </c>
      <c r="AD85" s="2742">
        <f t="shared" si="131"/>
        <v>6.0690943043884227E-2</v>
      </c>
      <c r="AE85" s="2742">
        <f t="shared" si="131"/>
        <v>0.1266375545851528</v>
      </c>
      <c r="AF85" s="2742">
        <f t="shared" si="131"/>
        <v>9.726688102893899E-2</v>
      </c>
      <c r="AG85" s="2742">
        <f t="shared" si="131"/>
        <v>0.12016129032258061</v>
      </c>
      <c r="AH85" s="2742">
        <f t="shared" si="131"/>
        <v>0.17869718309859151</v>
      </c>
      <c r="AI85" s="2742">
        <f t="shared" si="131"/>
        <v>0.1653746770025839</v>
      </c>
      <c r="AJ85" s="2742"/>
      <c r="AK85" s="2742"/>
      <c r="AL85" s="2742">
        <f t="shared" ref="AL85:AQ85" si="132">AL15/AK15-1</f>
        <v>0.80141691175910523</v>
      </c>
      <c r="AM85" s="2742">
        <f t="shared" si="132"/>
        <v>0.54732914707630465</v>
      </c>
      <c r="AN85" s="2742">
        <f t="shared" si="132"/>
        <v>0.42559825991979605</v>
      </c>
      <c r="AO85" s="2742">
        <f t="shared" si="132"/>
        <v>0.31578826309527552</v>
      </c>
      <c r="AP85" s="2742">
        <f t="shared" si="132"/>
        <v>-0.29697586321929037</v>
      </c>
      <c r="AQ85" s="2742">
        <f t="shared" si="132"/>
        <v>0.77365513399299446</v>
      </c>
      <c r="AR85" s="2742">
        <f>AR15/AQ15-1</f>
        <v>0.40183418561491102</v>
      </c>
      <c r="AS85" s="2742">
        <f>AS15/AR15-1</f>
        <v>0.18067198177405341</v>
      </c>
      <c r="AT85" s="2742">
        <f>AT15/AS15-1</f>
        <v>0.11949178178884745</v>
      </c>
      <c r="AU85" s="2742">
        <f>AU15/AT15-1</f>
        <v>0.10259412718429117</v>
      </c>
    </row>
    <row r="86" spans="1:47">
      <c r="A86" s="2763" t="s">
        <v>2715</v>
      </c>
      <c r="N86" s="2867">
        <f>N15/F15-1</f>
        <v>5.7129644197167151E-2</v>
      </c>
      <c r="O86" s="2867">
        <f>O15/G15-1</f>
        <v>0.10012375605391188</v>
      </c>
      <c r="P86" s="2867">
        <v>0.36</v>
      </c>
      <c r="Q86" s="3009">
        <f>Q15/I15-1</f>
        <v>0.38435267203712331</v>
      </c>
      <c r="R86" s="2867">
        <f>R15/F15-1</f>
        <v>0.79848606204499606</v>
      </c>
      <c r="S86" s="3094">
        <f>S15/G15-1</f>
        <v>0.73366164666410683</v>
      </c>
      <c r="T86" s="3151">
        <f>T15/H15-1</f>
        <v>0.75262993836893677</v>
      </c>
      <c r="U86" s="3009">
        <f>U15/I15-1</f>
        <v>0.71847386510251199</v>
      </c>
      <c r="V86" s="2867">
        <f>V15/F15-1</f>
        <v>1.1668549851967334</v>
      </c>
      <c r="W86" s="3094">
        <f>W15/G15-1</f>
        <v>1.0466713576418125</v>
      </c>
      <c r="X86" s="3151">
        <f>X15/H15-1</f>
        <v>1.064090715480559</v>
      </c>
      <c r="Y86" s="3009">
        <f>Y15/I15-1</f>
        <v>1.0039826670858947</v>
      </c>
      <c r="Z86" s="2867">
        <f>Z15/F15-1</f>
        <v>1.5530271607763488</v>
      </c>
      <c r="AA86" s="2867">
        <f>AA15/G15-1</f>
        <v>1.2641919850240342</v>
      </c>
      <c r="AB86" s="2867">
        <f>AB15/H15-1</f>
        <v>1.2676439653145262</v>
      </c>
      <c r="AC86" s="2867">
        <f>AC15/I15-1</f>
        <v>1.2407019902493324</v>
      </c>
      <c r="AD86" s="2867"/>
      <c r="AE86" s="2867"/>
      <c r="AF86" s="2867"/>
      <c r="AG86" s="2867"/>
      <c r="AH86" s="2867"/>
      <c r="AI86" s="2867"/>
      <c r="AJ86" s="2867"/>
      <c r="AQ86" s="2867">
        <f>AQ15/$AO15-1</f>
        <v>0.24692236952209878</v>
      </c>
      <c r="AR86" s="2867">
        <f>AR15/$AO15-1</f>
        <v>0.74797840440402652</v>
      </c>
      <c r="AS86" s="2867">
        <f>AS15/$AO15-1</f>
        <v>1.0637891268259501</v>
      </c>
      <c r="AT86" s="2867">
        <f>AT15/$AO15-1</f>
        <v>1.3103949668268324</v>
      </c>
      <c r="AU86" s="2867">
        <f>AU15/$AO15-1</f>
        <v>1.5474279218994105</v>
      </c>
    </row>
    <row r="87" spans="1:47">
      <c r="A87" s="2729" t="s">
        <v>2671</v>
      </c>
      <c r="Z87" s="2731"/>
      <c r="AA87" s="2731"/>
      <c r="AB87" s="2731"/>
      <c r="AC87" s="2731"/>
      <c r="AD87" s="2731"/>
      <c r="AE87" s="2731"/>
      <c r="AF87" s="2731"/>
      <c r="AG87" s="2731"/>
      <c r="AH87" s="2731"/>
      <c r="AI87" s="2731"/>
      <c r="AJ87" s="2731"/>
    </row>
    <row r="88" spans="1:47">
      <c r="A88" s="2731" t="str">
        <f>A73</f>
        <v>Operations and support</v>
      </c>
      <c r="F88" s="2742">
        <f t="shared" ref="F88:K88" si="133">F22/B22-1</f>
        <v>0.3049245240200642</v>
      </c>
      <c r="G88" s="2742">
        <f t="shared" si="133"/>
        <v>0.36842413096174198</v>
      </c>
      <c r="H88" s="2755">
        <f t="shared" si="133"/>
        <v>0.31420808412286738</v>
      </c>
      <c r="I88" s="2742">
        <f t="shared" si="133"/>
        <v>0.36055467018838216</v>
      </c>
      <c r="J88" s="2987">
        <f t="shared" si="133"/>
        <v>0.33001709094180098</v>
      </c>
      <c r="K88" s="2742">
        <f t="shared" si="133"/>
        <v>-0.23789351708941009</v>
      </c>
      <c r="L88" s="2742">
        <f t="shared" ref="L88:AI88" si="134">L22/H22-1</f>
        <v>-0.2566766906526331</v>
      </c>
      <c r="M88" s="2799">
        <f t="shared" si="134"/>
        <v>0.5378139495814005</v>
      </c>
      <c r="N88" s="2742">
        <f t="shared" si="134"/>
        <v>-0.16390049912754123</v>
      </c>
      <c r="O88" s="2742">
        <f t="shared" si="134"/>
        <v>0.2969229043595305</v>
      </c>
      <c r="P88" s="2742">
        <f t="shared" si="134"/>
        <v>0.3746041684225736</v>
      </c>
      <c r="Q88" s="2799">
        <f t="shared" si="134"/>
        <v>-0.31670975808115753</v>
      </c>
      <c r="R88" s="2742">
        <f t="shared" si="134"/>
        <v>0.25656291119308006</v>
      </c>
      <c r="S88" s="3092">
        <f t="shared" si="134"/>
        <v>0.2408648648648648</v>
      </c>
      <c r="T88" s="2755">
        <f t="shared" si="134"/>
        <v>0.26985503438006408</v>
      </c>
      <c r="U88" s="2799">
        <f t="shared" si="134"/>
        <v>0.15470364086940314</v>
      </c>
      <c r="V88" s="2742">
        <f t="shared" si="134"/>
        <v>0.21023809932535653</v>
      </c>
      <c r="W88" s="3092">
        <f t="shared" si="134"/>
        <v>0.22746897446322434</v>
      </c>
      <c r="X88" s="2755">
        <f t="shared" si="134"/>
        <v>8.9858111510419114E-2</v>
      </c>
      <c r="Y88" s="2799">
        <f t="shared" si="134"/>
        <v>4.2307692307692379E-2</v>
      </c>
      <c r="Z88" s="2742">
        <f t="shared" si="134"/>
        <v>1.0638297872340496E-2</v>
      </c>
      <c r="AA88" s="2742">
        <f t="shared" si="134"/>
        <v>6.6246056782334417E-2</v>
      </c>
      <c r="AB88" s="2742">
        <f t="shared" si="134"/>
        <v>0.16772151898734178</v>
      </c>
      <c r="AC88" s="2742">
        <f t="shared" si="134"/>
        <v>7.0110701107011009E-2</v>
      </c>
      <c r="AD88" s="2742">
        <f t="shared" si="134"/>
        <v>6.315789473684208E-2</v>
      </c>
      <c r="AE88" s="2742">
        <f t="shared" si="134"/>
        <v>-1.7751479289940808E-2</v>
      </c>
      <c r="AF88" s="2742">
        <f t="shared" si="134"/>
        <v>-1.0840108401083959E-2</v>
      </c>
      <c r="AG88" s="2742">
        <f t="shared" si="134"/>
        <v>0.12758620689655165</v>
      </c>
      <c r="AH88" s="2742">
        <f t="shared" si="134"/>
        <v>7.5907590759075827E-2</v>
      </c>
      <c r="AI88" s="2742">
        <f t="shared" si="134"/>
        <v>8.7349397590361422E-2</v>
      </c>
      <c r="AJ88" s="2742"/>
      <c r="AL88" s="2742">
        <f t="shared" ref="AL88:AQ88" si="135">AL22/AK22-1</f>
        <v>0.49097829384670533</v>
      </c>
      <c r="AM88" s="2742">
        <f t="shared" si="135"/>
        <v>0.46411658502656383</v>
      </c>
      <c r="AN88" s="2742">
        <f t="shared" si="135"/>
        <v>0.53940349573835289</v>
      </c>
      <c r="AO88" s="2742">
        <f t="shared" si="135"/>
        <v>0.33793717026536352</v>
      </c>
      <c r="AP88" s="2742">
        <f t="shared" si="135"/>
        <v>7.7081344761334547E-2</v>
      </c>
      <c r="AQ88" s="2742">
        <f t="shared" si="135"/>
        <v>-3.5133802102970568E-2</v>
      </c>
      <c r="AR88" s="2742">
        <f t="shared" ref="AR88:AU91" si="136">AR22/AQ22-1</f>
        <v>0.22896097901321877</v>
      </c>
      <c r="AS88" s="2742">
        <f t="shared" si="136"/>
        <v>0.13928914505283374</v>
      </c>
      <c r="AT88" s="2742">
        <f t="shared" si="136"/>
        <v>8.0944350758853201E-2</v>
      </c>
      <c r="AU88" s="2742">
        <f t="shared" si="136"/>
        <v>3.5101404056162355E-2</v>
      </c>
    </row>
    <row r="89" spans="1:47">
      <c r="A89" s="2731" t="str">
        <f>A74</f>
        <v xml:space="preserve">Product Development </v>
      </c>
      <c r="F89" s="2742">
        <f>F23/B23-1</f>
        <v>0.5061964473159577</v>
      </c>
      <c r="G89" s="2742">
        <f t="shared" ref="G89:AI91" si="137">G23/C23-1</f>
        <v>0.50473778635595257</v>
      </c>
      <c r="H89" s="2755">
        <f t="shared" si="137"/>
        <v>0.94655510008592869</v>
      </c>
      <c r="I89" s="2742">
        <f t="shared" si="137"/>
        <v>0.76894794434891334</v>
      </c>
      <c r="J89" s="2987">
        <f t="shared" si="137"/>
        <v>0.39825824819963174</v>
      </c>
      <c r="K89" s="2742">
        <f t="shared" si="137"/>
        <v>-6.1934256457493175E-2</v>
      </c>
      <c r="L89" s="2742">
        <f t="shared" si="137"/>
        <v>-0.22595959011173505</v>
      </c>
      <c r="M89" s="2799">
        <f t="shared" si="137"/>
        <v>6.2895096836680233</v>
      </c>
      <c r="N89" s="2742">
        <f t="shared" si="137"/>
        <v>0.40276023012220885</v>
      </c>
      <c r="O89" s="2742">
        <f t="shared" si="137"/>
        <v>0.60474079784158796</v>
      </c>
      <c r="P89" s="2742">
        <f t="shared" si="137"/>
        <v>0.60999439042632786</v>
      </c>
      <c r="Q89" s="2799">
        <f t="shared" si="137"/>
        <v>-0.82162550098317566</v>
      </c>
      <c r="R89" s="2742">
        <f t="shared" si="137"/>
        <v>-3.6908398313217905E-4</v>
      </c>
      <c r="S89" s="3092">
        <f t="shared" si="137"/>
        <v>7.2386442267551976E-2</v>
      </c>
      <c r="T89" s="2755">
        <f t="shared" si="137"/>
        <v>6.3215353793443896E-2</v>
      </c>
      <c r="U89" s="2799">
        <f t="shared" si="137"/>
        <v>8.1983346155832804E-2</v>
      </c>
      <c r="V89" s="2742">
        <f t="shared" si="137"/>
        <v>0.15725752010734939</v>
      </c>
      <c r="W89" s="3092">
        <f t="shared" si="137"/>
        <v>0.20250633248900152</v>
      </c>
      <c r="X89" s="2755">
        <f t="shared" si="137"/>
        <v>0.14423974963269637</v>
      </c>
      <c r="Y89" s="2799">
        <f t="shared" si="137"/>
        <v>8.5427135678391997E-2</v>
      </c>
      <c r="Z89" s="2742">
        <f t="shared" si="137"/>
        <v>0.13095238095238093</v>
      </c>
      <c r="AA89" s="2742">
        <f t="shared" si="137"/>
        <v>0.1507760532150777</v>
      </c>
      <c r="AB89" s="2742">
        <f t="shared" si="137"/>
        <v>0.25059665871121717</v>
      </c>
      <c r="AC89" s="2742">
        <f t="shared" si="137"/>
        <v>0.24537037037037046</v>
      </c>
      <c r="AD89" s="2742">
        <f t="shared" si="137"/>
        <v>0.19578947368421051</v>
      </c>
      <c r="AE89" s="2742">
        <f t="shared" si="137"/>
        <v>0.17533718689788058</v>
      </c>
      <c r="AF89" s="2742">
        <f t="shared" si="137"/>
        <v>0.12022900763358768</v>
      </c>
      <c r="AG89" s="2742">
        <f t="shared" si="137"/>
        <v>9.4795539033457166E-2</v>
      </c>
      <c r="AH89" s="2742">
        <f t="shared" si="137"/>
        <v>0.12323943661971826</v>
      </c>
      <c r="AI89" s="2742">
        <f t="shared" si="137"/>
        <v>0.10163934426229515</v>
      </c>
      <c r="AJ89" s="2742"/>
      <c r="AL89" s="2742">
        <f>AL23/AK23-1</f>
        <v>1.2878166223604355</v>
      </c>
      <c r="AM89" s="2742">
        <f t="shared" ref="AM89:AQ91" si="138">AM23/AL23-1</f>
        <v>0.7572009243141089</v>
      </c>
      <c r="AN89" s="2742">
        <f t="shared" si="138"/>
        <v>0.44527622027753022</v>
      </c>
      <c r="AO89" s="2742">
        <f t="shared" si="138"/>
        <v>0.68630318391278911</v>
      </c>
      <c r="AP89" s="2742">
        <f t="shared" si="138"/>
        <v>1.8185585059819083</v>
      </c>
      <c r="AQ89" s="2742">
        <f t="shared" si="138"/>
        <v>-0.482341351141644</v>
      </c>
      <c r="AR89" s="2742">
        <f t="shared" si="136"/>
        <v>5.3999584575396664E-2</v>
      </c>
      <c r="AS89" s="2742">
        <f t="shared" si="136"/>
        <v>0.14647137150466039</v>
      </c>
      <c r="AT89" s="2742">
        <f t="shared" si="136"/>
        <v>0.19396051103368173</v>
      </c>
      <c r="AU89" s="2742">
        <f t="shared" si="136"/>
        <v>0.14494163424124507</v>
      </c>
    </row>
    <row r="90" spans="1:47">
      <c r="A90" s="2731" t="str">
        <f>A75</f>
        <v>Sales and Marketing</v>
      </c>
      <c r="F90" s="2742">
        <f>F24/B24-1</f>
        <v>0.58009630265069378</v>
      </c>
      <c r="G90" s="2742">
        <f t="shared" si="137"/>
        <v>0.4714090805730311</v>
      </c>
      <c r="H90" s="2755">
        <f t="shared" si="137"/>
        <v>0.40257985338181435</v>
      </c>
      <c r="I90" s="2742">
        <f t="shared" si="137"/>
        <v>0.46101512456705751</v>
      </c>
      <c r="J90" s="2987">
        <f t="shared" si="137"/>
        <v>-0.13468159521588019</v>
      </c>
      <c r="K90" s="2742">
        <f t="shared" si="137"/>
        <v>-0.70421588374381194</v>
      </c>
      <c r="L90" s="2742">
        <f t="shared" si="137"/>
        <v>-0.73588479779574323</v>
      </c>
      <c r="M90" s="2799">
        <f t="shared" si="137"/>
        <v>0.44118138362016701</v>
      </c>
      <c r="N90" s="2742">
        <f t="shared" si="137"/>
        <v>-0.27761610951544702</v>
      </c>
      <c r="O90" s="2742">
        <f t="shared" si="137"/>
        <v>1.7458310474846956</v>
      </c>
      <c r="P90" s="2742">
        <f t="shared" si="137"/>
        <v>1.5627434049377058</v>
      </c>
      <c r="Q90" s="2799">
        <f t="shared" si="137"/>
        <v>-0.44264903185856164</v>
      </c>
      <c r="R90" s="2742">
        <f t="shared" si="137"/>
        <v>0.50405237315875606</v>
      </c>
      <c r="S90" s="3092">
        <f t="shared" si="137"/>
        <v>0.20471706789545974</v>
      </c>
      <c r="T90" s="2755">
        <f t="shared" si="137"/>
        <v>0.31737010754462691</v>
      </c>
      <c r="U90" s="2799">
        <f t="shared" si="137"/>
        <v>0.16230044326948279</v>
      </c>
      <c r="V90" s="2742">
        <f t="shared" si="137"/>
        <v>0.30580123964064354</v>
      </c>
      <c r="W90" s="3092">
        <f t="shared" si="137"/>
        <v>0.27936821322803551</v>
      </c>
      <c r="X90" s="2755">
        <f t="shared" si="137"/>
        <v>5.1766210379340372E-2</v>
      </c>
      <c r="Y90" s="2799">
        <f t="shared" si="137"/>
        <v>3.9215686274509887E-2</v>
      </c>
      <c r="Z90" s="2742">
        <f t="shared" si="137"/>
        <v>0.14222222222222225</v>
      </c>
      <c r="AA90" s="2742">
        <f t="shared" si="137"/>
        <v>0.17901234567901225</v>
      </c>
      <c r="AB90" s="2742">
        <f t="shared" si="137"/>
        <v>0.27543424317617871</v>
      </c>
      <c r="AC90" s="2742">
        <f t="shared" si="137"/>
        <v>0.29009433962264142</v>
      </c>
      <c r="AD90" s="2742">
        <f t="shared" si="137"/>
        <v>9.5330739299611E-2</v>
      </c>
      <c r="AE90" s="2742">
        <f t="shared" si="137"/>
        <v>0.20593368237347298</v>
      </c>
      <c r="AF90" s="2742">
        <f t="shared" si="137"/>
        <v>0.24319066147859925</v>
      </c>
      <c r="AG90" s="2742">
        <f t="shared" si="137"/>
        <v>0.27056672760511891</v>
      </c>
      <c r="AH90" s="2742">
        <f t="shared" si="137"/>
        <v>0.3339253996447602</v>
      </c>
      <c r="AI90" s="2742">
        <f t="shared" si="137"/>
        <v>0.26628075253256145</v>
      </c>
      <c r="AJ90" s="2742"/>
      <c r="AL90" s="2742">
        <f>AL24/AK24-1</f>
        <v>0.66916810577034425</v>
      </c>
      <c r="AM90" s="2742">
        <f t="shared" si="138"/>
        <v>0.31474217148751915</v>
      </c>
      <c r="AN90" s="2742">
        <f t="shared" si="138"/>
        <v>0.26335332762067987</v>
      </c>
      <c r="AO90" s="2742">
        <f t="shared" si="138"/>
        <v>0.47233201401581915</v>
      </c>
      <c r="AP90" s="2742">
        <f t="shared" si="138"/>
        <v>-0.27517038036557073</v>
      </c>
      <c r="AQ90" s="2742">
        <f t="shared" si="138"/>
        <v>9.3650692361688659E-3</v>
      </c>
      <c r="AR90" s="2742">
        <f t="shared" si="136"/>
        <v>0.27788848315648562</v>
      </c>
      <c r="AS90" s="2742">
        <f t="shared" si="136"/>
        <v>0.1629287598944591</v>
      </c>
      <c r="AT90" s="2742">
        <f t="shared" si="136"/>
        <v>0.21837776517300056</v>
      </c>
      <c r="AU90" s="2742">
        <f t="shared" si="136"/>
        <v>0.20484171322160138</v>
      </c>
    </row>
    <row r="91" spans="1:47">
      <c r="A91" s="2731" t="str">
        <f>A76</f>
        <v>General and administrative</v>
      </c>
      <c r="F91" s="2742">
        <f>F25/B25-1</f>
        <v>0.57326336885431384</v>
      </c>
      <c r="G91" s="2742">
        <f t="shared" si="137"/>
        <v>0.66434893784421689</v>
      </c>
      <c r="H91" s="2755">
        <f t="shared" si="137"/>
        <v>0.7826782240239567</v>
      </c>
      <c r="I91" s="2742">
        <f t="shared" si="137"/>
        <v>0.10757891243489759</v>
      </c>
      <c r="J91" s="2987">
        <f t="shared" si="137"/>
        <v>-0.37154910864101143</v>
      </c>
      <c r="K91" s="2742">
        <f t="shared" si="137"/>
        <v>-0.11777983939112802</v>
      </c>
      <c r="L91" s="2742">
        <f t="shared" si="137"/>
        <v>2.8585631192220129E-2</v>
      </c>
      <c r="M91" s="2799">
        <f t="shared" si="137"/>
        <v>2.449509228248735</v>
      </c>
      <c r="N91" s="2742">
        <f t="shared" si="137"/>
        <v>1.0679802096728492</v>
      </c>
      <c r="O91" s="2742">
        <f t="shared" si="137"/>
        <v>0.46218661879851841</v>
      </c>
      <c r="P91" s="2742">
        <f t="shared" si="137"/>
        <v>0.17068564223062865</v>
      </c>
      <c r="Q91" s="2799">
        <f t="shared" si="137"/>
        <v>-0.69666516758222907</v>
      </c>
      <c r="R91" s="2742">
        <f t="shared" si="137"/>
        <v>0.1066493818572738</v>
      </c>
      <c r="S91" s="3092">
        <f t="shared" si="137"/>
        <v>0.11429526850295235</v>
      </c>
      <c r="T91" s="2755">
        <f t="shared" si="137"/>
        <v>0.14086491924004041</v>
      </c>
      <c r="U91" s="2799">
        <f t="shared" si="137"/>
        <v>0.18238796181256389</v>
      </c>
      <c r="V91" s="2742">
        <f t="shared" si="137"/>
        <v>0.15714285714285725</v>
      </c>
      <c r="W91" s="3092">
        <f t="shared" si="137"/>
        <v>0.13050556208736541</v>
      </c>
      <c r="X91" s="2755">
        <f t="shared" si="137"/>
        <v>0.26437498700272433</v>
      </c>
      <c r="Y91" s="2799">
        <f t="shared" si="137"/>
        <v>3.69921875</v>
      </c>
      <c r="Z91" s="2742">
        <f t="shared" si="137"/>
        <v>0.18106995884773669</v>
      </c>
      <c r="AA91" s="2742">
        <f t="shared" si="137"/>
        <v>0.1454545454545455</v>
      </c>
      <c r="AB91" s="2742">
        <f t="shared" si="137"/>
        <v>0.10197368421052633</v>
      </c>
      <c r="AC91" s="2742">
        <f t="shared" si="137"/>
        <v>-0.79384871155444725</v>
      </c>
      <c r="AD91" s="2742">
        <f t="shared" si="137"/>
        <v>2.4390243902439046E-2</v>
      </c>
      <c r="AE91" s="2742">
        <f t="shared" si="137"/>
        <v>-2.5396825396825418E-2</v>
      </c>
      <c r="AF91" s="2742">
        <f t="shared" si="137"/>
        <v>-1.4925373134328401E-2</v>
      </c>
      <c r="AG91" s="2742">
        <f t="shared" si="137"/>
        <v>0.657258064516129</v>
      </c>
      <c r="AH91" s="2742">
        <f t="shared" si="137"/>
        <v>6.8027210884353817E-3</v>
      </c>
      <c r="AI91" s="2742">
        <f t="shared" si="137"/>
        <v>6.514657980456029E-3</v>
      </c>
      <c r="AJ91" s="2742"/>
      <c r="AL91" s="2742">
        <f>AL25/AK25-1</f>
        <v>0.55220693100128138</v>
      </c>
      <c r="AM91" s="2742">
        <f t="shared" si="138"/>
        <v>0.52583589461361591</v>
      </c>
      <c r="AN91" s="2742">
        <f t="shared" si="138"/>
        <v>0.46562190514616875</v>
      </c>
      <c r="AO91" s="2742">
        <f t="shared" si="138"/>
        <v>0.4540143945508428</v>
      </c>
      <c r="AP91" s="2742">
        <f t="shared" si="138"/>
        <v>0.62777098056315372</v>
      </c>
      <c r="AQ91" s="2742">
        <f t="shared" si="138"/>
        <v>-0.26333941636391045</v>
      </c>
      <c r="AR91" s="2742">
        <f t="shared" si="136"/>
        <v>0.13636363636363646</v>
      </c>
      <c r="AS91" s="2742">
        <f t="shared" si="136"/>
        <v>1.1315789473684212</v>
      </c>
      <c r="AT91" s="2742">
        <f t="shared" si="136"/>
        <v>-0.41481481481481486</v>
      </c>
      <c r="AU91" s="2742">
        <f t="shared" si="136"/>
        <v>0.13248945147679314</v>
      </c>
    </row>
    <row r="93" spans="1:47">
      <c r="A93" s="2729" t="s">
        <v>2675</v>
      </c>
    </row>
    <row r="94" spans="1:47">
      <c r="A94" s="2731" t="s">
        <v>2672</v>
      </c>
      <c r="F94" s="2742">
        <f t="shared" ref="F94:AC94" si="139">F59/B59-1</f>
        <v>0.31584388934927587</v>
      </c>
      <c r="G94" s="2742">
        <f t="shared" si="139"/>
        <v>0.36784052206016171</v>
      </c>
      <c r="H94" s="2755">
        <f t="shared" si="139"/>
        <v>0.31367935626558752</v>
      </c>
      <c r="I94" s="2742">
        <f t="shared" si="139"/>
        <v>0.36435414791694609</v>
      </c>
      <c r="J94" s="2987">
        <f t="shared" si="139"/>
        <v>0.32457234711259342</v>
      </c>
      <c r="K94" s="2742">
        <f t="shared" si="139"/>
        <v>-0.24150728218774498</v>
      </c>
      <c r="L94" s="2742">
        <f t="shared" si="139"/>
        <v>-0.26101927141168468</v>
      </c>
      <c r="M94" s="2799">
        <f t="shared" si="139"/>
        <v>-0.14151914368052698</v>
      </c>
      <c r="N94" s="2742">
        <f t="shared" si="139"/>
        <v>-0.21198344487814591</v>
      </c>
      <c r="O94" s="2742">
        <f t="shared" si="139"/>
        <v>0.21468353161551423</v>
      </c>
      <c r="P94" s="2742">
        <f t="shared" si="139"/>
        <v>0.31584272998830598</v>
      </c>
      <c r="Q94" s="2799">
        <f t="shared" si="139"/>
        <v>0.16349140608821688</v>
      </c>
      <c r="R94" s="2742">
        <f t="shared" si="139"/>
        <v>0.27176136624833358</v>
      </c>
      <c r="S94" s="3092">
        <f t="shared" si="139"/>
        <v>0.24473796863153652</v>
      </c>
      <c r="T94" s="2755">
        <f t="shared" si="139"/>
        <v>0.25248194945848379</v>
      </c>
      <c r="U94" s="2799">
        <f t="shared" si="139"/>
        <v>0.14284108420022212</v>
      </c>
      <c r="V94" s="2742">
        <f t="shared" si="139"/>
        <v>0.2064143287682374</v>
      </c>
      <c r="W94" s="3092">
        <f t="shared" si="139"/>
        <v>0.2347674037979457</v>
      </c>
      <c r="X94" s="2755">
        <f t="shared" si="139"/>
        <v>9.9268747311570982E-2</v>
      </c>
      <c r="Y94" s="2799">
        <f t="shared" si="139"/>
        <v>4.0983606557376984E-2</v>
      </c>
      <c r="Z94" s="2742">
        <f t="shared" si="139"/>
        <v>-3.7453183520599342E-3</v>
      </c>
      <c r="AA94" s="2742">
        <f t="shared" si="139"/>
        <v>5.3691275167785157E-2</v>
      </c>
      <c r="AB94" s="2742">
        <f t="shared" si="139"/>
        <v>0.16053511705685608</v>
      </c>
      <c r="AC94" s="2742">
        <f t="shared" si="139"/>
        <v>4.3307086614173151E-2</v>
      </c>
      <c r="AD94" s="2742">
        <f t="shared" ref="AD94:AI97" si="140">AD59/Z59-1</f>
        <v>6.0150375939849621E-2</v>
      </c>
      <c r="AE94" s="2742">
        <f t="shared" si="140"/>
        <v>-1.5923566878980888E-2</v>
      </c>
      <c r="AF94" s="2742">
        <f t="shared" si="140"/>
        <v>-1.1527377521613813E-2</v>
      </c>
      <c r="AG94" s="2742">
        <f t="shared" si="140"/>
        <v>0.14339622641509431</v>
      </c>
      <c r="AH94" s="2742">
        <f t="shared" si="140"/>
        <v>6.7375886524822626E-2</v>
      </c>
      <c r="AI94" s="2742">
        <f t="shared" si="140"/>
        <v>4.5307443365695699E-2</v>
      </c>
      <c r="AJ94" s="2742"/>
      <c r="AK94" s="2742"/>
      <c r="AL94" s="2742">
        <f t="shared" ref="AL94:AU94" si="141">AL59/AK59-1</f>
        <v>0.49203515365907569</v>
      </c>
      <c r="AM94" s="2742">
        <f t="shared" si="141"/>
        <v>0.45921115511282196</v>
      </c>
      <c r="AN94" s="2742">
        <f t="shared" si="141"/>
        <v>0.541602140655703</v>
      </c>
      <c r="AO94" s="2742">
        <f t="shared" si="141"/>
        <v>0.34092787953243708</v>
      </c>
      <c r="AP94" s="2742">
        <f t="shared" si="141"/>
        <v>-0.10470281495891343</v>
      </c>
      <c r="AQ94" s="2742">
        <f t="shared" si="141"/>
        <v>9.5448297809882732E-2</v>
      </c>
      <c r="AR94" s="2742">
        <f t="shared" si="141"/>
        <v>0.22466766176131747</v>
      </c>
      <c r="AS94" s="2742">
        <f t="shared" si="141"/>
        <v>0.14314928425357865</v>
      </c>
      <c r="AT94" s="2742">
        <f t="shared" si="141"/>
        <v>6.6189624329159313E-2</v>
      </c>
      <c r="AU94" s="2742">
        <f t="shared" si="141"/>
        <v>3.7751677852349008E-2</v>
      </c>
    </row>
    <row r="95" spans="1:47">
      <c r="A95" s="2731" t="s">
        <v>2673</v>
      </c>
      <c r="F95" s="2742">
        <f>F60/B60-1</f>
        <v>0.57924556697562823</v>
      </c>
      <c r="G95" s="2742">
        <f t="shared" ref="G95:AC97" si="142">G60/C60-1</f>
        <v>0.5312450939571205</v>
      </c>
      <c r="H95" s="2755">
        <f t="shared" si="142"/>
        <v>0.83528981832284233</v>
      </c>
      <c r="I95" s="2742">
        <f t="shared" si="142"/>
        <v>0.78711993938794955</v>
      </c>
      <c r="J95" s="2987">
        <f t="shared" si="142"/>
        <v>0.32509109255003099</v>
      </c>
      <c r="K95" s="2742">
        <f t="shared" si="142"/>
        <v>-0.12084767220013204</v>
      </c>
      <c r="L95" s="2742">
        <f t="shared" si="142"/>
        <v>-0.21577679075759004</v>
      </c>
      <c r="M95" s="2799">
        <f t="shared" si="142"/>
        <v>-0.25753710489644455</v>
      </c>
      <c r="N95" s="2742">
        <f t="shared" si="142"/>
        <v>-7.2073710884454578E-2</v>
      </c>
      <c r="O95" s="2742">
        <f t="shared" si="142"/>
        <v>4.4112725760817595E-2</v>
      </c>
      <c r="P95" s="2742">
        <f t="shared" si="142"/>
        <v>0.10440761928450049</v>
      </c>
      <c r="Q95" s="2799">
        <f t="shared" si="142"/>
        <v>0.19928102920073965</v>
      </c>
      <c r="R95" s="2742">
        <f t="shared" si="142"/>
        <v>0.11718928086219971</v>
      </c>
      <c r="S95" s="3092">
        <f t="shared" si="142"/>
        <v>0.1175008012742691</v>
      </c>
      <c r="T95" s="2755">
        <f t="shared" si="142"/>
        <v>8.4684211267142873E-2</v>
      </c>
      <c r="U95" s="2799">
        <f t="shared" si="142"/>
        <v>2.6770558182284798E-2</v>
      </c>
      <c r="V95" s="2742">
        <f t="shared" si="142"/>
        <v>0.1058922428392457</v>
      </c>
      <c r="W95" s="3092">
        <f t="shared" si="142"/>
        <v>0.12985511780912384</v>
      </c>
      <c r="X95" s="2755">
        <f t="shared" si="142"/>
        <v>5.5445493161232262E-2</v>
      </c>
      <c r="Y95" s="2799">
        <f t="shared" si="142"/>
        <v>2.0161290322580738E-2</v>
      </c>
      <c r="Z95" s="2742">
        <f t="shared" si="142"/>
        <v>7.0110701107011009E-2</v>
      </c>
      <c r="AA95" s="2742">
        <f t="shared" si="142"/>
        <v>7.6923076923076872E-2</v>
      </c>
      <c r="AB95" s="2742">
        <f t="shared" si="142"/>
        <v>0.20491803278688514</v>
      </c>
      <c r="AC95" s="2742">
        <f t="shared" si="142"/>
        <v>0.20948616600790504</v>
      </c>
      <c r="AD95" s="2742">
        <f t="shared" si="140"/>
        <v>0.16551724137931045</v>
      </c>
      <c r="AE95" s="2742">
        <f t="shared" si="140"/>
        <v>0.18214285714285716</v>
      </c>
      <c r="AF95" s="2742">
        <f t="shared" si="140"/>
        <v>0.13265306122448983</v>
      </c>
      <c r="AG95" s="2742">
        <f t="shared" si="140"/>
        <v>9.4771241830065467E-2</v>
      </c>
      <c r="AH95" s="2742">
        <f t="shared" si="140"/>
        <v>0.10946745562130178</v>
      </c>
      <c r="AI95" s="2742">
        <f t="shared" si="140"/>
        <v>0.1299093655589123</v>
      </c>
      <c r="AJ95" s="2742"/>
      <c r="AK95" s="2742"/>
      <c r="AL95" s="2742">
        <f t="shared" ref="AL95:AQ97" si="143">AL60/AK60-1</f>
        <v>1.3223572565429573</v>
      </c>
      <c r="AM95" s="2742">
        <f t="shared" si="143"/>
        <v>0.72669054005600708</v>
      </c>
      <c r="AN95" s="2742">
        <f t="shared" si="143"/>
        <v>0.43333508569025336</v>
      </c>
      <c r="AO95" s="2742">
        <f t="shared" si="143"/>
        <v>0.68726641212694739</v>
      </c>
      <c r="AP95" s="2742">
        <f t="shared" si="143"/>
        <v>-0.10007466879985405</v>
      </c>
      <c r="AQ95" s="2742">
        <f t="shared" si="143"/>
        <v>6.2738831963748298E-2</v>
      </c>
      <c r="AR95" s="2742">
        <f t="shared" ref="AR95:AU97" si="144">AR60/AQ60-1</f>
        <v>8.4170989902663251E-2</v>
      </c>
      <c r="AS95" s="2742">
        <f t="shared" si="144"/>
        <v>7.7568134171907666E-2</v>
      </c>
      <c r="AT95" s="2742">
        <f t="shared" si="144"/>
        <v>0.13813229571984431</v>
      </c>
      <c r="AU95" s="2742">
        <f t="shared" si="144"/>
        <v>0.14273504273504267</v>
      </c>
    </row>
    <row r="96" spans="1:47">
      <c r="A96" s="2731" t="s">
        <v>2674</v>
      </c>
      <c r="F96" s="2742">
        <f>F61/B61-1</f>
        <v>0.57957636702631654</v>
      </c>
      <c r="G96" s="2742">
        <f t="shared" si="142"/>
        <v>0.46505224810660506</v>
      </c>
      <c r="H96" s="2755">
        <f t="shared" si="142"/>
        <v>0.39678656331090134</v>
      </c>
      <c r="I96" s="2742">
        <f t="shared" si="142"/>
        <v>0.45448397818449848</v>
      </c>
      <c r="J96" s="2987">
        <f t="shared" si="142"/>
        <v>-0.13993525969376897</v>
      </c>
      <c r="K96" s="2742">
        <f t="shared" si="142"/>
        <v>-0.71090095773055284</v>
      </c>
      <c r="L96" s="2742">
        <f t="shared" si="142"/>
        <v>-0.73573637372235212</v>
      </c>
      <c r="M96" s="2799">
        <f t="shared" si="142"/>
        <v>-0.65608088002826781</v>
      </c>
      <c r="N96" s="2742">
        <f t="shared" si="142"/>
        <v>-0.37249904381112775</v>
      </c>
      <c r="O96" s="2742">
        <f t="shared" si="142"/>
        <v>1.6437301946582159</v>
      </c>
      <c r="P96" s="2742">
        <f t="shared" si="142"/>
        <v>1.3577043322912012</v>
      </c>
      <c r="Q96" s="2799">
        <f t="shared" si="142"/>
        <v>1.1895932893073677</v>
      </c>
      <c r="R96" s="2742">
        <f t="shared" si="142"/>
        <v>0.59812021410095539</v>
      </c>
      <c r="S96" s="3092">
        <f t="shared" si="142"/>
        <v>0.20122260273972636</v>
      </c>
      <c r="T96" s="2755">
        <f t="shared" si="142"/>
        <v>0.34560230351020116</v>
      </c>
      <c r="U96" s="2799">
        <f t="shared" si="142"/>
        <v>0.14837853273033175</v>
      </c>
      <c r="V96" s="2742">
        <f t="shared" si="142"/>
        <v>0.35252508741735</v>
      </c>
      <c r="W96" s="3092">
        <f t="shared" si="142"/>
        <v>0.28293947091576221</v>
      </c>
      <c r="X96" s="2755">
        <f t="shared" si="142"/>
        <v>4.1769318485774143E-2</v>
      </c>
      <c r="Y96" s="2799">
        <f t="shared" si="142"/>
        <v>5.1075268817204256E-2</v>
      </c>
      <c r="Z96" s="2742">
        <f t="shared" si="142"/>
        <v>0.13507109004739326</v>
      </c>
      <c r="AA96" s="2742">
        <f t="shared" si="142"/>
        <v>0.17111111111111121</v>
      </c>
      <c r="AB96" s="2742">
        <f t="shared" si="142"/>
        <v>0.27297297297297307</v>
      </c>
      <c r="AC96" s="2742">
        <f t="shared" si="142"/>
        <v>0.28132992327365725</v>
      </c>
      <c r="AD96" s="2742">
        <f t="shared" si="140"/>
        <v>8.3507306889352817E-2</v>
      </c>
      <c r="AE96" s="2742">
        <f t="shared" si="140"/>
        <v>0.21252371916508528</v>
      </c>
      <c r="AF96" s="2742">
        <f t="shared" si="140"/>
        <v>0.2420382165605095</v>
      </c>
      <c r="AG96" s="2742">
        <f t="shared" si="140"/>
        <v>0.26347305389221565</v>
      </c>
      <c r="AH96" s="2742">
        <f t="shared" si="140"/>
        <v>0.34104046242774566</v>
      </c>
      <c r="AI96" s="2742">
        <f t="shared" si="140"/>
        <v>0.26447574334898283</v>
      </c>
      <c r="AJ96" s="2742"/>
      <c r="AK96" s="2742"/>
      <c r="AL96" s="2742">
        <f t="shared" si="143"/>
        <v>0.65823539409498055</v>
      </c>
      <c r="AM96" s="2742">
        <f t="shared" si="143"/>
        <v>0.32441164592282568</v>
      </c>
      <c r="AN96" s="2742">
        <f t="shared" si="143"/>
        <v>0.25770659496021953</v>
      </c>
      <c r="AO96" s="2742">
        <f t="shared" si="143"/>
        <v>0.46721990481805764</v>
      </c>
      <c r="AP96" s="2742">
        <f t="shared" si="143"/>
        <v>-0.57343890836254374</v>
      </c>
      <c r="AQ96" s="2742">
        <f t="shared" si="143"/>
        <v>0.57763172182651124</v>
      </c>
      <c r="AR96" s="2742">
        <f t="shared" si="144"/>
        <v>0.29282076801086387</v>
      </c>
      <c r="AS96" s="2742">
        <f t="shared" si="144"/>
        <v>0.17487846518999861</v>
      </c>
      <c r="AT96" s="2742">
        <f t="shared" si="144"/>
        <v>3.4905082669932641E-2</v>
      </c>
      <c r="AU96" s="2742">
        <f t="shared" si="144"/>
        <v>4.556213017751487E-2</v>
      </c>
    </row>
    <row r="97" spans="1:54">
      <c r="A97" s="2731" t="s">
        <v>1651</v>
      </c>
      <c r="F97" s="2742">
        <f>F62/B62-1</f>
        <v>0.52066089426327689</v>
      </c>
      <c r="G97" s="2742">
        <f t="shared" si="142"/>
        <v>0.66626058415472733</v>
      </c>
      <c r="H97" s="2755">
        <f t="shared" si="142"/>
        <v>0.78790440409100393</v>
      </c>
      <c r="I97" s="2742">
        <f t="shared" si="142"/>
        <v>8.8110599078341068E-2</v>
      </c>
      <c r="J97" s="2987">
        <f t="shared" si="142"/>
        <v>-0.44545422866501727</v>
      </c>
      <c r="K97" s="2742">
        <f t="shared" si="142"/>
        <v>-0.18010489552743836</v>
      </c>
      <c r="L97" s="2742">
        <f t="shared" si="142"/>
        <v>1.6437364651493924E-2</v>
      </c>
      <c r="M97" s="2799">
        <f t="shared" si="142"/>
        <v>-0.1513886259230105</v>
      </c>
      <c r="N97" s="2742">
        <f t="shared" si="142"/>
        <v>0.77588005378979252</v>
      </c>
      <c r="O97" s="2742">
        <f t="shared" si="142"/>
        <v>0.23497505361446214</v>
      </c>
      <c r="P97" s="2742">
        <f t="shared" si="142"/>
        <v>-4.6366857516955351E-2</v>
      </c>
      <c r="Q97" s="2799">
        <f t="shared" si="142"/>
        <v>-8.9391608637959363E-2</v>
      </c>
      <c r="R97" s="2742">
        <f t="shared" si="142"/>
        <v>0.17395704327518469</v>
      </c>
      <c r="S97" s="3092">
        <f t="shared" si="142"/>
        <v>0.11645531851409818</v>
      </c>
      <c r="T97" s="2755">
        <f t="shared" si="142"/>
        <v>0.12832788346310653</v>
      </c>
      <c r="U97" s="2799">
        <f t="shared" si="142"/>
        <v>0.31533982836104801</v>
      </c>
      <c r="V97" s="2742">
        <f t="shared" si="142"/>
        <v>0.17550607043391242</v>
      </c>
      <c r="W97" s="3092">
        <f t="shared" si="142"/>
        <v>0.15986958148484698</v>
      </c>
      <c r="X97" s="2755">
        <f t="shared" si="142"/>
        <v>0.2969061050654056</v>
      </c>
      <c r="Y97" s="2799">
        <f t="shared" si="142"/>
        <v>4.5980392156862742</v>
      </c>
      <c r="Z97" s="2742">
        <f t="shared" si="142"/>
        <v>0.18461538461538463</v>
      </c>
      <c r="AA97" s="2742">
        <f t="shared" si="142"/>
        <v>0.11520737327188946</v>
      </c>
      <c r="AB97" s="2742">
        <f t="shared" si="142"/>
        <v>0.10288065843621408</v>
      </c>
      <c r="AC97" s="2742">
        <f>AC62/Y62-1</f>
        <v>-0.83975481611208402</v>
      </c>
      <c r="AD97" s="2742">
        <f t="shared" si="140"/>
        <v>0</v>
      </c>
      <c r="AE97" s="2742">
        <f t="shared" si="140"/>
        <v>-2.0661157024793431E-2</v>
      </c>
      <c r="AF97" s="2742">
        <f t="shared" si="140"/>
        <v>-2.6119402985074647E-2</v>
      </c>
      <c r="AG97" s="2742">
        <f>AG62/AC62-1</f>
        <v>0.85792349726775963</v>
      </c>
      <c r="AH97" s="2742">
        <f>AH62/AD62-1</f>
        <v>-8.6580086580086979E-3</v>
      </c>
      <c r="AI97" s="2742">
        <f>AI62/AE62-1</f>
        <v>-5.0632911392405111E-2</v>
      </c>
      <c r="AJ97" s="2742"/>
      <c r="AK97" s="2742"/>
      <c r="AL97" s="2742">
        <f t="shared" si="143"/>
        <v>0.60251719951436633</v>
      </c>
      <c r="AM97" s="2742">
        <f t="shared" si="143"/>
        <v>0.60081013783454829</v>
      </c>
      <c r="AN97" s="2742">
        <f t="shared" si="143"/>
        <v>0.49527679794034318</v>
      </c>
      <c r="AO97" s="2742">
        <f t="shared" si="143"/>
        <v>0.43694954021969856</v>
      </c>
      <c r="AP97" s="2742">
        <f t="shared" si="143"/>
        <v>-0.17810667222710053</v>
      </c>
      <c r="AQ97" s="2742">
        <f t="shared" si="143"/>
        <v>0.12684581864569355</v>
      </c>
      <c r="AR97" s="2742">
        <f t="shared" si="144"/>
        <v>0.18121222499159684</v>
      </c>
      <c r="AS97" s="2742">
        <f t="shared" si="144"/>
        <v>1.4120805369127516</v>
      </c>
      <c r="AT97" s="2742">
        <f t="shared" si="144"/>
        <v>-0.4858096828046744</v>
      </c>
      <c r="AU97" s="2742">
        <f t="shared" si="144"/>
        <v>0.15692640692640691</v>
      </c>
    </row>
    <row r="98" spans="1:54">
      <c r="F98" s="2742"/>
      <c r="G98" s="2742"/>
      <c r="H98" s="2755"/>
      <c r="I98" s="2742"/>
      <c r="J98" s="2987"/>
      <c r="K98" s="2742"/>
      <c r="L98" s="2742"/>
      <c r="M98" s="2799"/>
      <c r="N98" s="2742"/>
      <c r="O98" s="2742"/>
      <c r="P98" s="2742"/>
      <c r="Q98" s="2799"/>
      <c r="R98" s="2742"/>
      <c r="S98" s="3092"/>
      <c r="T98" s="2755"/>
      <c r="U98" s="2799"/>
      <c r="V98" s="2742"/>
      <c r="W98" s="3092"/>
      <c r="X98" s="2755"/>
      <c r="Y98" s="2799"/>
      <c r="Z98" s="2755"/>
      <c r="AA98" s="2755"/>
      <c r="AB98" s="2755"/>
      <c r="AC98" s="2755"/>
      <c r="AD98" s="2755"/>
      <c r="AE98" s="2755"/>
      <c r="AF98" s="2755"/>
      <c r="AG98" s="2755"/>
      <c r="AH98" s="2755"/>
      <c r="AI98" s="2755"/>
      <c r="AJ98" s="2755"/>
      <c r="AK98" s="2742"/>
      <c r="AL98" s="2742"/>
      <c r="AM98" s="2742"/>
      <c r="AN98" s="2742"/>
      <c r="AO98" s="2742"/>
      <c r="AP98" s="2742"/>
      <c r="AQ98" s="2742"/>
    </row>
    <row r="99" spans="1:54">
      <c r="A99" s="2729" t="s">
        <v>2661</v>
      </c>
      <c r="F99" s="2742"/>
      <c r="G99" s="2742"/>
      <c r="H99" s="2755"/>
      <c r="I99" s="2742"/>
      <c r="J99" s="2987">
        <f t="shared" ref="J99:O99" si="145">J55/F55-1</f>
        <v>0.3486010529925565</v>
      </c>
      <c r="K99" s="2742">
        <f t="shared" si="145"/>
        <v>8.3286532682193855</v>
      </c>
      <c r="L99" s="2742">
        <f t="shared" si="145"/>
        <v>0.59907584275933301</v>
      </c>
      <c r="M99" s="2799">
        <f t="shared" si="145"/>
        <v>-0.92575962603026207</v>
      </c>
      <c r="N99" s="2742">
        <f t="shared" si="145"/>
        <v>-0.82457945798468912</v>
      </c>
      <c r="O99" s="2742">
        <f t="shared" si="145"/>
        <v>-1.5471426486059308</v>
      </c>
      <c r="P99" s="2742">
        <v>1.2</v>
      </c>
      <c r="Q99" s="2799">
        <f t="shared" ref="Q99:AB99" si="146">Q55/M55-1</f>
        <v>-17.246844388128078</v>
      </c>
      <c r="R99" s="2742">
        <f t="shared" si="146"/>
        <v>-4.9070227497527199</v>
      </c>
      <c r="S99" s="3092">
        <f t="shared" si="146"/>
        <v>2.2705594450628812</v>
      </c>
      <c r="T99" s="2755">
        <f t="shared" si="146"/>
        <v>0.32300475537124496</v>
      </c>
      <c r="U99" s="2799">
        <f t="shared" si="146"/>
        <v>0.51783759137772245</v>
      </c>
      <c r="V99" s="2742">
        <f t="shared" si="146"/>
        <v>0.14360541248363168</v>
      </c>
      <c r="W99" s="3092">
        <f t="shared" si="146"/>
        <v>0.15189873417721511</v>
      </c>
      <c r="X99" s="2755">
        <f t="shared" si="146"/>
        <v>0.25875085792724772</v>
      </c>
      <c r="Y99" s="2799">
        <f t="shared" si="146"/>
        <v>0.45849802371541504</v>
      </c>
      <c r="Z99" s="2742">
        <f t="shared" si="146"/>
        <v>0.61832061068702293</v>
      </c>
      <c r="AA99" s="2742">
        <f t="shared" si="146"/>
        <v>9.1575091575091472E-2</v>
      </c>
      <c r="AB99" s="2742">
        <f t="shared" si="146"/>
        <v>6.7611777535441675E-2</v>
      </c>
      <c r="AC99" s="2742">
        <f t="shared" ref="AC99:AI99" si="147">AC55/Y55-1</f>
        <v>3.6585365853658569E-2</v>
      </c>
      <c r="AD99" s="2742">
        <f t="shared" si="147"/>
        <v>-1.650943396226412E-2</v>
      </c>
      <c r="AE99" s="2742">
        <f t="shared" si="147"/>
        <v>0.16666666666666674</v>
      </c>
      <c r="AF99" s="2742">
        <f t="shared" si="147"/>
        <v>4.7497446373850893E-2</v>
      </c>
      <c r="AG99" s="2742">
        <f t="shared" si="147"/>
        <v>2.7450980392156765E-2</v>
      </c>
      <c r="AH99" s="2742">
        <f t="shared" si="147"/>
        <v>0.24460431654676262</v>
      </c>
      <c r="AI99" s="2742">
        <f t="shared" si="147"/>
        <v>0.20901246404602114</v>
      </c>
      <c r="AJ99" s="2742"/>
      <c r="AK99" s="2742"/>
      <c r="AL99" s="2742"/>
      <c r="AM99" s="2742"/>
      <c r="AN99" s="2742"/>
      <c r="AO99" s="2742"/>
      <c r="AP99" s="2742"/>
      <c r="AQ99" s="2742"/>
    </row>
    <row r="100" spans="1:54">
      <c r="A100" s="2763" t="s">
        <v>2715</v>
      </c>
      <c r="F100" s="2742"/>
      <c r="G100" s="2742"/>
      <c r="H100" s="2755"/>
      <c r="I100" s="2742"/>
      <c r="J100" s="2987"/>
      <c r="K100" s="2742"/>
      <c r="L100" s="2742"/>
      <c r="M100" s="2799"/>
      <c r="N100" s="2867">
        <f>N55/F55-1</f>
        <v>-0.76342767232162667</v>
      </c>
      <c r="O100" s="2867">
        <f>O55/G55-1</f>
        <v>-6.1041040570999252</v>
      </c>
      <c r="P100" s="2867">
        <v>2.5099999999999998</v>
      </c>
      <c r="Q100" s="3009">
        <f>Q55/I55-1</f>
        <v>-2.2061718032027668</v>
      </c>
      <c r="R100" s="2867">
        <f>R55/F55-1</f>
        <v>-1.9242934662013595</v>
      </c>
      <c r="S100" s="3094">
        <f>S55/G55-1</f>
        <v>-17.69327573253193</v>
      </c>
      <c r="T100" s="3151">
        <f>T55/H55-1</f>
        <v>3.646297790377667</v>
      </c>
      <c r="U100" s="3009">
        <f>U55/I55-1</f>
        <v>-2.8307729045610124</v>
      </c>
      <c r="V100" s="2867">
        <f>V55/J55-1</f>
        <v>-1.7837951841469946</v>
      </c>
      <c r="W100" s="3094">
        <f t="shared" ref="W100:AC100" si="148">W55/G55-1</f>
        <v>-20.228963185574756</v>
      </c>
      <c r="X100" s="3151">
        <f t="shared" si="148"/>
        <v>4.8485313298233637</v>
      </c>
      <c r="Y100" s="3009">
        <f t="shared" si="148"/>
        <v>-3.6701786631739668</v>
      </c>
      <c r="Z100" s="2867">
        <f t="shared" si="148"/>
        <v>-2.2684319010623115</v>
      </c>
      <c r="AA100" s="2867">
        <f t="shared" si="148"/>
        <v>-3.2500415276120869</v>
      </c>
      <c r="AB100" s="2867">
        <f t="shared" si="148"/>
        <v>2.9047309464884346</v>
      </c>
      <c r="AC100" s="2867">
        <f t="shared" si="148"/>
        <v>-38.282518641259323</v>
      </c>
      <c r="AD100" s="2867"/>
      <c r="AE100" s="2867"/>
      <c r="AF100" s="2867"/>
      <c r="AG100" s="2867"/>
      <c r="AH100" s="2867"/>
      <c r="AI100" s="2867"/>
      <c r="AJ100" s="2867"/>
      <c r="AK100" s="2742"/>
      <c r="AL100" s="2742"/>
      <c r="AM100" s="2742"/>
      <c r="AN100" s="2742"/>
      <c r="AO100" s="2742"/>
      <c r="AP100" s="2742"/>
      <c r="AQ100" s="2742"/>
    </row>
    <row r="102" spans="1:54">
      <c r="A102" s="2744" t="s">
        <v>2643</v>
      </c>
      <c r="B102" s="2732" t="s">
        <v>1952</v>
      </c>
      <c r="C102" s="2732" t="s">
        <v>2734</v>
      </c>
      <c r="D102" s="2732" t="s">
        <v>2735</v>
      </c>
      <c r="E102" s="2779" t="s">
        <v>2736</v>
      </c>
      <c r="F102" s="2732" t="s">
        <v>1956</v>
      </c>
      <c r="G102" s="2732" t="s">
        <v>2050</v>
      </c>
      <c r="H102" s="2732" t="s">
        <v>2071</v>
      </c>
      <c r="I102" s="2732" t="s">
        <v>2726</v>
      </c>
      <c r="J102" s="2969" t="s">
        <v>2600</v>
      </c>
      <c r="K102" s="2732" t="s">
        <v>2727</v>
      </c>
      <c r="L102" s="2732" t="s">
        <v>2728</v>
      </c>
      <c r="M102" s="2779" t="s">
        <v>2729</v>
      </c>
      <c r="N102" s="2732" t="s">
        <v>2730</v>
      </c>
      <c r="O102" s="2732" t="s">
        <v>2731</v>
      </c>
      <c r="P102" s="2732" t="s">
        <v>2732</v>
      </c>
      <c r="Q102" s="2779" t="s">
        <v>2733</v>
      </c>
      <c r="R102" s="2732" t="s">
        <v>2724</v>
      </c>
      <c r="S102" s="2732" t="s">
        <v>2725</v>
      </c>
      <c r="T102" s="2732" t="s">
        <v>2723</v>
      </c>
      <c r="U102" s="2779" t="s">
        <v>2749</v>
      </c>
      <c r="V102" s="2732" t="s">
        <v>2757</v>
      </c>
      <c r="W102" s="2732" t="s">
        <v>2760</v>
      </c>
      <c r="X102" s="2732" t="s">
        <v>2772</v>
      </c>
      <c r="Y102" s="2779"/>
      <c r="Z102" s="2768"/>
      <c r="AA102" s="2768"/>
      <c r="AB102" s="2768"/>
      <c r="AC102" s="2768"/>
      <c r="AD102" s="2768"/>
      <c r="AE102" s="2768"/>
      <c r="AF102" s="2768"/>
      <c r="AG102" s="2768"/>
      <c r="AH102" s="2768"/>
      <c r="AI102" s="2768"/>
      <c r="AJ102" s="2768"/>
      <c r="AK102" s="2732" t="s">
        <v>2678</v>
      </c>
      <c r="AL102" s="2732" t="s">
        <v>2679</v>
      </c>
      <c r="AM102" s="2732" t="s">
        <v>2680</v>
      </c>
      <c r="AN102" s="2732" t="s">
        <v>2676</v>
      </c>
      <c r="AO102" s="2732" t="s">
        <v>2677</v>
      </c>
      <c r="AP102" s="2732" t="s">
        <v>2696</v>
      </c>
      <c r="AQ102" s="2732" t="s">
        <v>2709</v>
      </c>
      <c r="AR102" s="2732" t="s">
        <v>2751</v>
      </c>
      <c r="AS102" s="2732" t="s">
        <v>2780</v>
      </c>
      <c r="AT102" s="2732" t="s">
        <v>2780</v>
      </c>
      <c r="AU102" s="2732" t="s">
        <v>2780</v>
      </c>
      <c r="AV102" s="2073"/>
      <c r="AW102" s="2073"/>
      <c r="AX102" s="2073"/>
      <c r="AY102" s="2073"/>
      <c r="AZ102" s="2073"/>
      <c r="BA102" s="2073"/>
      <c r="BB102" s="2073"/>
    </row>
    <row r="103" spans="1:54">
      <c r="A103" s="2757" t="s">
        <v>915</v>
      </c>
      <c r="B103" s="2753"/>
      <c r="C103" s="2753"/>
      <c r="D103" s="2753"/>
      <c r="E103" s="2801"/>
      <c r="F103" s="2753"/>
      <c r="G103" s="2753"/>
      <c r="H103" s="2801"/>
      <c r="I103" s="2753"/>
      <c r="J103" s="2753"/>
      <c r="K103" s="2801"/>
      <c r="L103" s="2753"/>
      <c r="M103" s="2753"/>
      <c r="N103" s="2801"/>
      <c r="O103" s="2753"/>
      <c r="P103" s="2753"/>
      <c r="Q103" s="2801"/>
      <c r="R103" s="2753"/>
      <c r="S103" s="2753"/>
      <c r="T103" s="2801"/>
      <c r="U103" s="2801"/>
      <c r="V103" s="2753"/>
      <c r="W103" s="2753"/>
      <c r="X103" s="2801"/>
      <c r="Y103" s="2801"/>
      <c r="AK103" s="2753"/>
      <c r="AL103" s="2753"/>
      <c r="AM103" s="2753"/>
      <c r="AN103" s="2753"/>
      <c r="AO103" s="2753"/>
      <c r="AP103" s="2753"/>
      <c r="AQ103" s="2753"/>
      <c r="AR103" s="2753"/>
      <c r="AS103" s="2753"/>
      <c r="AT103" s="2753"/>
      <c r="AU103" s="2753"/>
    </row>
    <row r="104" spans="1:54">
      <c r="A104" s="2731" t="s">
        <v>2683</v>
      </c>
      <c r="AL104" s="2730"/>
      <c r="AM104" s="2730">
        <v>30</v>
      </c>
      <c r="AN104" s="2730">
        <v>41</v>
      </c>
      <c r="AO104" s="2730">
        <v>54</v>
      </c>
      <c r="AP104" s="2730"/>
      <c r="AQ104" s="2730"/>
    </row>
    <row r="105" spans="1:54" s="2762" customFormat="1">
      <c r="A105" s="2763" t="s">
        <v>2054</v>
      </c>
      <c r="B105" s="2764"/>
      <c r="C105" s="2764"/>
      <c r="D105" s="2764"/>
      <c r="E105" s="2782"/>
      <c r="F105" s="2764"/>
      <c r="G105" s="2764"/>
      <c r="H105" s="2989"/>
      <c r="I105" s="2764"/>
      <c r="J105" s="2972"/>
      <c r="K105" s="2764"/>
      <c r="L105" s="2764"/>
      <c r="M105" s="2782"/>
      <c r="N105" s="2764"/>
      <c r="O105" s="2764"/>
      <c r="P105" s="2764"/>
      <c r="Q105" s="2782"/>
      <c r="R105" s="2764"/>
      <c r="S105" s="3081"/>
      <c r="T105" s="2989"/>
      <c r="U105" s="2782"/>
      <c r="V105" s="2764"/>
      <c r="W105" s="3081"/>
      <c r="X105" s="2989"/>
      <c r="Y105" s="2782"/>
      <c r="Z105" s="2770"/>
      <c r="AA105" s="2770"/>
      <c r="AB105" s="2770"/>
      <c r="AC105" s="2770"/>
      <c r="AD105" s="2770"/>
      <c r="AE105" s="2770"/>
      <c r="AF105" s="2770"/>
      <c r="AG105" s="2770"/>
      <c r="AH105" s="2770"/>
      <c r="AI105" s="2770"/>
      <c r="AJ105" s="2770"/>
      <c r="AK105" s="2765"/>
      <c r="AL105" s="2764"/>
      <c r="AM105" s="2764"/>
      <c r="AN105" s="2764">
        <f>AN104/AM104-1</f>
        <v>0.3666666666666667</v>
      </c>
      <c r="AO105" s="2764">
        <f>AO104/AN104-1</f>
        <v>0.31707317073170738</v>
      </c>
      <c r="AP105" s="2764"/>
      <c r="AQ105" s="2764"/>
      <c r="AR105" s="2761"/>
      <c r="AS105" s="2761"/>
      <c r="AT105" s="2761"/>
      <c r="AU105" s="2761"/>
      <c r="AV105" s="2761"/>
      <c r="AW105" s="2761"/>
      <c r="AX105" s="2761"/>
      <c r="AY105" s="2761"/>
      <c r="AZ105" s="2761"/>
      <c r="BA105" s="2761"/>
      <c r="BB105" s="2761"/>
    </row>
    <row r="106" spans="1:54" s="2762" customFormat="1">
      <c r="A106" s="2763"/>
      <c r="B106" s="2764"/>
      <c r="C106" s="2764"/>
      <c r="D106" s="2764"/>
      <c r="E106" s="2782"/>
      <c r="F106" s="2764"/>
      <c r="G106" s="2764"/>
      <c r="H106" s="2989"/>
      <c r="I106" s="2764"/>
      <c r="J106" s="2972"/>
      <c r="K106" s="2764"/>
      <c r="L106" s="2764"/>
      <c r="M106" s="2782"/>
      <c r="N106" s="2764"/>
      <c r="O106" s="2764"/>
      <c r="P106" s="2764"/>
      <c r="Q106" s="2782"/>
      <c r="R106" s="2764"/>
      <c r="S106" s="3081"/>
      <c r="T106" s="2989"/>
      <c r="U106" s="2782"/>
      <c r="V106" s="2764"/>
      <c r="W106" s="3081"/>
      <c r="X106" s="2989"/>
      <c r="Y106" s="2782"/>
      <c r="Z106" s="2770"/>
      <c r="AA106" s="2770"/>
      <c r="AB106" s="2770"/>
      <c r="AC106" s="2770"/>
      <c r="AD106" s="2770"/>
      <c r="AE106" s="2770"/>
      <c r="AF106" s="2770"/>
      <c r="AG106" s="2770"/>
      <c r="AH106" s="2770"/>
      <c r="AI106" s="2770"/>
      <c r="AJ106" s="2770"/>
      <c r="AK106" s="2765"/>
      <c r="AL106" s="2764"/>
      <c r="AM106" s="2764"/>
      <c r="AN106" s="2764"/>
      <c r="AO106" s="2764"/>
      <c r="AP106" s="2764"/>
      <c r="AQ106" s="2764"/>
      <c r="AR106" s="2761"/>
      <c r="AS106" s="2761"/>
      <c r="AT106" s="2761"/>
      <c r="AU106" s="2761"/>
      <c r="AV106" s="2761"/>
      <c r="AW106" s="2761"/>
      <c r="AX106" s="2761"/>
      <c r="AY106" s="2761"/>
      <c r="AZ106" s="2761"/>
      <c r="BA106" s="2761"/>
      <c r="BB106" s="2761"/>
    </row>
    <row r="107" spans="1:54" s="2074" customFormat="1">
      <c r="A107" s="2730" t="s">
        <v>2684</v>
      </c>
      <c r="B107" s="2730"/>
      <c r="C107" s="2730"/>
      <c r="D107" s="2730"/>
      <c r="E107" s="2787"/>
      <c r="F107" s="2730"/>
      <c r="G107" s="2730"/>
      <c r="H107" s="2772"/>
      <c r="I107" s="2730"/>
      <c r="J107" s="2975"/>
      <c r="K107" s="2730"/>
      <c r="L107" s="2730"/>
      <c r="M107" s="2787"/>
      <c r="N107" s="2730"/>
      <c r="O107" s="2730"/>
      <c r="P107" s="2730"/>
      <c r="Q107" s="2787"/>
      <c r="R107" s="2730"/>
      <c r="S107" s="2741"/>
      <c r="T107" s="2772"/>
      <c r="U107" s="2787"/>
      <c r="V107" s="2730"/>
      <c r="W107" s="2741"/>
      <c r="X107" s="2772"/>
      <c r="Y107" s="2787"/>
      <c r="Z107" s="2772"/>
      <c r="AA107" s="2772"/>
      <c r="AB107" s="2772"/>
      <c r="AC107" s="2772"/>
      <c r="AD107" s="2772"/>
      <c r="AE107" s="2772"/>
      <c r="AF107" s="2772"/>
      <c r="AG107" s="2772"/>
      <c r="AH107" s="2772"/>
      <c r="AI107" s="2772"/>
      <c r="AJ107" s="2772"/>
      <c r="AK107" s="2730"/>
      <c r="AL107" s="2730"/>
      <c r="AM107" s="2730">
        <v>129</v>
      </c>
      <c r="AN107" s="2730">
        <v>185</v>
      </c>
      <c r="AO107" s="2730">
        <v>247</v>
      </c>
      <c r="AP107" s="2730"/>
      <c r="AQ107" s="2730"/>
    </row>
    <row r="108" spans="1:54" s="2762" customFormat="1">
      <c r="A108" s="2763" t="s">
        <v>2054</v>
      </c>
      <c r="B108" s="2764"/>
      <c r="C108" s="2764"/>
      <c r="D108" s="2764"/>
      <c r="E108" s="2782"/>
      <c r="F108" s="2764"/>
      <c r="G108" s="2764"/>
      <c r="H108" s="2989"/>
      <c r="I108" s="2764"/>
      <c r="J108" s="2972"/>
      <c r="K108" s="2764"/>
      <c r="L108" s="2764"/>
      <c r="M108" s="2782"/>
      <c r="N108" s="2764"/>
      <c r="O108" s="2764"/>
      <c r="P108" s="2764"/>
      <c r="Q108" s="2782"/>
      <c r="R108" s="2764"/>
      <c r="S108" s="3081"/>
      <c r="T108" s="2989"/>
      <c r="U108" s="2782"/>
      <c r="V108" s="2764"/>
      <c r="W108" s="3081"/>
      <c r="X108" s="2989"/>
      <c r="Y108" s="2782"/>
      <c r="Z108" s="2770"/>
      <c r="AA108" s="2770"/>
      <c r="AB108" s="2770"/>
      <c r="AC108" s="2770"/>
      <c r="AD108" s="2770"/>
      <c r="AE108" s="2770"/>
      <c r="AF108" s="2770"/>
      <c r="AG108" s="2770"/>
      <c r="AH108" s="2770"/>
      <c r="AI108" s="2770"/>
      <c r="AJ108" s="2770"/>
      <c r="AK108" s="2765"/>
      <c r="AL108" s="2764"/>
      <c r="AM108" s="2764"/>
      <c r="AN108" s="2764">
        <f>AN107/AM107-1</f>
        <v>0.43410852713178305</v>
      </c>
      <c r="AO108" s="2764">
        <f>AO107/AN107-1</f>
        <v>0.33513513513513504</v>
      </c>
      <c r="AP108" s="2764"/>
      <c r="AQ108" s="2764"/>
      <c r="AR108" s="2761"/>
      <c r="AS108" s="2761"/>
      <c r="AT108" s="2761"/>
      <c r="AU108" s="2761"/>
      <c r="AV108" s="2761"/>
      <c r="AW108" s="2761"/>
      <c r="AX108" s="2761"/>
      <c r="AY108" s="2761"/>
      <c r="AZ108" s="2761"/>
      <c r="BA108" s="2761"/>
      <c r="BB108" s="2761"/>
    </row>
    <row r="110" spans="1:54">
      <c r="A110" s="2731" t="s">
        <v>2710</v>
      </c>
      <c r="O110" s="2730"/>
      <c r="P110" s="2730"/>
      <c r="Q110" s="2787">
        <v>6</v>
      </c>
      <c r="R110" s="2731" t="s">
        <v>2718</v>
      </c>
      <c r="S110" s="2741" t="s">
        <v>2722</v>
      </c>
      <c r="T110" s="2772"/>
      <c r="U110" s="2787" t="s">
        <v>2750</v>
      </c>
      <c r="V110" s="2731">
        <f>6*1.18</f>
        <v>7.08</v>
      </c>
      <c r="W110" s="2741"/>
      <c r="X110" s="2772" t="s">
        <v>2779</v>
      </c>
      <c r="Y110" s="2787" t="s">
        <v>2778</v>
      </c>
      <c r="Z110" s="2730" t="s">
        <v>2793</v>
      </c>
      <c r="AA110" s="2730"/>
      <c r="AB110" s="2730"/>
      <c r="AC110" s="2730"/>
      <c r="AD110" s="2730"/>
      <c r="AE110" s="2730"/>
      <c r="AF110" s="2730"/>
      <c r="AG110" s="2730"/>
      <c r="AH110" s="2730"/>
      <c r="AI110" s="2730"/>
      <c r="AJ110" s="2730"/>
      <c r="AK110" s="2730"/>
      <c r="AL110" s="2730"/>
      <c r="AM110" s="2730"/>
      <c r="AN110" s="2730"/>
      <c r="AO110" s="2730"/>
      <c r="AP110" s="2730"/>
      <c r="AQ110" s="2730">
        <v>6</v>
      </c>
    </row>
    <row r="111" spans="1:54">
      <c r="Z111" s="2731"/>
      <c r="AA111" s="2731"/>
      <c r="AB111" s="2731"/>
      <c r="AC111" s="2731"/>
      <c r="AD111" s="2731"/>
      <c r="AE111" s="2731"/>
      <c r="AF111" s="2731"/>
      <c r="AG111" s="2731"/>
      <c r="AH111" s="2731"/>
      <c r="AI111" s="2731"/>
      <c r="AJ111" s="2731"/>
    </row>
    <row r="112" spans="1:54">
      <c r="A112" s="2731" t="s">
        <v>2711</v>
      </c>
      <c r="N112" s="2991">
        <v>0.5</v>
      </c>
      <c r="O112" s="2991">
        <v>0.5</v>
      </c>
      <c r="P112" s="2991">
        <v>0.45</v>
      </c>
      <c r="Q112" s="3010">
        <v>0.47</v>
      </c>
      <c r="R112" s="2991">
        <v>0.48</v>
      </c>
      <c r="S112" s="3095">
        <v>0.45</v>
      </c>
      <c r="T112" s="3149">
        <v>0.45</v>
      </c>
      <c r="U112" s="3010">
        <v>0.46</v>
      </c>
      <c r="V112" s="2991">
        <v>0.45</v>
      </c>
      <c r="W112" s="3095"/>
      <c r="X112" s="3149"/>
      <c r="Y112" s="3010"/>
      <c r="Z112" s="2991"/>
      <c r="AA112" s="2991"/>
      <c r="AB112" s="2991"/>
      <c r="AC112" s="2991"/>
      <c r="AD112" s="2991"/>
      <c r="AE112" s="2991"/>
      <c r="AF112" s="2991"/>
      <c r="AG112" s="2991"/>
      <c r="AH112" s="2991"/>
      <c r="AI112" s="2991"/>
      <c r="AJ112" s="2991"/>
    </row>
    <row r="113" spans="1:49">
      <c r="Z113" s="2731"/>
      <c r="AA113" s="2731"/>
      <c r="AB113" s="2731"/>
      <c r="AC113" s="2731"/>
      <c r="AD113" s="2731"/>
      <c r="AE113" s="2731"/>
      <c r="AF113" s="2731"/>
      <c r="AG113" s="2731"/>
      <c r="AH113" s="2731"/>
      <c r="AI113" s="2731"/>
      <c r="AJ113" s="2731"/>
    </row>
    <row r="114" spans="1:49">
      <c r="A114" s="2731" t="s">
        <v>2712</v>
      </c>
      <c r="F114" s="2991">
        <v>0.13</v>
      </c>
      <c r="H114" s="3149">
        <v>0.14000000000000001</v>
      </c>
      <c r="I114" s="2742">
        <v>0.16</v>
      </c>
      <c r="N114" s="2991">
        <v>0.24</v>
      </c>
      <c r="O114" s="2991">
        <v>0.19</v>
      </c>
      <c r="P114" s="2991">
        <v>0.2</v>
      </c>
      <c r="Q114" s="3010">
        <v>0.22</v>
      </c>
      <c r="R114" s="2991">
        <v>0.21</v>
      </c>
      <c r="S114" s="3095">
        <v>0.19</v>
      </c>
      <c r="T114" s="3149">
        <v>0.2</v>
      </c>
      <c r="U114" s="3010">
        <v>0.21</v>
      </c>
      <c r="V114" s="2991">
        <v>0.18</v>
      </c>
      <c r="W114" s="3095"/>
      <c r="X114" s="3149">
        <v>0.18</v>
      </c>
      <c r="Y114" s="3010">
        <v>0.19</v>
      </c>
      <c r="Z114" s="2991">
        <v>0.17</v>
      </c>
      <c r="AA114" s="2991"/>
      <c r="AB114" s="2991"/>
      <c r="AC114" s="2991"/>
      <c r="AD114" s="2991"/>
      <c r="AE114" s="2991"/>
      <c r="AF114" s="2991"/>
      <c r="AG114" s="2991"/>
      <c r="AH114" s="2991"/>
      <c r="AI114" s="2991"/>
      <c r="AJ114" s="2991"/>
    </row>
    <row r="116" spans="1:49">
      <c r="A116" s="3320" t="s">
        <v>2817</v>
      </c>
      <c r="T116" s="3321">
        <v>0.48</v>
      </c>
      <c r="U116" s="3322">
        <v>0.5</v>
      </c>
      <c r="V116" s="3321">
        <v>0.49</v>
      </c>
      <c r="W116" s="3321">
        <v>0.5</v>
      </c>
      <c r="X116" s="3321">
        <v>0.53</v>
      </c>
      <c r="Y116" s="3322">
        <v>0.55000000000000004</v>
      </c>
      <c r="Z116" s="3321">
        <v>0.54</v>
      </c>
      <c r="AA116" s="3321">
        <v>0.55000000000000004</v>
      </c>
      <c r="AB116" s="3321">
        <v>0.57999999999999996</v>
      </c>
      <c r="AC116" s="3321">
        <v>0.6</v>
      </c>
      <c r="AD116" s="3321">
        <v>0.57999999999999996</v>
      </c>
      <c r="AE116" s="3321">
        <v>0.59</v>
      </c>
      <c r="AF116" s="3321">
        <v>0.62</v>
      </c>
      <c r="AG116" s="3321">
        <v>0.62</v>
      </c>
      <c r="AH116" s="3321">
        <v>0.63</v>
      </c>
      <c r="AI116" s="3321">
        <v>0.64</v>
      </c>
      <c r="AJ116" s="3321"/>
    </row>
    <row r="119" spans="1:49">
      <c r="A119" s="2731" t="s">
        <v>2841</v>
      </c>
    </row>
    <row r="120" spans="1:49">
      <c r="A120" s="3434" t="s">
        <v>2837</v>
      </c>
      <c r="AK120" s="2739"/>
      <c r="AS120" s="3435">
        <v>146</v>
      </c>
      <c r="AT120" s="3435">
        <v>154</v>
      </c>
      <c r="AU120" s="3435">
        <v>154</v>
      </c>
      <c r="AV120" s="3435">
        <v>178</v>
      </c>
    </row>
    <row r="121" spans="1:49">
      <c r="A121" s="3434" t="s">
        <v>2838</v>
      </c>
      <c r="AS121" s="3435">
        <v>187</v>
      </c>
      <c r="AT121" s="3435">
        <v>201</v>
      </c>
      <c r="AU121" s="3435">
        <v>201</v>
      </c>
      <c r="AV121" s="3435">
        <v>215</v>
      </c>
      <c r="AW121" s="3435"/>
    </row>
    <row r="122" spans="1:49">
      <c r="A122" s="3434" t="s">
        <v>2840</v>
      </c>
      <c r="AS122" s="3435">
        <v>64</v>
      </c>
      <c r="AT122" s="3435">
        <v>76</v>
      </c>
      <c r="AU122" s="3435">
        <v>76</v>
      </c>
      <c r="AV122" s="3435">
        <v>68</v>
      </c>
    </row>
    <row r="123" spans="1:49">
      <c r="A123" s="3434" t="s">
        <v>2839</v>
      </c>
      <c r="AS123" s="3435">
        <v>51</v>
      </c>
      <c r="AT123" s="3435">
        <v>61</v>
      </c>
      <c r="AU123" s="3435">
        <v>61</v>
      </c>
      <c r="AV123" s="3435">
        <v>78</v>
      </c>
    </row>
    <row r="124" spans="1:49" ht="16" thickBot="1">
      <c r="A124" s="2731" t="s">
        <v>1280</v>
      </c>
      <c r="AS124" s="3438">
        <f>SUM(AS120:AS123)</f>
        <v>448</v>
      </c>
      <c r="AT124" s="3438">
        <f>SUM(AT120:AT123)</f>
        <v>492</v>
      </c>
      <c r="AU124" s="3438">
        <f>SUM(AU120:AU123)</f>
        <v>492</v>
      </c>
      <c r="AV124" s="3438">
        <f>SUM(AV120:AV123)</f>
        <v>539</v>
      </c>
    </row>
    <row r="125" spans="1:49" ht="16" thickTop="1"/>
    <row r="126" spans="1:49">
      <c r="A126" s="2731" t="s">
        <v>2842</v>
      </c>
    </row>
    <row r="127" spans="1:49">
      <c r="A127" s="3434" t="s">
        <v>2837</v>
      </c>
      <c r="AS127" s="3436">
        <v>0.33</v>
      </c>
      <c r="AT127" s="3436">
        <v>0.31</v>
      </c>
      <c r="AU127" s="3436">
        <v>0.31</v>
      </c>
      <c r="AV127" s="3436">
        <f>AV120/$AV$124</f>
        <v>0.33024118738404451</v>
      </c>
    </row>
    <row r="128" spans="1:49">
      <c r="A128" s="3434" t="s">
        <v>2838</v>
      </c>
      <c r="AS128" s="3436">
        <v>0.42</v>
      </c>
      <c r="AT128" s="3436">
        <v>0.41</v>
      </c>
      <c r="AU128" s="3436">
        <v>0.41</v>
      </c>
      <c r="AV128" s="3436">
        <f>AV121/$AV$124</f>
        <v>0.39888682745825604</v>
      </c>
    </row>
    <row r="129" spans="1:48">
      <c r="A129" s="3434" t="s">
        <v>2840</v>
      </c>
      <c r="AS129" s="3436">
        <v>0.14000000000000001</v>
      </c>
      <c r="AT129" s="3436">
        <v>0.16</v>
      </c>
      <c r="AU129" s="3436">
        <v>0.16</v>
      </c>
      <c r="AV129" s="3436">
        <f>AV123/$AV$124</f>
        <v>0.14471243042671614</v>
      </c>
    </row>
    <row r="130" spans="1:48">
      <c r="A130" s="3434" t="s">
        <v>2839</v>
      </c>
      <c r="AS130" s="3436">
        <v>0.11</v>
      </c>
      <c r="AT130" s="3436">
        <v>0.12</v>
      </c>
      <c r="AU130" s="3436">
        <v>0.12</v>
      </c>
      <c r="AV130" s="3436">
        <f>AV122/$AV$124</f>
        <v>0.12615955473098331</v>
      </c>
    </row>
    <row r="131" spans="1:48" ht="16" thickBot="1">
      <c r="A131" s="2731" t="s">
        <v>1280</v>
      </c>
      <c r="AS131" s="3437">
        <v>1</v>
      </c>
      <c r="AT131" s="3437">
        <f>AT124/$AT$124</f>
        <v>1</v>
      </c>
      <c r="AU131" s="3437">
        <f>AU124/$AT$124</f>
        <v>1</v>
      </c>
      <c r="AV131" s="3436">
        <f>AV124/$AV$124</f>
        <v>1</v>
      </c>
    </row>
    <row r="132" spans="1:48" ht="16" thickTop="1"/>
    <row r="133" spans="1:48">
      <c r="A133" s="2731" t="s">
        <v>2843</v>
      </c>
    </row>
    <row r="134" spans="1:48">
      <c r="A134" s="3434" t="s">
        <v>2837</v>
      </c>
      <c r="AT134" s="3436">
        <v>0.05</v>
      </c>
      <c r="AU134" s="3436">
        <v>0.05</v>
      </c>
      <c r="AV134" s="3436"/>
    </row>
    <row r="135" spans="1:48">
      <c r="A135" s="3434" t="s">
        <v>2838</v>
      </c>
      <c r="AT135" s="3436">
        <v>7.0000000000000007E-2</v>
      </c>
      <c r="AU135" s="3436">
        <v>7.0000000000000007E-2</v>
      </c>
      <c r="AV135" s="3436"/>
    </row>
    <row r="136" spans="1:48">
      <c r="A136" s="3434" t="s">
        <v>2840</v>
      </c>
      <c r="AT136" s="3436">
        <v>0.19</v>
      </c>
      <c r="AU136" s="3436">
        <v>0.19</v>
      </c>
      <c r="AV136" s="3436"/>
    </row>
    <row r="137" spans="1:48">
      <c r="A137" s="3434" t="s">
        <v>2839</v>
      </c>
      <c r="AT137" s="3436">
        <v>0.2</v>
      </c>
      <c r="AU137" s="3436">
        <v>0.2</v>
      </c>
      <c r="AV137" s="3436"/>
    </row>
    <row r="138" spans="1:48" ht="16" thickBot="1">
      <c r="A138" s="2731" t="s">
        <v>1280</v>
      </c>
      <c r="AT138" s="3437">
        <v>0.1</v>
      </c>
      <c r="AU138" s="3437">
        <v>0.1</v>
      </c>
      <c r="AV138" s="3436"/>
    </row>
    <row r="139" spans="1:48" ht="16" thickTop="1"/>
  </sheetData>
  <phoneticPr fontId="11" type="noConversion"/>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tabSelected="1" zoomScale="85" zoomScaleNormal="85" workbookViewId="0">
      <selection activeCell="P17" sqref="P17"/>
    </sheetView>
  </sheetViews>
  <sheetFormatPr defaultRowHeight="15"/>
  <sheetData/>
  <phoneticPr fontId="11"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Q109"/>
  <sheetViews>
    <sheetView zoomScale="80" zoomScaleNormal="80" workbookViewId="0">
      <pane xSplit="13" ySplit="2" topLeftCell="AL18" activePane="bottomRight" state="frozen"/>
      <selection pane="topRight" activeCell="N1" sqref="N1"/>
      <selection pane="bottomLeft" activeCell="A3" sqref="A3"/>
      <selection pane="bottomRight" activeCell="AQ42" sqref="AQ42"/>
    </sheetView>
  </sheetViews>
  <sheetFormatPr defaultColWidth="9" defaultRowHeight="12.5" outlineLevelCol="1"/>
  <cols>
    <col min="1" max="1" width="41.5" style="844" customWidth="1"/>
    <col min="2" max="5" width="11.5" style="844" hidden="1" customWidth="1"/>
    <col min="6" max="10" width="11.5" style="844" hidden="1" customWidth="1" outlineLevel="1"/>
    <col min="11" max="13" width="0" style="844" hidden="1" customWidth="1" outlineLevel="1"/>
    <col min="14" max="14" width="9.58203125" style="844" bestFit="1" customWidth="1" collapsed="1"/>
    <col min="15" max="17" width="9" style="844"/>
    <col min="18" max="18" width="11.33203125" style="844" customWidth="1"/>
    <col min="19" max="20" width="9" style="844"/>
    <col min="21" max="21" width="10.33203125" style="844" bestFit="1" customWidth="1"/>
    <col min="22" max="22" width="9" style="844" hidden="1" customWidth="1"/>
    <col min="23" max="23" width="8.25" style="844" hidden="1" customWidth="1"/>
    <col min="24" max="24" width="8.33203125" style="844" hidden="1" customWidth="1"/>
    <col min="25" max="25" width="9" style="844" hidden="1" customWidth="1"/>
    <col min="26" max="30" width="7.58203125" style="844" hidden="1" customWidth="1"/>
    <col min="31" max="34" width="11.1640625" style="844" hidden="1" customWidth="1"/>
    <col min="35" max="35" width="9" style="844" hidden="1" customWidth="1"/>
    <col min="36" max="37" width="7.5" style="844" hidden="1" customWidth="1"/>
    <col min="38" max="39" width="7.5" style="844" customWidth="1"/>
    <col min="40" max="40" width="9.4140625" style="844" bestFit="1" customWidth="1"/>
    <col min="41" max="43" width="9.4140625" style="844" customWidth="1"/>
    <col min="44" max="16384" width="9" style="844"/>
  </cols>
  <sheetData>
    <row r="1" spans="1:43" ht="13">
      <c r="Z1" s="2865" t="s">
        <v>2702</v>
      </c>
      <c r="AA1" s="2865"/>
      <c r="AB1" s="2865"/>
      <c r="AC1" s="2865"/>
      <c r="AD1" s="2865"/>
      <c r="AE1" s="1065"/>
      <c r="AF1" s="1065"/>
      <c r="AG1" s="1065"/>
      <c r="AH1" s="1065"/>
      <c r="AI1" s="1065"/>
      <c r="AJ1" s="1065"/>
      <c r="AK1" s="1065"/>
      <c r="AL1" s="1065" t="s">
        <v>2791</v>
      </c>
      <c r="AM1" s="1065"/>
    </row>
    <row r="2" spans="1:43" ht="13">
      <c r="A2" s="1995"/>
      <c r="B2" s="1996" t="s">
        <v>1999</v>
      </c>
      <c r="C2" s="1996" t="s">
        <v>2000</v>
      </c>
      <c r="D2" s="1996" t="s">
        <v>2001</v>
      </c>
      <c r="E2" s="1996" t="s">
        <v>2002</v>
      </c>
      <c r="F2" s="1996" t="s">
        <v>2003</v>
      </c>
      <c r="G2" s="1996" t="s">
        <v>2004</v>
      </c>
      <c r="H2" s="1996" t="s">
        <v>2005</v>
      </c>
      <c r="I2" s="1996" t="s">
        <v>2006</v>
      </c>
      <c r="J2" s="1996" t="s">
        <v>2007</v>
      </c>
      <c r="K2" s="1996" t="s">
        <v>2008</v>
      </c>
      <c r="L2" s="1996" t="s">
        <v>2009</v>
      </c>
      <c r="M2" s="1996" t="s">
        <v>2010</v>
      </c>
      <c r="N2" s="1996" t="s">
        <v>2011</v>
      </c>
      <c r="O2" s="1996" t="s">
        <v>2012</v>
      </c>
      <c r="P2" s="1996" t="s">
        <v>2013</v>
      </c>
      <c r="Q2" s="1996" t="s">
        <v>2014</v>
      </c>
      <c r="R2" s="1997" t="s">
        <v>1956</v>
      </c>
      <c r="S2" s="1997" t="s">
        <v>2050</v>
      </c>
      <c r="T2" s="1997" t="s">
        <v>2075</v>
      </c>
      <c r="U2" s="1997" t="s">
        <v>2079</v>
      </c>
      <c r="V2" s="1997" t="s">
        <v>2600</v>
      </c>
      <c r="W2" s="1997" t="s">
        <v>2764</v>
      </c>
      <c r="X2" s="1997" t="s">
        <v>2728</v>
      </c>
      <c r="Y2" s="1997" t="s">
        <v>2765</v>
      </c>
      <c r="Z2" s="1997" t="s">
        <v>2730</v>
      </c>
      <c r="AA2" s="1997" t="s">
        <v>2766</v>
      </c>
      <c r="AB2" s="1997" t="s">
        <v>2767</v>
      </c>
      <c r="AC2" s="1997" t="s">
        <v>2768</v>
      </c>
      <c r="AD2" s="1997" t="s">
        <v>2724</v>
      </c>
      <c r="AE2" s="1997" t="s">
        <v>2769</v>
      </c>
      <c r="AF2" s="1997" t="s">
        <v>2770</v>
      </c>
      <c r="AG2" s="1997" t="s">
        <v>2771</v>
      </c>
      <c r="AH2" s="3021" t="s">
        <v>2757</v>
      </c>
      <c r="AI2" s="3021" t="s">
        <v>2760</v>
      </c>
      <c r="AJ2" s="3021" t="s">
        <v>2776</v>
      </c>
      <c r="AK2" s="3021" t="s">
        <v>2777</v>
      </c>
      <c r="AL2" s="3178" t="s">
        <v>2790</v>
      </c>
      <c r="AM2" s="3178" t="s">
        <v>2795</v>
      </c>
      <c r="AN2" s="3178" t="s">
        <v>2815</v>
      </c>
      <c r="AO2" s="3178" t="s">
        <v>2820</v>
      </c>
      <c r="AP2" s="3178" t="s">
        <v>2825</v>
      </c>
      <c r="AQ2" s="3178" t="s">
        <v>2834</v>
      </c>
    </row>
    <row r="3" spans="1:43" ht="13">
      <c r="A3" s="855" t="s">
        <v>2851</v>
      </c>
      <c r="B3" s="845"/>
      <c r="C3" s="845"/>
      <c r="D3" s="845"/>
      <c r="E3" s="845"/>
      <c r="F3" s="845"/>
      <c r="G3" s="845"/>
      <c r="H3" s="845"/>
      <c r="I3" s="845"/>
      <c r="J3" s="845"/>
      <c r="K3" s="845"/>
      <c r="L3" s="845"/>
      <c r="M3" s="845"/>
      <c r="N3" s="845"/>
      <c r="O3" s="845"/>
      <c r="P3" s="845"/>
      <c r="Q3" s="845"/>
      <c r="R3" s="845"/>
      <c r="S3" s="845"/>
    </row>
    <row r="4" spans="1:43">
      <c r="A4" s="847" t="s">
        <v>1155</v>
      </c>
      <c r="B4" s="848">
        <f>BKNG!R6</f>
        <v>13775</v>
      </c>
      <c r="C4" s="848">
        <f>BKNG!S6</f>
        <v>14960</v>
      </c>
      <c r="D4" s="848">
        <f>BKNG!T6</f>
        <v>14778</v>
      </c>
      <c r="E4" s="848">
        <f>BKNG!U6</f>
        <v>12015</v>
      </c>
      <c r="F4" s="848">
        <f>BKNG!W6</f>
        <v>16653</v>
      </c>
      <c r="G4" s="848">
        <f>BKNG!X6</f>
        <v>17862</v>
      </c>
      <c r="H4" s="848">
        <f>BKNG!Y6</f>
        <v>18460</v>
      </c>
      <c r="I4" s="848">
        <f>BKNG!Z6</f>
        <v>15112</v>
      </c>
      <c r="J4" s="848">
        <f>BKNG!AA6</f>
        <v>20687</v>
      </c>
      <c r="K4" s="848">
        <f>BKNG!AB6</f>
        <v>20797</v>
      </c>
      <c r="L4" s="848">
        <f>BKNG!AC6</f>
        <v>21762</v>
      </c>
      <c r="M4" s="848">
        <f>BKNG!AD6</f>
        <v>17980</v>
      </c>
      <c r="N4" s="848">
        <f>BKNG!AE6</f>
        <v>25009</v>
      </c>
      <c r="O4" s="848">
        <f>BKNG!AF6</f>
        <v>23896</v>
      </c>
      <c r="P4" s="848">
        <f>BKNG!AG6</f>
        <v>24274</v>
      </c>
      <c r="Q4" s="848">
        <f>BKNG!AH6</f>
        <v>19552</v>
      </c>
      <c r="R4" s="848">
        <f>BKNG!AI6</f>
        <v>25410</v>
      </c>
      <c r="S4" s="848">
        <f>BKNG!AJ6</f>
        <v>25039</v>
      </c>
      <c r="T4" s="848">
        <f>BKNG!AK6</f>
        <v>25281</v>
      </c>
      <c r="U4" s="848">
        <f>BKNG!AL6</f>
        <v>20713</v>
      </c>
      <c r="V4" s="848">
        <f>BKNG!AM6</f>
        <v>12393</v>
      </c>
      <c r="W4" s="848">
        <f>BKNG!AN6</f>
        <v>2306</v>
      </c>
      <c r="X4" s="848">
        <f>BKNG!AO6</f>
        <v>13382</v>
      </c>
      <c r="Y4" s="848">
        <f>BKNG!AP6</f>
        <v>7313</v>
      </c>
      <c r="Z4" s="848">
        <f>BKNG!AQ6</f>
        <v>11935</v>
      </c>
      <c r="AA4" s="848">
        <f>BKNG!AR6</f>
        <v>21956</v>
      </c>
      <c r="AB4" s="848">
        <f>BKNG!AS6</f>
        <v>23684</v>
      </c>
      <c r="AC4" s="848">
        <f>BKNG!AT6</f>
        <v>19011</v>
      </c>
      <c r="AD4" s="848">
        <f>BKNG!AU6</f>
        <v>27293</v>
      </c>
      <c r="AE4" s="848">
        <f>BKNG!AV6</f>
        <v>34545</v>
      </c>
      <c r="AF4" s="848">
        <f>BKNG!AW6</f>
        <v>32120</v>
      </c>
      <c r="AG4" s="848">
        <f>BKNG!AX6</f>
        <v>27294</v>
      </c>
      <c r="AH4" s="848">
        <f>BKNG!AY6</f>
        <v>39427</v>
      </c>
      <c r="AI4" s="848">
        <f>BKNG!AZ6</f>
        <v>39692</v>
      </c>
      <c r="AJ4" s="848">
        <f>BKNG!BA6</f>
        <v>39813</v>
      </c>
      <c r="AK4" s="848">
        <f>BKNG!BB6</f>
        <v>31695</v>
      </c>
      <c r="AL4" s="848">
        <f>BKNG!BC6</f>
        <v>43535</v>
      </c>
      <c r="AM4" s="848">
        <f>BKNG!BD6</f>
        <v>41431</v>
      </c>
      <c r="AN4" s="848">
        <f>BKNG!BE6</f>
        <v>43447</v>
      </c>
      <c r="AO4" s="848">
        <f>BKNG!BF6</f>
        <v>37167</v>
      </c>
      <c r="AP4" s="848">
        <f>BKNG!BG6</f>
        <v>46669</v>
      </c>
      <c r="AQ4" s="848">
        <f>BKNG!BH6</f>
        <v>46736</v>
      </c>
    </row>
    <row r="5" spans="1:43" ht="25">
      <c r="A5" s="849" t="s">
        <v>1156</v>
      </c>
      <c r="B5" s="647">
        <f>BKNG!R7</f>
        <v>0.12</v>
      </c>
      <c r="C5" s="647">
        <f>BKNG!S7</f>
        <v>0.11</v>
      </c>
      <c r="D5" s="647">
        <f>BKNG!T7</f>
        <v>7.0000000000000007E-2</v>
      </c>
      <c r="E5" s="647">
        <f>BKNG!U7</f>
        <v>0.13</v>
      </c>
      <c r="F5" s="647">
        <f>BKNG!W7</f>
        <v>0.21</v>
      </c>
      <c r="G5" s="647">
        <f>BKNG!X7</f>
        <v>0.19</v>
      </c>
      <c r="H5" s="647">
        <f>BKNG!Y7</f>
        <v>0.25</v>
      </c>
      <c r="I5" s="647">
        <f>BKNG!Z7</f>
        <v>0.26</v>
      </c>
      <c r="J5" s="647">
        <f>BKNG!AA7</f>
        <v>0.24</v>
      </c>
      <c r="K5" s="647">
        <f>BKNG!AB7</f>
        <v>0.16400000000000001</v>
      </c>
      <c r="L5" s="647">
        <f>BKNG!AC7</f>
        <v>0.18</v>
      </c>
      <c r="M5" s="647">
        <f>BKNG!AD7</f>
        <v>0.19</v>
      </c>
      <c r="N5" s="647">
        <f>BKNG!AE7</f>
        <v>0.20899999999999999</v>
      </c>
      <c r="O5" s="647">
        <f>BKNG!AF7</f>
        <v>0.14899999999999999</v>
      </c>
      <c r="P5" s="647">
        <f>BKNG!AG7</f>
        <v>0.115</v>
      </c>
      <c r="Q5" s="647">
        <f>BKNG!AH7</f>
        <v>8.6999999999999994E-2</v>
      </c>
      <c r="R5" s="647">
        <f>BKNG!AI7</f>
        <v>1.6E-2</v>
      </c>
      <c r="S5" s="647">
        <f>BKNG!AJ7</f>
        <v>4.8000000000000001E-2</v>
      </c>
      <c r="T5" s="647">
        <f>BKNG!AK7</f>
        <v>4.1000000000000002E-2</v>
      </c>
      <c r="U5" s="647">
        <f>BKNG!AL7</f>
        <v>5.8999999999999997E-2</v>
      </c>
      <c r="V5" s="647">
        <f>BKNG!AM7</f>
        <v>-0.51200000000000001</v>
      </c>
      <c r="W5" s="647">
        <f>BKNG!AN7</f>
        <v>-0.90800000000000003</v>
      </c>
      <c r="X5" s="647">
        <f>BKNG!AO7</f>
        <v>-0.47099999999999997</v>
      </c>
      <c r="Y5" s="647">
        <f>BKNG!AP7</f>
        <v>-0.64700000000000002</v>
      </c>
      <c r="Z5" s="2863">
        <f>BKNG!AQ7</f>
        <v>-3.6999999999999998E-2</v>
      </c>
      <c r="AA5" s="2863">
        <f>BKNG!AR7</f>
        <v>8.5169999999999995</v>
      </c>
      <c r="AB5" s="2863">
        <f>BKNG!AS7</f>
        <v>0.77</v>
      </c>
      <c r="AC5" s="2863">
        <f>BKNG!AT7</f>
        <v>1.6</v>
      </c>
      <c r="AD5" s="2863">
        <f>BKNG!AU7</f>
        <v>1.2869999999999999</v>
      </c>
      <c r="AE5" s="2863">
        <f>BKNG!AV7</f>
        <v>0.57299999999999995</v>
      </c>
      <c r="AF5" s="2863">
        <f>BKNG!AW7</f>
        <v>0.35618983279851379</v>
      </c>
      <c r="AG5" s="2863">
        <f>BKNG!AX7</f>
        <v>0.436</v>
      </c>
      <c r="AH5" s="2863">
        <f>BKNG!AY7</f>
        <v>0.44500000000000001</v>
      </c>
      <c r="AI5" s="2863">
        <f>BKNG!AZ7</f>
        <v>0.14899999999999999</v>
      </c>
      <c r="AJ5" s="2863">
        <f>BKNG!BA7</f>
        <v>0.23950809464508094</v>
      </c>
      <c r="AK5" s="2863">
        <f>BKNG!BB7</f>
        <v>0.16124422950098927</v>
      </c>
      <c r="AL5" s="2863">
        <f>BKNG!BC7</f>
        <v>0.1041925583990666</v>
      </c>
      <c r="AM5" s="2863">
        <f>BKNG!BD7</f>
        <v>4.3812355134535963E-2</v>
      </c>
      <c r="AN5" s="2863">
        <f>BKNG!BE7</f>
        <v>9.1276718659734302E-2</v>
      </c>
      <c r="AO5" s="2863">
        <f>BKNG!BF7</f>
        <v>0.17264552768575481</v>
      </c>
      <c r="AP5" s="2863">
        <f>BKNG!BG7</f>
        <v>7.1988055587458355E-2</v>
      </c>
      <c r="AQ5" s="2863">
        <f>BKNG!BH7</f>
        <v>0.12804421809755984</v>
      </c>
    </row>
    <row r="6" spans="1:43" ht="25">
      <c r="A6" s="3455" t="s">
        <v>1157</v>
      </c>
      <c r="B6" s="647">
        <f>BKNG!R8</f>
        <v>0.26</v>
      </c>
      <c r="C6" s="647">
        <f>BKNG!S8</f>
        <v>0.26</v>
      </c>
      <c r="D6" s="647">
        <f>BKNG!T8</f>
        <v>0.22</v>
      </c>
      <c r="E6" s="647">
        <f>BKNG!U8</f>
        <v>0.24</v>
      </c>
      <c r="F6" s="647">
        <f>BKNG!W8</f>
        <v>0.26</v>
      </c>
      <c r="G6" s="647">
        <f>BKNG!X8</f>
        <v>0.21</v>
      </c>
      <c r="H6" s="647">
        <f>BKNG!Y8</f>
        <v>0.26</v>
      </c>
      <c r="I6" s="647">
        <f>BKNG!Z8</f>
        <v>0.28000000000000003</v>
      </c>
      <c r="J6" s="647">
        <f>BKNG!AA8</f>
        <v>0.27</v>
      </c>
      <c r="K6" s="647">
        <f>BKNG!AB8</f>
        <v>0.19</v>
      </c>
      <c r="L6" s="647">
        <f>BKNG!AC8</f>
        <v>0.16</v>
      </c>
      <c r="M6" s="647">
        <f>BKNG!AD8</f>
        <v>0.14000000000000001</v>
      </c>
      <c r="N6" s="647">
        <f>BKNG!AE8</f>
        <v>0.12</v>
      </c>
      <c r="O6" s="647">
        <f>BKNG!AF8</f>
        <v>0.11</v>
      </c>
      <c r="P6" s="647">
        <f>BKNG!AG8</f>
        <v>0.14000000000000001</v>
      </c>
      <c r="Q6" s="647">
        <f>BKNG!AH8</f>
        <v>0.13</v>
      </c>
      <c r="R6" s="647">
        <f>BKNG!AI8</f>
        <v>0.08</v>
      </c>
      <c r="S6" s="647">
        <f>BKNG!AJ8</f>
        <v>0.1</v>
      </c>
      <c r="T6" s="647">
        <f>BKNG!AK8</f>
        <v>7.0000000000000007E-2</v>
      </c>
      <c r="U6" s="647">
        <f>BKNG!AL8</f>
        <v>7.0000000000000007E-2</v>
      </c>
      <c r="V6" s="647">
        <f>BKNG!AM8</f>
        <v>-0.5</v>
      </c>
      <c r="W6" s="647">
        <f>BKNG!AN8</f>
        <v>-0.91</v>
      </c>
      <c r="X6" s="647">
        <f>BKNG!AO8</f>
        <v>-0.48</v>
      </c>
      <c r="Y6" s="647">
        <f>BKNG!AP8</f>
        <v>-0.65</v>
      </c>
      <c r="Z6" s="2864">
        <f>Z4/R4-1</f>
        <v>-0.53030303030303028</v>
      </c>
      <c r="AA6" s="2864">
        <f>AA4/S4-1</f>
        <v>-0.12312792044410714</v>
      </c>
      <c r="AB6" s="2864">
        <f>AB4/T4-1</f>
        <v>-6.3169969542344107E-2</v>
      </c>
      <c r="AC6" s="2864">
        <f>AC4/U4-1</f>
        <v>-8.2170617486602593E-2</v>
      </c>
      <c r="AD6" s="2864">
        <f>AD4/R4-1</f>
        <v>7.4104683195592269E-2</v>
      </c>
      <c r="AE6" s="2864">
        <f>AE4/S4-1</f>
        <v>0.3796477495107633</v>
      </c>
      <c r="AF6" s="2864">
        <f>AF4/T4-1</f>
        <v>0.27051936236699503</v>
      </c>
      <c r="AG6" s="2864">
        <f>AG4/U4-1</f>
        <v>0.31772316902428432</v>
      </c>
      <c r="AH6" s="2864">
        <f>AH4/R4-1</f>
        <v>0.55163321526957887</v>
      </c>
      <c r="AI6" s="2864">
        <f>AI4/S4-1</f>
        <v>0.58520707695994245</v>
      </c>
      <c r="AJ6" s="2864">
        <f>AJ4/T4-1</f>
        <v>0.57481903405719703</v>
      </c>
      <c r="AK6" s="2864">
        <f>AK4/U4-1</f>
        <v>0.53019842610920676</v>
      </c>
      <c r="AL6" s="2864">
        <f>BKNG!BC8</f>
        <v>0.1</v>
      </c>
      <c r="AM6" s="2864">
        <f>BKNG!BD8</f>
        <v>0.06</v>
      </c>
      <c r="AN6" s="2864">
        <f>BKNG!BE8</f>
        <v>0.09</v>
      </c>
      <c r="AO6" s="2864">
        <f>BKNG!BF8</f>
        <v>0.18</v>
      </c>
      <c r="AP6" s="2864">
        <f>BKNG!BG8</f>
        <v>0.1</v>
      </c>
      <c r="AQ6" s="2864">
        <f>BKNG!BH8</f>
        <v>0.09</v>
      </c>
    </row>
    <row r="7" spans="1:43">
      <c r="A7" s="3456" t="s">
        <v>2693</v>
      </c>
      <c r="B7" s="850">
        <f>BKNG!R35</f>
        <v>1672.2360000000001</v>
      </c>
      <c r="C7" s="850">
        <f>BKNG!S35</f>
        <v>2092.9059999999999</v>
      </c>
      <c r="D7" s="850">
        <f>BKNG!T35</f>
        <v>2947.2820000000002</v>
      </c>
      <c r="E7" s="850">
        <f>BKNG!U35</f>
        <v>1879.383</v>
      </c>
      <c r="F7" s="850">
        <f>BKNG!W35</f>
        <v>2019.45</v>
      </c>
      <c r="G7" s="850">
        <f>BKNG!X35</f>
        <v>2429.8180000000002</v>
      </c>
      <c r="H7" s="850">
        <f>BKNG!Y35</f>
        <v>3589.0630000000001</v>
      </c>
      <c r="I7" s="850">
        <f>BKNG!Z35</f>
        <v>2276.3609999999999</v>
      </c>
      <c r="J7" s="850">
        <f>BKNG!AA35</f>
        <v>2334.2350000000001</v>
      </c>
      <c r="K7" s="850">
        <f>BKNG!AB35</f>
        <v>2951.8139999999999</v>
      </c>
      <c r="L7" s="850">
        <f>BKNG!AC35</f>
        <v>4374.5530000000008</v>
      </c>
      <c r="M7" s="850">
        <f>BKNG!AD35</f>
        <v>2769.9429999999998</v>
      </c>
      <c r="N7" s="850">
        <f>BKNG!AE35</f>
        <v>2928.201</v>
      </c>
      <c r="O7" s="850">
        <f>BKNG!AF35</f>
        <v>3537.0940000000001</v>
      </c>
      <c r="P7" s="850">
        <f>BKNG!AG35</f>
        <v>4849</v>
      </c>
      <c r="Q7" s="850">
        <f>BKNG!AH35</f>
        <v>3213</v>
      </c>
      <c r="R7" s="850">
        <f>BKNG!AI35</f>
        <v>2837</v>
      </c>
      <c r="S7" s="850">
        <f>BKNG!AJ35</f>
        <v>3850</v>
      </c>
      <c r="T7" s="850">
        <f>BKNG!AK35</f>
        <v>5040</v>
      </c>
      <c r="U7" s="850">
        <f>BKNG!AL35</f>
        <v>3339</v>
      </c>
      <c r="V7" s="850">
        <f>BKNG!AM35</f>
        <v>2288</v>
      </c>
      <c r="W7" s="850">
        <f>BKNG!AN35</f>
        <v>630</v>
      </c>
      <c r="X7" s="850">
        <f>BKNG!AO35</f>
        <v>2640</v>
      </c>
      <c r="Y7" s="850">
        <f>BKNG!AP35</f>
        <v>1238</v>
      </c>
      <c r="Z7" s="645">
        <f>BKNG!AQ35</f>
        <v>1141</v>
      </c>
      <c r="AA7" s="645">
        <f>BKNG!AR35</f>
        <v>2160</v>
      </c>
      <c r="AB7" s="645">
        <f>BKNG!AS35</f>
        <v>4676</v>
      </c>
      <c r="AC7" s="645">
        <f>BKNG!AT35</f>
        <v>2981</v>
      </c>
      <c r="AD7" s="645">
        <f>BKNG!AU35</f>
        <v>2695</v>
      </c>
      <c r="AE7" s="645">
        <f>BKNG!AV35</f>
        <v>4294</v>
      </c>
      <c r="AF7" s="645">
        <f>BKNG!AW35</f>
        <v>6052</v>
      </c>
      <c r="AG7" s="645">
        <f>BKNG!AX35</f>
        <v>4049</v>
      </c>
      <c r="AH7" s="645">
        <f>BKNG!AY35</f>
        <v>3778</v>
      </c>
      <c r="AI7" s="645">
        <f>BKNG!AZ35</f>
        <v>5462</v>
      </c>
      <c r="AJ7" s="645">
        <f>BKNG!BA35</f>
        <v>7341</v>
      </c>
      <c r="AK7" s="645">
        <f>BKNG!BB35</f>
        <v>4784</v>
      </c>
      <c r="AL7" s="645">
        <f>BKNG!BC35</f>
        <v>4415</v>
      </c>
      <c r="AM7" s="645">
        <f>BKNG!BD35</f>
        <v>5859</v>
      </c>
      <c r="AN7" s="645">
        <f>BKNG!BE35</f>
        <v>7994</v>
      </c>
      <c r="AO7" s="645">
        <f>BKNG!BF35</f>
        <v>5471.14360367893</v>
      </c>
      <c r="AP7" s="645">
        <f>BKNG!BG35</f>
        <v>4762</v>
      </c>
      <c r="AQ7" s="645">
        <f>BKNG!BH35</f>
        <v>6798</v>
      </c>
    </row>
    <row r="8" spans="1:43" ht="25">
      <c r="A8" s="3454" t="s">
        <v>2694</v>
      </c>
      <c r="B8" s="647">
        <f>BKNG!R158</f>
        <v>0.19</v>
      </c>
      <c r="C8" s="647">
        <f>BKNG!S158</f>
        <v>0.11</v>
      </c>
      <c r="D8" s="647">
        <f>BKNG!T158</f>
        <v>0.12</v>
      </c>
      <c r="E8" s="647">
        <f>BKNG!U158</f>
        <v>0.12</v>
      </c>
      <c r="F8" s="647">
        <f>BKNG!W158</f>
        <v>0.21</v>
      </c>
      <c r="G8" s="647">
        <f>BKNG!X158</f>
        <v>0.16</v>
      </c>
      <c r="H8" s="647">
        <f>BKNG!Y158</f>
        <v>0.22</v>
      </c>
      <c r="I8" s="647">
        <f>BKNG!Z158</f>
        <v>0.21</v>
      </c>
      <c r="J8" s="647">
        <f>BKNG!AA158</f>
        <v>0.16</v>
      </c>
      <c r="K8" s="647">
        <f>BKNG!AB158</f>
        <v>0.215</v>
      </c>
      <c r="L8" s="647">
        <f>BKNG!AC158</f>
        <v>0.219</v>
      </c>
      <c r="M8" s="647">
        <f>BKNG!AD158</f>
        <v>0.217</v>
      </c>
      <c r="N8" s="647">
        <f>BKNG!AE158</f>
        <v>0.252</v>
      </c>
      <c r="O8" s="647">
        <f>BKNG!AF158</f>
        <v>0.2</v>
      </c>
      <c r="P8" s="647">
        <f>BKNG!AG158</f>
        <v>0.11</v>
      </c>
      <c r="Q8" s="647">
        <f>BKNG!AH158</f>
        <v>0.16300000000000001</v>
      </c>
      <c r="R8" s="647">
        <f>BKNG!AI158</f>
        <v>-3.1E-2</v>
      </c>
      <c r="S8" s="647">
        <f>BKNG!AJ158</f>
        <v>8.8999999999999996E-2</v>
      </c>
      <c r="T8" s="647">
        <f>BKNG!AK158</f>
        <v>3.9E-2</v>
      </c>
      <c r="U8" s="647">
        <f>BKNG!AL158</f>
        <v>3.9E-2</v>
      </c>
      <c r="V8" s="647">
        <f>BKNG!AM158</f>
        <v>-0.193</v>
      </c>
      <c r="W8" s="647">
        <f>BKNG!AN158</f>
        <v>-0.83699999999999997</v>
      </c>
      <c r="X8" s="647">
        <f>BKNG!AO158</f>
        <v>-0.47599999999999998</v>
      </c>
      <c r="Y8" s="647">
        <f>BKNG!AP158</f>
        <v>-0.629</v>
      </c>
      <c r="Z8" s="2863">
        <f>BKNG!AQ158</f>
        <v>-0.502</v>
      </c>
      <c r="AA8" s="2863">
        <f>BKNG!AR158</f>
        <v>2.4319999999999999</v>
      </c>
      <c r="AB8" s="2863">
        <f>BKNG!AS158</f>
        <v>0.77100000000000002</v>
      </c>
      <c r="AC8" s="2863">
        <f>BKNG!AT158</f>
        <v>1.407</v>
      </c>
      <c r="AD8" s="2863">
        <f>BKNG!AU158</f>
        <v>1.363</v>
      </c>
      <c r="AE8" s="2863">
        <f>BKNG!AV158</f>
        <v>0.98699999999999999</v>
      </c>
      <c r="AF8" s="3022">
        <f>BKNG!AW158</f>
        <v>0.29399999999999998</v>
      </c>
      <c r="AG8" s="3022">
        <f>BKNG!AX158</f>
        <v>0.35799999999999998</v>
      </c>
      <c r="AH8" s="3022">
        <f>BKNG!AY158</f>
        <v>0.40200000000000002</v>
      </c>
      <c r="AI8" s="3022">
        <f>BKNG!AZ158</f>
        <v>0.27200000000000002</v>
      </c>
      <c r="AJ8" s="3022">
        <f>BKNG!BA158</f>
        <v>0.21299999999999999</v>
      </c>
      <c r="AK8" s="3022">
        <f>BKNG!BB158</f>
        <v>0.18099999999999999</v>
      </c>
      <c r="AL8" s="3022">
        <f>BKNG!BC158</f>
        <v>0.16900000000000001</v>
      </c>
      <c r="AM8" s="3022">
        <f>BKNG!BD158</f>
        <v>7.2683998535335137E-2</v>
      </c>
      <c r="AN8" s="3022">
        <f>BKNG!BE158</f>
        <v>8.8952458793079892E-2</v>
      </c>
      <c r="AO8" s="3022">
        <f>BKNG!BF158</f>
        <v>0.14360367892976589</v>
      </c>
      <c r="AP8" s="3022">
        <f>BKNG!BG158</f>
        <v>7.859569648924114E-2</v>
      </c>
      <c r="AQ8" s="3022">
        <f>BKNG!BH158</f>
        <v>0.1602662570404505</v>
      </c>
    </row>
    <row r="9" spans="1:43" ht="25">
      <c r="A9" s="3455" t="s">
        <v>2850</v>
      </c>
      <c r="B9" s="647">
        <f>BKNG!R159</f>
        <v>0.32</v>
      </c>
      <c r="C9" s="647">
        <f>BKNG!S159</f>
        <v>0.26</v>
      </c>
      <c r="D9" s="647">
        <f>BKNG!T159</f>
        <v>0.28999999999999998</v>
      </c>
      <c r="E9" s="647">
        <f>BKNG!U159</f>
        <v>0.23</v>
      </c>
      <c r="F9" s="647">
        <f>BKNG!W159</f>
        <v>0.27</v>
      </c>
      <c r="G9" s="647">
        <f>BKNG!X159</f>
        <v>0.18</v>
      </c>
      <c r="H9" s="647">
        <f>BKNG!Y159</f>
        <v>0.23</v>
      </c>
      <c r="I9" s="647">
        <f>BKNG!Z159</f>
        <v>0.24</v>
      </c>
      <c r="J9" s="647">
        <f>BKNG!AA159</f>
        <v>0.17</v>
      </c>
      <c r="K9" s="647">
        <f>BKNG!AB159</f>
        <v>0.24</v>
      </c>
      <c r="L9" s="647">
        <f>BKNG!AC159</f>
        <v>0.19</v>
      </c>
      <c r="M9" s="647">
        <f>BKNG!AD159</f>
        <v>0.17</v>
      </c>
      <c r="N9" s="647">
        <f>BKNG!AE159</f>
        <v>0.18</v>
      </c>
      <c r="O9" s="647">
        <f>BKNG!AF159</f>
        <v>0.16</v>
      </c>
      <c r="P9" s="647">
        <f>BKNG!AG159</f>
        <v>0.13</v>
      </c>
      <c r="Q9" s="647">
        <f>BKNG!AH159</f>
        <v>0.21</v>
      </c>
      <c r="R9" s="647">
        <f>BKNG!AI159</f>
        <v>0.03</v>
      </c>
      <c r="S9" s="647">
        <f>BKNG!AJ159</f>
        <v>0.14000000000000001</v>
      </c>
      <c r="T9" s="647">
        <f>BKNG!AK159</f>
        <v>7.0000000000000007E-2</v>
      </c>
      <c r="U9" s="647">
        <f>BKNG!AL159</f>
        <v>0.05</v>
      </c>
      <c r="V9" s="647">
        <f>BKNG!AM159</f>
        <v>-0.17</v>
      </c>
      <c r="W9" s="647">
        <f>BKNG!AN159</f>
        <v>-0.83</v>
      </c>
      <c r="X9" s="647">
        <f>BKNG!AO159</f>
        <v>-0.49</v>
      </c>
      <c r="Y9" s="647">
        <f>BKNG!AP159</f>
        <v>-0.63</v>
      </c>
      <c r="Z9" s="2864">
        <f>Z7/R7-1</f>
        <v>-0.59781459287980265</v>
      </c>
      <c r="AA9" s="2864">
        <f>AA7/S7-1</f>
        <v>-0.438961038961039</v>
      </c>
      <c r="AB9" s="2864">
        <f>AB7/T7-1</f>
        <v>-7.2222222222222188E-2</v>
      </c>
      <c r="AC9" s="2864">
        <f>AC7/U7-1</f>
        <v>-0.10721772985923927</v>
      </c>
      <c r="AD9" s="2864">
        <f>AD7/R7-1</f>
        <v>-5.005287275290804E-2</v>
      </c>
      <c r="AE9" s="2864">
        <f>AE7/S7-1</f>
        <v>0.11532467532467527</v>
      </c>
      <c r="AF9" s="2955">
        <f>AF7/T7-1</f>
        <v>0.20079365079365075</v>
      </c>
      <c r="AG9" s="2955">
        <f>AG7/U7-1</f>
        <v>0.21263851452530691</v>
      </c>
      <c r="AH9" s="2955">
        <f>AH7/R7-1</f>
        <v>0.3316884032428622</v>
      </c>
      <c r="AI9" s="2955">
        <f>AI7/S7-1</f>
        <v>0.4187012987012988</v>
      </c>
      <c r="AJ9" s="2955">
        <f>AJ7/T7-1</f>
        <v>0.45654761904761898</v>
      </c>
      <c r="AK9" s="2955">
        <f>AK7/U7-1</f>
        <v>0.4327643006888291</v>
      </c>
      <c r="AL9" s="2955">
        <f>BKNG!BC159</f>
        <v>0.17</v>
      </c>
      <c r="AM9" s="2955">
        <f>BKNG!BD159</f>
        <v>0.09</v>
      </c>
      <c r="AN9" s="2955">
        <f>BKNG!BE159</f>
        <v>0.09</v>
      </c>
      <c r="AO9" s="2955">
        <f>BKNG!BF159</f>
        <v>0.15</v>
      </c>
      <c r="AP9" s="2955">
        <f>BKNG!BG159</f>
        <v>0.1</v>
      </c>
      <c r="AQ9" s="2955">
        <f>BKNG!BH159</f>
        <v>0.12</v>
      </c>
    </row>
    <row r="10" spans="1:43">
      <c r="A10" s="847" t="s">
        <v>2808</v>
      </c>
      <c r="B10" s="647">
        <f>BKNG!R92</f>
        <v>0.27910713559569339</v>
      </c>
      <c r="C10" s="647">
        <f>BKNG!S92</f>
        <v>0.3521663180286167</v>
      </c>
      <c r="D10" s="647">
        <f>BKNG!T92</f>
        <v>0.5182887148226738</v>
      </c>
      <c r="E10" s="647">
        <f>BKNG!U92</f>
        <v>0.38248297446555596</v>
      </c>
      <c r="F10" s="647">
        <f>BKNG!W92</f>
        <v>0.29922057986085315</v>
      </c>
      <c r="G10" s="647">
        <f>BKNG!X92</f>
        <v>0.32487206860760764</v>
      </c>
      <c r="H10" s="647">
        <f>BKNG!Y92</f>
        <v>0.49302450249549812</v>
      </c>
      <c r="I10" s="647">
        <f>BKNG!Z92</f>
        <v>0.34652236618005666</v>
      </c>
      <c r="J10" s="647">
        <f>BKNG!AA92</f>
        <v>0.23619515601471147</v>
      </c>
      <c r="K10" s="647">
        <f>BKNG!AB92</f>
        <v>0.30092173829380847</v>
      </c>
      <c r="L10" s="647">
        <f>BKNG!AC92</f>
        <v>0.47816679784197375</v>
      </c>
      <c r="M10" s="647">
        <f>BKNG!AD92</f>
        <v>0.35130397990139151</v>
      </c>
      <c r="N10" s="647">
        <f>BKNG!AE88</f>
        <v>0.27259228447773909</v>
      </c>
      <c r="O10" s="647">
        <f>BKNG!AF88</f>
        <v>0.37117334173194155</v>
      </c>
      <c r="P10" s="647">
        <f>BKNG!AG88</f>
        <v>0.48675500103114044</v>
      </c>
      <c r="Q10" s="647">
        <f>BKNG!AH88</f>
        <v>0.39122315592903828</v>
      </c>
      <c r="R10" s="647">
        <f>BKNG!AI88</f>
        <v>0.25308424391963341</v>
      </c>
      <c r="S10" s="647">
        <f>BKNG!AJ88</f>
        <v>0.35662337662337662</v>
      </c>
      <c r="T10" s="647">
        <f>BKNG!AK88</f>
        <v>0.49246031746031749</v>
      </c>
      <c r="U10" s="647">
        <f>BKNG!AL88</f>
        <v>0.38394728960766694</v>
      </c>
      <c r="V10" s="647">
        <f>BKNG!AM88</f>
        <v>0.12674825174825174</v>
      </c>
      <c r="W10" s="647">
        <f>BKNG!AN88</f>
        <v>-0.59682539682539681</v>
      </c>
      <c r="X10" s="647">
        <f>BKNG!AO88</f>
        <v>0.37992424242424244</v>
      </c>
      <c r="Y10" s="647">
        <f>BKNG!AP88</f>
        <v>-3.0694668820678513E-2</v>
      </c>
      <c r="Z10" s="647">
        <f>BKNG!AQ88</f>
        <v>-0.17090271691498685</v>
      </c>
      <c r="AA10" s="647">
        <f>BKNG!AR88</f>
        <v>2.2222222222222223E-2</v>
      </c>
      <c r="AB10" s="647">
        <f>BKNG!AS88</f>
        <v>0.45145423438836613</v>
      </c>
      <c r="AC10" s="647">
        <f>BKNG!AT88</f>
        <v>0.31533042603153305</v>
      </c>
      <c r="AD10" s="647">
        <f>BKNG!AU88</f>
        <v>0.11502782931354361</v>
      </c>
      <c r="AE10" s="647">
        <f>BKNG!AV88</f>
        <v>0.25291103865859338</v>
      </c>
      <c r="AF10" s="647">
        <f>BKNG!AW88</f>
        <v>0.43919365499008595</v>
      </c>
      <c r="AG10" s="647">
        <f>BKNG!AX88</f>
        <v>0.30649543097061005</v>
      </c>
      <c r="AH10" s="647">
        <f>BKNG!AY88</f>
        <v>0.15510852302805717</v>
      </c>
      <c r="AI10" s="647">
        <f>BKNG!AZ88</f>
        <v>0.32552178689124861</v>
      </c>
      <c r="AJ10" s="647">
        <f>BKNG!BA88</f>
        <v>0.44735049720746495</v>
      </c>
      <c r="AK10" s="647">
        <f>BKNG!BB88</f>
        <v>0.30602006688963213</v>
      </c>
      <c r="AL10" s="647">
        <f>BKNG!BC88</f>
        <v>0.20339750849377122</v>
      </c>
      <c r="AM10" s="647">
        <f>BKNG!BD88</f>
        <v>0.32400000000000001</v>
      </c>
      <c r="AN10" s="647">
        <f>BKNG!BE88</f>
        <v>0.45800000000000002</v>
      </c>
      <c r="AO10" s="647">
        <f>BKNG!BF88</f>
        <v>0.3377721613370484</v>
      </c>
      <c r="AP10" s="647">
        <f>BKNG!BG88</f>
        <v>0.22900000000000001</v>
      </c>
      <c r="AQ10" s="647">
        <f>BKNG!BH88</f>
        <v>0.35599999999999998</v>
      </c>
    </row>
    <row r="11" spans="1:43">
      <c r="A11" s="847" t="s">
        <v>1158</v>
      </c>
      <c r="B11" s="851">
        <f>BKNG!R235</f>
        <v>104.6</v>
      </c>
      <c r="C11" s="851">
        <f>BKNG!S235</f>
        <v>113.1</v>
      </c>
      <c r="D11" s="851">
        <f>BKNG!T235</f>
        <v>115.6</v>
      </c>
      <c r="E11" s="851">
        <f>BKNG!U235</f>
        <v>99.1</v>
      </c>
      <c r="F11" s="851">
        <f>BKNG!W235</f>
        <v>136.5</v>
      </c>
      <c r="G11" s="851">
        <f>BKNG!X235</f>
        <v>140.69999999999999</v>
      </c>
      <c r="H11" s="851">
        <f>BKNG!Y235</f>
        <v>149.6</v>
      </c>
      <c r="I11" s="851">
        <f>BKNG!Z235</f>
        <v>129.69999999999999</v>
      </c>
      <c r="J11" s="851">
        <f>BKNG!AA235</f>
        <v>173.9</v>
      </c>
      <c r="K11" s="851">
        <f>BKNG!AB235</f>
        <v>170.2</v>
      </c>
      <c r="L11" s="851">
        <f>BKNG!AC235</f>
        <v>177.5</v>
      </c>
      <c r="M11" s="851">
        <f>BKNG!AD235</f>
        <v>151.5</v>
      </c>
      <c r="N11" s="851">
        <f>BKNG!AE235</f>
        <v>196.8</v>
      </c>
      <c r="O11" s="851">
        <f>BKNG!AF235</f>
        <v>190.5</v>
      </c>
      <c r="P11" s="851">
        <f>BKNG!AG235</f>
        <v>201.3</v>
      </c>
      <c r="Q11" s="851">
        <f>BKNG!AH235</f>
        <v>171</v>
      </c>
      <c r="R11" s="851">
        <f>BKNG!AI235</f>
        <v>217</v>
      </c>
      <c r="S11" s="851">
        <f>BKNG!AJ235</f>
        <v>213</v>
      </c>
      <c r="T11" s="851">
        <f>BKNG!AK235</f>
        <v>223</v>
      </c>
      <c r="U11" s="851">
        <f>BKNG!AL235</f>
        <v>191</v>
      </c>
      <c r="V11" s="851">
        <f>BKNG!AM235</f>
        <v>124</v>
      </c>
      <c r="W11" s="851">
        <f>BKNG!AN235</f>
        <v>28</v>
      </c>
      <c r="X11" s="851">
        <f>BKNG!AO235</f>
        <v>127</v>
      </c>
      <c r="Y11" s="851">
        <f>BKNG!AP235</f>
        <v>76</v>
      </c>
      <c r="Z11" s="851">
        <f>BKNG!AQ235</f>
        <v>99</v>
      </c>
      <c r="AA11" s="851">
        <f>BKNG!AR235</f>
        <v>157</v>
      </c>
      <c r="AB11" s="851">
        <f>BKNG!AS235</f>
        <v>183</v>
      </c>
      <c r="AC11" s="851">
        <f>BKNG!AT235</f>
        <v>151</v>
      </c>
      <c r="AD11" s="851">
        <f>BKNG!AU235</f>
        <v>198</v>
      </c>
      <c r="AE11" s="851">
        <f>BKNG!AV235</f>
        <v>246</v>
      </c>
      <c r="AF11" s="851">
        <f>BKNG!AW235</f>
        <v>240</v>
      </c>
      <c r="AG11" s="851">
        <f>BKNG!AX235</f>
        <v>211</v>
      </c>
      <c r="AH11" s="851">
        <f>BKNG!AY235</f>
        <v>274</v>
      </c>
      <c r="AI11" s="851">
        <f>BKNG!AZ235</f>
        <v>268</v>
      </c>
      <c r="AJ11" s="851">
        <f>BKNG!BA235</f>
        <v>276</v>
      </c>
      <c r="AK11" s="851">
        <f>BKNG!BB235</f>
        <v>231</v>
      </c>
      <c r="AL11" s="851">
        <f>BKNG!BC235</f>
        <v>297</v>
      </c>
      <c r="AM11" s="851">
        <f>BKNG!BD235</f>
        <v>287</v>
      </c>
      <c r="AN11" s="851">
        <f>BKNG!BE235</f>
        <v>299</v>
      </c>
      <c r="AO11" s="851">
        <f>BKNG!BF235</f>
        <v>261</v>
      </c>
      <c r="AP11" s="851">
        <f>BKNG!BG235</f>
        <v>319</v>
      </c>
      <c r="AQ11" s="851">
        <f>BKNG!BH235</f>
        <v>309</v>
      </c>
    </row>
    <row r="12" spans="1:43">
      <c r="A12" s="847" t="s">
        <v>1159</v>
      </c>
      <c r="B12" s="647">
        <f>BKNG!R236</f>
        <v>0.254</v>
      </c>
      <c r="C12" s="647">
        <f>BKNG!S236</f>
        <v>0.26200000000000001</v>
      </c>
      <c r="D12" s="647">
        <f>BKNG!T236</f>
        <v>0.22</v>
      </c>
      <c r="E12" s="647">
        <f>BKNG!U236</f>
        <v>0.26600000000000001</v>
      </c>
      <c r="F12" s="647">
        <f>BKNG!W236</f>
        <v>0.30499999999999999</v>
      </c>
      <c r="G12" s="647">
        <f>BKNG!X236</f>
        <v>0.24</v>
      </c>
      <c r="H12" s="647">
        <f>BKNG!Y236</f>
        <v>0.29399999999999998</v>
      </c>
      <c r="I12" s="647">
        <f>BKNG!Z236</f>
        <v>0.31</v>
      </c>
      <c r="J12" s="647">
        <f>BKNG!AA236</f>
        <v>0.27400000000000002</v>
      </c>
      <c r="K12" s="647">
        <f>BKNG!AB236</f>
        <v>0.21</v>
      </c>
      <c r="L12" s="647">
        <f>BKNG!AC236</f>
        <v>0.186</v>
      </c>
      <c r="M12" s="647">
        <f>BKNG!AD236</f>
        <v>0.16800000000000001</v>
      </c>
      <c r="N12" s="647">
        <f>BKNG!AE236</f>
        <v>0.13200000000000001</v>
      </c>
      <c r="O12" s="647">
        <f>BKNG!AF236</f>
        <v>0.12</v>
      </c>
      <c r="P12" s="647">
        <f>BKNG!AG236</f>
        <v>0.13400000000000001</v>
      </c>
      <c r="Q12" s="647">
        <f>BKNG!AH236</f>
        <v>0.13</v>
      </c>
      <c r="R12" s="647">
        <f>BKNG!AI236</f>
        <v>0.10299999999999999</v>
      </c>
      <c r="S12" s="647">
        <f>BKNG!AJ236</f>
        <v>0.11799999999999999</v>
      </c>
      <c r="T12" s="647">
        <f>BKNG!AK236</f>
        <v>0.11</v>
      </c>
      <c r="U12" s="647">
        <f>BKNG!AL236</f>
        <v>0.11799999999999999</v>
      </c>
      <c r="V12" s="647">
        <f>BKNG!AM236</f>
        <v>-0.42799999999999999</v>
      </c>
      <c r="W12" s="647">
        <f>BKNG!AN236</f>
        <v>-0.86699999999999999</v>
      </c>
      <c r="X12" s="647">
        <f>BKNG!AO236</f>
        <v>-0.43099999999999999</v>
      </c>
      <c r="Y12" s="647">
        <f>BKNG!AP236</f>
        <v>-0.60399999999999998</v>
      </c>
      <c r="Z12" s="2864">
        <f>Z11/R11-1</f>
        <v>-0.54377880184331795</v>
      </c>
      <c r="AA12" s="2864">
        <f>AA11/S11-1</f>
        <v>-0.26291079812206575</v>
      </c>
      <c r="AB12" s="2864">
        <f>AB11/T11-1</f>
        <v>-0.179372197309417</v>
      </c>
      <c r="AC12" s="2864">
        <f>AC11/U11-1</f>
        <v>-0.20942408376963351</v>
      </c>
      <c r="AD12" s="2864">
        <f>AD11/R11-1</f>
        <v>-8.7557603686635899E-2</v>
      </c>
      <c r="AE12" s="2864">
        <f>AE11/S11-1</f>
        <v>0.15492957746478875</v>
      </c>
      <c r="AF12" s="2955">
        <f>AF11/T11-1</f>
        <v>7.623318385650224E-2</v>
      </c>
      <c r="AG12" s="2955">
        <f>AG11/U11-1</f>
        <v>0.10471204188481686</v>
      </c>
      <c r="AH12" s="2955">
        <f>AH11/R11-1</f>
        <v>0.26267281105990792</v>
      </c>
      <c r="AI12" s="2955">
        <f>AI11/S11-1</f>
        <v>0.25821596244131451</v>
      </c>
      <c r="AJ12" s="2955">
        <f>AJ11/T11-1</f>
        <v>0.2376681614349776</v>
      </c>
      <c r="AK12" s="2955">
        <f>AK11/U11-1</f>
        <v>0.20942408376963351</v>
      </c>
      <c r="AL12" s="2864">
        <f>BKNG!BC236</f>
        <v>8.5000000000000006E-2</v>
      </c>
      <c r="AM12" s="2864">
        <f>BKNG!BD236</f>
        <v>7.0999999999999994E-2</v>
      </c>
      <c r="AN12" s="2864">
        <f>BKNG!BE236</f>
        <v>8.1000000000000003E-2</v>
      </c>
      <c r="AO12" s="2864">
        <f>BKNG!BF236</f>
        <v>0.13200000000000001</v>
      </c>
      <c r="AP12" s="2864">
        <f>BKNG!BG236</f>
        <v>7.1999999999999995E-2</v>
      </c>
      <c r="AQ12" s="2864">
        <f>BKNG!BH236</f>
        <v>7.6999999999999999E-2</v>
      </c>
    </row>
    <row r="13" spans="1:43">
      <c r="A13" s="847" t="s">
        <v>2809</v>
      </c>
      <c r="B13" s="647">
        <f>BKNG!R143</f>
        <v>0.47166907063357072</v>
      </c>
      <c r="C13" s="647">
        <f>BKNG!S143</f>
        <v>0.44514373794140782</v>
      </c>
      <c r="D13" s="647">
        <f>BKNG!T143</f>
        <v>0.32085697941357494</v>
      </c>
      <c r="E13" s="647">
        <f>BKNG!U143</f>
        <v>0.37198271986072023</v>
      </c>
      <c r="F13" s="647">
        <f>BKNG!W143</f>
        <v>0.4665017702839882</v>
      </c>
      <c r="G13" s="647">
        <f>BKNG!X143</f>
        <v>0.46859723650084079</v>
      </c>
      <c r="H13" s="647">
        <f>BKNG!Y143</f>
        <v>0.34488277302460274</v>
      </c>
      <c r="I13" s="647">
        <f>BKNG!Z143</f>
        <v>0.39173092492798817</v>
      </c>
      <c r="J13" s="647">
        <f>BKNG!AA143</f>
        <v>0.50030138353679043</v>
      </c>
      <c r="K13" s="647">
        <f>BKNG!AB143</f>
        <v>0.47445740144873622</v>
      </c>
      <c r="L13" s="647">
        <f>BKNG!AC143</f>
        <v>0.34350481066294081</v>
      </c>
      <c r="M13" s="647">
        <f>BKNG!AD143</f>
        <v>0.36979172495607321</v>
      </c>
      <c r="N13" s="647">
        <f>BKNG!AE143</f>
        <v>0.46902825318343927</v>
      </c>
      <c r="O13" s="647">
        <f>BKNG!AF143</f>
        <v>0.41537488118777732</v>
      </c>
      <c r="P13" s="647">
        <f>BKNG!AG143</f>
        <v>0.35412559290575374</v>
      </c>
      <c r="Q13" s="647">
        <f>BKNG!AH143</f>
        <v>0.38188608776844069</v>
      </c>
      <c r="R13" s="647">
        <f>BKNG!AI143</f>
        <v>0.49629890729643988</v>
      </c>
      <c r="S13" s="647">
        <f>BKNG!AJ143</f>
        <v>0.41948051948051945</v>
      </c>
      <c r="T13" s="647">
        <f>BKNG!AK143</f>
        <v>0.33551587301587299</v>
      </c>
      <c r="U13" s="647">
        <f>BKNG!AL143</f>
        <v>0.36178496555855044</v>
      </c>
      <c r="V13" s="647">
        <f>BKNG!AM143</f>
        <v>0.53671328671328666</v>
      </c>
      <c r="W13" s="647">
        <f>BKNG!AN143</f>
        <v>0.54285714285714282</v>
      </c>
      <c r="X13" s="647">
        <f>BKNG!AO143</f>
        <v>0.32575757575757575</v>
      </c>
      <c r="Y13" s="647">
        <f>BKNG!AP143</f>
        <v>0.40710823909531502</v>
      </c>
      <c r="Z13" s="647">
        <f>BKNG!AQ143</f>
        <v>0.50219106047326911</v>
      </c>
      <c r="AA13" s="647">
        <f>BKNG!AR143</f>
        <v>0.55277777777777781</v>
      </c>
      <c r="AB13" s="647">
        <f>BKNG!AS143</f>
        <v>0.3592814371257485</v>
      </c>
      <c r="AC13" s="647">
        <f>BKNG!AT143</f>
        <v>0.41429050654142907</v>
      </c>
      <c r="AD13" s="647">
        <f>BKNG!AU143</f>
        <v>0.55139146567718</v>
      </c>
      <c r="AE13" s="647">
        <f>BKNG!AV143</f>
        <v>0.51280857009781089</v>
      </c>
      <c r="AF13" s="647">
        <f>BKNG!AW143</f>
        <v>0.38582286847323199</v>
      </c>
      <c r="AG13" s="647">
        <f>BKNG!AX143</f>
        <v>0.45072857495677943</v>
      </c>
      <c r="AH13" s="647">
        <f>BKNG!AY143</f>
        <v>0.55240868184224456</v>
      </c>
      <c r="AI13" s="647">
        <f>BKNG!AZ143</f>
        <v>0.46100329549615526</v>
      </c>
      <c r="AJ13" s="647">
        <f>BKNG!BA143</f>
        <v>0.37392725786677566</v>
      </c>
      <c r="AK13" s="647">
        <f>BKNG!BB143</f>
        <v>0.43540969899665549</v>
      </c>
      <c r="AL13" s="647">
        <f>BKNG!BC143</f>
        <v>0.51823329558323894</v>
      </c>
      <c r="AM13" s="647">
        <f>BKNG!BD143</f>
        <v>0.47089947089947087</v>
      </c>
      <c r="AN13" s="647">
        <f>BKNG!BE143</f>
        <v>0.37815861896422315</v>
      </c>
      <c r="AO13" s="647">
        <f>BKNG!BF143</f>
        <v>0.42550519025576228</v>
      </c>
      <c r="AP13" s="647">
        <f>BKNG!BG143</f>
        <v>0.52057958840823182</v>
      </c>
      <c r="AQ13" s="647">
        <f>BKNG!BH143</f>
        <v>0.44689614592527216</v>
      </c>
    </row>
    <row r="14" spans="1:43">
      <c r="A14" s="847" t="s">
        <v>2810</v>
      </c>
      <c r="B14" s="647"/>
      <c r="C14" s="647"/>
      <c r="D14" s="647"/>
      <c r="E14" s="647"/>
      <c r="F14" s="647"/>
      <c r="G14" s="647"/>
      <c r="H14" s="647"/>
      <c r="I14" s="647"/>
      <c r="J14" s="647"/>
      <c r="K14" s="647"/>
      <c r="L14" s="647"/>
      <c r="M14" s="647"/>
      <c r="N14" s="647"/>
      <c r="O14" s="647"/>
      <c r="P14" s="647"/>
      <c r="Q14" s="647"/>
      <c r="R14" s="647">
        <f>BKNG!AI80</f>
        <v>0.1959816707789919</v>
      </c>
      <c r="S14" s="647">
        <f>BKNG!AJ80</f>
        <v>0.3238961038961039</v>
      </c>
      <c r="T14" s="647">
        <f>BKNG!AK80</f>
        <v>0.47023809523809523</v>
      </c>
      <c r="U14" s="647">
        <f>BKNG!AL80</f>
        <v>0.35100329439952083</v>
      </c>
      <c r="V14" s="647">
        <f>BKNG!AM80</f>
        <v>-0.13505244755244755</v>
      </c>
      <c r="W14" s="647">
        <f>BKNG!AN80</f>
        <v>-0.7682539682539683</v>
      </c>
      <c r="X14" s="647">
        <f>BKNG!AO80</f>
        <v>0.11931818181818182</v>
      </c>
      <c r="Y14" s="647">
        <f>BKNG!AP80</f>
        <v>-0.12358642972536349</v>
      </c>
      <c r="Z14" s="647">
        <f>BKNG!AQ80</f>
        <v>-0.27256792287467135</v>
      </c>
      <c r="AA14" s="647">
        <f>BKNG!AR80</f>
        <v>-2.5925925925925925E-2</v>
      </c>
      <c r="AB14" s="647">
        <f>BKNG!AS80</f>
        <v>0.43092386655260906</v>
      </c>
      <c r="AC14" s="647">
        <f>BKNG!AT80</f>
        <v>0.28446829922844685</v>
      </c>
      <c r="AD14" s="647">
        <f>BKNG!AU80</f>
        <v>6.4564007421150274E-2</v>
      </c>
      <c r="AE14" s="647">
        <f>BKNG!AV80</f>
        <v>0.2328830926874709</v>
      </c>
      <c r="AF14" s="647">
        <f>BKNG!AW80</f>
        <v>0.42680105750165237</v>
      </c>
      <c r="AG14" s="647">
        <f>BKNG!AX80</f>
        <v>0.33218078537910595</v>
      </c>
      <c r="AH14" s="647">
        <f>BKNG!AY80</f>
        <v>0.11884595023822128</v>
      </c>
      <c r="AI14" s="647">
        <f>BKNG!AZ80</f>
        <v>0.30629805931893078</v>
      </c>
      <c r="AJ14" s="647">
        <f>BKNG!BA80</f>
        <v>0.42269445579621306</v>
      </c>
      <c r="AK14" s="647">
        <f>BKNG!BB80</f>
        <v>0.12729933110367894</v>
      </c>
      <c r="AL14" s="647">
        <f>BKNG!BC80</f>
        <v>0.17916194790486975</v>
      </c>
      <c r="AM14" s="647">
        <f>BKNG!BD80</f>
        <v>0.31677760710018776</v>
      </c>
      <c r="AN14" s="647">
        <f>BKNG!BE80</f>
        <v>0.39767325494120592</v>
      </c>
      <c r="AO14" s="647">
        <f>BKNG!BF80</f>
        <v>0.31605622439753794</v>
      </c>
      <c r="AP14" s="647">
        <f>BKNG!BG80</f>
        <v>0.2230155396892062</v>
      </c>
      <c r="AQ14" s="647">
        <f>BKNG!BH80</f>
        <v>0.33097969991173876</v>
      </c>
    </row>
    <row r="15" spans="1:43">
      <c r="A15" s="847"/>
      <c r="B15" s="846"/>
      <c r="C15" s="846"/>
      <c r="D15" s="846"/>
      <c r="E15" s="846"/>
      <c r="F15" s="846"/>
      <c r="G15" s="846"/>
      <c r="H15" s="846"/>
      <c r="I15" s="846"/>
      <c r="J15" s="846"/>
      <c r="K15" s="846"/>
      <c r="L15" s="846"/>
      <c r="M15" s="846"/>
      <c r="N15" s="846"/>
      <c r="O15" s="846"/>
      <c r="P15" s="846"/>
      <c r="Q15" s="846"/>
      <c r="R15" s="846"/>
      <c r="S15" s="846"/>
      <c r="T15" s="846"/>
    </row>
    <row r="16" spans="1:43" ht="13">
      <c r="A16" s="855" t="s">
        <v>781</v>
      </c>
      <c r="B16" s="846"/>
      <c r="C16" s="846"/>
      <c r="D16" s="846"/>
      <c r="E16" s="846"/>
      <c r="F16" s="846"/>
      <c r="G16" s="846"/>
      <c r="H16" s="846"/>
      <c r="I16" s="846"/>
      <c r="J16" s="846"/>
      <c r="K16" s="846"/>
      <c r="L16" s="846"/>
      <c r="M16" s="846"/>
      <c r="N16" s="846"/>
      <c r="O16" s="846"/>
      <c r="P16" s="846"/>
      <c r="Q16" s="846"/>
      <c r="R16" s="846"/>
      <c r="S16" s="846"/>
      <c r="T16" s="846"/>
    </row>
    <row r="17" spans="1:43">
      <c r="A17" s="847" t="s">
        <v>1100</v>
      </c>
      <c r="B17" s="848">
        <f>EXPE!AC5</f>
        <v>14986</v>
      </c>
      <c r="C17" s="848">
        <f>EXPE!AD5</f>
        <v>15063</v>
      </c>
      <c r="D17" s="848">
        <f>EXPE!AE5</f>
        <v>15393</v>
      </c>
      <c r="E17" s="848">
        <f>EXPE!AF5</f>
        <v>14950</v>
      </c>
      <c r="F17" s="848">
        <f>EXPE!AH5</f>
        <v>18882</v>
      </c>
      <c r="G17" s="848">
        <f>EXPE!AI5</f>
        <v>18860.8</v>
      </c>
      <c r="H17" s="848">
        <f>EXPE!AJ5</f>
        <v>18585</v>
      </c>
      <c r="I17" s="848">
        <f>EXPE!AK5</f>
        <v>16104</v>
      </c>
      <c r="J17" s="848">
        <f>EXPE!AL5</f>
        <v>23610.3</v>
      </c>
      <c r="K17" s="848">
        <f>EXPE!AM5</f>
        <v>22837.7</v>
      </c>
      <c r="L17" s="848">
        <f>EXPE!AN5</f>
        <v>22196.5</v>
      </c>
      <c r="M17" s="848">
        <f>EXPE!AO5</f>
        <v>19765.900000000001</v>
      </c>
      <c r="N17" s="848">
        <f>EXPE!AP5</f>
        <v>27196</v>
      </c>
      <c r="O17" s="848">
        <f>EXPE!AQ5</f>
        <v>25898</v>
      </c>
      <c r="P17" s="848">
        <f>EXPE!AR5</f>
        <v>24676</v>
      </c>
      <c r="Q17" s="848">
        <f>EXPE!AS5</f>
        <v>21957</v>
      </c>
      <c r="R17" s="848">
        <f>EXPE!AT5</f>
        <v>29409</v>
      </c>
      <c r="S17" s="848">
        <f>EXPE!AU5</f>
        <v>28292</v>
      </c>
      <c r="T17" s="848">
        <f>EXPE!AV5</f>
        <v>26927</v>
      </c>
      <c r="U17" s="848">
        <f>EXPE!AW5</f>
        <v>23245</v>
      </c>
      <c r="V17" s="848">
        <f>EXPE!AX5</f>
        <v>17885</v>
      </c>
      <c r="W17" s="848">
        <f>EXPE!AY5</f>
        <v>2713</v>
      </c>
      <c r="X17" s="848">
        <f>EXPE!AZ5</f>
        <v>8631</v>
      </c>
      <c r="Y17" s="848">
        <f>EXPE!BA5</f>
        <v>7567</v>
      </c>
      <c r="Z17" s="848">
        <f>EXPE!BB5</f>
        <v>15422</v>
      </c>
      <c r="AA17" s="848">
        <f>EXPE!BC5</f>
        <v>20815</v>
      </c>
      <c r="AB17" s="848">
        <f>EXPE!BD5</f>
        <v>18725</v>
      </c>
      <c r="AC17" s="848">
        <f>EXPE!BE5</f>
        <v>17463</v>
      </c>
      <c r="AD17" s="848">
        <f>EXPE!BF5</f>
        <v>24412</v>
      </c>
      <c r="AE17" s="848">
        <f>EXPE!BG5</f>
        <v>26139</v>
      </c>
      <c r="AF17" s="848">
        <f>EXPE!BH5</f>
        <v>23987</v>
      </c>
      <c r="AG17" s="848">
        <f>EXPE!BI5</f>
        <v>20511</v>
      </c>
      <c r="AH17" s="848">
        <f>EXPE!BJ5</f>
        <v>29401</v>
      </c>
      <c r="AI17" s="848">
        <f>EXPE!BK5</f>
        <v>27321</v>
      </c>
      <c r="AJ17" s="848">
        <f>EXPE!BL5</f>
        <v>25685</v>
      </c>
      <c r="AK17" s="848">
        <f>EXPE!BM5</f>
        <v>21672</v>
      </c>
      <c r="AL17" s="848">
        <f>EXPE!BN5</f>
        <v>30164</v>
      </c>
      <c r="AM17" s="848">
        <f>EXPE!BO5</f>
        <v>28837</v>
      </c>
      <c r="AN17" s="848">
        <f>EXPE!BP5</f>
        <v>27498</v>
      </c>
      <c r="AO17" s="848">
        <f>EXPE!BQ5</f>
        <v>24422</v>
      </c>
      <c r="AP17" s="848">
        <f>EXPE!BR5</f>
        <v>31451</v>
      </c>
      <c r="AQ17" s="848">
        <f>EXPE!BS5</f>
        <v>30409</v>
      </c>
    </row>
    <row r="18" spans="1:43" ht="25">
      <c r="A18" s="849" t="s">
        <v>784</v>
      </c>
      <c r="B18" s="647">
        <f>EXPE!AC6</f>
        <v>0.19</v>
      </c>
      <c r="C18" s="647">
        <f>EXPE!AD6</f>
        <v>0.2</v>
      </c>
      <c r="D18" s="647">
        <f>EXPE!AE6</f>
        <v>0.21</v>
      </c>
      <c r="E18" s="647">
        <f>EXPE!AF6</f>
        <v>0.4</v>
      </c>
      <c r="F18" s="647">
        <f>EXPE!AH6</f>
        <v>0.32</v>
      </c>
      <c r="G18" s="647">
        <f>EXPE!AI6</f>
        <v>0.25</v>
      </c>
      <c r="H18" s="647">
        <f>EXPE!AJ6</f>
        <v>0.21</v>
      </c>
      <c r="I18" s="647">
        <f>EXPE!AK6</f>
        <v>0.08</v>
      </c>
      <c r="J18" s="647">
        <f>EXPE!AL6</f>
        <v>0.14000000000000001</v>
      </c>
      <c r="K18" s="647">
        <f>EXPE!AM6</f>
        <v>0.12</v>
      </c>
      <c r="L18" s="647">
        <f>EXPE!AN6</f>
        <v>0.11</v>
      </c>
      <c r="M18" s="647">
        <f>EXPE!AO6</f>
        <v>0.14000000000000001</v>
      </c>
      <c r="N18" s="647">
        <f>EXPE!AP6</f>
        <v>0.11</v>
      </c>
      <c r="O18" s="647">
        <f>EXPE!AQ6</f>
        <v>0.13</v>
      </c>
      <c r="P18" s="647">
        <f>EXPE!AR6</f>
        <v>0.11</v>
      </c>
      <c r="Q18" s="647">
        <f>EXPE!AS6</f>
        <v>0.11</v>
      </c>
      <c r="R18" s="647">
        <f>EXPE!AT6</f>
        <v>0.08</v>
      </c>
      <c r="S18" s="647">
        <f>EXPE!AU6</f>
        <v>0.09</v>
      </c>
      <c r="T18" s="647">
        <f>EXPE!AV6</f>
        <v>0.09</v>
      </c>
      <c r="U18" s="647">
        <f>EXPE!AW6</f>
        <v>0.06</v>
      </c>
      <c r="V18" s="647">
        <f>EXPE!AX6</f>
        <v>-0.39</v>
      </c>
      <c r="W18" s="647">
        <f>EXPE!AY6</f>
        <v>-0.9</v>
      </c>
      <c r="X18" s="647">
        <f>EXPE!AZ6</f>
        <v>-0.68</v>
      </c>
      <c r="Y18" s="647">
        <f>EXPE!BA6</f>
        <v>-0.67</v>
      </c>
      <c r="Z18" s="2863">
        <f>EXPE!BB6</f>
        <v>-0.14000000000000001</v>
      </c>
      <c r="AA18" s="2863">
        <f>EXPE!BC6</f>
        <v>6.67</v>
      </c>
      <c r="AB18" s="2863">
        <f>EXPE!BD6</f>
        <v>1.17</v>
      </c>
      <c r="AC18" s="2863">
        <f>EXPE!BE6</f>
        <v>1.31</v>
      </c>
      <c r="AD18" s="2863">
        <f>EXPE!BF6</f>
        <v>0.57999999999999996</v>
      </c>
      <c r="AE18" s="2863">
        <f>EXPE!BG6</f>
        <v>0.26</v>
      </c>
      <c r="AF18" s="2863">
        <f>EXPE!BH6</f>
        <v>0.28000000000000003</v>
      </c>
      <c r="AG18" s="2863">
        <f>EXPE!BI6</f>
        <v>0.17</v>
      </c>
      <c r="AH18" s="2863">
        <f>EXPE!BJ6</f>
        <v>0.2</v>
      </c>
      <c r="AI18" s="2863">
        <f>EXPE!BK6</f>
        <v>0.05</v>
      </c>
      <c r="AJ18" s="2863">
        <f>EXPE!BL6</f>
        <v>7.0000000000000007E-2</v>
      </c>
      <c r="AK18" s="2863">
        <f>EXPE!BM6</f>
        <v>0.06</v>
      </c>
      <c r="AL18" s="2863">
        <f>EXPE!BN6</f>
        <v>2.5951498248358851E-2</v>
      </c>
      <c r="AM18" s="2863">
        <f>EXPE!BO6</f>
        <v>5.5488452106438269E-2</v>
      </c>
      <c r="AN18" s="2863">
        <f>EXPE!BP6</f>
        <v>7.0585945104146397E-2</v>
      </c>
      <c r="AO18" s="2863">
        <f>EXPE!BQ6</f>
        <v>0.12689184200812109</v>
      </c>
      <c r="AP18" s="2863">
        <f>EXPE!BR6</f>
        <v>4.2666755072271689E-2</v>
      </c>
      <c r="AQ18" s="2863">
        <f>EXPE!BS6</f>
        <v>5.4513298886846862E-2</v>
      </c>
    </row>
    <row r="19" spans="1:43" ht="25">
      <c r="A19" s="849" t="s">
        <v>2015</v>
      </c>
      <c r="B19" s="647">
        <f>EXPE!AC7</f>
        <v>0.25</v>
      </c>
      <c r="C19" s="647">
        <f>EXPE!AD7</f>
        <v>0.28000000000000003</v>
      </c>
      <c r="D19" s="647">
        <f>EXPE!AE7</f>
        <v>0.26</v>
      </c>
      <c r="E19" s="647">
        <f>EXPE!AF7</f>
        <v>0.46</v>
      </c>
      <c r="F19" s="647">
        <f>EXPE!AH7</f>
        <v>0.34</v>
      </c>
      <c r="G19" s="647">
        <f>EXPE!AI7</f>
        <v>0.26</v>
      </c>
      <c r="H19" s="647">
        <f>EXPE!AJ7</f>
        <v>0.21</v>
      </c>
      <c r="I19" s="647">
        <f>EXPE!AK7</f>
        <v>0.09</v>
      </c>
      <c r="J19" s="647">
        <f>EXPE!AL7</f>
        <v>0.15</v>
      </c>
      <c r="K19" s="647">
        <f>EXPE!AM7</f>
        <v>0.13</v>
      </c>
      <c r="L19" s="647">
        <f>EXPE!AN7</f>
        <v>0.1</v>
      </c>
      <c r="M19" s="647">
        <f>EXPE!AO7</f>
        <v>0.12</v>
      </c>
      <c r="N19" s="647">
        <f>EXPE!AP7</f>
        <v>0.15</v>
      </c>
      <c r="O19" s="647">
        <f>EXPE!AQ7</f>
        <v>0.11</v>
      </c>
      <c r="P19" s="647">
        <f>EXPE!AR7</f>
        <v>0.12</v>
      </c>
      <c r="Q19" s="647">
        <f>EXPE!AS7</f>
        <v>0.13</v>
      </c>
      <c r="R19" s="647">
        <f>EXPE!AT7</f>
        <v>0.11</v>
      </c>
      <c r="S19" s="647">
        <f>EXPE!AU7</f>
        <v>0.11</v>
      </c>
      <c r="T19" s="647">
        <f>EXPE!AV7</f>
        <v>0.1</v>
      </c>
      <c r="U19" s="647">
        <f>EXPE!AW7</f>
        <v>0.06</v>
      </c>
      <c r="V19" s="647">
        <f>EXPE!AX7</f>
        <v>-0.39</v>
      </c>
      <c r="W19" s="647">
        <f>EXPE!AY7</f>
        <v>-0.9</v>
      </c>
      <c r="X19" s="647">
        <f>EXPE!AZ7</f>
        <v>-0.68</v>
      </c>
      <c r="Y19" s="647">
        <f>EXPE!BA7</f>
        <v>-0.67</v>
      </c>
      <c r="Z19" s="2864">
        <f>Z17/R17-1</f>
        <v>-0.4756027066544255</v>
      </c>
      <c r="AA19" s="2864">
        <f>AA17/S17-1</f>
        <v>-0.2642796550261558</v>
      </c>
      <c r="AB19" s="2864">
        <f>AB17/T17-1</f>
        <v>-0.30460132952055563</v>
      </c>
      <c r="AC19" s="2864">
        <f>AC17/U17-1</f>
        <v>-0.24874166487416649</v>
      </c>
      <c r="AD19" s="2864">
        <f>AD17/R17-1</f>
        <v>-0.16991397191335988</v>
      </c>
      <c r="AE19" s="2864">
        <f>AE17/S17-1</f>
        <v>-7.6099250671567975E-2</v>
      </c>
      <c r="AF19" s="2864">
        <f>AF17/T17-1</f>
        <v>-0.10918409031826792</v>
      </c>
      <c r="AG19" s="2864">
        <f>AG17/U17-1</f>
        <v>-0.11761669176166922</v>
      </c>
      <c r="AH19" s="2864">
        <f>AH17/R17-1</f>
        <v>-2.720255704036223E-4</v>
      </c>
      <c r="AI19" s="2864">
        <f>AI17/S17-1</f>
        <v>-3.4320656015834894E-2</v>
      </c>
      <c r="AJ19" s="2864">
        <f>AJ17/T17-1</f>
        <v>-4.6124707542615218E-2</v>
      </c>
      <c r="AK19" s="2864">
        <f>AK17/U17-1</f>
        <v>-6.7670466767046689E-2</v>
      </c>
      <c r="AL19" s="2864">
        <f t="shared" ref="AL19:AQ19" si="0">AL17/AH17-1</f>
        <v>2.5951498248358851E-2</v>
      </c>
      <c r="AM19" s="2864">
        <f t="shared" si="0"/>
        <v>5.5488452106438269E-2</v>
      </c>
      <c r="AN19" s="2864">
        <f t="shared" si="0"/>
        <v>7.0585945104146397E-2</v>
      </c>
      <c r="AO19" s="2864">
        <f t="shared" si="0"/>
        <v>0.12689184200812109</v>
      </c>
      <c r="AP19" s="2864">
        <f t="shared" si="0"/>
        <v>4.2666755072271689E-2</v>
      </c>
      <c r="AQ19" s="2864">
        <f t="shared" si="0"/>
        <v>5.4513298886846862E-2</v>
      </c>
    </row>
    <row r="20" spans="1:43">
      <c r="A20" s="847" t="s">
        <v>2016</v>
      </c>
      <c r="B20" s="850">
        <f>EXPE!AC59</f>
        <v>1373.3969999999999</v>
      </c>
      <c r="C20" s="850">
        <f>EXPE!AD59</f>
        <v>1662.6</v>
      </c>
      <c r="D20" s="850">
        <f>EXPE!AE59</f>
        <v>1937.7529999999999</v>
      </c>
      <c r="E20" s="850">
        <f>EXPE!AF59</f>
        <v>1698.567</v>
      </c>
      <c r="F20" s="850">
        <f>EXPE!AH59</f>
        <v>1903.961</v>
      </c>
      <c r="G20" s="850">
        <f>EXPE!AI59</f>
        <v>2195.8690000000001</v>
      </c>
      <c r="H20" s="850">
        <f>EXPE!AJ59</f>
        <v>2580.9050000000002</v>
      </c>
      <c r="I20" s="850">
        <f>EXPE!AK59</f>
        <v>2093</v>
      </c>
      <c r="J20" s="850">
        <f>EXPE!AL59</f>
        <v>2189</v>
      </c>
      <c r="K20" s="850">
        <f>EXPE!AM59</f>
        <v>2586</v>
      </c>
      <c r="L20" s="850">
        <f>EXPE!AN59</f>
        <v>2966</v>
      </c>
      <c r="M20" s="850">
        <f>EXPE!AO59</f>
        <v>2319</v>
      </c>
      <c r="N20" s="850">
        <f>EXPE!AP59</f>
        <v>2508</v>
      </c>
      <c r="O20" s="850">
        <f>EXPE!AQ59</f>
        <v>2880</v>
      </c>
      <c r="P20" s="850">
        <f>EXPE!AR59</f>
        <v>3276</v>
      </c>
      <c r="Q20" s="850">
        <f>EXPE!AS59</f>
        <v>2559</v>
      </c>
      <c r="R20" s="850">
        <f>EXPE!AT59</f>
        <v>2609</v>
      </c>
      <c r="S20" s="850">
        <f>EXPE!AU59</f>
        <v>3153</v>
      </c>
      <c r="T20" s="850">
        <f>EXPE!AV59</f>
        <v>3558</v>
      </c>
      <c r="U20" s="850">
        <f>EXPE!AW59</f>
        <v>2747</v>
      </c>
      <c r="V20" s="850">
        <f>EXPE!AX59</f>
        <v>2209</v>
      </c>
      <c r="W20" s="850">
        <f>EXPE!AY59</f>
        <v>566</v>
      </c>
      <c r="X20" s="850">
        <f>EXPE!AZ59</f>
        <v>1504</v>
      </c>
      <c r="Y20" s="850">
        <f>EXPE!BA59</f>
        <v>920</v>
      </c>
      <c r="Z20" s="850">
        <f>EXPE!BB59</f>
        <v>1246</v>
      </c>
      <c r="AA20" s="850">
        <f>EXPE!BC59</f>
        <v>2111</v>
      </c>
      <c r="AB20" s="850">
        <f>EXPE!BD59</f>
        <v>2962</v>
      </c>
      <c r="AC20" s="850">
        <f>EXPE!BE59</f>
        <v>2279</v>
      </c>
      <c r="AD20" s="850">
        <f>EXPE!BF59</f>
        <v>2249</v>
      </c>
      <c r="AE20" s="850">
        <f>EXPE!BG59</f>
        <v>3181</v>
      </c>
      <c r="AF20" s="850">
        <f>EXPE!BH59</f>
        <v>3619</v>
      </c>
      <c r="AG20" s="850">
        <f>EXPE!BI59</f>
        <v>2618</v>
      </c>
      <c r="AH20" s="850">
        <f>EXPE!BJ59</f>
        <v>2665</v>
      </c>
      <c r="AI20" s="850">
        <f>EXPE!BK59</f>
        <v>3358</v>
      </c>
      <c r="AJ20" s="850">
        <f>EXPE!BL59</f>
        <v>3929</v>
      </c>
      <c r="AK20" s="850">
        <f>EXPE!BM59</f>
        <v>2887</v>
      </c>
      <c r="AL20" s="850">
        <f>EXPE!BN59</f>
        <v>2889</v>
      </c>
      <c r="AM20" s="850">
        <f>EXPE!BO59</f>
        <v>3558</v>
      </c>
      <c r="AN20" s="850">
        <f>EXPE!BP59</f>
        <v>4060</v>
      </c>
      <c r="AO20" s="850">
        <f>EXPE!BQ59</f>
        <v>3184</v>
      </c>
      <c r="AP20" s="850">
        <f>EXPE!BR59</f>
        <v>2988</v>
      </c>
      <c r="AQ20" s="850">
        <f>EXPE!BS59</f>
        <v>3786</v>
      </c>
    </row>
    <row r="21" spans="1:43" ht="25">
      <c r="A21" s="3454" t="s">
        <v>2017</v>
      </c>
      <c r="B21" s="647">
        <f>EXPE!AC245</f>
        <v>0.14000000000000001</v>
      </c>
      <c r="C21" s="647">
        <f>EXPE!AD245</f>
        <v>0.15</v>
      </c>
      <c r="D21" s="647">
        <f>EXPE!AE245</f>
        <v>0.16</v>
      </c>
      <c r="E21" s="647">
        <f>EXPE!AF245</f>
        <v>0.28999999999999998</v>
      </c>
      <c r="F21" s="647">
        <f>EXPE!AH245</f>
        <v>0.42</v>
      </c>
      <c r="G21" s="647">
        <f>EXPE!AI245</f>
        <v>0.32</v>
      </c>
      <c r="H21" s="647">
        <f>EXPE!AJ245</f>
        <v>0.33</v>
      </c>
      <c r="I21" s="647">
        <f>EXPE!AK245</f>
        <v>0.23</v>
      </c>
      <c r="J21" s="647">
        <f>EXPE!AL245</f>
        <v>0.15</v>
      </c>
      <c r="K21" s="647">
        <f>EXPE!AM245</f>
        <v>0.18</v>
      </c>
      <c r="L21" s="647">
        <f>EXPE!AN245</f>
        <v>0.15</v>
      </c>
      <c r="M21" s="647">
        <f>EXPE!AO245</f>
        <v>0.11</v>
      </c>
      <c r="N21" s="647">
        <f>EXPE!AP245</f>
        <v>0.11</v>
      </c>
      <c r="O21" s="647">
        <f>EXPE!AQ245</f>
        <v>0.11</v>
      </c>
      <c r="P21" s="647">
        <f>EXPE!AR245</f>
        <v>0.1</v>
      </c>
      <c r="Q21" s="647">
        <f>EXPE!AS245</f>
        <v>0.1</v>
      </c>
      <c r="R21" s="647">
        <f>EXPE!AT245</f>
        <v>0.04</v>
      </c>
      <c r="S21" s="647">
        <f>EXPE!AU245</f>
        <v>0.09</v>
      </c>
      <c r="T21" s="647">
        <f>EXPE!AV245</f>
        <v>0.09</v>
      </c>
      <c r="U21" s="647">
        <f>EXPE!AW245</f>
        <v>7.0000000000000007E-2</v>
      </c>
      <c r="V21" s="647">
        <f>EXPE!AX245</f>
        <v>-0.15</v>
      </c>
      <c r="W21" s="647">
        <f>EXPE!AY245</f>
        <v>-0.82</v>
      </c>
      <c r="X21" s="647">
        <f>EXPE!AZ245</f>
        <v>-0.57999999999999996</v>
      </c>
      <c r="Y21" s="647">
        <f>EXPE!BA245</f>
        <v>-0.67</v>
      </c>
      <c r="Z21" s="2863">
        <f>EXPE!BB245</f>
        <v>-0.44</v>
      </c>
      <c r="AA21" s="2863">
        <f>EXPE!BC245</f>
        <v>2.73</v>
      </c>
      <c r="AB21" s="2863">
        <f>EXPE!BD245</f>
        <v>0.97</v>
      </c>
      <c r="AC21" s="2863">
        <f>EXPE!BE245</f>
        <v>1.48</v>
      </c>
      <c r="AD21" s="2863">
        <f>EXPE!BF245</f>
        <v>0.81</v>
      </c>
      <c r="AE21" s="2863">
        <f>EXPE!BG245</f>
        <v>0.51</v>
      </c>
      <c r="AF21" s="3022">
        <f>EXPE!BH245</f>
        <v>0.28000000000000003</v>
      </c>
      <c r="AG21" s="3022">
        <f>EXPE!BI245</f>
        <v>0.15</v>
      </c>
      <c r="AH21" s="3022">
        <f>EXPE!BJ245</f>
        <v>0.18497109826589586</v>
      </c>
      <c r="AI21" s="3022">
        <f>EXPE!BK245</f>
        <v>5.5642879597610717E-2</v>
      </c>
      <c r="AJ21" s="3022">
        <f>EXPE!BL245</f>
        <v>8.5659021829234572E-2</v>
      </c>
      <c r="AK21" s="3022">
        <f>EXPE!BM245</f>
        <v>0.1027501909854851</v>
      </c>
      <c r="AL21" s="3022">
        <f>EXPE!BN245</f>
        <v>8.405253283302061E-2</v>
      </c>
      <c r="AM21" s="3022">
        <f>EXPE!BO245</f>
        <v>5.9559261465157887E-2</v>
      </c>
      <c r="AN21" s="3022">
        <f>EXPE!BP245</f>
        <v>3.3341817256299366E-2</v>
      </c>
      <c r="AO21" s="3022">
        <f>EXPE!BQ245</f>
        <v>0.10287495670245939</v>
      </c>
      <c r="AP21" s="3022">
        <f>EXPE!BR245</f>
        <v>3.4267912772585563E-2</v>
      </c>
      <c r="AQ21" s="3022">
        <f>EXPE!BS245</f>
        <v>6.4080944350758839E-2</v>
      </c>
    </row>
    <row r="22" spans="1:43" ht="25">
      <c r="A22" s="849" t="s">
        <v>1101</v>
      </c>
      <c r="B22" s="647">
        <f>EXPE!AC246</f>
        <v>0.23</v>
      </c>
      <c r="C22" s="647">
        <f>EXPE!AD246</f>
        <v>0.25</v>
      </c>
      <c r="D22" s="647">
        <f>EXPE!AE246</f>
        <v>0.27</v>
      </c>
      <c r="E22" s="647">
        <f>EXPE!AF246</f>
        <v>0.34</v>
      </c>
      <c r="F22" s="647">
        <f>EXPE!AH246</f>
        <v>0.44</v>
      </c>
      <c r="G22" s="647">
        <f>EXPE!AI246</f>
        <v>0.32</v>
      </c>
      <c r="H22" s="647">
        <f>EXPE!AJ246</f>
        <v>0.33</v>
      </c>
      <c r="I22" s="647">
        <f>EXPE!AK246</f>
        <v>0.24</v>
      </c>
      <c r="J22" s="647">
        <f>EXPE!AL246</f>
        <v>0.15</v>
      </c>
      <c r="K22" s="647">
        <f>EXPE!AM246</f>
        <v>0.2</v>
      </c>
      <c r="L22" s="647">
        <f>EXPE!AN246</f>
        <v>0.13</v>
      </c>
      <c r="M22" s="647">
        <f>EXPE!AO246</f>
        <v>0.08</v>
      </c>
      <c r="N22" s="647">
        <f>EXPE!AP246</f>
        <v>0.15</v>
      </c>
      <c r="O22" s="647">
        <f>EXPE!AQ246</f>
        <v>0.08</v>
      </c>
      <c r="P22" s="647">
        <f>EXPE!AR246</f>
        <v>0.11</v>
      </c>
      <c r="Q22" s="647">
        <f>EXPE!AS246</f>
        <v>0.12</v>
      </c>
      <c r="R22" s="647">
        <f>EXPE!AT246</f>
        <v>7.0000000000000007E-2</v>
      </c>
      <c r="S22" s="647">
        <f>EXPE!AU246</f>
        <v>0.12</v>
      </c>
      <c r="T22" s="647">
        <f>EXPE!AV246</f>
        <v>0.09</v>
      </c>
      <c r="U22" s="647">
        <f>EXPE!AW246</f>
        <v>0.08</v>
      </c>
      <c r="V22" s="647">
        <f>EXPE!AX246</f>
        <v>-0.15</v>
      </c>
      <c r="W22" s="647">
        <f>EXPE!AY246</f>
        <v>-0.82</v>
      </c>
      <c r="X22" s="647">
        <f>EXPE!AZ246</f>
        <v>-0.57999999999999996</v>
      </c>
      <c r="Y22" s="647">
        <f>EXPE!BA246</f>
        <v>-0.67</v>
      </c>
      <c r="Z22" s="2864">
        <f>Z20/R20-1</f>
        <v>-0.52242238405519359</v>
      </c>
      <c r="AA22" s="2864">
        <f>AA20/S20-1</f>
        <v>-0.33047890897557886</v>
      </c>
      <c r="AB22" s="2864">
        <f>AB20/T20-1</f>
        <v>-0.16750983698707134</v>
      </c>
      <c r="AC22" s="2864">
        <f>AC20/U20-1</f>
        <v>-0.17036767382599194</v>
      </c>
      <c r="AD22" s="2864">
        <f>AD20/R20-1</f>
        <v>-0.13798390187811427</v>
      </c>
      <c r="AE22" s="2864">
        <f>AE20/S20-1</f>
        <v>8.8804313352361941E-3</v>
      </c>
      <c r="AF22" s="2955">
        <f>AF20/T20-1</f>
        <v>1.7144463181562708E-2</v>
      </c>
      <c r="AG22" s="2955">
        <f>AG20/U20-1</f>
        <v>-4.6960320349472173E-2</v>
      </c>
      <c r="AH22" s="2955">
        <f>AH20/V20-1</f>
        <v>0.20642824807605242</v>
      </c>
      <c r="AI22" s="2955">
        <f>AI20/S20-1</f>
        <v>6.5017443704408429E-2</v>
      </c>
      <c r="AJ22" s="2955">
        <f>AJ20/T20-1</f>
        <v>0.10427206295671732</v>
      </c>
      <c r="AK22" s="2955">
        <f>AK20/U20-1</f>
        <v>5.0964688751365061E-2</v>
      </c>
      <c r="AL22" s="2864">
        <f t="shared" ref="AL22:AQ22" si="1">AL20/AH20-1</f>
        <v>8.405253283302061E-2</v>
      </c>
      <c r="AM22" s="2864">
        <f t="shared" si="1"/>
        <v>5.9559261465157887E-2</v>
      </c>
      <c r="AN22" s="2864">
        <f t="shared" si="1"/>
        <v>3.3341817256299366E-2</v>
      </c>
      <c r="AO22" s="2864">
        <f t="shared" si="1"/>
        <v>0.10287495670245939</v>
      </c>
      <c r="AP22" s="2864">
        <f t="shared" si="1"/>
        <v>3.4267912772585563E-2</v>
      </c>
      <c r="AQ22" s="2864">
        <f t="shared" si="1"/>
        <v>6.4080944350758839E-2</v>
      </c>
    </row>
    <row r="23" spans="1:43">
      <c r="A23" s="847" t="s">
        <v>2807</v>
      </c>
      <c r="B23" s="647">
        <f>EXPE!AC182</f>
        <v>7.409583681921543E-2</v>
      </c>
      <c r="C23" s="647">
        <f>EXPE!AD182</f>
        <v>0.15177974257187538</v>
      </c>
      <c r="D23" s="647">
        <f>EXPE!AE182</f>
        <v>0.24206077864413059</v>
      </c>
      <c r="E23" s="647">
        <f>EXPE!AF182</f>
        <v>0.16481245661784316</v>
      </c>
      <c r="F23" s="647">
        <f>EXPE!AH182</f>
        <v>9.2728790138033285E-2</v>
      </c>
      <c r="G23" s="647">
        <f>EXPE!AI182</f>
        <v>0.15069068327846513</v>
      </c>
      <c r="H23" s="647">
        <f>EXPE!AJ182</f>
        <v>0.2583155908489464</v>
      </c>
      <c r="I23" s="647">
        <f>EXPE!AK182</f>
        <v>0.21095795508838988</v>
      </c>
      <c r="J23" s="647">
        <f>EXPE!AL182</f>
        <v>9.5126998629511197E-2</v>
      </c>
      <c r="K23" s="647">
        <f>EXPE!AM182</f>
        <v>0.15179311678267593</v>
      </c>
      <c r="L23" s="647">
        <f>EXPE!AN182</f>
        <v>0.23913182737693864</v>
      </c>
      <c r="M23" s="647">
        <f>EXPE!AO182</f>
        <v>0.1735532557136697</v>
      </c>
      <c r="N23" s="647">
        <f>EXPE!AP182</f>
        <v>4.9441786283891544E-2</v>
      </c>
      <c r="O23" s="647">
        <f>EXPE!AQ182</f>
        <v>0.1607638888888889</v>
      </c>
      <c r="P23" s="647">
        <f>EXPE!AR182</f>
        <v>0.2783882783882784</v>
      </c>
      <c r="Q23" s="647">
        <f>EXPE!AS182</f>
        <v>0.1735532557136697</v>
      </c>
      <c r="R23" s="647">
        <f>EXPE!AT182</f>
        <v>6.7458796473744725E-2</v>
      </c>
      <c r="S23" s="647">
        <f>EXPE!AU182</f>
        <v>0.18014589280050744</v>
      </c>
      <c r="T23" s="647">
        <f>EXPE!AV182</f>
        <v>0.25632377740303541</v>
      </c>
      <c r="U23" s="647">
        <f>EXPE!AW182</f>
        <v>0.17400800873680378</v>
      </c>
      <c r="V23" s="647">
        <f>EXPE!AX182</f>
        <v>-3.4404708012675415E-2</v>
      </c>
      <c r="W23" s="647">
        <f>EXPE!AY182</f>
        <v>-0.77031802120141346</v>
      </c>
      <c r="X23" s="647">
        <f>EXPE!AZ182</f>
        <v>0.20212765957446807</v>
      </c>
      <c r="Y23" s="647">
        <f>EXPE!BA182</f>
        <v>-0.17391304347826086</v>
      </c>
      <c r="Z23" s="647">
        <f>EXPE!BB182</f>
        <v>-4.6548956661316213E-2</v>
      </c>
      <c r="AA23" s="647">
        <f>EXPE!BC182</f>
        <v>9.5215537659876837E-2</v>
      </c>
      <c r="AB23" s="647">
        <f>EXPE!BD182</f>
        <v>0.28865631330182312</v>
      </c>
      <c r="AC23" s="647">
        <f>EXPE!BE182</f>
        <v>0.21017990346643264</v>
      </c>
      <c r="AD23" s="647">
        <f>EXPE!BF182</f>
        <v>7.6923076923076927E-2</v>
      </c>
      <c r="AE23" s="647">
        <f>EXPE!BG182</f>
        <v>0.20370952530650738</v>
      </c>
      <c r="AF23" s="647">
        <f>EXPE!BH182</f>
        <v>0.29814865985078753</v>
      </c>
      <c r="AG23" s="647">
        <f>EXPE!BI182</f>
        <v>0.17150496562261269</v>
      </c>
      <c r="AH23" s="647">
        <f>EXPE!BJ182</f>
        <v>6.9418386491557224E-2</v>
      </c>
      <c r="AI23" s="647">
        <f>EXPE!BK182</f>
        <v>0.2224538415723645</v>
      </c>
      <c r="AJ23" s="647">
        <f>EXPE!BL182</f>
        <v>0.30949350979893103</v>
      </c>
      <c r="AK23" s="647">
        <f>EXPE!BM182</f>
        <v>0.18427433321787323</v>
      </c>
      <c r="AL23" s="647">
        <f>EXPE!BN182</f>
        <v>8.8265835929387332E-2</v>
      </c>
      <c r="AM23" s="647">
        <f>EXPE!BO182</f>
        <v>0.22091062394603711</v>
      </c>
      <c r="AN23" s="647">
        <f>EXPE!BP182</f>
        <v>0.30788177339901479</v>
      </c>
      <c r="AO23" s="647">
        <f>EXPE!BQ182</f>
        <v>0.20194723618090452</v>
      </c>
      <c r="AP23" s="647">
        <f>EXPE!BR182</f>
        <v>9.906291834002677E-2</v>
      </c>
      <c r="AQ23" s="647">
        <f>EXPE!BS182</f>
        <v>0.23983095615425251</v>
      </c>
    </row>
    <row r="24" spans="1:43">
      <c r="A24" s="847" t="s">
        <v>2018</v>
      </c>
      <c r="B24" s="850"/>
      <c r="C24" s="850">
        <f>EXPE!AD176</f>
        <v>131.58600000000001</v>
      </c>
      <c r="D24" s="850">
        <f>EXPE!AE176</f>
        <v>408.654</v>
      </c>
      <c r="E24" s="850">
        <f>EXPE!AF176</f>
        <v>73.509</v>
      </c>
      <c r="F24" s="850">
        <f>EXPE!AH176</f>
        <v>-48.39</v>
      </c>
      <c r="G24" s="850">
        <f>EXPE!AI176</f>
        <v>126.09299999999999</v>
      </c>
      <c r="H24" s="850">
        <f>EXPE!AJ176</f>
        <v>434.41499999999996</v>
      </c>
      <c r="I24" s="850">
        <f>EXPE!AK176</f>
        <v>139.52100000000002</v>
      </c>
      <c r="J24" s="850">
        <f>EXPE!AL176</f>
        <v>-25.622</v>
      </c>
      <c r="K24" s="850">
        <f>EXPE!AM176</f>
        <v>152.87</v>
      </c>
      <c r="L24" s="850">
        <f>EXPE!AN176</f>
        <v>488.00700000000001</v>
      </c>
      <c r="M24" s="850">
        <f>EXPE!AO176</f>
        <v>159.233</v>
      </c>
      <c r="N24" s="850">
        <f>EXPE!AP176</f>
        <v>-115</v>
      </c>
      <c r="O24" s="850">
        <f>EXPE!AQ176</f>
        <v>161</v>
      </c>
      <c r="P24" s="850">
        <f>EXPE!AR176</f>
        <v>726</v>
      </c>
      <c r="Q24" s="850">
        <f>EXPE!AS176</f>
        <v>145</v>
      </c>
      <c r="R24" s="850">
        <f>EXPE!AT176</f>
        <v>-75</v>
      </c>
      <c r="S24" s="850">
        <f>EXPE!AU176</f>
        <v>324</v>
      </c>
      <c r="T24" s="850">
        <f>EXPE!AV176</f>
        <v>669</v>
      </c>
      <c r="U24" s="850">
        <f>EXPE!AW176</f>
        <v>226</v>
      </c>
      <c r="V24" s="850">
        <f>EXPE!AX176</f>
        <v>-1239</v>
      </c>
      <c r="W24" s="850">
        <f>EXPE!AY176</f>
        <v>-795</v>
      </c>
      <c r="X24" s="850">
        <f>EXPE!AZ176</f>
        <v>-66</v>
      </c>
      <c r="Y24" s="850">
        <f>EXPE!BA176</f>
        <v>-414</v>
      </c>
      <c r="Z24" s="850">
        <f>EXPE!BB176</f>
        <v>-286</v>
      </c>
      <c r="AA24" s="850">
        <f>EXPE!BC176</f>
        <v>-12</v>
      </c>
      <c r="AB24" s="850">
        <f>EXPE!BD176</f>
        <v>640</v>
      </c>
      <c r="AC24" s="850">
        <f>EXPE!BE176</f>
        <v>262</v>
      </c>
      <c r="AD24" s="850">
        <f>EXPE!BF176</f>
        <v>-45</v>
      </c>
      <c r="AE24" s="850">
        <f>EXPE!BG176</f>
        <v>438</v>
      </c>
      <c r="AF24" s="850">
        <f>EXPE!BH176</f>
        <v>844</v>
      </c>
      <c r="AG24" s="850">
        <f>EXPE!BI176</f>
        <v>222</v>
      </c>
      <c r="AH24" s="850">
        <f>EXPE!BJ176</f>
        <v>-18</v>
      </c>
      <c r="AI24" s="850">
        <f>EXPE!BK176</f>
        <v>549</v>
      </c>
      <c r="AJ24" s="850">
        <f>EXPE!BL176</f>
        <v>712</v>
      </c>
      <c r="AK24" s="850">
        <f>EXPE!BM176</f>
        <v>203</v>
      </c>
      <c r="AL24" s="850">
        <f>EXPE!BN176</f>
        <v>-6</v>
      </c>
      <c r="AM24" s="850">
        <f>EXPE!BO176</f>
        <v>565</v>
      </c>
      <c r="AN24" s="850">
        <f>EXPE!BP176</f>
        <v>909</v>
      </c>
      <c r="AO24" s="850">
        <f>EXPE!BQ176</f>
        <v>309</v>
      </c>
      <c r="AP24" s="850">
        <f>EXPE!BR176</f>
        <v>28</v>
      </c>
      <c r="AQ24" s="850">
        <f>EXPE!BS176</f>
        <v>590</v>
      </c>
    </row>
    <row r="25" spans="1:43">
      <c r="A25" s="847" t="s">
        <v>1102</v>
      </c>
      <c r="B25" s="647"/>
      <c r="C25" s="647">
        <f>EXPE!AD177</f>
        <v>7.9144713099963918E-2</v>
      </c>
      <c r="D25" s="647">
        <f>EXPE!AE177</f>
        <v>0.21089065531055817</v>
      </c>
      <c r="E25" s="647">
        <f>EXPE!AF177</f>
        <v>4.3277068258125821E-2</v>
      </c>
      <c r="F25" s="647">
        <f>EXPE!AH177</f>
        <v>-2.541543655568575E-2</v>
      </c>
      <c r="G25" s="647">
        <f>EXPE!AI177</f>
        <v>5.7422824403459395E-2</v>
      </c>
      <c r="H25" s="647">
        <f>EXPE!AJ177</f>
        <v>0.16831886489429093</v>
      </c>
      <c r="I25" s="647">
        <f>EXPE!AK177</f>
        <v>6.6660774008600099E-2</v>
      </c>
      <c r="J25" s="647">
        <f>EXPE!AL177</f>
        <v>-1.1704888076747372E-2</v>
      </c>
      <c r="K25" s="647">
        <f>EXPE!AM177</f>
        <v>5.9114462490332559E-2</v>
      </c>
      <c r="L25" s="647">
        <f>EXPE!AN177</f>
        <v>0.16453371544167228</v>
      </c>
      <c r="M25" s="647">
        <f>EXPE!AO177</f>
        <v>6.8664510564898668E-2</v>
      </c>
      <c r="N25" s="647">
        <f>EXPE!AP177</f>
        <v>-4.5853269537480063E-2</v>
      </c>
      <c r="O25" s="647">
        <f>EXPE!AQ177</f>
        <v>5.590277777777778E-2</v>
      </c>
      <c r="P25" s="647">
        <f>EXPE!AR177</f>
        <v>0.2216117216117216</v>
      </c>
      <c r="Q25" s="647">
        <f>EXPE!AS177</f>
        <v>5.6662758890191484E-2</v>
      </c>
      <c r="R25" s="647">
        <f>EXPE!AT177</f>
        <v>-2.8746646224607129E-2</v>
      </c>
      <c r="S25" s="647">
        <f>EXPE!AU177</f>
        <v>0.1027592768791627</v>
      </c>
      <c r="T25" s="647">
        <f>EXPE!AV177</f>
        <v>0.18802698145025296</v>
      </c>
      <c r="U25" s="647">
        <f>EXPE!AW177</f>
        <v>8.2271568984346566E-2</v>
      </c>
      <c r="V25" s="647">
        <f>EXPE!AX177</f>
        <v>-0.56088727931190585</v>
      </c>
      <c r="W25" s="647">
        <f>EXPE!AY177</f>
        <v>-1.4045936395759717</v>
      </c>
      <c r="X25" s="647">
        <f>EXPE!AZ177</f>
        <v>-4.3882978723404256E-2</v>
      </c>
      <c r="Y25" s="647">
        <f>EXPE!BA177</f>
        <v>-0.45</v>
      </c>
      <c r="Z25" s="647">
        <f>EXPE!BB177</f>
        <v>-0.22953451043338685</v>
      </c>
      <c r="AA25" s="647">
        <f>EXPE!BC177</f>
        <v>-5.6845097110374233E-3</v>
      </c>
      <c r="AB25" s="647">
        <f>EXPE!BD177</f>
        <v>0.21607022282241728</v>
      </c>
      <c r="AC25" s="647">
        <f>EXPE!BE177</f>
        <v>0.11496270293988592</v>
      </c>
      <c r="AD25" s="647">
        <f>EXPE!BF177</f>
        <v>-2.0008892841262782E-2</v>
      </c>
      <c r="AE25" s="647">
        <f>EXPE!BG177</f>
        <v>0.13769254951273185</v>
      </c>
      <c r="AF25" s="647">
        <f>EXPE!BH177</f>
        <v>0.23321359491572258</v>
      </c>
      <c r="AG25" s="647">
        <f>EXPE!BI177</f>
        <v>8.4797555385790674E-2</v>
      </c>
      <c r="AH25" s="647">
        <f>EXPE!BJ177</f>
        <v>-6.7542213883677298E-3</v>
      </c>
      <c r="AI25" s="647">
        <f>EXPE!BK177</f>
        <v>0.16349017272185826</v>
      </c>
      <c r="AJ25" s="647">
        <f>EXPE!BL177</f>
        <v>0.18121659455332145</v>
      </c>
      <c r="AK25" s="647">
        <f>EXPE!BM177</f>
        <v>7.0315206096293728E-2</v>
      </c>
      <c r="AL25" s="647">
        <f>EXPE!BN177</f>
        <v>-2.0768431983385254E-3</v>
      </c>
      <c r="AM25" s="647">
        <f>EXPE!BO177</f>
        <v>0.15879707700955592</v>
      </c>
      <c r="AN25" s="647">
        <f>EXPE!BP177</f>
        <v>0.22389162561576353</v>
      </c>
      <c r="AO25" s="647">
        <f>EXPE!BQ177</f>
        <v>9.7047738693467334E-2</v>
      </c>
      <c r="AP25" s="647">
        <f>EXPE!BR177</f>
        <v>9.3708165997322627E-3</v>
      </c>
      <c r="AQ25" s="647">
        <f>EXPE!BS177</f>
        <v>0.15583729529846804</v>
      </c>
    </row>
    <row r="26" spans="1:43" s="853" customFormat="1">
      <c r="A26" s="847" t="s">
        <v>2019</v>
      </c>
      <c r="B26" s="846">
        <f>EXPE!AC299</f>
        <v>47.6</v>
      </c>
      <c r="C26" s="846">
        <f>EXPE!AD299</f>
        <v>57.375</v>
      </c>
      <c r="D26" s="846">
        <f>EXPE!AE299</f>
        <v>61.5</v>
      </c>
      <c r="E26" s="846">
        <f>EXPE!AF299</f>
        <v>52.8</v>
      </c>
      <c r="F26" s="2084">
        <f>EXPE!AH299</f>
        <v>52.6</v>
      </c>
      <c r="G26" s="2084">
        <f>EXPE!AI299</f>
        <v>60.9</v>
      </c>
      <c r="H26" s="2084">
        <f>EXPE!AJ299</f>
        <v>72</v>
      </c>
      <c r="I26" s="2084">
        <f>EXPE!AK299</f>
        <v>60.5</v>
      </c>
      <c r="J26" s="2084">
        <f>EXPE!AL299</f>
        <v>64</v>
      </c>
      <c r="K26" s="2084">
        <f>EXPE!AM299</f>
        <v>79.900000000000006</v>
      </c>
      <c r="L26" s="2084">
        <f>EXPE!AN299</f>
        <v>93.5</v>
      </c>
      <c r="M26" s="2084">
        <f>EXPE!AO299</f>
        <v>74.8</v>
      </c>
      <c r="N26" s="2084"/>
      <c r="O26" s="2084"/>
      <c r="P26" s="2084"/>
      <c r="Q26" s="2084"/>
      <c r="R26" s="2084">
        <f>EXPE!AT307</f>
        <v>103.9</v>
      </c>
      <c r="S26" s="2084">
        <f>EXPE!AU307</f>
        <v>100.8</v>
      </c>
      <c r="T26" s="2084">
        <f>EXPE!AV307</f>
        <v>101.3</v>
      </c>
      <c r="U26" s="2084">
        <f>EXPE!AW307</f>
        <v>86.3</v>
      </c>
      <c r="V26" s="2084">
        <f>EXPE!AX307</f>
        <v>58.5</v>
      </c>
      <c r="W26" s="2084">
        <f>EXPE!AY307</f>
        <v>12.2</v>
      </c>
      <c r="X26" s="2084">
        <f>EXPE!AZ307</f>
        <v>41.1</v>
      </c>
      <c r="Y26" s="2084">
        <f>EXPE!BA307</f>
        <v>33.299999999999997</v>
      </c>
      <c r="Z26" s="2084">
        <f>EXPE!BB307</f>
        <v>54</v>
      </c>
      <c r="AA26" s="2084">
        <f>EXPE!BC307</f>
        <v>68.400000000000006</v>
      </c>
      <c r="AB26" s="2084">
        <f>EXPE!BD307</f>
        <v>65.400000000000006</v>
      </c>
      <c r="AC26" s="2084">
        <f>EXPE!BE307</f>
        <v>59.7</v>
      </c>
      <c r="AD26" s="2084">
        <f>EXPE!BF307</f>
        <v>77</v>
      </c>
      <c r="AE26" s="2084">
        <f>EXPE!BG307</f>
        <v>82.5</v>
      </c>
      <c r="AF26" s="2084">
        <f>EXPE!BH307</f>
        <v>81.599999999999994</v>
      </c>
      <c r="AG26" s="2084">
        <f>EXPE!BI307</f>
        <v>70.8</v>
      </c>
      <c r="AH26" s="2084">
        <f>EXPE!BJ307</f>
        <v>94.5</v>
      </c>
      <c r="AI26" s="2084">
        <f>EXPE!BK307</f>
        <v>89.7</v>
      </c>
      <c r="AJ26" s="2084">
        <f>EXPE!BL307</f>
        <v>89.3</v>
      </c>
      <c r="AK26" s="2084">
        <f>EXPE!BM307</f>
        <v>77.400000000000006</v>
      </c>
      <c r="AL26" s="2084">
        <f>EXPE!BN307</f>
        <v>101.2</v>
      </c>
      <c r="AM26" s="2084">
        <f>EXPE!BO307</f>
        <v>98.9</v>
      </c>
      <c r="AN26" s="2084">
        <f>EXPE!BP307</f>
        <v>97.4</v>
      </c>
      <c r="AO26" s="2084">
        <f>EXPE!BQ307</f>
        <v>86.4</v>
      </c>
      <c r="AP26" s="2084">
        <f>EXPE!BR307</f>
        <v>107.7</v>
      </c>
      <c r="AQ26" s="2084">
        <f>EXPE!BS307</f>
        <v>105.5</v>
      </c>
    </row>
    <row r="27" spans="1:43">
      <c r="A27" s="847" t="s">
        <v>2020</v>
      </c>
      <c r="B27" s="647">
        <f>EXPE!AC302</f>
        <v>0.32</v>
      </c>
      <c r="C27" s="647">
        <f>EXPE!AD302</f>
        <v>0.25</v>
      </c>
      <c r="D27" s="647">
        <f>EXPE!AE302</f>
        <v>0.36</v>
      </c>
      <c r="E27" s="647">
        <f>EXPE!AF302</f>
        <v>0.39</v>
      </c>
      <c r="F27" s="647">
        <f>EXPE!AH302</f>
        <v>0.5</v>
      </c>
      <c r="G27" s="647">
        <f>EXPE!AI302</f>
        <v>0.31</v>
      </c>
      <c r="H27" s="647">
        <f>EXPE!AJ302</f>
        <v>0.31</v>
      </c>
      <c r="I27" s="647">
        <f>EXPE!AK302</f>
        <v>0.23</v>
      </c>
      <c r="J27" s="647">
        <f>EXPE!AL302</f>
        <v>0.12</v>
      </c>
      <c r="K27" s="647">
        <f>EXPE!AM302</f>
        <v>0.21</v>
      </c>
      <c r="L27" s="647">
        <f>EXPE!AN302</f>
        <v>0.16</v>
      </c>
      <c r="M27" s="647">
        <f>EXPE!AO302</f>
        <v>0.15</v>
      </c>
      <c r="N27" s="647">
        <f>EXPE!AP302</f>
        <v>0.15</v>
      </c>
      <c r="O27" s="647">
        <f>EXPE!AQ302</f>
        <v>0.12</v>
      </c>
      <c r="P27" s="647">
        <f>EXPE!AR302</f>
        <v>0.13</v>
      </c>
      <c r="Q27" s="647">
        <f>EXPE!AS302</f>
        <v>0.11</v>
      </c>
      <c r="R27" s="647">
        <f>EXPE!AT302</f>
        <v>0.09</v>
      </c>
      <c r="S27" s="647">
        <f>EXPE!AU302</f>
        <v>0.12</v>
      </c>
      <c r="T27" s="647">
        <f>EXPE!AV302</f>
        <v>0.11</v>
      </c>
      <c r="U27" s="647">
        <f>EXPE!AW302</f>
        <v>0.11</v>
      </c>
      <c r="V27" s="647">
        <f>EXPE!AX302</f>
        <v>-0.14000000000000001</v>
      </c>
      <c r="W27" s="647">
        <f>EXPE!AY302</f>
        <v>-0.81</v>
      </c>
      <c r="X27" s="647">
        <f>EXPE!AZ302</f>
        <v>-0.57999999999999996</v>
      </c>
      <c r="Y27" s="647">
        <f>EXPE!BA302</f>
        <v>-0.61</v>
      </c>
      <c r="Z27" s="2864">
        <f>Z26/R26-1</f>
        <v>-0.48026948989412899</v>
      </c>
      <c r="AA27" s="2864">
        <f>AA26/S26-1</f>
        <v>-0.3214285714285714</v>
      </c>
      <c r="AB27" s="2864">
        <f>AB26/T26-1</f>
        <v>-0.35439289239881533</v>
      </c>
      <c r="AC27" s="2864">
        <f>AC26/U26-1</f>
        <v>-0.30822711471610653</v>
      </c>
      <c r="AD27" s="2864">
        <f>AD26/R26-1</f>
        <v>-0.2589027911453321</v>
      </c>
      <c r="AE27" s="2864">
        <f>AE26/S26-1</f>
        <v>-0.18154761904761907</v>
      </c>
      <c r="AF27" s="2955">
        <f>AF26/T26-1</f>
        <v>-0.19447186574531095</v>
      </c>
      <c r="AG27" s="2955">
        <f>AG26/U26-1</f>
        <v>-0.17960602549246818</v>
      </c>
      <c r="AH27" s="2955">
        <f>AH26/V26-1</f>
        <v>0.61538461538461542</v>
      </c>
      <c r="AI27" s="2955">
        <f>AI26/S26-1</f>
        <v>-0.11011904761904756</v>
      </c>
      <c r="AJ27" s="2955">
        <f>AJ26/T26-1</f>
        <v>-0.11846001974333664</v>
      </c>
      <c r="AK27" s="2955">
        <f>AK26/U26-1</f>
        <v>-0.10312862108922349</v>
      </c>
      <c r="AL27" s="2864">
        <f t="shared" ref="AL27:AQ27" si="2">AL26/AH26-1</f>
        <v>7.0899470899471018E-2</v>
      </c>
      <c r="AM27" s="2864">
        <f t="shared" si="2"/>
        <v>0.10256410256410264</v>
      </c>
      <c r="AN27" s="2864">
        <f t="shared" si="2"/>
        <v>9.0705487122060502E-2</v>
      </c>
      <c r="AO27" s="2864">
        <f t="shared" si="2"/>
        <v>0.11627906976744184</v>
      </c>
      <c r="AP27" s="2864">
        <f t="shared" si="2"/>
        <v>6.422924901185767E-2</v>
      </c>
      <c r="AQ27" s="2864">
        <f t="shared" si="2"/>
        <v>6.6734074823053602E-2</v>
      </c>
    </row>
    <row r="28" spans="1:43">
      <c r="A28" s="847" t="s">
        <v>2021</v>
      </c>
      <c r="B28" s="647">
        <f>EXPE!AC304</f>
        <v>0.32</v>
      </c>
      <c r="C28" s="647">
        <f>EXPE!AD304</f>
        <v>0.35</v>
      </c>
      <c r="D28" s="647">
        <f>EXPE!AE304</f>
        <v>0.27999999999999997</v>
      </c>
      <c r="E28" s="647">
        <f>EXPE!AF304</f>
        <v>0.31</v>
      </c>
      <c r="F28" s="647">
        <f>EXPE!AH304</f>
        <v>0.28000000000000003</v>
      </c>
      <c r="G28" s="647">
        <f>EXPE!AI304</f>
        <v>0.12</v>
      </c>
      <c r="H28" s="647">
        <f>EXPE!AJ304</f>
        <v>0.11</v>
      </c>
      <c r="I28" s="647">
        <f>EXPE!AK304</f>
        <v>0.16</v>
      </c>
      <c r="J28" s="647"/>
      <c r="K28" s="647"/>
      <c r="L28" s="647"/>
      <c r="M28" s="647"/>
      <c r="N28" s="647"/>
      <c r="O28" s="647"/>
      <c r="P28" s="647"/>
      <c r="Q28" s="647"/>
      <c r="R28" s="647"/>
      <c r="S28" s="647"/>
      <c r="T28" s="647"/>
      <c r="U28" s="647"/>
      <c r="V28" s="647"/>
      <c r="W28" s="647"/>
      <c r="X28" s="647"/>
      <c r="Y28" s="647"/>
      <c r="Z28" s="647"/>
      <c r="AA28" s="647"/>
      <c r="AB28" s="647"/>
      <c r="AC28" s="647"/>
      <c r="AD28" s="647"/>
      <c r="AE28" s="647"/>
      <c r="AF28" s="647"/>
      <c r="AG28" s="647"/>
      <c r="AH28" s="647"/>
      <c r="AI28" s="647"/>
      <c r="AJ28" s="647"/>
      <c r="AK28" s="647"/>
      <c r="AL28" s="647"/>
      <c r="AM28" s="647"/>
      <c r="AN28" s="647"/>
      <c r="AO28" s="647"/>
      <c r="AP28" s="647"/>
      <c r="AQ28" s="647"/>
    </row>
    <row r="29" spans="1:43">
      <c r="A29" s="847" t="s">
        <v>1103</v>
      </c>
      <c r="B29" s="647">
        <f>EXPE!AC232</f>
        <v>0.13373481957511196</v>
      </c>
      <c r="C29" s="647">
        <f>EXPE!AD232</f>
        <v>0.10883976903644894</v>
      </c>
      <c r="D29" s="647">
        <f>EXPE!AE232</f>
        <v>0.10096281621032195</v>
      </c>
      <c r="E29" s="647">
        <f>EXPE!AF232</f>
        <v>0.1431848140226438</v>
      </c>
      <c r="F29" s="647">
        <f>EXPE!AH233</f>
        <v>0.54218862676283808</v>
      </c>
      <c r="G29" s="647">
        <f>EXPE!AI233</f>
        <v>0.51439270739739029</v>
      </c>
      <c r="H29" s="647">
        <f>EXPE!AJ233</f>
        <v>0.46481563637561241</v>
      </c>
      <c r="I29" s="647">
        <f>EXPE!AK233</f>
        <v>0.458324414715719</v>
      </c>
      <c r="J29" s="647">
        <f>EXPE!AL233</f>
        <v>0.57529876656007306</v>
      </c>
      <c r="K29" s="647">
        <f>EXPE!AM233</f>
        <v>0.55415467904098992</v>
      </c>
      <c r="L29" s="647">
        <f>EXPE!AN233</f>
        <v>0.48926635198921115</v>
      </c>
      <c r="M29" s="647">
        <f>EXPE!AO233</f>
        <v>0.48056921086675286</v>
      </c>
      <c r="N29" s="647">
        <f>EXPE!AP233</f>
        <v>0.60007974481658688</v>
      </c>
      <c r="O29" s="647">
        <f>EXPE!AQ233</f>
        <v>0.53090277777777772</v>
      </c>
      <c r="P29" s="647">
        <f>EXPE!AR233</f>
        <v>0.45482295482295482</v>
      </c>
      <c r="Q29" s="647">
        <f>EXPE!AS233</f>
        <v>0.46854239937475578</v>
      </c>
      <c r="R29" s="647">
        <f>EXPE!AT233</f>
        <v>0.57876581065542354</v>
      </c>
      <c r="S29" s="647">
        <f>EXPE!AU233</f>
        <v>0.51728512527751347</v>
      </c>
      <c r="T29" s="647">
        <f>EXPE!AV233</f>
        <v>0.45952782462057334</v>
      </c>
      <c r="U29" s="647">
        <f>EXPE!AW233</f>
        <v>0.45759009828904257</v>
      </c>
      <c r="V29" s="647">
        <f>EXPE!AX233</f>
        <v>0.54232684472612047</v>
      </c>
      <c r="W29" s="647">
        <f>EXPE!AY233</f>
        <v>0.5</v>
      </c>
      <c r="X29" s="647">
        <f>EXPE!AZ233</f>
        <v>0.34375</v>
      </c>
      <c r="Y29" s="647">
        <f>EXPE!BA233</f>
        <v>0.54347826086956519</v>
      </c>
      <c r="Z29" s="647">
        <f>EXPE!BB233</f>
        <v>0.5192616372391653</v>
      </c>
      <c r="AA29" s="647">
        <f>EXPE!BC233</f>
        <v>0.55281856939838936</v>
      </c>
      <c r="AB29" s="647">
        <f>EXPE!BD233</f>
        <v>0.43382849426063469</v>
      </c>
      <c r="AC29" s="647">
        <f>EXPE!BE233</f>
        <v>0.45019745502413339</v>
      </c>
      <c r="AD29" s="647">
        <f>EXPE!BF233</f>
        <v>0.58870609159626497</v>
      </c>
      <c r="AE29" s="647">
        <f>EXPE!BG233</f>
        <v>0.53410877082678399</v>
      </c>
      <c r="AF29" s="647">
        <f>EXPE!BH233</f>
        <v>0.45620337109698811</v>
      </c>
      <c r="AG29" s="647">
        <f>EXPE!BI233</f>
        <v>0.51909854851031323</v>
      </c>
      <c r="AH29" s="647">
        <f>EXPE!BJ233</f>
        <v>0.62063789868667918</v>
      </c>
      <c r="AI29" s="647">
        <f>EXPE!BK233</f>
        <v>0.52114353782013101</v>
      </c>
      <c r="AJ29" s="647">
        <f>EXPE!BL233</f>
        <v>0.46729447696614917</v>
      </c>
      <c r="AK29" s="647">
        <f>EXPE!BM233</f>
        <v>0.53481122272254933</v>
      </c>
      <c r="AL29" s="647">
        <f>EXPE!BN233</f>
        <v>0.6289373485635168</v>
      </c>
      <c r="AM29" s="647">
        <f>EXPE!BO233</f>
        <v>0.55283867341202919</v>
      </c>
      <c r="AN29" s="647">
        <f>EXPE!BP233</f>
        <v>0.50073891625615763</v>
      </c>
      <c r="AO29" s="647">
        <f>EXPE!BQ233</f>
        <v>0.54302763819095479</v>
      </c>
      <c r="AP29" s="647">
        <f>EXPE!BR233</f>
        <v>0.64792503346720209</v>
      </c>
      <c r="AQ29" s="647">
        <f>EXPE!BS233</f>
        <v>0.55731642894875855</v>
      </c>
    </row>
    <row r="30" spans="1:43">
      <c r="A30" s="847" t="s">
        <v>2811</v>
      </c>
      <c r="B30" s="647"/>
      <c r="C30" s="647"/>
      <c r="D30" s="647"/>
      <c r="E30" s="647"/>
      <c r="F30" s="647"/>
      <c r="G30" s="647"/>
      <c r="H30" s="647"/>
      <c r="I30" s="647"/>
      <c r="J30" s="647"/>
      <c r="K30" s="647"/>
      <c r="L30" s="647"/>
      <c r="M30" s="647"/>
      <c r="N30" s="647"/>
      <c r="O30" s="647"/>
      <c r="P30" s="647"/>
      <c r="Q30" s="647"/>
      <c r="R30" s="647">
        <f>EXPE!AT174</f>
        <v>-5.0210808738980449E-2</v>
      </c>
      <c r="S30" s="647">
        <f>EXPE!AU174</f>
        <v>8.4046939422771957E-2</v>
      </c>
      <c r="T30" s="647">
        <f>EXPE!AV174</f>
        <v>0.17116357504215851</v>
      </c>
      <c r="U30" s="647">
        <f>EXPE!AW174</f>
        <v>5.8245358572988716E-2</v>
      </c>
      <c r="V30" s="647">
        <f>EXPE!AX174</f>
        <v>-0.58578542326844729</v>
      </c>
      <c r="W30" s="647">
        <f>EXPE!AY174</f>
        <v>-1.5</v>
      </c>
      <c r="X30" s="647">
        <f>EXPE!AZ174</f>
        <v>-7.5132978723404256E-2</v>
      </c>
      <c r="Y30" s="647">
        <f>EXPE!BA174</f>
        <v>-0.50326086956521743</v>
      </c>
      <c r="Z30" s="647">
        <f>EXPE!BB174</f>
        <v>-0.29614767255216695</v>
      </c>
      <c r="AA30" s="647">
        <f>EXPE!BC174</f>
        <v>-6.2529606821411648E-2</v>
      </c>
      <c r="AB30" s="647">
        <f>EXPE!BD174</f>
        <v>0.17690749493585414</v>
      </c>
      <c r="AC30" s="647">
        <f>EXPE!BE174</f>
        <v>7.1522597630539711E-2</v>
      </c>
      <c r="AD30" s="647">
        <f>EXPE!BF174</f>
        <v>-6.0026678523788353E-2</v>
      </c>
      <c r="AE30" s="647">
        <f>EXPE!BG174</f>
        <v>0.10845646023263125</v>
      </c>
      <c r="AF30" s="647">
        <f>EXPE!BH174</f>
        <v>0.20641061066592981</v>
      </c>
      <c r="AG30" s="647">
        <f>EXPE!BI174</f>
        <v>4.8892284186401833E-2</v>
      </c>
      <c r="AH30" s="647">
        <f>EXPE!BJ174</f>
        <v>-4.5403377110694185E-2</v>
      </c>
      <c r="AI30" s="647">
        <f>EXPE!BK174</f>
        <v>0.13192376414532458</v>
      </c>
      <c r="AJ30" s="647">
        <f>EXPE!BL174</f>
        <v>0.15449223721048613</v>
      </c>
      <c r="AK30" s="647">
        <f>EXPE!BM174</f>
        <v>3.602355386214063E-2</v>
      </c>
      <c r="AL30" s="647">
        <f>EXPE!BN174</f>
        <v>-3.8075458636206302E-2</v>
      </c>
      <c r="AM30" s="647">
        <f>EXPE!BO174</f>
        <v>0.1267566048341765</v>
      </c>
      <c r="AN30" s="647">
        <f>EXPE!BP174</f>
        <v>0.18768472906403941</v>
      </c>
      <c r="AO30" s="647">
        <f>EXPE!BQ174</f>
        <v>6.78391959798995E-2</v>
      </c>
      <c r="AP30" s="647">
        <f>EXPE!BR174</f>
        <v>-2.3427041499330656E-2</v>
      </c>
      <c r="AQ30" s="647">
        <f>EXPE!BS174</f>
        <v>0.12810353935552035</v>
      </c>
    </row>
    <row r="31" spans="1:43">
      <c r="A31" s="847"/>
      <c r="B31" s="846"/>
      <c r="C31" s="846"/>
      <c r="D31" s="846"/>
      <c r="E31" s="846"/>
      <c r="F31" s="846"/>
      <c r="G31" s="846"/>
      <c r="H31" s="846"/>
      <c r="I31" s="846"/>
      <c r="J31" s="846"/>
      <c r="K31" s="846"/>
      <c r="L31" s="846"/>
      <c r="P31" s="846"/>
      <c r="Q31" s="846"/>
      <c r="R31" s="846"/>
    </row>
    <row r="32" spans="1:43" ht="13">
      <c r="A32" s="855" t="s">
        <v>2080</v>
      </c>
      <c r="B32" s="846"/>
      <c r="C32" s="846"/>
      <c r="D32" s="846"/>
      <c r="E32" s="846"/>
      <c r="F32" s="846"/>
      <c r="G32" s="846"/>
      <c r="H32" s="846"/>
      <c r="I32" s="846"/>
      <c r="J32" s="846"/>
      <c r="K32" s="846"/>
      <c r="L32" s="846"/>
      <c r="P32" s="846"/>
      <c r="Q32" s="846"/>
      <c r="R32" s="846"/>
      <c r="Z32" s="676"/>
      <c r="AA32" s="676"/>
      <c r="AB32" s="676"/>
      <c r="AC32" s="676"/>
      <c r="AD32" s="676"/>
    </row>
    <row r="33" spans="1:43">
      <c r="A33" s="847" t="s">
        <v>2707</v>
      </c>
      <c r="B33" s="850">
        <v>373.41123399999998</v>
      </c>
      <c r="C33" s="850">
        <v>407.60262</v>
      </c>
      <c r="D33" s="850">
        <v>500.59796999999998</v>
      </c>
      <c r="E33" s="850">
        <v>443.67765600000001</v>
      </c>
      <c r="F33" s="850">
        <v>647.95387000000005</v>
      </c>
      <c r="G33" s="850">
        <v>663.76033099999995</v>
      </c>
      <c r="H33" s="850">
        <v>835.55021999999997</v>
      </c>
      <c r="I33" s="850">
        <v>729.84039099999995</v>
      </c>
      <c r="J33" s="850">
        <v>884.04548599999998</v>
      </c>
      <c r="K33" s="850">
        <v>946.37635168822806</v>
      </c>
      <c r="L33" s="850">
        <v>1187.3320092285001</v>
      </c>
      <c r="M33" s="850">
        <f>980453386.871186/1000000</f>
        <v>980.45338687118601</v>
      </c>
      <c r="N33" s="850">
        <v>1073.2394437713201</v>
      </c>
      <c r="O33" s="850">
        <v>1106.043917</v>
      </c>
      <c r="P33" s="850">
        <v>1361.9514337507301</v>
      </c>
      <c r="Q33" s="850">
        <v>1099.67012217293</v>
      </c>
      <c r="R33" s="850">
        <v>1217</v>
      </c>
      <c r="S33" s="850">
        <v>1266</v>
      </c>
      <c r="T33" s="850">
        <v>1465.8</v>
      </c>
      <c r="U33" s="850">
        <v>1198</v>
      </c>
      <c r="V33" s="850">
        <v>668.71802508191172</v>
      </c>
      <c r="W33" s="850">
        <v>447.08248899520174</v>
      </c>
      <c r="X33" s="850">
        <v>805</v>
      </c>
      <c r="Y33" s="850">
        <v>763</v>
      </c>
      <c r="Z33" s="850">
        <v>628</v>
      </c>
      <c r="AA33" s="850">
        <v>912</v>
      </c>
      <c r="AB33" s="850">
        <v>831</v>
      </c>
      <c r="AC33" s="850">
        <f>'[31]PL(M)'!$J$23</f>
        <v>734.73</v>
      </c>
      <c r="AD33" s="850">
        <v>649</v>
      </c>
      <c r="AE33" s="850">
        <f>'[32]PL(M)'!$J$19</f>
        <v>599</v>
      </c>
      <c r="AF33" s="850">
        <f>'[33]PL(M)'!$J$19</f>
        <v>969</v>
      </c>
      <c r="AG33" s="850">
        <f>'[34]PL(M)'!$J$23</f>
        <v>742.29</v>
      </c>
      <c r="AH33" s="850">
        <f>'[35]PL(M)'!$J$19</f>
        <v>1341</v>
      </c>
      <c r="AI33" s="850">
        <v>1554</v>
      </c>
      <c r="AJ33" s="850">
        <v>1895</v>
      </c>
      <c r="AK33" s="850">
        <v>1456</v>
      </c>
      <c r="AL33" s="850">
        <v>1662.7850000000001</v>
      </c>
      <c r="AM33" s="850">
        <v>1757</v>
      </c>
      <c r="AN33" s="850">
        <f>'[36]2024 Q3'!$C$19/1000000</f>
        <v>2262.0513953337136</v>
      </c>
      <c r="AO33" s="850">
        <f>'[37]2024 Q4'!$C$19/1000000</f>
        <v>1745.7655913580757</v>
      </c>
      <c r="AP33" s="850">
        <f>'[38]2025 Q1'!$C$19/1000000</f>
        <v>1905.8420117959954</v>
      </c>
      <c r="AQ33" s="850">
        <f>'[39]PL(M)'!$J$23</f>
        <v>2072</v>
      </c>
    </row>
    <row r="34" spans="1:43">
      <c r="A34" s="647" t="s">
        <v>2093</v>
      </c>
      <c r="B34" s="647">
        <v>0.46300000000000002</v>
      </c>
      <c r="C34" s="647">
        <v>0.46700000000000003</v>
      </c>
      <c r="D34" s="647">
        <v>0.49399999999999999</v>
      </c>
      <c r="E34" s="647">
        <v>0.502</v>
      </c>
      <c r="F34" s="647">
        <v>0.80500000000000005</v>
      </c>
      <c r="G34" s="647">
        <v>0.746</v>
      </c>
      <c r="H34" s="647">
        <v>0.751</v>
      </c>
      <c r="I34" s="647">
        <v>0.76300000000000001</v>
      </c>
      <c r="J34" s="647">
        <v>0.45600000000000002</v>
      </c>
      <c r="K34" s="647">
        <v>0.45439923276628735</v>
      </c>
      <c r="L34" s="647">
        <v>0.41799999999999998</v>
      </c>
      <c r="M34" s="647">
        <v>0.25900000000000001</v>
      </c>
      <c r="N34" s="647">
        <v>0.114</v>
      </c>
      <c r="O34" s="647">
        <v>0.13300000000000001</v>
      </c>
      <c r="P34" s="647">
        <v>0.152</v>
      </c>
      <c r="Q34" s="647">
        <v>0.22500000000000001</v>
      </c>
      <c r="R34" s="647">
        <v>0.21299999999999999</v>
      </c>
      <c r="S34" s="647">
        <v>0.187</v>
      </c>
      <c r="T34" s="647">
        <v>0.12</v>
      </c>
      <c r="U34" s="647">
        <v>0.10199999999999999</v>
      </c>
      <c r="V34" s="647">
        <v>-0.42045247886910198</v>
      </c>
      <c r="W34" s="647">
        <v>-0.63651339602412993</v>
      </c>
      <c r="X34" s="647">
        <v>-0.47861779305078278</v>
      </c>
      <c r="Y34" s="647">
        <v>-0.40357185664629025</v>
      </c>
      <c r="Z34" s="2864">
        <v>-0.49673502035081679</v>
      </c>
      <c r="AA34" s="2864">
        <v>-0.32227608026737742</v>
      </c>
      <c r="AB34" s="2864">
        <f>'[40]2021 Q3'!$AJ$19</f>
        <v>-0.48988283730205845</v>
      </c>
      <c r="AC34" s="2864">
        <f>'[41]2021 Q4'!$AL$19</f>
        <v>-0.43838241409592493</v>
      </c>
      <c r="AD34" s="2864">
        <f>'[42]2022 Q1'!$AG$19</f>
        <v>-0.49664657708301263</v>
      </c>
      <c r="AE34" s="2864">
        <f>'[43]2022 Q2'!$AI$19</f>
        <v>-0.53848721947785561</v>
      </c>
      <c r="AF34" s="2955">
        <f>'[44]2022 Q3'!$AI$17</f>
        <v>-0.34320573339397231</v>
      </c>
      <c r="AG34" s="2955">
        <v>-0.38</v>
      </c>
      <c r="AH34" s="2955">
        <f>'[45]2023 Q1'!$AI$19</f>
        <v>0.12660845012473376</v>
      </c>
      <c r="AI34" s="2955">
        <v>0.28999999999999998</v>
      </c>
      <c r="AJ34" s="2955">
        <v>0.31</v>
      </c>
      <c r="AK34" s="2955">
        <v>0.24</v>
      </c>
      <c r="AL34" s="2955">
        <f>'[46]2024 Q1'!$AG$19</f>
        <v>0.29439799167761582</v>
      </c>
      <c r="AM34" s="2955">
        <f>'[47]2024 Q2'!$AG$19</f>
        <v>0.13547834865756303</v>
      </c>
      <c r="AN34" s="2955">
        <f>'[36]2024 Q3'!$AG$19</f>
        <v>0.15536102507056904</v>
      </c>
      <c r="AO34" s="2955">
        <f>'[37]2024 Q4'!$AC$19</f>
        <v>0.23421184300756925</v>
      </c>
      <c r="AP34" s="2955">
        <f>'[38]2025 Q1'!$AC$19</f>
        <v>0.16163813234766633</v>
      </c>
      <c r="AQ34" s="2955">
        <f>'[39]PL(M)'!$S$23</f>
        <v>0.16215158158471654</v>
      </c>
    </row>
    <row r="35" spans="1:43">
      <c r="A35" s="847" t="s">
        <v>2720</v>
      </c>
      <c r="B35" s="647">
        <v>-8.9999999999999993E-3</v>
      </c>
      <c r="C35" s="647">
        <v>8.5000000000000006E-2</v>
      </c>
      <c r="D35" s="647">
        <v>0.17</v>
      </c>
      <c r="E35" s="647">
        <v>0.10100000000000001</v>
      </c>
      <c r="F35" s="647">
        <v>2E-3</v>
      </c>
      <c r="G35" s="647">
        <v>4.1000000000000002E-2</v>
      </c>
      <c r="H35" s="647">
        <v>0.18</v>
      </c>
      <c r="I35" s="647">
        <v>0.157</v>
      </c>
      <c r="J35" s="647">
        <v>0.154</v>
      </c>
      <c r="K35" s="647">
        <v>0.183</v>
      </c>
      <c r="L35" s="647">
        <v>0.221</v>
      </c>
      <c r="M35" s="647">
        <v>0.14199999999999999</v>
      </c>
      <c r="N35" s="647"/>
      <c r="O35" s="647"/>
      <c r="P35" s="647"/>
      <c r="Q35" s="647"/>
      <c r="R35" s="647">
        <v>0.19969781749142576</v>
      </c>
      <c r="S35" s="647">
        <v>0.22948591542975491</v>
      </c>
      <c r="T35" s="647">
        <v>0.27798327835051551</v>
      </c>
      <c r="U35" s="647">
        <v>0.15748521031793641</v>
      </c>
      <c r="V35" s="647">
        <v>-0.18491165060240966</v>
      </c>
      <c r="W35" s="647">
        <v>3.9316239316239315E-2</v>
      </c>
      <c r="X35" s="647">
        <v>0.29641157085316733</v>
      </c>
      <c r="Y35" s="647">
        <v>0.16095890410958905</v>
      </c>
      <c r="Z35" s="647">
        <v>-5.2580331061343723E-2</v>
      </c>
      <c r="AA35" s="647">
        <v>0.15551782682512733</v>
      </c>
      <c r="AB35" s="647">
        <v>0.10048652694610778</v>
      </c>
      <c r="AC35" s="647">
        <f>'[42]2022 Q1'!$Y$85</f>
        <v>1.1615900776384738E-2</v>
      </c>
      <c r="AD35" s="647">
        <f>'[42]2022 Q1'!$F$85</f>
        <v>2.1957146106345683E-2</v>
      </c>
      <c r="AE35" s="647">
        <f>'[48]Adjusted EBITDA (M)'!$H$22</f>
        <v>8.8679111761938295E-2</v>
      </c>
      <c r="AF35" s="647">
        <f>'[33]Adjusted EBITDA (M)'!$J$22</f>
        <v>0.20601724736172464</v>
      </c>
      <c r="AG35" s="647">
        <f>'[34]Adjusted EBITDA (M)'!$H$22</f>
        <v>5.5678137137995264E-2</v>
      </c>
      <c r="AH35" s="647">
        <f>'[45]2023 Q1'!$F$85</f>
        <v>0.30664873032644424</v>
      </c>
      <c r="AI35" s="647">
        <v>0.3272433552282657</v>
      </c>
      <c r="AJ35" s="647">
        <v>0.33600000000000002</v>
      </c>
      <c r="AK35" s="647">
        <v>0.27600000000000002</v>
      </c>
      <c r="AL35" s="647">
        <f>'[46]2024 Q1'!$F$85</f>
        <v>0.33378802721620654</v>
      </c>
      <c r="AM35" s="647">
        <f>'[47]2024 Q2'!$F$85</f>
        <v>0.34743674696817722</v>
      </c>
      <c r="AN35" s="647">
        <f>'[36]2024 Q3'!$F$87</f>
        <v>0.35792428339686888</v>
      </c>
      <c r="AO35" s="647">
        <f>'[37]2024 Q4'!$E$91</f>
        <v>0.23371597437090086</v>
      </c>
      <c r="AP35" s="647">
        <f>'[38]2025 Q1'!$E$91</f>
        <v>0.30714014153808444</v>
      </c>
      <c r="AQ35" s="647">
        <f>'[39]Adjusted EBITDA (M)'!$H$22</f>
        <v>0.3287021715004404</v>
      </c>
    </row>
    <row r="36" spans="1:43">
      <c r="A36" s="1026" t="s">
        <v>2094</v>
      </c>
      <c r="B36" s="1027">
        <v>20.466000000000001</v>
      </c>
      <c r="C36" s="1027">
        <v>23.748000000000001</v>
      </c>
      <c r="D36" s="1027">
        <v>30.146000000000001</v>
      </c>
      <c r="E36" s="1027">
        <v>26.643000000000001</v>
      </c>
      <c r="F36" s="1027">
        <v>40.192941999999995</v>
      </c>
      <c r="G36" s="1027">
        <v>44.883792999999997</v>
      </c>
      <c r="H36" s="1027">
        <v>54.719082000000007</v>
      </c>
      <c r="I36" s="1027">
        <v>49.125037000000006</v>
      </c>
      <c r="J36" s="1027">
        <v>50.520034000000003</v>
      </c>
      <c r="K36" s="1027">
        <v>55.758210842753698</v>
      </c>
      <c r="L36" s="1027">
        <v>68.900113888267299</v>
      </c>
      <c r="M36" s="1027">
        <v>56.874370986258207</v>
      </c>
      <c r="N36" s="1027">
        <v>56.462683519999999</v>
      </c>
      <c r="O36" s="1027">
        <v>62.174739799999998</v>
      </c>
      <c r="P36" s="1027">
        <v>81.103189619999995</v>
      </c>
      <c r="Q36" s="1027">
        <v>67.739082759999988</v>
      </c>
      <c r="R36" s="857">
        <v>70.171999999999997</v>
      </c>
      <c r="S36" s="857">
        <v>79.2</v>
      </c>
      <c r="T36" s="857">
        <v>95.5</v>
      </c>
      <c r="U36" s="857">
        <v>82.7</v>
      </c>
      <c r="V36" s="857">
        <v>28.839318500000001</v>
      </c>
      <c r="W36" s="857">
        <v>45.827688999999999</v>
      </c>
      <c r="X36" s="857">
        <v>76.846348000000006</v>
      </c>
      <c r="Y36" s="857">
        <v>76.022378799999998</v>
      </c>
      <c r="Z36" s="857">
        <v>57.25205199999688</v>
      </c>
      <c r="AA36" s="857">
        <v>89.984235999999996</v>
      </c>
      <c r="AB36" s="857">
        <f>'[49]OP DATA Combined'!$AL$28</f>
        <v>83.373559157290288</v>
      </c>
      <c r="AC36" s="857">
        <f>'[50]OP DATA'!$O$35</f>
        <v>75.030791000008094</v>
      </c>
      <c r="AD36" s="857">
        <f>[51]大住宿!$P$42</f>
        <v>54.067067903364929</v>
      </c>
      <c r="AE36" s="857">
        <f>[52]大住宿!$Q$42</f>
        <v>51.270270003971632</v>
      </c>
      <c r="AF36" s="857">
        <f>[53]大住宿!$R$50</f>
        <v>88.729538997494856</v>
      </c>
      <c r="AG36" s="857">
        <f>[54]大住宿!$S$51</f>
        <v>59.199976442957166</v>
      </c>
      <c r="AH36" s="857">
        <f>[55]大住宿!$T$51</f>
        <v>114.54232504000943</v>
      </c>
      <c r="AI36" s="857">
        <v>135.38883672602711</v>
      </c>
      <c r="AJ36" s="857">
        <v>174.70618626293563</v>
      </c>
      <c r="AK36" s="857">
        <v>138.17324562629295</v>
      </c>
      <c r="AL36" s="857">
        <v>149.79148300006497</v>
      </c>
      <c r="AM36" s="857">
        <v>161.13272159998627</v>
      </c>
      <c r="AN36" s="857">
        <v>200.65034486617725</v>
      </c>
      <c r="AO36" s="857">
        <v>168.25291189291548</v>
      </c>
      <c r="AP36" s="857">
        <v>176.79715131799702</v>
      </c>
      <c r="AQ36" s="857">
        <f>'[56]TBE Comparison'!$L$43</f>
        <v>194.81730386199914</v>
      </c>
    </row>
    <row r="37" spans="1:43">
      <c r="A37" s="857" t="s">
        <v>1307</v>
      </c>
      <c r="B37" s="857"/>
      <c r="C37" s="857"/>
      <c r="D37" s="857"/>
      <c r="E37" s="857"/>
      <c r="F37" s="857">
        <f>F36+9.297</f>
        <v>49.489941999999999</v>
      </c>
      <c r="G37" s="857">
        <f>G36+9.279</f>
        <v>54.162792999999994</v>
      </c>
      <c r="H37" s="857">
        <f>H36+10.96</f>
        <v>65.679082000000008</v>
      </c>
      <c r="I37" s="857">
        <f>I36+10.288</f>
        <v>59.413037000000003</v>
      </c>
      <c r="J37" s="857">
        <f>J36+10.375</f>
        <v>60.895034000000003</v>
      </c>
      <c r="K37" s="857">
        <f>K36+11.397</f>
        <v>67.155210842753704</v>
      </c>
      <c r="L37" s="857">
        <f>L36+13.512</f>
        <v>82.412113888267299</v>
      </c>
      <c r="M37" s="857">
        <f>M36+12.963</f>
        <v>69.837370986258207</v>
      </c>
      <c r="N37" s="857">
        <v>61.988999999999997</v>
      </c>
      <c r="O37" s="857">
        <v>72.67</v>
      </c>
      <c r="P37" s="857"/>
      <c r="Q37" s="857"/>
      <c r="R37" s="857"/>
      <c r="S37" s="857"/>
      <c r="T37" s="857"/>
      <c r="U37" s="857"/>
      <c r="V37" s="857"/>
      <c r="W37" s="857"/>
      <c r="X37" s="857"/>
      <c r="Y37" s="857"/>
      <c r="Z37" s="857"/>
      <c r="AA37" s="857"/>
      <c r="AB37" s="857"/>
      <c r="AC37" s="857"/>
      <c r="AD37" s="857"/>
      <c r="AE37" s="857"/>
      <c r="AF37" s="857"/>
      <c r="AG37" s="857"/>
      <c r="AH37" s="854"/>
      <c r="AI37" s="854"/>
      <c r="AJ37" s="854"/>
      <c r="AK37" s="854"/>
      <c r="AL37" s="854"/>
      <c r="AM37" s="854"/>
    </row>
    <row r="38" spans="1:43">
      <c r="A38" s="854" t="s">
        <v>2095</v>
      </c>
      <c r="B38" s="854"/>
      <c r="C38" s="854"/>
      <c r="D38" s="854"/>
      <c r="E38" s="854"/>
      <c r="F38" s="854"/>
      <c r="G38" s="854"/>
      <c r="H38" s="854"/>
      <c r="I38" s="854"/>
      <c r="J38" s="854">
        <f>J36/F36-1</f>
        <v>0.25693794696591277</v>
      </c>
      <c r="K38" s="854">
        <f t="shared" ref="K38:R38" si="3">K36/G36-1</f>
        <v>0.24227938674331062</v>
      </c>
      <c r="L38" s="854">
        <f t="shared" si="3"/>
        <v>0.2591606322684159</v>
      </c>
      <c r="M38" s="854">
        <f t="shared" si="3"/>
        <v>0.15774713790563055</v>
      </c>
      <c r="N38" s="854">
        <f t="shared" si="3"/>
        <v>0.11762956295714289</v>
      </c>
      <c r="O38" s="854">
        <f t="shared" si="3"/>
        <v>0.11507774120195235</v>
      </c>
      <c r="P38" s="854">
        <f>P36/L36-1</f>
        <v>0.17711256256443875</v>
      </c>
      <c r="Q38" s="854">
        <f t="shared" si="3"/>
        <v>0.1910300120306716</v>
      </c>
      <c r="R38" s="854">
        <f t="shared" si="3"/>
        <v>0.24280313342074744</v>
      </c>
      <c r="S38" s="854">
        <v>0.27</v>
      </c>
      <c r="T38" s="854">
        <v>0.18</v>
      </c>
      <c r="U38" s="854">
        <v>0.22</v>
      </c>
      <c r="V38" s="854">
        <v>-0.58901884709481034</v>
      </c>
      <c r="W38" s="854">
        <v>-0.42357507611914591</v>
      </c>
      <c r="X38" s="854">
        <v>-0.19521491529386292</v>
      </c>
      <c r="Y38" s="854">
        <v>-8.030420823390394E-2</v>
      </c>
      <c r="Z38" s="2955">
        <v>-0.1763143250278546</v>
      </c>
      <c r="AA38" s="2955">
        <v>0.1438372630811704</v>
      </c>
      <c r="AB38" s="2955">
        <f>'[49]OP DATA Combined'!$AN$28</f>
        <v>-0.11669698528646244</v>
      </c>
      <c r="AC38" s="854">
        <f>'[50]OP DATA'!$Q$35</f>
        <v>-7.9986004849916248E-2</v>
      </c>
      <c r="AD38" s="854">
        <f>[51]大住宿!$R$42</f>
        <v>-0.22950516666584553</v>
      </c>
      <c r="AE38" s="854">
        <f>[52]大住宿!$S$42</f>
        <v>-0.35511778731870625</v>
      </c>
      <c r="AF38" s="854">
        <f>[53]大住宿!$T$50</f>
        <v>-7.0766387518696572E-2</v>
      </c>
      <c r="AG38" s="854">
        <f>[54]大住宿!$U$51</f>
        <v>-0.28381655419549023</v>
      </c>
      <c r="AH38" s="854">
        <f>[55]大住宿!$V$51</f>
        <v>0.63231099935263924</v>
      </c>
      <c r="AI38" s="854">
        <v>0.70293334896545878</v>
      </c>
      <c r="AJ38" s="854">
        <v>0.8296371469767545</v>
      </c>
      <c r="AK38" s="854">
        <v>0.67157821871741707</v>
      </c>
      <c r="AL38" s="854">
        <f>[57]大住宿!$AB$66</f>
        <v>0.31216714013116076</v>
      </c>
      <c r="AM38" s="854">
        <f>[58]大住宿!$AB$70</f>
        <v>0.19407700117882887</v>
      </c>
      <c r="AN38" s="854">
        <f>[59]大住宿!$AB$71</f>
        <v>0.15319261997094058</v>
      </c>
      <c r="AO38" s="854">
        <f>[60]大住宿!$AB$71</f>
        <v>0.17356135746548618</v>
      </c>
      <c r="AP38" s="854">
        <f>[61]大住宿!$AC$76</f>
        <v>0.17760300422770592</v>
      </c>
      <c r="AQ38" s="854">
        <f>[62]大住宿!$AF$71</f>
        <v>0.20904867693872387</v>
      </c>
    </row>
    <row r="39" spans="1:43">
      <c r="A39" s="857" t="s">
        <v>2096</v>
      </c>
      <c r="B39" s="857"/>
      <c r="C39" s="857"/>
      <c r="D39" s="857"/>
      <c r="E39" s="857"/>
      <c r="F39" s="857"/>
      <c r="G39" s="857"/>
      <c r="H39" s="857"/>
      <c r="I39" s="857"/>
      <c r="J39" s="857">
        <v>52.522779</v>
      </c>
      <c r="K39" s="857">
        <v>58.450303842753698</v>
      </c>
      <c r="L39" s="857">
        <v>72.562704888267305</v>
      </c>
      <c r="M39" s="857">
        <v>60.429105986258207</v>
      </c>
      <c r="N39" s="857">
        <v>62.313968520000003</v>
      </c>
      <c r="O39" s="857">
        <v>73.040041799999997</v>
      </c>
      <c r="P39" s="857">
        <v>95.999596619999977</v>
      </c>
      <c r="Q39" s="857">
        <v>81.228835759999981</v>
      </c>
      <c r="R39" s="1027">
        <f>R36+14.029677</f>
        <v>84.201676999999989</v>
      </c>
      <c r="S39" s="1027">
        <v>96.04</v>
      </c>
      <c r="T39" s="1027">
        <v>117.355</v>
      </c>
      <c r="U39" s="1027">
        <v>104.146085</v>
      </c>
      <c r="V39" s="1027">
        <v>37.7351125</v>
      </c>
      <c r="W39" s="1027">
        <v>62.203817999999998</v>
      </c>
      <c r="X39" s="1027">
        <v>102.86952500000001</v>
      </c>
      <c r="Y39" s="1027">
        <v>102.5762428</v>
      </c>
      <c r="Z39" s="1027">
        <v>78.198161999996884</v>
      </c>
      <c r="AA39" s="1027">
        <v>117.49274899999999</v>
      </c>
      <c r="AB39" s="1027">
        <f>'[49]OP DATA Combined'!$AL$37+'[49]OP DATA Combined'!$AL$42</f>
        <v>109.8696294572903</v>
      </c>
      <c r="AC39" s="1027">
        <f>'[50]OP DATA'!$O$44+'[50]OP DATA'!$O$49</f>
        <v>101.5154460000081</v>
      </c>
      <c r="AD39" s="1027">
        <v>75.872667903364928</v>
      </c>
      <c r="AE39" s="1027">
        <f>[52]大住宿!$Q$44+[52]大住宿!$Q$47</f>
        <v>65.682767003971634</v>
      </c>
      <c r="AF39" s="1027">
        <v>108.57502699749486</v>
      </c>
      <c r="AG39" s="1027">
        <v>73.781009442957171</v>
      </c>
      <c r="AH39" s="1027">
        <f>[55]大住宿!$T$59+[55]大住宿!$T$56</f>
        <v>143.40781704000943</v>
      </c>
      <c r="AI39" s="1027"/>
      <c r="AJ39" s="1027"/>
      <c r="AK39" s="1027"/>
      <c r="AL39" s="1027"/>
      <c r="AM39" s="1027"/>
    </row>
    <row r="40" spans="1:43" s="647" customFormat="1">
      <c r="A40" s="847" t="s">
        <v>2097</v>
      </c>
      <c r="B40" s="647">
        <v>0.30499999999999999</v>
      </c>
      <c r="C40" s="647">
        <v>0.26200000000000001</v>
      </c>
      <c r="D40" s="647">
        <v>0.25900000000000001</v>
      </c>
      <c r="E40" s="647">
        <v>0.28899999999999998</v>
      </c>
      <c r="F40" s="647">
        <v>0.32500000000000001</v>
      </c>
      <c r="G40" s="647">
        <v>0.28799999999999998</v>
      </c>
      <c r="H40" s="647">
        <v>0.25800000000000001</v>
      </c>
      <c r="I40" s="647">
        <v>0.27700000000000002</v>
      </c>
      <c r="J40" s="647">
        <v>0.30099999999999999</v>
      </c>
      <c r="K40" s="647">
        <v>0.30299999999999999</v>
      </c>
      <c r="L40" s="647">
        <v>0.29599999999999999</v>
      </c>
      <c r="M40" s="647">
        <v>0.313</v>
      </c>
      <c r="N40" s="647">
        <v>0.30499999999999999</v>
      </c>
      <c r="O40" s="647">
        <v>0.28199999999999997</v>
      </c>
      <c r="P40" s="647">
        <v>0.28499999999999998</v>
      </c>
      <c r="Q40" s="647">
        <v>0.34</v>
      </c>
      <c r="R40" s="647">
        <v>0.26700000000000002</v>
      </c>
      <c r="S40" s="647">
        <v>0.24</v>
      </c>
      <c r="T40" s="647">
        <v>0.23300000000000001</v>
      </c>
      <c r="U40" s="647">
        <v>0.29299999999999998</v>
      </c>
      <c r="V40" s="647">
        <v>0.28588003858995981</v>
      </c>
      <c r="W40" s="647">
        <v>0.19639529245967807</v>
      </c>
      <c r="X40" s="647">
        <v>0.2</v>
      </c>
      <c r="Y40" s="647">
        <v>0.24</v>
      </c>
      <c r="Z40" s="647">
        <v>0.22631512118699018</v>
      </c>
      <c r="AA40" s="647">
        <v>0.23229850523552073</v>
      </c>
      <c r="AB40" s="647">
        <f>'[40]2021 Q3'!$F$75</f>
        <v>0.2311232766324223</v>
      </c>
      <c r="AC40" s="647">
        <f>'[41]2021 Q4'!$F$75</f>
        <v>0.26482472072361402</v>
      </c>
      <c r="AD40" s="647">
        <f>'[42]2022 Q1'!$F$75</f>
        <v>0.20073455199077569</v>
      </c>
      <c r="AE40" s="647">
        <f>'[43]2022 Q2'!$G$26</f>
        <v>0.19892998170123757</v>
      </c>
      <c r="AF40" s="647">
        <f>'[44]2022 Q3'!$G$26</f>
        <v>0.20331378840431635</v>
      </c>
      <c r="AG40" s="647">
        <f>'[63]2022 Q4'!$F$75</f>
        <v>0.23204064993929568</v>
      </c>
      <c r="AH40" s="647">
        <f>'[45]2023 Q1'!$F$75</f>
        <v>0.18736178960419606</v>
      </c>
      <c r="AI40" s="647">
        <f>'[64]2023 Q2'!$F$75</f>
        <v>0.20538391375516479</v>
      </c>
      <c r="AJ40" s="647">
        <v>0.19755715106966534</v>
      </c>
      <c r="AK40" s="647">
        <v>0.222</v>
      </c>
      <c r="AL40" s="647">
        <f>'[46]2024 Q1'!$F$75</f>
        <v>0.1909911453849556</v>
      </c>
      <c r="AM40" s="647">
        <f>'[47]2024 Q2'!$F$75</f>
        <v>0.21766113826422612</v>
      </c>
      <c r="AN40" s="647">
        <f>'[36]2024 Q3'!$F$77</f>
        <v>0.21061767038645199</v>
      </c>
      <c r="AO40" s="647">
        <f>'[37]2024 Q4'!$F$77</f>
        <v>0.26154363545331333</v>
      </c>
      <c r="AP40" s="647">
        <f>'[38]2025 Q1'!$G$26</f>
        <v>0.21384083196785128</v>
      </c>
      <c r="AQ40" s="647">
        <f>'[65]2025 Q2'!$F$77</f>
        <v>0.22054715417193468</v>
      </c>
    </row>
    <row r="41" spans="1:43" s="647" customFormat="1">
      <c r="A41" s="847" t="s">
        <v>2813</v>
      </c>
      <c r="R41" s="647">
        <f>[66]Summary!$AR$31/[66]Summary!$AR$19</f>
        <v>0.10836664615100279</v>
      </c>
      <c r="S41" s="647">
        <f>[66]Summary!$AP$31/[66]Summary!$AP$19</f>
        <v>0.15321985324836843</v>
      </c>
      <c r="T41" s="647">
        <f>[66]Summary!$AN$31/[66]Summary!$AN$19</f>
        <v>0.21416640574498688</v>
      </c>
      <c r="U41" s="647">
        <f>[66]Summary!$AL$31/[66]Summary!$AL$19</f>
        <v>6.9616406938441983E-2</v>
      </c>
      <c r="V41" s="647">
        <f>[66]Summary!$AJ$31/[66]Summary!$AJ$19</f>
        <v>-0.31873744298085582</v>
      </c>
      <c r="W41" s="647">
        <f>[66]Summary!$AH$31/[66]Summary!$AH$19</f>
        <v>-0.21835424944687531</v>
      </c>
      <c r="X41" s="647">
        <f>[66]Summary!$AF$31/[66]Summary!$AF$19</f>
        <v>0.14481661398865009</v>
      </c>
      <c r="Y41" s="647">
        <f>[66]Summary!$AD$31/[66]Summary!$AD$19</f>
        <v>-3.0552978160955134E-3</v>
      </c>
      <c r="Z41" s="647">
        <f>[66]Summary!$AB$31/[66]Summary!$AB$19</f>
        <v>-0.19121895494448859</v>
      </c>
      <c r="AA41" s="647">
        <f>[66]Summary!$Z$31/[66]Summary!$Z$19</f>
        <v>5.5166350305912382E-2</v>
      </c>
      <c r="AB41" s="647">
        <f>[66]Summary!$X$31/[66]Summary!$X$19</f>
        <v>-4.5838403341112575E-2</v>
      </c>
      <c r="AC41" s="647">
        <f>[66]Summary!$V$31/[66]Summary!$V$19</f>
        <v>-0.15060496516746716</v>
      </c>
      <c r="AD41" s="647">
        <f>[66]Summary!$T$31/[66]Summary!$T$19</f>
        <v>-8.730892826786478E-2</v>
      </c>
      <c r="AE41" s="647">
        <f>[66]Summary!$R$31/[66]Summary!$R$19</f>
        <v>-4.1717085820195267E-2</v>
      </c>
      <c r="AF41" s="647">
        <f>[66]Summary!$P$31/[66]Summary!$P$19</f>
        <v>0.12394552234977894</v>
      </c>
      <c r="AG41" s="647">
        <f>[66]Summary!$N$31/[66]Summary!$N$19</f>
        <v>-4.7724331407022744E-2</v>
      </c>
      <c r="AH41" s="647">
        <f>[66]Summary!$L$31/[66]Summary!$L$19</f>
        <v>0.24365953016846884</v>
      </c>
      <c r="AI41" s="647">
        <f>[66]Summary!$J$31/[66]Summary!$J$19</f>
        <v>0.26483030899750554</v>
      </c>
      <c r="AJ41" s="647">
        <f>[66]Summary!$H$31/[66]Summary!$H$19</f>
        <v>0.28453085732608013</v>
      </c>
      <c r="AK41" s="647">
        <f>[66]Summary!$F$31/[66]Summary!$F$19</f>
        <v>0.21252710629656554</v>
      </c>
      <c r="AL41" s="647">
        <f>[66]Summary!$D$31/[66]Summary!$D$19</f>
        <v>0.27848861719415197</v>
      </c>
      <c r="AM41" s="647">
        <f>[66]Summary!$B$31/[66]Summary!$B$19</f>
        <v>0.27836747219183416</v>
      </c>
      <c r="AN41" s="647">
        <f>'[36]2024 Q3'!$C$32</f>
        <v>0.3154480293851315</v>
      </c>
      <c r="AO41" s="647">
        <f>'[37]2024 Q4'!$E$32</f>
        <v>0.18045306692122123</v>
      </c>
      <c r="AP41" s="647">
        <f>'[38]2025 Q1'!$E$32</f>
        <v>0.25763696741510722</v>
      </c>
      <c r="AQ41" s="647">
        <f>'[39]PL(M)'!$H$37</f>
        <v>0.27635922657144785</v>
      </c>
    </row>
    <row r="42" spans="1:43" s="853" customFormat="1">
      <c r="A42" s="846"/>
      <c r="B42" s="647"/>
      <c r="C42" s="647"/>
      <c r="D42" s="647"/>
      <c r="E42" s="647"/>
      <c r="F42" s="647"/>
      <c r="G42" s="647"/>
      <c r="H42" s="647"/>
      <c r="I42" s="647"/>
      <c r="J42" s="647"/>
      <c r="K42" s="647"/>
      <c r="L42" s="647"/>
      <c r="M42" s="647"/>
      <c r="N42" s="647"/>
      <c r="O42" s="647"/>
      <c r="P42" s="647"/>
      <c r="Q42" s="647"/>
      <c r="R42" s="647"/>
      <c r="S42" s="844"/>
      <c r="T42" s="844"/>
      <c r="U42" s="844"/>
      <c r="V42" s="844"/>
      <c r="W42" s="844"/>
      <c r="X42" s="844"/>
      <c r="Y42" s="844"/>
      <c r="Z42" s="676"/>
      <c r="AA42" s="844"/>
      <c r="AB42" s="844"/>
      <c r="AC42" s="844"/>
      <c r="AD42" s="844"/>
    </row>
    <row r="43" spans="1:43" ht="13">
      <c r="A43" s="855" t="s">
        <v>2688</v>
      </c>
      <c r="B43" s="647"/>
      <c r="C43" s="647"/>
      <c r="D43" s="647"/>
      <c r="E43" s="647"/>
      <c r="F43" s="647"/>
      <c r="G43" s="647"/>
      <c r="H43" s="647"/>
      <c r="I43" s="647"/>
      <c r="J43" s="647"/>
      <c r="K43" s="647"/>
      <c r="L43" s="647"/>
      <c r="M43" s="647"/>
      <c r="N43" s="647"/>
      <c r="O43" s="647"/>
      <c r="P43" s="647"/>
      <c r="Q43" s="647"/>
      <c r="R43" s="647"/>
    </row>
    <row r="44" spans="1:43" s="1028" customFormat="1">
      <c r="A44" s="847" t="s">
        <v>2689</v>
      </c>
      <c r="B44" s="647"/>
      <c r="C44" s="647"/>
      <c r="D44" s="647"/>
      <c r="E44" s="647"/>
      <c r="F44" s="647"/>
      <c r="G44" s="647"/>
      <c r="H44" s="647"/>
      <c r="I44" s="647"/>
      <c r="J44" s="647"/>
      <c r="K44" s="647"/>
      <c r="L44" s="647"/>
      <c r="M44" s="647"/>
      <c r="N44" s="850">
        <f>ABNB!B15</f>
        <v>642.84</v>
      </c>
      <c r="O44" s="850">
        <f>ABNB!C15</f>
        <v>903.43100000000004</v>
      </c>
      <c r="P44" s="850">
        <f>ABNB!D15</f>
        <v>1265.127</v>
      </c>
      <c r="Q44" s="850">
        <f>ABNB!E15</f>
        <v>840.58699999999999</v>
      </c>
      <c r="R44" s="850">
        <f>ABNB!F15</f>
        <v>839.00400000000002</v>
      </c>
      <c r="S44" s="850">
        <f>ABNB!G15</f>
        <v>1213.6780000000001</v>
      </c>
      <c r="T44" s="850">
        <f>ABNB!H15</f>
        <v>1645.761</v>
      </c>
      <c r="U44" s="850">
        <f>ABNB!I15</f>
        <v>1106.796</v>
      </c>
      <c r="V44" s="850">
        <f>ABNB!J15</f>
        <v>841.83</v>
      </c>
      <c r="W44" s="850">
        <f>ABNB!K15</f>
        <v>334.774</v>
      </c>
      <c r="X44" s="850">
        <f>ABNB!L15</f>
        <v>1342.3309999999999</v>
      </c>
      <c r="Y44" s="850">
        <f>ABNB!M15</f>
        <v>859.26400000000001</v>
      </c>
      <c r="Z44" s="850">
        <f>ABNB!N15</f>
        <v>886.93600000000004</v>
      </c>
      <c r="AA44" s="850">
        <f>ABNB!O15</f>
        <v>1335.1959999999999</v>
      </c>
      <c r="AB44" s="850">
        <f>ABNB!P15</f>
        <v>2237.4319999999998</v>
      </c>
      <c r="AC44" s="850">
        <f>ABNB!Q15</f>
        <v>1532.1959999999999</v>
      </c>
      <c r="AD44" s="850">
        <f>ABNB!R15</f>
        <v>1508.9369999999999</v>
      </c>
      <c r="AE44" s="850">
        <f>ABNB!S15</f>
        <v>2104.107</v>
      </c>
      <c r="AF44" s="850">
        <f>ABNB!T15</f>
        <v>2884.41</v>
      </c>
      <c r="AG44" s="850">
        <f>ABNB!U15</f>
        <v>1902</v>
      </c>
      <c r="AH44" s="850">
        <f>ABNB!V15</f>
        <v>1818</v>
      </c>
      <c r="AI44" s="850">
        <f>ABNB!W15</f>
        <v>2484</v>
      </c>
      <c r="AJ44" s="850">
        <f>ABNB!X15</f>
        <v>3397</v>
      </c>
      <c r="AK44" s="850">
        <f>ABNB!Y15</f>
        <v>2218</v>
      </c>
      <c r="AL44" s="850">
        <f>ABNB!Z15</f>
        <v>2142</v>
      </c>
      <c r="AM44" s="850">
        <f>ABNB!AA15</f>
        <v>2748</v>
      </c>
      <c r="AN44" s="850">
        <f>ABNB!AB15</f>
        <v>3732</v>
      </c>
      <c r="AO44" s="850">
        <f>ABNB!AC15</f>
        <v>2480</v>
      </c>
      <c r="AP44" s="850">
        <f>ABNB!AD15</f>
        <v>2272</v>
      </c>
      <c r="AQ44" s="850">
        <f>ABNB!AE15</f>
        <v>3096</v>
      </c>
    </row>
    <row r="45" spans="1:43" s="858" customFormat="1" hidden="1">
      <c r="A45" s="647" t="s">
        <v>2690</v>
      </c>
      <c r="B45" s="647"/>
      <c r="C45" s="647"/>
      <c r="D45" s="647"/>
      <c r="E45" s="647"/>
      <c r="F45" s="647"/>
      <c r="G45" s="647"/>
      <c r="H45" s="647"/>
      <c r="I45" s="647"/>
      <c r="J45" s="647"/>
      <c r="K45" s="647"/>
      <c r="L45" s="647"/>
      <c r="M45" s="647"/>
      <c r="N45" s="647"/>
      <c r="O45" s="647"/>
      <c r="P45" s="647"/>
      <c r="Q45" s="647"/>
      <c r="R45" s="647">
        <f>ABNB!F85</f>
        <v>0.30515213739033031</v>
      </c>
      <c r="S45" s="647">
        <f>ABNB!G85</f>
        <v>0.3434097346670637</v>
      </c>
      <c r="T45" s="647">
        <f>ABNB!H85</f>
        <v>0.30086623714457117</v>
      </c>
      <c r="U45" s="647">
        <f>ABNB!I85</f>
        <v>0.31669416729023903</v>
      </c>
      <c r="V45" s="647">
        <f>ABNB!J85</f>
        <v>3.3682795314444736E-3</v>
      </c>
      <c r="W45" s="647">
        <f>ABNB!K85</f>
        <v>-0.7241657177603944</v>
      </c>
      <c r="X45" s="647">
        <f>ABNB!L85</f>
        <v>-0.18437063461827086</v>
      </c>
      <c r="Y45" s="647">
        <f>ABNB!M85</f>
        <v>-0.22364735687516035</v>
      </c>
      <c r="Z45" s="2864">
        <f>ABNB!N86</f>
        <v>5.7129644197167151E-2</v>
      </c>
      <c r="AA45" s="2864">
        <f>ABNB!O86</f>
        <v>0.10012375605391188</v>
      </c>
      <c r="AB45" s="2864">
        <f>ABNB!P86</f>
        <v>0.36</v>
      </c>
      <c r="AC45" s="2864">
        <f>ABNB!Q86</f>
        <v>0.38435267203712331</v>
      </c>
      <c r="AD45" s="2864">
        <f>ABNB!R86</f>
        <v>0.79848606204499606</v>
      </c>
      <c r="AE45" s="2864">
        <f>ABNB!S86</f>
        <v>0.73366164666410683</v>
      </c>
      <c r="AF45" s="2864">
        <f>ABNB!T86</f>
        <v>0.75262993836893677</v>
      </c>
      <c r="AG45" s="2864">
        <f>ABNB!U86</f>
        <v>0.71847386510251199</v>
      </c>
      <c r="AH45" s="2864">
        <f>ABNB!V86</f>
        <v>1.1668549851967334</v>
      </c>
      <c r="AI45" s="2864">
        <f>ABNB!W86</f>
        <v>1.0466713576418125</v>
      </c>
      <c r="AJ45" s="2864">
        <f>ABNB!X86</f>
        <v>1.064090715480559</v>
      </c>
      <c r="AK45" s="2864">
        <f>ABNB!Y86</f>
        <v>1.0039826670858947</v>
      </c>
      <c r="AL45" s="2864">
        <f>ABNB!Z86</f>
        <v>1.5530271607763488</v>
      </c>
      <c r="AM45" s="2864">
        <f>ABNB!AA86</f>
        <v>1.2641919850240342</v>
      </c>
      <c r="AN45" s="2864">
        <f>ABNB!AB86</f>
        <v>1.2676439653145262</v>
      </c>
      <c r="AO45" s="2864">
        <f>ABNB!AC86</f>
        <v>1.2407019902493324</v>
      </c>
      <c r="AP45" s="2864">
        <f>ABNB!AD86</f>
        <v>0</v>
      </c>
      <c r="AQ45" s="2864"/>
    </row>
    <row r="46" spans="1:43" s="854" customFormat="1">
      <c r="A46" s="647" t="s">
        <v>2690</v>
      </c>
      <c r="B46" s="647"/>
      <c r="C46" s="647"/>
      <c r="D46" s="647"/>
      <c r="E46" s="647"/>
      <c r="F46" s="647"/>
      <c r="G46" s="647"/>
      <c r="H46" s="647"/>
      <c r="I46" s="647"/>
      <c r="J46" s="647"/>
      <c r="K46" s="647"/>
      <c r="L46" s="647"/>
      <c r="M46" s="647"/>
      <c r="N46" s="647"/>
      <c r="O46" s="647"/>
      <c r="P46" s="647"/>
      <c r="Q46" s="647"/>
      <c r="R46" s="647">
        <f>ABNB!F85</f>
        <v>0.30515213739033031</v>
      </c>
      <c r="S46" s="647">
        <f>ABNB!G85</f>
        <v>0.3434097346670637</v>
      </c>
      <c r="T46" s="647">
        <f>ABNB!H85</f>
        <v>0.30086623714457117</v>
      </c>
      <c r="U46" s="647">
        <f>ABNB!I85</f>
        <v>0.31669416729023903</v>
      </c>
      <c r="V46" s="647">
        <f>ABNB!J85</f>
        <v>3.3682795314444736E-3</v>
      </c>
      <c r="W46" s="647">
        <f>ABNB!K85</f>
        <v>-0.7241657177603944</v>
      </c>
      <c r="X46" s="647">
        <f>ABNB!L85</f>
        <v>-0.18437063461827086</v>
      </c>
      <c r="Y46" s="647">
        <f>ABNB!M85</f>
        <v>-0.22364735687516035</v>
      </c>
      <c r="Z46" s="647">
        <f>ABNB!N86</f>
        <v>5.7129644197167151E-2</v>
      </c>
      <c r="AA46" s="647">
        <f>ABNB!O86</f>
        <v>0.10012375605391188</v>
      </c>
      <c r="AB46" s="647">
        <f>ABNB!P86</f>
        <v>0.36</v>
      </c>
      <c r="AC46" s="647">
        <f>ABNB!Q86</f>
        <v>0.38435267203712331</v>
      </c>
      <c r="AD46" s="647">
        <f>ABNB!R86</f>
        <v>0.79848606204499606</v>
      </c>
      <c r="AE46" s="647">
        <f>ABNB!S86</f>
        <v>0.73366164666410683</v>
      </c>
      <c r="AF46" s="2500">
        <f>ABNB!T86</f>
        <v>0.75262993836893677</v>
      </c>
      <c r="AG46" s="2500">
        <f>ABNB!U86</f>
        <v>0.71847386510251199</v>
      </c>
      <c r="AH46" s="2500">
        <f>ABNB!V86</f>
        <v>1.1668549851967334</v>
      </c>
      <c r="AI46" s="2500">
        <f>ABNB!W86</f>
        <v>1.0466713576418125</v>
      </c>
      <c r="AJ46" s="2500">
        <f>ABNB!X86</f>
        <v>1.064090715480559</v>
      </c>
      <c r="AK46" s="2500">
        <f>ABNB!Y86</f>
        <v>1.0039826670858947</v>
      </c>
      <c r="AL46" s="2500">
        <f t="shared" ref="AL46:AQ46" si="4">AL44/AH44-1</f>
        <v>0.17821782178217815</v>
      </c>
      <c r="AM46" s="2500">
        <f t="shared" si="4"/>
        <v>0.106280193236715</v>
      </c>
      <c r="AN46" s="2500">
        <f t="shared" si="4"/>
        <v>9.8616426258463452E-2</v>
      </c>
      <c r="AO46" s="2500">
        <f t="shared" si="4"/>
        <v>0.11812443642921555</v>
      </c>
      <c r="AP46" s="2500">
        <f t="shared" si="4"/>
        <v>6.0690943043884227E-2</v>
      </c>
      <c r="AQ46" s="2500">
        <f t="shared" si="4"/>
        <v>0.1266375545851528</v>
      </c>
    </row>
    <row r="47" spans="1:43" s="858" customFormat="1">
      <c r="A47" s="847" t="s">
        <v>2719</v>
      </c>
      <c r="B47" s="647"/>
      <c r="C47" s="647"/>
      <c r="D47" s="647"/>
      <c r="E47" s="647"/>
      <c r="F47" s="647"/>
      <c r="G47" s="647"/>
      <c r="H47" s="647"/>
      <c r="I47" s="647"/>
      <c r="J47" s="647"/>
      <c r="K47" s="647"/>
      <c r="L47" s="647"/>
      <c r="M47" s="647"/>
      <c r="N47" s="647">
        <f>ABNB!B56</f>
        <v>-0.14791083317777362</v>
      </c>
      <c r="O47" s="647">
        <f>ABNB!C56</f>
        <v>5.4743527729289782E-2</v>
      </c>
      <c r="P47" s="647">
        <f>ABNB!D56</f>
        <v>0.28456036429544229</v>
      </c>
      <c r="Q47" s="647">
        <f>ABNB!E56</f>
        <v>-0.17101620653186403</v>
      </c>
      <c r="R47" s="647">
        <f>ABNB!F56</f>
        <v>-0.29542767376556012</v>
      </c>
      <c r="S47" s="647">
        <f>ABNB!G56</f>
        <v>-3.5093327884331754E-2</v>
      </c>
      <c r="T47" s="647">
        <f>ABNB!H56</f>
        <v>0.19053981714234328</v>
      </c>
      <c r="U47" s="647">
        <f>ABNB!I56</f>
        <v>-0.24971720172461773</v>
      </c>
      <c r="V47" s="647">
        <f>ABNB!J56</f>
        <v>-0.39707660691588564</v>
      </c>
      <c r="W47" s="647">
        <f>ABNB!K56</f>
        <v>-1.1868484410378346</v>
      </c>
      <c r="X47" s="647">
        <f>ABNB!L56</f>
        <v>0.37356136452186534</v>
      </c>
      <c r="Y47" s="647">
        <f>ABNB!M56</f>
        <v>-2.3879738939371366E-2</v>
      </c>
      <c r="Z47" s="647">
        <f>ABNB!N56</f>
        <v>-6.611300026157467E-2</v>
      </c>
      <c r="AA47" s="647">
        <f>ABNB!O56</f>
        <v>0.16281804319365847</v>
      </c>
      <c r="AB47" s="647">
        <f>ABNB!P56</f>
        <v>0.49220758440926921</v>
      </c>
      <c r="AC47" s="647">
        <f>ABNB!Q56</f>
        <v>0.2175759498132093</v>
      </c>
      <c r="AD47" s="647">
        <f>ABNB!R56</f>
        <v>0.15182873771403313</v>
      </c>
      <c r="AE47" s="647">
        <f>ABNB!S56</f>
        <v>0.33791057203839919</v>
      </c>
      <c r="AF47" s="647">
        <f>ABNB!T56</f>
        <v>0.50512929853938937</v>
      </c>
      <c r="AG47" s="647">
        <f>ABNB!U56</f>
        <v>0.26603575184016826</v>
      </c>
      <c r="AH47" s="647">
        <f>ABNB!V56</f>
        <v>0.14411441144114412</v>
      </c>
      <c r="AI47" s="647">
        <f>ABNB!W56</f>
        <v>0.32971014492753625</v>
      </c>
      <c r="AJ47" s="647">
        <f>ABNB!X56</f>
        <v>0.53988813659110979</v>
      </c>
      <c r="AK47" s="647">
        <f>ABNB!Y56</f>
        <v>0.33273219116321012</v>
      </c>
      <c r="AL47" s="647">
        <f>ABNB!Z56</f>
        <v>0.19794584500466852</v>
      </c>
      <c r="AM47" s="647">
        <f>ABNB!AA56</f>
        <v>0.32532751091703055</v>
      </c>
      <c r="AN47" s="647">
        <f>ABNB!AB56</f>
        <v>0.52465166130760987</v>
      </c>
      <c r="AO47" s="647">
        <f>ABNB!AC56</f>
        <v>0.30846774193548387</v>
      </c>
      <c r="AP47" s="647">
        <f>ABNB!AD56</f>
        <v>0.18353873239436619</v>
      </c>
      <c r="AQ47" s="647">
        <f>ABNB!AE56</f>
        <v>0.33688630490956073</v>
      </c>
    </row>
    <row r="48" spans="1:43">
      <c r="A48" s="1026" t="s">
        <v>2691</v>
      </c>
      <c r="B48" s="647"/>
      <c r="C48" s="647"/>
      <c r="D48" s="647"/>
      <c r="E48" s="647"/>
      <c r="F48" s="647"/>
      <c r="G48" s="647"/>
      <c r="H48" s="647"/>
      <c r="I48" s="647"/>
      <c r="J48" s="647"/>
      <c r="K48" s="647"/>
      <c r="L48" s="647"/>
      <c r="M48" s="647"/>
      <c r="N48" s="857">
        <f>ABNB!B3</f>
        <v>62.217265000000005</v>
      </c>
      <c r="O48" s="857">
        <f>ABNB!C3</f>
        <v>64.803216000000006</v>
      </c>
      <c r="P48" s="857">
        <f>ABNB!D3</f>
        <v>65.826813000000001</v>
      </c>
      <c r="Q48" s="857">
        <f>ABNB!E3</f>
        <v>57.533487999999991</v>
      </c>
      <c r="R48" s="857">
        <f>ABNB!F3</f>
        <v>81</v>
      </c>
      <c r="S48" s="857">
        <f>ABNB!G3</f>
        <v>84</v>
      </c>
      <c r="T48" s="857">
        <f>ABNB!H3</f>
        <v>85.833333333333343</v>
      </c>
      <c r="U48" s="857">
        <f>ABNB!I3</f>
        <v>75.8</v>
      </c>
      <c r="V48" s="857">
        <f>ABNB!J3</f>
        <v>57.099999999999994</v>
      </c>
      <c r="W48" s="857">
        <f>ABNB!K3</f>
        <v>28</v>
      </c>
      <c r="X48" s="857">
        <f>ABNB!L3</f>
        <v>61.8</v>
      </c>
      <c r="Y48" s="857">
        <f>ABNB!M3</f>
        <v>46.3</v>
      </c>
      <c r="Z48" s="857">
        <f>ABNB!N3</f>
        <v>64.400000000000006</v>
      </c>
      <c r="AA48" s="857">
        <f>ABNB!O3</f>
        <v>83.1</v>
      </c>
      <c r="AB48" s="857">
        <f>ABNB!P3</f>
        <v>79.7</v>
      </c>
      <c r="AC48" s="857">
        <f>ABNB!Q3</f>
        <v>73.400000000000006</v>
      </c>
      <c r="AD48" s="857">
        <f>ABNB!R3</f>
        <v>102.1</v>
      </c>
      <c r="AE48" s="857">
        <f>ABNB!S3</f>
        <v>103.7</v>
      </c>
      <c r="AF48" s="857">
        <f>ABNB!T3</f>
        <v>99.7</v>
      </c>
      <c r="AG48" s="857">
        <f>ABNB!U3</f>
        <v>88.2</v>
      </c>
      <c r="AH48" s="857">
        <f>ABNB!V3</f>
        <v>121.1</v>
      </c>
      <c r="AI48" s="857">
        <f>ABNB!W3</f>
        <v>115.1</v>
      </c>
      <c r="AJ48" s="857">
        <f>ABNB!X3</f>
        <v>113.2</v>
      </c>
      <c r="AK48" s="857">
        <f>ABNB!Y3</f>
        <v>98.8</v>
      </c>
      <c r="AL48" s="857">
        <f>ABNB!Z3</f>
        <v>132.6</v>
      </c>
      <c r="AM48" s="857">
        <f>ABNB!AA3</f>
        <v>125.1</v>
      </c>
      <c r="AN48" s="857">
        <f>ABNB!AB3</f>
        <v>122.8</v>
      </c>
      <c r="AO48" s="857">
        <f>ABNB!AC3</f>
        <v>111</v>
      </c>
      <c r="AP48" s="857">
        <f>ABNB!AD3</f>
        <v>143.1</v>
      </c>
      <c r="AQ48" s="857">
        <f>ABNB!AE3</f>
        <v>134.4</v>
      </c>
    </row>
    <row r="49" spans="1:43">
      <c r="A49" s="847" t="s">
        <v>2692</v>
      </c>
      <c r="B49" s="647"/>
      <c r="C49" s="647"/>
      <c r="D49" s="647"/>
      <c r="E49" s="647"/>
      <c r="F49" s="647"/>
      <c r="G49" s="647"/>
      <c r="H49" s="647"/>
      <c r="I49" s="647"/>
      <c r="J49" s="647"/>
      <c r="K49" s="647"/>
      <c r="L49" s="647"/>
      <c r="M49" s="647"/>
      <c r="N49" s="647"/>
      <c r="O49" s="647"/>
      <c r="P49" s="647"/>
      <c r="Q49" s="647"/>
      <c r="R49" s="647">
        <f>ABNB!F4</f>
        <v>0.30188943535206825</v>
      </c>
      <c r="S49" s="647">
        <f>ABNB!G4</f>
        <v>0.29623196478396996</v>
      </c>
      <c r="T49" s="647">
        <f>ABNB!H4</f>
        <v>0.3039266132074987</v>
      </c>
      <c r="U49" s="647">
        <f>ABNB!I4</f>
        <v>0.31749356131510753</v>
      </c>
      <c r="V49" s="647">
        <f>ABNB!J4</f>
        <v>-0.29506172839506184</v>
      </c>
      <c r="W49" s="647">
        <f>ABNB!K4</f>
        <v>-0.66666666666666674</v>
      </c>
      <c r="X49" s="647">
        <f>ABNB!L4</f>
        <v>-0.28000000000000014</v>
      </c>
      <c r="Y49" s="647">
        <f>ABNB!M4</f>
        <v>-0.3891820580474934</v>
      </c>
      <c r="Z49" s="2864">
        <f>ABNB!N5</f>
        <v>-0.20493827160493816</v>
      </c>
      <c r="AA49" s="2864">
        <f>ABNB!O5</f>
        <v>-1.0714285714285787E-2</v>
      </c>
      <c r="AB49" s="2864">
        <f>ABNB!P5</f>
        <v>-7.0000000000000007E-2</v>
      </c>
      <c r="AC49" s="2864">
        <f>ABNB!Q5</f>
        <v>-0.03</v>
      </c>
      <c r="AD49" s="2864">
        <f>ABNB!R5</f>
        <v>0.26</v>
      </c>
      <c r="AE49" s="2864">
        <f>ABNB!S5</f>
        <v>0.24</v>
      </c>
      <c r="AF49" s="2955">
        <f>ABNB!T5</f>
        <v>0.16155339805825242</v>
      </c>
      <c r="AG49" s="2955">
        <f>ABNB!U5</f>
        <v>0.16358839050131935</v>
      </c>
      <c r="AH49" s="2955">
        <f>ABNB!V5</f>
        <v>0.49</v>
      </c>
      <c r="AI49" s="2955">
        <f>AI48/S48-1</f>
        <v>0.37023809523809526</v>
      </c>
      <c r="AJ49" s="2955">
        <f>AJ48/T48-1</f>
        <v>0.31883495145631047</v>
      </c>
      <c r="AK49" s="2955">
        <f>AK48/U48-1</f>
        <v>0.30343007915567277</v>
      </c>
      <c r="AL49" s="2864">
        <f t="shared" ref="AL49:AQ49" si="5">AL48/AH48-1</f>
        <v>9.4962840627580425E-2</v>
      </c>
      <c r="AM49" s="2864">
        <f t="shared" si="5"/>
        <v>8.6880973066898459E-2</v>
      </c>
      <c r="AN49" s="2864">
        <f t="shared" si="5"/>
        <v>8.4805653710247286E-2</v>
      </c>
      <c r="AO49" s="2864">
        <f t="shared" si="5"/>
        <v>0.12348178137651833</v>
      </c>
      <c r="AP49" s="2864">
        <f t="shared" si="5"/>
        <v>7.9185520361990891E-2</v>
      </c>
      <c r="AQ49" s="2864">
        <f t="shared" si="5"/>
        <v>7.4340527577937854E-2</v>
      </c>
    </row>
    <row r="50" spans="1:43">
      <c r="A50" s="847" t="s">
        <v>2695</v>
      </c>
      <c r="N50" s="676">
        <f>ABNB!B81</f>
        <v>0.35626127807852653</v>
      </c>
      <c r="O50" s="676">
        <f>ABNB!C81</f>
        <v>0.28864960356684688</v>
      </c>
      <c r="P50" s="676">
        <f>ABNB!D81</f>
        <v>0.23973008243441177</v>
      </c>
      <c r="Q50" s="676">
        <f>ABNB!E81</f>
        <v>0.35184103489585256</v>
      </c>
      <c r="R50" s="676">
        <f>ABNB!F81</f>
        <v>0.43116957726065663</v>
      </c>
      <c r="S50" s="676">
        <f>ABNB!G81</f>
        <v>0.31478612943466056</v>
      </c>
      <c r="T50" s="676">
        <f>ABNB!H81</f>
        <v>0.25740675590198092</v>
      </c>
      <c r="U50" s="676">
        <f>ABNB!I81</f>
        <v>0.38866060231515104</v>
      </c>
      <c r="V50" s="676">
        <f>ABNB!J81</f>
        <v>0.36958887186249001</v>
      </c>
      <c r="W50" s="676">
        <f>ABNB!K81</f>
        <v>0.32992406817733755</v>
      </c>
      <c r="X50" s="676">
        <f>ABNB!L81</f>
        <v>8.3399697988052135E-2</v>
      </c>
      <c r="Y50" s="676">
        <f>ABNB!M81</f>
        <v>0.172174093177417</v>
      </c>
      <c r="Z50" s="676">
        <f>ABNB!N81</f>
        <v>0.22012298519848103</v>
      </c>
      <c r="AA50" s="676">
        <f>ABNB!O81</f>
        <v>0.21869448380612283</v>
      </c>
      <c r="AB50" s="676">
        <f>ABNB!P81</f>
        <v>0.11796783097765653</v>
      </c>
      <c r="AC50" s="676">
        <f>ABNB!Q81</f>
        <v>0.21141877409939722</v>
      </c>
      <c r="AD50" s="676">
        <f>ABNB!R81</f>
        <v>0.2067740402680828</v>
      </c>
      <c r="AE50" s="676">
        <f>ABNB!S81</f>
        <v>0.16670112308927257</v>
      </c>
      <c r="AF50" s="676">
        <f>ABNB!T81</f>
        <v>0.12313263371018685</v>
      </c>
      <c r="AG50" s="676">
        <f>ABNB!U81</f>
        <v>0.19558359621451105</v>
      </c>
      <c r="AH50" s="676">
        <f>ABNB!V81</f>
        <v>0.23212321232123212</v>
      </c>
      <c r="AI50" s="727">
        <f>ABNB!W81</f>
        <v>0.18115942028985507</v>
      </c>
      <c r="AJ50" s="727">
        <f>ABNB!X81</f>
        <v>0.10891963497203415</v>
      </c>
      <c r="AK50" s="727">
        <f>ABNB!Y81</f>
        <v>0.1762849413886384</v>
      </c>
      <c r="AL50" s="727">
        <f>ABNB!Z81</f>
        <v>0.22362278244631187</v>
      </c>
      <c r="AM50" s="727">
        <f>ABNB!AA81</f>
        <v>0.19177583697234352</v>
      </c>
      <c r="AN50" s="727">
        <f>ABNB!AB81</f>
        <v>0.12620578778135047</v>
      </c>
      <c r="AO50" s="727">
        <f>ABNB!AC81</f>
        <v>0.20201612903225807</v>
      </c>
      <c r="AP50" s="727">
        <f>ABNB!AD81</f>
        <v>0.22843309859154928</v>
      </c>
      <c r="AQ50" s="727">
        <f>ABNB!AE81</f>
        <v>0.20639534883720931</v>
      </c>
    </row>
    <row r="51" spans="1:43">
      <c r="A51" s="857" t="s">
        <v>2812</v>
      </c>
      <c r="R51" s="676">
        <f>ABNB!F29/ABNB!F15</f>
        <v>-0.36469313614714594</v>
      </c>
      <c r="S51" s="676">
        <f>ABNB!G29/ABNB!G15</f>
        <v>-8.2521888013130207E-2</v>
      </c>
      <c r="T51" s="676">
        <f>ABNB!H29/ABNB!H15</f>
        <v>0.14129026025042518</v>
      </c>
      <c r="U51" s="676">
        <f>ABNB!I29/ABNB!I15</f>
        <v>-0.29629579434692555</v>
      </c>
      <c r="V51" s="676">
        <f>ABNB!J29/ABNB!J15</f>
        <v>-0.38664457194445434</v>
      </c>
      <c r="W51" s="676">
        <f>ABNB!K29/ABNB!K15</f>
        <v>-1.7421155764784599</v>
      </c>
      <c r="X51" s="676">
        <f>ABNB!L29/ABNB!L15</f>
        <v>0.31194764927577473</v>
      </c>
      <c r="Y51" s="676">
        <f>ABNB!M29/ABNB!M15</f>
        <v>-3.6079481975271865</v>
      </c>
      <c r="Z51" s="676">
        <f>ABNB!N29/ABNB!N15</f>
        <v>-0.50392023776236383</v>
      </c>
      <c r="AA51" s="676">
        <f>ABNB!O29/ABNB!O15</f>
        <v>-3.8404848426747851E-2</v>
      </c>
      <c r="AB51" s="676">
        <f>ABNB!P29/ABNB!P15</f>
        <v>0.38078162822378503</v>
      </c>
      <c r="AC51" s="676">
        <f>ABNB!Q29/ABNB!Q15</f>
        <v>4.931940822192462E-2</v>
      </c>
      <c r="AD51" s="676">
        <f>ABNB!R29/ABNB!R15</f>
        <v>-3.0206695176804733E-3</v>
      </c>
      <c r="AE51" s="676">
        <f>ABNB!S29/ABNB!S15</f>
        <v>0.17528718834165757</v>
      </c>
      <c r="AF51" s="676">
        <f>ABNB!T29/ABNB!T15</f>
        <v>0.4172364539021845</v>
      </c>
      <c r="AG51" s="676">
        <f>ABNB!U29/ABNB!U15</f>
        <v>0.12355415352260778</v>
      </c>
      <c r="AH51" s="676">
        <f>ABNB!V29/ABNB!V15</f>
        <v>-2.7502750275027505E-3</v>
      </c>
      <c r="AI51" s="676">
        <f>ABNB!W29/ABNB!W15</f>
        <v>0.21054750402576489</v>
      </c>
      <c r="AJ51" s="676">
        <f>ABNB!X29/ABNB!X15</f>
        <v>0.44038857815719751</v>
      </c>
      <c r="AK51" s="676">
        <f>ABNB!Y29/ABNB!Y15</f>
        <v>-0.22362488728584309</v>
      </c>
      <c r="AL51" s="676">
        <f>ABNB!Z29/ABNB!Z15</f>
        <v>4.7152194211017739E-2</v>
      </c>
      <c r="AM51" s="727">
        <f>ABNB!AA29/ABNB!AA15</f>
        <v>0.18085880640465793</v>
      </c>
      <c r="AN51" s="727">
        <f>ABNB!AB29/ABNB!AB15</f>
        <v>0.40862808145766344</v>
      </c>
      <c r="AO51" s="727">
        <f>ABNB!AC29/ABNB!AC15</f>
        <v>0.17338709677419356</v>
      </c>
      <c r="AP51" s="727">
        <f>ABNB!AD29/ABNB!AD15</f>
        <v>1.6725352112676055E-2</v>
      </c>
      <c r="AQ51" s="727">
        <f>ABNB!AE29/ABNB!AE15</f>
        <v>0.19767441860465115</v>
      </c>
    </row>
    <row r="52" spans="1:43">
      <c r="A52" s="847"/>
    </row>
    <row r="57" spans="1:43" hidden="1"/>
    <row r="58" spans="1:43" hidden="1"/>
    <row r="59" spans="1:43" hidden="1"/>
    <row r="60" spans="1:43" hidden="1"/>
    <row r="61" spans="1:43" hidden="1"/>
    <row r="62" spans="1:43" hidden="1"/>
    <row r="63" spans="1:43" hidden="1"/>
    <row r="64" spans="1:43"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spans="1:30" hidden="1"/>
    <row r="98" spans="1:30" hidden="1"/>
    <row r="99" spans="1:30" hidden="1"/>
    <row r="100" spans="1:30" hidden="1"/>
    <row r="101" spans="1:30" hidden="1"/>
    <row r="102" spans="1:30" hidden="1"/>
    <row r="103" spans="1:30" hidden="1">
      <c r="A103" s="847" t="s">
        <v>2695</v>
      </c>
      <c r="N103" s="647">
        <f>ABNB!B81</f>
        <v>0.35626127807852653</v>
      </c>
      <c r="O103" s="647">
        <f>ABNB!C81</f>
        <v>0.28864960356684688</v>
      </c>
      <c r="P103" s="647">
        <f>ABNB!D81</f>
        <v>0.23973008243441177</v>
      </c>
      <c r="Q103" s="647">
        <f>ABNB!E81</f>
        <v>0.35184103489585256</v>
      </c>
      <c r="R103" s="647">
        <f>ABNB!F81</f>
        <v>0.43116957726065663</v>
      </c>
      <c r="S103" s="647">
        <f>ABNB!G81</f>
        <v>0.31478612943466056</v>
      </c>
      <c r="T103" s="647">
        <f>ABNB!H81</f>
        <v>0.25740675590198092</v>
      </c>
      <c r="U103" s="647">
        <f>ABNB!I81</f>
        <v>0.38866060231515104</v>
      </c>
      <c r="V103" s="647">
        <f>ABNB!J81</f>
        <v>0.36958887186249001</v>
      </c>
      <c r="W103" s="647">
        <f>ABNB!K81</f>
        <v>0.32992406817733755</v>
      </c>
      <c r="X103" s="647">
        <f>ABNB!L81</f>
        <v>8.3399697988052135E-2</v>
      </c>
      <c r="Y103" s="647">
        <f>ABNB!M81</f>
        <v>0.172174093177417</v>
      </c>
      <c r="Z103" s="647">
        <f>ABNB!N81</f>
        <v>0.22012298519848103</v>
      </c>
      <c r="AA103" s="647">
        <f>ABNB!O81</f>
        <v>0.21869448380612283</v>
      </c>
      <c r="AB103" s="647">
        <f>ABNB!P81</f>
        <v>0.11796783097765653</v>
      </c>
      <c r="AC103" s="647">
        <f>ABNB!Q81</f>
        <v>0.21141877409939722</v>
      </c>
      <c r="AD103" s="647">
        <f>ABNB!R81</f>
        <v>0.2067740402680828</v>
      </c>
    </row>
    <row r="104" spans="1:30" hidden="1"/>
    <row r="105" spans="1:30" hidden="1"/>
    <row r="106" spans="1:30" hidden="1"/>
    <row r="107" spans="1:30" hidden="1"/>
    <row r="108" spans="1:30" hidden="1"/>
    <row r="109" spans="1:30" hidden="1"/>
  </sheetData>
  <phoneticPr fontId="11" type="noConversion"/>
  <pageMargins left="0.7" right="0.7" top="0.75" bottom="0.75" header="0.3" footer="0.3"/>
  <pageSetup paperSize="9" scale="45" fitToWidth="0" orientation="landscape" verticalDpi="599"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DV281"/>
  <sheetViews>
    <sheetView workbookViewId="0"/>
  </sheetViews>
  <sheetFormatPr defaultColWidth="9" defaultRowHeight="11.5" outlineLevelRow="1" outlineLevelCol="1"/>
  <cols>
    <col min="1" max="1" width="60.75" style="925" customWidth="1"/>
    <col min="2" max="4" width="12.33203125" style="867" customWidth="1" outlineLevel="1"/>
    <col min="5" max="5" width="12.33203125" style="868" customWidth="1" outlineLevel="1"/>
    <col min="6" max="8" width="12.33203125" style="867" customWidth="1"/>
    <col min="9" max="9" width="12.33203125" style="868" customWidth="1"/>
    <col min="10" max="12" width="11.25" style="867" customWidth="1"/>
    <col min="13" max="13" width="11.33203125" style="868" customWidth="1"/>
    <col min="14" max="14" width="10.33203125" style="867" customWidth="1"/>
    <col min="15" max="15" width="10.25" style="867" customWidth="1"/>
    <col min="16" max="16" width="9.58203125" style="867" customWidth="1"/>
    <col min="17" max="17" width="10.25" style="868" customWidth="1"/>
    <col min="18" max="18" width="10.25" style="867" customWidth="1"/>
    <col min="19" max="20" width="10.25" style="867" bestFit="1" customWidth="1"/>
    <col min="21" max="21" width="10.25" style="868" customWidth="1"/>
    <col min="22" max="22" width="10.25" style="867" customWidth="1"/>
    <col min="23" max="24" width="11.58203125" style="867" customWidth="1"/>
    <col min="25" max="25" width="9" style="867"/>
    <col min="26" max="26" width="10.25" style="867" bestFit="1" customWidth="1"/>
    <col min="27" max="16384" width="9" style="867"/>
  </cols>
  <sheetData>
    <row r="1" spans="1:126">
      <c r="A1" s="1029"/>
      <c r="B1" s="1030"/>
      <c r="C1" s="1030"/>
      <c r="D1" s="1030"/>
      <c r="E1" s="1031"/>
      <c r="F1" s="1030"/>
      <c r="G1" s="1030"/>
      <c r="H1" s="1030"/>
      <c r="I1" s="1994"/>
    </row>
    <row r="2" spans="1:126">
      <c r="A2" s="925" t="s">
        <v>1186</v>
      </c>
      <c r="B2" s="902"/>
      <c r="C2" s="902"/>
      <c r="D2" s="902"/>
      <c r="E2" s="903"/>
      <c r="F2" s="902"/>
      <c r="G2" s="902"/>
      <c r="H2" s="902"/>
      <c r="I2" s="903"/>
    </row>
    <row r="3" spans="1:126">
      <c r="A3" s="869"/>
      <c r="B3" s="870" t="s">
        <v>843</v>
      </c>
      <c r="C3" s="870" t="s">
        <v>843</v>
      </c>
      <c r="D3" s="870" t="s">
        <v>843</v>
      </c>
      <c r="E3" s="871" t="s">
        <v>843</v>
      </c>
      <c r="F3" s="870" t="s">
        <v>843</v>
      </c>
      <c r="G3" s="870" t="s">
        <v>843</v>
      </c>
      <c r="H3" s="870" t="s">
        <v>843</v>
      </c>
      <c r="I3" s="871" t="s">
        <v>843</v>
      </c>
      <c r="J3" s="872" t="s">
        <v>843</v>
      </c>
      <c r="K3" s="872" t="s">
        <v>843</v>
      </c>
      <c r="L3" s="872" t="s">
        <v>843</v>
      </c>
      <c r="M3" s="873" t="s">
        <v>843</v>
      </c>
      <c r="N3" s="872" t="s">
        <v>843</v>
      </c>
      <c r="O3" s="872" t="s">
        <v>843</v>
      </c>
      <c r="P3" s="872" t="s">
        <v>843</v>
      </c>
      <c r="Q3" s="873" t="s">
        <v>843</v>
      </c>
      <c r="R3" s="872" t="s">
        <v>843</v>
      </c>
      <c r="S3" s="874" t="s">
        <v>843</v>
      </c>
      <c r="T3" s="874" t="s">
        <v>843</v>
      </c>
      <c r="U3" s="873" t="s">
        <v>843</v>
      </c>
      <c r="V3" s="872" t="s">
        <v>843</v>
      </c>
      <c r="W3" s="872" t="s">
        <v>843</v>
      </c>
      <c r="X3" s="872" t="s">
        <v>843</v>
      </c>
    </row>
    <row r="4" spans="1:126" s="878" customFormat="1">
      <c r="A4" s="875"/>
      <c r="B4" s="870" t="s">
        <v>1187</v>
      </c>
      <c r="C4" s="870" t="s">
        <v>878</v>
      </c>
      <c r="D4" s="870" t="s">
        <v>879</v>
      </c>
      <c r="E4" s="871" t="s">
        <v>880</v>
      </c>
      <c r="F4" s="870" t="s">
        <v>789</v>
      </c>
      <c r="G4" s="870" t="s">
        <v>790</v>
      </c>
      <c r="H4" s="870" t="s">
        <v>791</v>
      </c>
      <c r="I4" s="871" t="s">
        <v>792</v>
      </c>
      <c r="J4" s="872" t="s">
        <v>793</v>
      </c>
      <c r="K4" s="872" t="s">
        <v>794</v>
      </c>
      <c r="L4" s="872" t="s">
        <v>795</v>
      </c>
      <c r="M4" s="873" t="s">
        <v>796</v>
      </c>
      <c r="N4" s="872" t="s">
        <v>1188</v>
      </c>
      <c r="O4" s="876" t="s">
        <v>1189</v>
      </c>
      <c r="P4" s="876" t="s">
        <v>1190</v>
      </c>
      <c r="Q4" s="879" t="s">
        <v>1191</v>
      </c>
      <c r="R4" s="876" t="s">
        <v>1192</v>
      </c>
      <c r="S4" s="877" t="s">
        <v>1193</v>
      </c>
      <c r="T4" s="876" t="s">
        <v>1309</v>
      </c>
      <c r="U4" s="879" t="s">
        <v>1430</v>
      </c>
      <c r="V4" s="876" t="s">
        <v>1987</v>
      </c>
      <c r="W4" s="876" t="s">
        <v>2051</v>
      </c>
      <c r="X4" s="876" t="s">
        <v>2069</v>
      </c>
    </row>
    <row r="5" spans="1:126" s="878" customFormat="1">
      <c r="A5" s="872" t="s">
        <v>1194</v>
      </c>
      <c r="B5" s="877" t="s">
        <v>1195</v>
      </c>
      <c r="C5" s="876" t="s">
        <v>1196</v>
      </c>
      <c r="D5" s="876" t="s">
        <v>1197</v>
      </c>
      <c r="E5" s="876" t="s">
        <v>1198</v>
      </c>
      <c r="F5" s="877" t="s">
        <v>1199</v>
      </c>
      <c r="G5" s="876" t="s">
        <v>1200</v>
      </c>
      <c r="H5" s="876" t="s">
        <v>1201</v>
      </c>
      <c r="I5" s="879" t="s">
        <v>1202</v>
      </c>
      <c r="J5" s="876" t="s">
        <v>1203</v>
      </c>
      <c r="K5" s="876" t="s">
        <v>1204</v>
      </c>
      <c r="L5" s="876" t="s">
        <v>1205</v>
      </c>
      <c r="M5" s="879" t="s">
        <v>1206</v>
      </c>
      <c r="N5" s="876" t="s">
        <v>1207</v>
      </c>
      <c r="O5" s="876" t="s">
        <v>1208</v>
      </c>
      <c r="P5" s="876" t="s">
        <v>1209</v>
      </c>
      <c r="Q5" s="879" t="s">
        <v>1210</v>
      </c>
      <c r="R5" s="876" t="s">
        <v>1211</v>
      </c>
      <c r="S5" s="876" t="s">
        <v>1212</v>
      </c>
      <c r="T5" s="876" t="s">
        <v>1318</v>
      </c>
      <c r="U5" s="879" t="s">
        <v>1477</v>
      </c>
      <c r="V5" s="876" t="s">
        <v>1988</v>
      </c>
      <c r="W5" s="876" t="s">
        <v>2052</v>
      </c>
      <c r="X5" s="876" t="s">
        <v>2070</v>
      </c>
    </row>
    <row r="6" spans="1:126">
      <c r="A6" s="867"/>
      <c r="B6" s="880"/>
      <c r="C6" s="880"/>
      <c r="D6" s="880"/>
      <c r="E6" s="881"/>
      <c r="F6" s="880"/>
      <c r="G6" s="880"/>
      <c r="H6" s="880"/>
      <c r="I6" s="881"/>
      <c r="J6" s="880"/>
      <c r="K6" s="880"/>
      <c r="L6" s="880"/>
      <c r="M6" s="881"/>
      <c r="N6" s="882" t="s">
        <v>1213</v>
      </c>
      <c r="O6" s="880"/>
      <c r="P6" s="880"/>
      <c r="Q6" s="881"/>
      <c r="R6" s="880"/>
    </row>
    <row r="7" spans="1:126">
      <c r="A7" s="1975" t="s">
        <v>1214</v>
      </c>
      <c r="B7" s="880"/>
      <c r="C7" s="880"/>
      <c r="D7" s="880"/>
      <c r="E7" s="881"/>
      <c r="F7" s="880"/>
      <c r="G7" s="880"/>
      <c r="H7" s="880"/>
      <c r="I7" s="881"/>
      <c r="J7" s="880"/>
      <c r="K7" s="880"/>
      <c r="L7" s="880"/>
      <c r="M7" s="881"/>
      <c r="N7" s="880"/>
      <c r="O7" s="880"/>
      <c r="P7" s="880"/>
      <c r="Q7" s="881"/>
      <c r="R7" s="880"/>
    </row>
    <row r="8" spans="1:126">
      <c r="A8" s="867" t="s">
        <v>1215</v>
      </c>
      <c r="B8" s="880"/>
      <c r="C8" s="880"/>
      <c r="D8" s="880"/>
      <c r="E8" s="881"/>
      <c r="F8" s="880"/>
      <c r="G8" s="880"/>
      <c r="H8" s="880"/>
      <c r="I8" s="881"/>
      <c r="J8" s="880"/>
      <c r="K8" s="880"/>
      <c r="L8" s="880"/>
      <c r="M8" s="881"/>
      <c r="N8" s="880"/>
      <c r="O8" s="880"/>
      <c r="P8" s="880"/>
      <c r="Q8" s="881"/>
      <c r="R8" s="880"/>
      <c r="Y8" s="867">
        <v>67</v>
      </c>
    </row>
    <row r="9" spans="1:126">
      <c r="A9" s="867" t="s">
        <v>1216</v>
      </c>
      <c r="B9" s="880"/>
      <c r="C9" s="880"/>
      <c r="D9" s="880"/>
      <c r="E9" s="881"/>
      <c r="F9" s="880"/>
      <c r="G9" s="880"/>
      <c r="H9" s="880"/>
      <c r="I9" s="881"/>
      <c r="J9" s="880"/>
      <c r="K9" s="880"/>
      <c r="L9" s="880"/>
      <c r="M9" s="881"/>
      <c r="N9" s="880"/>
      <c r="O9" s="880"/>
      <c r="P9" s="880"/>
      <c r="Q9" s="881"/>
      <c r="R9" s="880"/>
      <c r="Y9" s="867">
        <v>23</v>
      </c>
    </row>
    <row r="10" spans="1:126">
      <c r="A10" s="884" t="s">
        <v>1217</v>
      </c>
      <c r="B10" s="880"/>
      <c r="C10" s="880"/>
      <c r="D10" s="880"/>
      <c r="E10" s="881"/>
      <c r="F10" s="880"/>
      <c r="G10" s="880"/>
      <c r="H10" s="880"/>
      <c r="I10" s="881"/>
      <c r="J10" s="880"/>
      <c r="K10" s="880"/>
      <c r="L10" s="880"/>
      <c r="M10" s="881"/>
      <c r="N10" s="880"/>
      <c r="O10" s="880"/>
      <c r="P10" s="880"/>
      <c r="Q10" s="881"/>
      <c r="R10" s="820"/>
      <c r="Y10" s="211">
        <f>Y9/Y8</f>
        <v>0.34328358208955223</v>
      </c>
    </row>
    <row r="11" spans="1:126">
      <c r="A11" s="867"/>
      <c r="B11" s="880"/>
      <c r="C11" s="880"/>
      <c r="D11" s="880"/>
      <c r="E11" s="881"/>
      <c r="F11" s="880"/>
      <c r="G11" s="880"/>
      <c r="H11" s="880"/>
      <c r="I11" s="881"/>
      <c r="J11" s="880"/>
      <c r="K11" s="880"/>
      <c r="L11" s="880"/>
      <c r="M11" s="881"/>
      <c r="N11" s="880"/>
      <c r="O11" s="880"/>
      <c r="P11" s="880"/>
      <c r="Q11" s="881"/>
      <c r="R11" s="820"/>
      <c r="W11" s="211"/>
      <c r="X11" s="211"/>
    </row>
    <row r="12" spans="1:126" s="1466" customFormat="1">
      <c r="A12" s="376" t="s">
        <v>1317</v>
      </c>
      <c r="B12" s="1492">
        <f>5062143+4874364+5208065</f>
        <v>15144572</v>
      </c>
      <c r="C12" s="1492">
        <f>5247143+5936825+5594898</f>
        <v>16778866</v>
      </c>
      <c r="D12" s="1492">
        <f>5172742+5648739+5745441</f>
        <v>16566922</v>
      </c>
      <c r="E12" s="1623">
        <f>5830052+5782353+6339272</f>
        <v>17951677</v>
      </c>
      <c r="F12" s="1492">
        <v>18547627</v>
      </c>
      <c r="G12" s="1492">
        <v>20291493</v>
      </c>
      <c r="H12" s="1492">
        <v>20198401</v>
      </c>
      <c r="I12" s="1623">
        <v>22070502</v>
      </c>
      <c r="J12" s="1492">
        <v>23005883</v>
      </c>
      <c r="K12" s="1492">
        <v>24570663</v>
      </c>
      <c r="L12" s="1492">
        <v>25118743</v>
      </c>
      <c r="M12" s="1623">
        <v>27190531</v>
      </c>
      <c r="N12" s="1492">
        <v>27279358</v>
      </c>
      <c r="O12" s="1492">
        <v>28876367</v>
      </c>
      <c r="P12" s="1492">
        <f>9533226+9663380+9550493+32174+27747+32108</f>
        <v>28839128</v>
      </c>
      <c r="Q12" s="1623">
        <f>10418436+10453411+11206075+32114+36059+36884</f>
        <v>32182979</v>
      </c>
      <c r="R12" s="1492">
        <v>33790317</v>
      </c>
      <c r="S12" s="1466">
        <v>34693820</v>
      </c>
      <c r="T12" s="1466">
        <v>34447828</v>
      </c>
      <c r="U12" s="1478">
        <v>36188079</v>
      </c>
      <c r="V12" s="1466">
        <v>35453454</v>
      </c>
      <c r="W12" s="1466">
        <v>35227000</v>
      </c>
      <c r="X12" s="1466">
        <v>35231000</v>
      </c>
    </row>
    <row r="13" spans="1:126" s="1605" customFormat="1" ht="12">
      <c r="A13" s="884" t="s">
        <v>1885</v>
      </c>
      <c r="B13" s="1603"/>
      <c r="C13" s="1603"/>
      <c r="D13" s="1603"/>
      <c r="E13" s="1604"/>
      <c r="F13" s="1019">
        <f>F12/B12-1</f>
        <v>0.22470460043373963</v>
      </c>
      <c r="G13" s="1019">
        <f t="shared" ref="G13:O13" si="0">G12/C12-1</f>
        <v>0.20934829564763202</v>
      </c>
      <c r="H13" s="1019">
        <f t="shared" si="0"/>
        <v>0.21920058535918741</v>
      </c>
      <c r="I13" s="993">
        <f t="shared" si="0"/>
        <v>0.22943956712233615</v>
      </c>
      <c r="J13" s="1019">
        <f t="shared" si="0"/>
        <v>0.24036799963682687</v>
      </c>
      <c r="K13" s="1019">
        <f t="shared" si="0"/>
        <v>0.2108849260130834</v>
      </c>
      <c r="L13" s="1019">
        <f t="shared" si="0"/>
        <v>0.24360057016394521</v>
      </c>
      <c r="M13" s="993">
        <f t="shared" si="0"/>
        <v>0.23198516282049231</v>
      </c>
      <c r="N13" s="1019">
        <f t="shared" si="0"/>
        <v>0.18575574777981796</v>
      </c>
      <c r="O13" s="1019">
        <f t="shared" si="0"/>
        <v>0.17523759940869321</v>
      </c>
      <c r="P13" s="1019">
        <f t="shared" ref="P13:X13" si="1">P12/L12-1</f>
        <v>0.14811190989931311</v>
      </c>
      <c r="Q13" s="993">
        <f t="shared" si="1"/>
        <v>0.18360980151509354</v>
      </c>
      <c r="R13" s="1019">
        <f t="shared" si="1"/>
        <v>0.23867713455719897</v>
      </c>
      <c r="S13" s="1019">
        <f t="shared" si="1"/>
        <v>0.20146069621569773</v>
      </c>
      <c r="T13" s="1019">
        <f t="shared" si="1"/>
        <v>0.19448230196141858</v>
      </c>
      <c r="U13" s="993">
        <f t="shared" si="1"/>
        <v>0.12444777097856607</v>
      </c>
      <c r="V13" s="1019">
        <f t="shared" si="1"/>
        <v>4.9219337007107677E-2</v>
      </c>
      <c r="W13" s="1019">
        <f t="shared" si="1"/>
        <v>1.5368154904821685E-2</v>
      </c>
      <c r="X13" s="1019">
        <f t="shared" si="1"/>
        <v>2.2735018300718446E-2</v>
      </c>
      <c r="Y13" s="1606"/>
      <c r="Z13" s="1606"/>
      <c r="AA13" s="1606"/>
      <c r="AB13" s="1606"/>
      <c r="AC13" s="1606"/>
      <c r="AD13" s="1606"/>
      <c r="AE13" s="1606"/>
      <c r="AF13" s="1606"/>
      <c r="AG13" s="1606"/>
      <c r="AH13" s="1606"/>
      <c r="AI13" s="1606"/>
      <c r="AJ13" s="1606"/>
      <c r="AK13" s="1606"/>
      <c r="AL13" s="1606"/>
      <c r="AM13" s="1606"/>
      <c r="AN13" s="1606"/>
      <c r="AO13" s="1606"/>
      <c r="AP13" s="1606"/>
      <c r="AQ13" s="1606"/>
      <c r="AR13" s="1606"/>
      <c r="AS13" s="1606"/>
      <c r="AT13" s="1606"/>
      <c r="AU13" s="1606"/>
      <c r="AV13" s="1606"/>
      <c r="AW13" s="1606"/>
      <c r="AX13" s="1606"/>
      <c r="AY13" s="1606"/>
      <c r="AZ13" s="1606"/>
      <c r="BA13" s="1606"/>
      <c r="BB13" s="1606"/>
      <c r="BC13" s="1606"/>
      <c r="BD13" s="1606"/>
      <c r="BE13" s="1606"/>
      <c r="BF13" s="1606"/>
      <c r="BG13" s="1606"/>
      <c r="BH13" s="1606"/>
      <c r="BI13" s="1606"/>
      <c r="BJ13" s="1606"/>
      <c r="BK13" s="1606"/>
      <c r="BL13" s="1606"/>
      <c r="BM13" s="1606"/>
      <c r="BN13" s="1606"/>
      <c r="BO13" s="1606"/>
      <c r="BP13" s="1606"/>
      <c r="BQ13" s="1606"/>
      <c r="BR13" s="1606"/>
      <c r="BS13" s="1606"/>
      <c r="BT13" s="1606"/>
      <c r="BU13" s="1606"/>
      <c r="BV13" s="1606"/>
      <c r="BW13" s="1606"/>
      <c r="BX13" s="1606"/>
      <c r="BY13" s="1606"/>
      <c r="BZ13" s="1606"/>
      <c r="CA13" s="1606"/>
      <c r="CB13" s="1606"/>
      <c r="CC13" s="1606"/>
      <c r="CD13" s="1606"/>
      <c r="CE13" s="1606"/>
      <c r="CF13" s="1606"/>
      <c r="CG13" s="1606"/>
      <c r="CH13" s="1606"/>
      <c r="CI13" s="1606"/>
      <c r="CJ13" s="1606"/>
      <c r="CK13" s="1606"/>
      <c r="CL13" s="1606"/>
      <c r="CM13" s="1606"/>
      <c r="CN13" s="1606"/>
      <c r="CO13" s="1606"/>
      <c r="CP13" s="1606"/>
      <c r="CQ13" s="1606"/>
      <c r="CR13" s="1606"/>
      <c r="CS13" s="1606"/>
      <c r="CT13" s="1606"/>
      <c r="CU13" s="1606"/>
      <c r="CV13" s="1606"/>
      <c r="CW13" s="1606"/>
      <c r="CX13" s="1606"/>
      <c r="CY13" s="1606"/>
      <c r="CZ13" s="1606"/>
      <c r="DA13" s="1606"/>
      <c r="DB13" s="1606"/>
      <c r="DC13" s="1606"/>
      <c r="DD13" s="1606"/>
      <c r="DE13" s="1606"/>
      <c r="DF13" s="1606"/>
      <c r="DG13" s="1606"/>
      <c r="DH13" s="1606"/>
      <c r="DI13" s="1606"/>
      <c r="DJ13" s="1606"/>
      <c r="DK13" s="1606"/>
      <c r="DL13" s="1606"/>
      <c r="DM13" s="1606"/>
      <c r="DN13" s="1606"/>
      <c r="DO13" s="1606"/>
      <c r="DP13" s="1606"/>
      <c r="DQ13" s="1606"/>
      <c r="DR13" s="1606"/>
      <c r="DS13" s="1606"/>
      <c r="DT13" s="1606"/>
      <c r="DU13" s="1606"/>
      <c r="DV13" s="1606"/>
    </row>
    <row r="14" spans="1:126" s="1466" customFormat="1">
      <c r="A14" s="1032" t="s">
        <v>1992</v>
      </c>
      <c r="B14" s="1492"/>
      <c r="C14" s="1492"/>
      <c r="D14" s="1492"/>
      <c r="E14" s="1623"/>
      <c r="F14" s="1551"/>
      <c r="G14" s="1551"/>
      <c r="H14" s="1551"/>
      <c r="I14" s="1554"/>
      <c r="J14" s="1551"/>
      <c r="K14" s="1551"/>
      <c r="L14" s="1551"/>
      <c r="M14" s="1623">
        <v>7170031</v>
      </c>
      <c r="N14" s="1492">
        <v>6778304</v>
      </c>
      <c r="O14" s="1492">
        <v>7357808</v>
      </c>
      <c r="P14" s="1492">
        <v>7091845</v>
      </c>
      <c r="Q14" s="1623">
        <v>8029759</v>
      </c>
      <c r="R14" s="1492">
        <v>7635602</v>
      </c>
      <c r="S14" s="1492">
        <v>7828650</v>
      </c>
      <c r="T14" s="1492">
        <v>7396880</v>
      </c>
      <c r="U14" s="1623">
        <v>8503427</v>
      </c>
      <c r="V14" s="1492">
        <v>7844578</v>
      </c>
      <c r="W14" s="1470"/>
      <c r="X14" s="1470"/>
    </row>
    <row r="15" spans="1:126" s="1605" customFormat="1" ht="12">
      <c r="A15" s="884" t="s">
        <v>1218</v>
      </c>
      <c r="B15" s="1603"/>
      <c r="C15" s="1603"/>
      <c r="D15" s="1603"/>
      <c r="E15" s="1604"/>
      <c r="F15" s="1019"/>
      <c r="G15" s="1019"/>
      <c r="H15" s="1019"/>
      <c r="I15" s="993"/>
      <c r="J15" s="1019"/>
      <c r="K15" s="1019"/>
      <c r="L15" s="1019"/>
      <c r="M15" s="1604"/>
      <c r="N15" s="1603"/>
      <c r="O15" s="1603"/>
      <c r="P15" s="1603"/>
      <c r="Q15" s="478">
        <f t="shared" ref="Q15:V15" si="2">Q14/M14-1</f>
        <v>0.11990575772963874</v>
      </c>
      <c r="R15" s="1474">
        <f t="shared" si="2"/>
        <v>0.1264767705904013</v>
      </c>
      <c r="S15" s="1474">
        <f t="shared" si="2"/>
        <v>6.3992156359611529E-2</v>
      </c>
      <c r="T15" s="1474">
        <f t="shared" si="2"/>
        <v>4.3012079367216849E-2</v>
      </c>
      <c r="U15" s="478">
        <f t="shared" si="2"/>
        <v>5.898906804052273E-2</v>
      </c>
      <c r="V15" s="478">
        <f t="shared" si="2"/>
        <v>2.7368634457374919E-2</v>
      </c>
      <c r="Y15" s="1606"/>
      <c r="Z15" s="1606"/>
      <c r="AA15" s="1606"/>
      <c r="AB15" s="1606"/>
      <c r="AC15" s="1606"/>
      <c r="AD15" s="1606"/>
      <c r="AE15" s="1606"/>
      <c r="AF15" s="1606"/>
      <c r="AG15" s="1606"/>
      <c r="AH15" s="1606"/>
      <c r="AI15" s="1606"/>
      <c r="AJ15" s="1606"/>
      <c r="AK15" s="1606"/>
      <c r="AL15" s="1606"/>
      <c r="AM15" s="1606"/>
      <c r="AN15" s="1606"/>
      <c r="AO15" s="1606"/>
      <c r="AP15" s="1606"/>
      <c r="AQ15" s="1606"/>
      <c r="AR15" s="1606"/>
      <c r="AS15" s="1606"/>
      <c r="AT15" s="1606"/>
      <c r="AU15" s="1606"/>
      <c r="AV15" s="1606"/>
      <c r="AW15" s="1606"/>
      <c r="AX15" s="1606"/>
      <c r="AY15" s="1606"/>
      <c r="AZ15" s="1606"/>
      <c r="BA15" s="1606"/>
      <c r="BB15" s="1606"/>
      <c r="BC15" s="1606"/>
      <c r="BD15" s="1606"/>
      <c r="BE15" s="1606"/>
      <c r="BF15" s="1606"/>
      <c r="BG15" s="1606"/>
      <c r="BH15" s="1606"/>
      <c r="BI15" s="1606"/>
      <c r="BJ15" s="1606"/>
      <c r="BK15" s="1606"/>
      <c r="BL15" s="1606"/>
      <c r="BM15" s="1606"/>
      <c r="BN15" s="1606"/>
      <c r="BO15" s="1606"/>
      <c r="BP15" s="1606"/>
      <c r="BQ15" s="1606"/>
      <c r="BR15" s="1606"/>
      <c r="BS15" s="1606"/>
      <c r="BT15" s="1606"/>
      <c r="BU15" s="1606"/>
      <c r="BV15" s="1606"/>
      <c r="BW15" s="1606"/>
      <c r="BX15" s="1606"/>
      <c r="BY15" s="1606"/>
      <c r="BZ15" s="1606"/>
      <c r="CA15" s="1606"/>
      <c r="CB15" s="1606"/>
      <c r="CC15" s="1606"/>
      <c r="CD15" s="1606"/>
      <c r="CE15" s="1606"/>
      <c r="CF15" s="1606"/>
      <c r="CG15" s="1606"/>
      <c r="CH15" s="1606"/>
      <c r="CI15" s="1606"/>
      <c r="CJ15" s="1606"/>
      <c r="CK15" s="1606"/>
      <c r="CL15" s="1606"/>
      <c r="CM15" s="1606"/>
      <c r="CN15" s="1606"/>
      <c r="CO15" s="1606"/>
      <c r="CP15" s="1606"/>
      <c r="CQ15" s="1606"/>
      <c r="CR15" s="1606"/>
      <c r="CS15" s="1606"/>
      <c r="CT15" s="1606"/>
      <c r="CU15" s="1606"/>
      <c r="CV15" s="1606"/>
      <c r="CW15" s="1606"/>
      <c r="CX15" s="1606"/>
      <c r="CY15" s="1606"/>
      <c r="CZ15" s="1606"/>
      <c r="DA15" s="1606"/>
      <c r="DB15" s="1606"/>
      <c r="DC15" s="1606"/>
      <c r="DD15" s="1606"/>
      <c r="DE15" s="1606"/>
      <c r="DF15" s="1606"/>
      <c r="DG15" s="1606"/>
      <c r="DH15" s="1606"/>
      <c r="DI15" s="1606"/>
      <c r="DJ15" s="1606"/>
      <c r="DK15" s="1606"/>
      <c r="DL15" s="1606"/>
      <c r="DM15" s="1606"/>
      <c r="DN15" s="1606"/>
      <c r="DO15" s="1606"/>
      <c r="DP15" s="1606"/>
      <c r="DQ15" s="1606"/>
      <c r="DR15" s="1606"/>
      <c r="DS15" s="1606"/>
      <c r="DT15" s="1606"/>
      <c r="DU15" s="1606"/>
      <c r="DV15" s="1606"/>
    </row>
    <row r="16" spans="1:126" s="1466" customFormat="1">
      <c r="A16" s="1032" t="s">
        <v>1991</v>
      </c>
      <c r="B16" s="1492"/>
      <c r="C16" s="1492"/>
      <c r="D16" s="1492"/>
      <c r="E16" s="1623"/>
      <c r="F16" s="1551"/>
      <c r="G16" s="1551"/>
      <c r="H16" s="1551"/>
      <c r="I16" s="1554"/>
      <c r="J16" s="1551"/>
      <c r="K16" s="1551"/>
      <c r="L16" s="1551"/>
      <c r="M16" s="1623">
        <v>6672921</v>
      </c>
      <c r="N16" s="1492">
        <v>7424671</v>
      </c>
      <c r="O16" s="1492">
        <v>7252972</v>
      </c>
      <c r="P16" s="1492">
        <v>7507393</v>
      </c>
      <c r="Q16" s="1623">
        <v>7498821</v>
      </c>
      <c r="R16" s="1492">
        <v>8209584</v>
      </c>
      <c r="S16" s="1492">
        <v>7901884</v>
      </c>
      <c r="T16" s="1492">
        <v>7901701</v>
      </c>
      <c r="U16" s="1623">
        <v>7833113</v>
      </c>
      <c r="V16" s="1492">
        <v>8548440</v>
      </c>
      <c r="W16" s="1470"/>
      <c r="X16" s="1470"/>
    </row>
    <row r="17" spans="1:126" s="1605" customFormat="1" ht="12">
      <c r="A17" s="884" t="s">
        <v>1885</v>
      </c>
      <c r="B17" s="1603"/>
      <c r="C17" s="1603"/>
      <c r="D17" s="1603"/>
      <c r="E17" s="1604"/>
      <c r="F17" s="1019"/>
      <c r="G17" s="1019"/>
      <c r="H17" s="1019"/>
      <c r="I17" s="993"/>
      <c r="J17" s="1019"/>
      <c r="K17" s="1019"/>
      <c r="L17" s="1019"/>
      <c r="M17" s="1604"/>
      <c r="N17" s="1603"/>
      <c r="O17" s="1603"/>
      <c r="P17" s="1603"/>
      <c r="Q17" s="478">
        <f t="shared" ref="Q17:V17" si="3">Q16/M16-1</f>
        <v>0.1237688862193933</v>
      </c>
      <c r="R17" s="1474">
        <f t="shared" si="3"/>
        <v>0.10571687284190778</v>
      </c>
      <c r="S17" s="1474">
        <f t="shared" si="3"/>
        <v>8.9468427563211383E-2</v>
      </c>
      <c r="T17" s="1474">
        <f t="shared" si="3"/>
        <v>5.2522626696111407E-2</v>
      </c>
      <c r="U17" s="478">
        <f t="shared" si="3"/>
        <v>4.4579274528622648E-2</v>
      </c>
      <c r="V17" s="478">
        <f t="shared" si="3"/>
        <v>4.1275660252699797E-2</v>
      </c>
      <c r="Y17" s="1606"/>
      <c r="Z17" s="1606"/>
      <c r="AA17" s="1606"/>
      <c r="AB17" s="1606"/>
      <c r="AC17" s="1606"/>
      <c r="AD17" s="1606"/>
      <c r="AE17" s="1606"/>
      <c r="AF17" s="1606"/>
      <c r="AG17" s="1606"/>
      <c r="AH17" s="1606"/>
      <c r="AI17" s="1606"/>
      <c r="AJ17" s="1606"/>
      <c r="AK17" s="1606"/>
      <c r="AL17" s="1606"/>
      <c r="AM17" s="1606"/>
      <c r="AN17" s="1606"/>
      <c r="AO17" s="1606"/>
      <c r="AP17" s="1606"/>
      <c r="AQ17" s="1606"/>
      <c r="AR17" s="1606"/>
      <c r="AS17" s="1606"/>
      <c r="AT17" s="1606"/>
      <c r="AU17" s="1606"/>
      <c r="AV17" s="1606"/>
      <c r="AW17" s="1606"/>
      <c r="AX17" s="1606"/>
      <c r="AY17" s="1606"/>
      <c r="AZ17" s="1606"/>
      <c r="BA17" s="1606"/>
      <c r="BB17" s="1606"/>
      <c r="BC17" s="1606"/>
      <c r="BD17" s="1606"/>
      <c r="BE17" s="1606"/>
      <c r="BF17" s="1606"/>
      <c r="BG17" s="1606"/>
      <c r="BH17" s="1606"/>
      <c r="BI17" s="1606"/>
      <c r="BJ17" s="1606"/>
      <c r="BK17" s="1606"/>
      <c r="BL17" s="1606"/>
      <c r="BM17" s="1606"/>
      <c r="BN17" s="1606"/>
      <c r="BO17" s="1606"/>
      <c r="BP17" s="1606"/>
      <c r="BQ17" s="1606"/>
      <c r="BR17" s="1606"/>
      <c r="BS17" s="1606"/>
      <c r="BT17" s="1606"/>
      <c r="BU17" s="1606"/>
      <c r="BV17" s="1606"/>
      <c r="BW17" s="1606"/>
      <c r="BX17" s="1606"/>
      <c r="BY17" s="1606"/>
      <c r="BZ17" s="1606"/>
      <c r="CA17" s="1606"/>
      <c r="CB17" s="1606"/>
      <c r="CC17" s="1606"/>
      <c r="CD17" s="1606"/>
      <c r="CE17" s="1606"/>
      <c r="CF17" s="1606"/>
      <c r="CG17" s="1606"/>
      <c r="CH17" s="1606"/>
      <c r="CI17" s="1606"/>
      <c r="CJ17" s="1606"/>
      <c r="CK17" s="1606"/>
      <c r="CL17" s="1606"/>
      <c r="CM17" s="1606"/>
      <c r="CN17" s="1606"/>
      <c r="CO17" s="1606"/>
      <c r="CP17" s="1606"/>
      <c r="CQ17" s="1606"/>
      <c r="CR17" s="1606"/>
      <c r="CS17" s="1606"/>
      <c r="CT17" s="1606"/>
      <c r="CU17" s="1606"/>
      <c r="CV17" s="1606"/>
      <c r="CW17" s="1606"/>
      <c r="CX17" s="1606"/>
      <c r="CY17" s="1606"/>
      <c r="CZ17" s="1606"/>
      <c r="DA17" s="1606"/>
      <c r="DB17" s="1606"/>
      <c r="DC17" s="1606"/>
      <c r="DD17" s="1606"/>
      <c r="DE17" s="1606"/>
      <c r="DF17" s="1606"/>
      <c r="DG17" s="1606"/>
      <c r="DH17" s="1606"/>
      <c r="DI17" s="1606"/>
      <c r="DJ17" s="1606"/>
      <c r="DK17" s="1606"/>
      <c r="DL17" s="1606"/>
      <c r="DM17" s="1606"/>
      <c r="DN17" s="1606"/>
      <c r="DO17" s="1606"/>
      <c r="DP17" s="1606"/>
      <c r="DQ17" s="1606"/>
      <c r="DR17" s="1606"/>
      <c r="DS17" s="1606"/>
      <c r="DT17" s="1606"/>
      <c r="DU17" s="1606"/>
      <c r="DV17" s="1606"/>
    </row>
    <row r="18" spans="1:126" s="1051" customFormat="1">
      <c r="A18" s="1032" t="s">
        <v>1431</v>
      </c>
      <c r="B18" s="820"/>
      <c r="C18" s="820"/>
      <c r="D18" s="820"/>
      <c r="E18" s="821"/>
      <c r="F18" s="59"/>
      <c r="G18" s="59"/>
      <c r="H18" s="59"/>
      <c r="I18" s="517"/>
      <c r="J18" s="59"/>
      <c r="K18" s="59"/>
      <c r="L18" s="59"/>
      <c r="M18" s="821">
        <f t="shared" ref="M18:V18" si="4">M14+M16</f>
        <v>13842952</v>
      </c>
      <c r="N18" s="820">
        <f t="shared" si="4"/>
        <v>14202975</v>
      </c>
      <c r="O18" s="820">
        <f t="shared" si="4"/>
        <v>14610780</v>
      </c>
      <c r="P18" s="820">
        <f t="shared" si="4"/>
        <v>14599238</v>
      </c>
      <c r="Q18" s="821">
        <f t="shared" si="4"/>
        <v>15528580</v>
      </c>
      <c r="R18" s="820">
        <f t="shared" si="4"/>
        <v>15845186</v>
      </c>
      <c r="S18" s="820">
        <f t="shared" si="4"/>
        <v>15730534</v>
      </c>
      <c r="T18" s="820">
        <f t="shared" si="4"/>
        <v>15298581</v>
      </c>
      <c r="U18" s="821">
        <f t="shared" si="4"/>
        <v>16336540</v>
      </c>
      <c r="V18" s="820">
        <f t="shared" si="4"/>
        <v>16393018</v>
      </c>
      <c r="Y18" s="376"/>
      <c r="Z18" s="376"/>
      <c r="AA18" s="376"/>
      <c r="AB18" s="376"/>
      <c r="AC18" s="376"/>
      <c r="AD18" s="376"/>
      <c r="AE18" s="376"/>
      <c r="AF18" s="376"/>
      <c r="AG18" s="376"/>
      <c r="AH18" s="376"/>
      <c r="AI18" s="376"/>
      <c r="AJ18" s="376"/>
      <c r="AK18" s="376"/>
      <c r="AL18" s="376"/>
      <c r="AM18" s="376"/>
      <c r="AN18" s="376"/>
      <c r="AO18" s="376"/>
      <c r="AP18" s="376"/>
      <c r="AQ18" s="376"/>
      <c r="AR18" s="376"/>
      <c r="AS18" s="376"/>
      <c r="AT18" s="376"/>
      <c r="AU18" s="376"/>
      <c r="AV18" s="376"/>
      <c r="AW18" s="376"/>
      <c r="AX18" s="376"/>
      <c r="AY18" s="376"/>
      <c r="AZ18" s="376"/>
      <c r="BA18" s="376"/>
      <c r="BB18" s="376"/>
      <c r="BC18" s="376"/>
      <c r="BD18" s="376"/>
      <c r="BE18" s="376"/>
      <c r="BF18" s="376"/>
      <c r="BG18" s="376"/>
      <c r="BH18" s="376"/>
      <c r="BI18" s="376"/>
      <c r="BJ18" s="376"/>
      <c r="BK18" s="376"/>
      <c r="BL18" s="376"/>
      <c r="BM18" s="376"/>
      <c r="BN18" s="376"/>
      <c r="BO18" s="376"/>
      <c r="BP18" s="376"/>
      <c r="BQ18" s="376"/>
      <c r="BR18" s="376"/>
      <c r="BS18" s="376"/>
      <c r="BT18" s="376"/>
      <c r="BU18" s="376"/>
      <c r="BV18" s="376"/>
      <c r="BW18" s="376"/>
      <c r="BX18" s="376"/>
      <c r="BY18" s="376"/>
      <c r="BZ18" s="376"/>
      <c r="CA18" s="376"/>
      <c r="CB18" s="376"/>
      <c r="CC18" s="376"/>
      <c r="CD18" s="376"/>
      <c r="CE18" s="376"/>
      <c r="CF18" s="376"/>
      <c r="CG18" s="376"/>
      <c r="CH18" s="376"/>
      <c r="CI18" s="376"/>
      <c r="CJ18" s="376"/>
      <c r="CK18" s="376"/>
      <c r="CL18" s="376"/>
      <c r="CM18" s="376"/>
      <c r="CN18" s="376"/>
      <c r="CO18" s="376"/>
      <c r="CP18" s="376"/>
      <c r="CQ18" s="376"/>
      <c r="CR18" s="376"/>
      <c r="CS18" s="376"/>
      <c r="CT18" s="376"/>
      <c r="CU18" s="376"/>
      <c r="CV18" s="376"/>
      <c r="CW18" s="376"/>
      <c r="CX18" s="376"/>
      <c r="CY18" s="376"/>
      <c r="CZ18" s="376"/>
      <c r="DA18" s="376"/>
      <c r="DB18" s="376"/>
      <c r="DC18" s="376"/>
      <c r="DD18" s="376"/>
      <c r="DE18" s="376"/>
      <c r="DF18" s="376"/>
      <c r="DG18" s="376"/>
      <c r="DH18" s="376"/>
      <c r="DI18" s="376"/>
      <c r="DJ18" s="376"/>
      <c r="DK18" s="376"/>
      <c r="DL18" s="376"/>
      <c r="DM18" s="376"/>
      <c r="DN18" s="376"/>
      <c r="DO18" s="376"/>
      <c r="DP18" s="376"/>
      <c r="DQ18" s="376"/>
      <c r="DR18" s="376"/>
      <c r="DS18" s="376"/>
      <c r="DT18" s="376"/>
      <c r="DU18" s="376"/>
      <c r="DV18" s="376"/>
    </row>
    <row r="19" spans="1:126" s="1051" customFormat="1">
      <c r="A19" s="1032"/>
      <c r="B19" s="820"/>
      <c r="C19" s="820"/>
      <c r="D19" s="820"/>
      <c r="E19" s="821"/>
      <c r="F19" s="59"/>
      <c r="G19" s="59"/>
      <c r="H19" s="59"/>
      <c r="I19" s="517"/>
      <c r="J19" s="59"/>
      <c r="K19" s="59"/>
      <c r="L19" s="59"/>
      <c r="M19" s="821"/>
      <c r="N19" s="820"/>
      <c r="O19" s="820"/>
      <c r="P19" s="820"/>
      <c r="Q19" s="821"/>
      <c r="R19" s="820"/>
      <c r="S19" s="820"/>
      <c r="T19" s="820"/>
      <c r="U19" s="821"/>
      <c r="V19" s="820"/>
      <c r="Y19" s="376"/>
      <c r="Z19" s="376"/>
      <c r="AA19" s="376"/>
      <c r="AB19" s="376"/>
      <c r="AC19" s="376"/>
      <c r="AD19" s="376"/>
      <c r="AE19" s="376"/>
      <c r="AF19" s="376"/>
      <c r="AG19" s="376"/>
      <c r="AH19" s="376"/>
      <c r="AI19" s="376"/>
      <c r="AJ19" s="376"/>
      <c r="AK19" s="376"/>
      <c r="AL19" s="376"/>
      <c r="AM19" s="376"/>
      <c r="AN19" s="376"/>
      <c r="AO19" s="376"/>
      <c r="AP19" s="376"/>
      <c r="AQ19" s="376"/>
      <c r="AR19" s="376"/>
      <c r="AS19" s="376"/>
      <c r="AT19" s="376"/>
      <c r="AU19" s="376"/>
      <c r="AV19" s="376"/>
      <c r="AW19" s="376"/>
      <c r="AX19" s="376"/>
      <c r="AY19" s="376"/>
      <c r="AZ19" s="376"/>
      <c r="BA19" s="376"/>
      <c r="BB19" s="376"/>
      <c r="BC19" s="376"/>
      <c r="BD19" s="376"/>
      <c r="BE19" s="376"/>
      <c r="BF19" s="376"/>
      <c r="BG19" s="376"/>
      <c r="BH19" s="376"/>
      <c r="BI19" s="376"/>
      <c r="BJ19" s="376"/>
      <c r="BK19" s="376"/>
      <c r="BL19" s="376"/>
      <c r="BM19" s="376"/>
      <c r="BN19" s="376"/>
      <c r="BO19" s="376"/>
      <c r="BP19" s="376"/>
      <c r="BQ19" s="376"/>
      <c r="BR19" s="376"/>
      <c r="BS19" s="376"/>
      <c r="BT19" s="376"/>
      <c r="BU19" s="376"/>
      <c r="BV19" s="376"/>
      <c r="BW19" s="376"/>
      <c r="BX19" s="376"/>
      <c r="BY19" s="376"/>
      <c r="BZ19" s="376"/>
      <c r="CA19" s="376"/>
      <c r="CB19" s="376"/>
      <c r="CC19" s="376"/>
      <c r="CD19" s="376"/>
      <c r="CE19" s="376"/>
      <c r="CF19" s="376"/>
      <c r="CG19" s="376"/>
      <c r="CH19" s="376"/>
      <c r="CI19" s="376"/>
      <c r="CJ19" s="376"/>
      <c r="CK19" s="376"/>
      <c r="CL19" s="376"/>
      <c r="CM19" s="376"/>
      <c r="CN19" s="376"/>
      <c r="CO19" s="376"/>
      <c r="CP19" s="376"/>
      <c r="CQ19" s="376"/>
      <c r="CR19" s="376"/>
      <c r="CS19" s="376"/>
      <c r="CT19" s="376"/>
      <c r="CU19" s="376"/>
      <c r="CV19" s="376"/>
      <c r="CW19" s="376"/>
      <c r="CX19" s="376"/>
      <c r="CY19" s="376"/>
      <c r="CZ19" s="376"/>
      <c r="DA19" s="376"/>
      <c r="DB19" s="376"/>
      <c r="DC19" s="376"/>
      <c r="DD19" s="376"/>
      <c r="DE19" s="376"/>
      <c r="DF19" s="376"/>
      <c r="DG19" s="376"/>
      <c r="DH19" s="376"/>
      <c r="DI19" s="376"/>
      <c r="DJ19" s="376"/>
      <c r="DK19" s="376"/>
      <c r="DL19" s="376"/>
      <c r="DM19" s="376"/>
      <c r="DN19" s="376"/>
      <c r="DO19" s="376"/>
      <c r="DP19" s="376"/>
      <c r="DQ19" s="376"/>
      <c r="DR19" s="376"/>
      <c r="DS19" s="376"/>
      <c r="DT19" s="376"/>
      <c r="DU19" s="376"/>
      <c r="DV19" s="376"/>
    </row>
    <row r="20" spans="1:126" s="1466" customFormat="1">
      <c r="A20" s="376" t="s">
        <v>1316</v>
      </c>
      <c r="B20" s="1492"/>
      <c r="C20" s="1492"/>
      <c r="D20" s="1492"/>
      <c r="E20" s="1623"/>
      <c r="F20" s="1492">
        <v>12088595</v>
      </c>
      <c r="G20" s="1492">
        <v>12153343</v>
      </c>
      <c r="H20" s="1492">
        <v>11775585</v>
      </c>
      <c r="I20" s="1623">
        <v>12623073</v>
      </c>
      <c r="J20" s="1492">
        <v>13214818</v>
      </c>
      <c r="K20" s="1492">
        <v>13296993</v>
      </c>
      <c r="L20" s="1492">
        <v>13318377</v>
      </c>
      <c r="M20" s="1623">
        <v>13842952</v>
      </c>
      <c r="N20" s="1492">
        <v>14202975</v>
      </c>
      <c r="O20" s="1492">
        <f>7351315+7245837</f>
        <v>14597152</v>
      </c>
      <c r="P20" s="1492">
        <f>7101550+7513721</f>
        <v>14615271</v>
      </c>
      <c r="Q20" s="1623">
        <f>8007419+7481372</f>
        <v>15488791</v>
      </c>
      <c r="R20" s="1492">
        <f>7615097+8188071</f>
        <v>15803168</v>
      </c>
      <c r="S20" s="1466">
        <f>7828650+7901884</f>
        <v>15730534</v>
      </c>
      <c r="T20" s="1466">
        <v>15298581</v>
      </c>
      <c r="U20" s="1478">
        <v>16336540</v>
      </c>
      <c r="V20" s="1466">
        <v>16393018</v>
      </c>
      <c r="W20" s="1624"/>
      <c r="X20" s="1624"/>
    </row>
    <row r="21" spans="1:126" s="1606" customFormat="1" ht="12">
      <c r="A21" s="884" t="s">
        <v>1885</v>
      </c>
      <c r="B21" s="1603"/>
      <c r="C21" s="1603"/>
      <c r="D21" s="1603"/>
      <c r="E21" s="1604"/>
      <c r="F21" s="1019"/>
      <c r="G21" s="1019"/>
      <c r="H21" s="1019"/>
      <c r="I21" s="993"/>
      <c r="J21" s="1019">
        <f t="shared" ref="J21:T21" si="5">J20/F20-1</f>
        <v>9.3164093924893665E-2</v>
      </c>
      <c r="K21" s="1019">
        <f t="shared" si="5"/>
        <v>9.4101680500583207E-2</v>
      </c>
      <c r="L21" s="1019">
        <f t="shared" si="5"/>
        <v>0.13101616607582556</v>
      </c>
      <c r="M21" s="993">
        <f t="shared" si="5"/>
        <v>9.663882954649794E-2</v>
      </c>
      <c r="N21" s="1019">
        <f t="shared" si="5"/>
        <v>7.4776436572944194E-2</v>
      </c>
      <c r="O21" s="1019">
        <f t="shared" si="5"/>
        <v>9.7778422535079956E-2</v>
      </c>
      <c r="P21" s="1019">
        <f t="shared" si="5"/>
        <v>9.7376279407017874E-2</v>
      </c>
      <c r="Q21" s="993">
        <f t="shared" si="5"/>
        <v>0.11889364349453779</v>
      </c>
      <c r="R21" s="1019">
        <f t="shared" si="5"/>
        <v>0.11266604355777576</v>
      </c>
      <c r="S21" s="1019">
        <f t="shared" si="5"/>
        <v>7.7644050017428023E-2</v>
      </c>
      <c r="T21" s="1019">
        <f t="shared" si="5"/>
        <v>4.6753152917930807E-2</v>
      </c>
      <c r="U21" s="993">
        <f>U20/Q20-1</f>
        <v>5.4733064704662882E-2</v>
      </c>
      <c r="V21" s="993">
        <f>V20/R20-1</f>
        <v>3.7324794623457835E-2</v>
      </c>
    </row>
    <row r="22" spans="1:126" s="1051" customFormat="1">
      <c r="A22" s="1032"/>
      <c r="B22" s="820"/>
      <c r="C22" s="820"/>
      <c r="D22" s="820"/>
      <c r="E22" s="821"/>
      <c r="F22" s="59"/>
      <c r="G22" s="59"/>
      <c r="H22" s="59"/>
      <c r="I22" s="517"/>
      <c r="J22" s="59"/>
      <c r="K22" s="59"/>
      <c r="L22" s="59"/>
      <c r="M22" s="1046">
        <f t="shared" ref="M22:S22" si="6">M12+M16</f>
        <v>33863452</v>
      </c>
      <c r="N22" s="1033">
        <f>N12+N16</f>
        <v>34704029</v>
      </c>
      <c r="O22" s="1033">
        <f t="shared" si="6"/>
        <v>36129339</v>
      </c>
      <c r="P22" s="1033">
        <f t="shared" si="6"/>
        <v>36346521</v>
      </c>
      <c r="Q22" s="1046">
        <f t="shared" si="6"/>
        <v>39681800</v>
      </c>
      <c r="R22" s="1033">
        <f t="shared" si="6"/>
        <v>41999901</v>
      </c>
      <c r="S22" s="1033">
        <f t="shared" si="6"/>
        <v>42595704</v>
      </c>
      <c r="T22" s="1033">
        <f>T12+T16</f>
        <v>42349529</v>
      </c>
      <c r="U22" s="1046">
        <f>U12+U16</f>
        <v>44021192</v>
      </c>
      <c r="V22" s="1033">
        <f>V12+V16</f>
        <v>44001894</v>
      </c>
      <c r="Y22" s="376"/>
      <c r="Z22" s="376"/>
      <c r="AA22" s="376"/>
      <c r="AB22" s="376"/>
      <c r="AC22" s="376"/>
      <c r="AD22" s="376"/>
      <c r="AE22" s="376"/>
      <c r="AF22" s="376"/>
      <c r="AG22" s="376"/>
      <c r="AH22" s="376"/>
      <c r="AI22" s="376"/>
      <c r="AJ22" s="376"/>
      <c r="AK22" s="376"/>
      <c r="AL22" s="376"/>
      <c r="AM22" s="376"/>
      <c r="AN22" s="376"/>
      <c r="AO22" s="376"/>
      <c r="AP22" s="376"/>
      <c r="AQ22" s="376"/>
      <c r="AR22" s="376"/>
      <c r="AS22" s="376"/>
      <c r="AT22" s="376"/>
      <c r="AU22" s="376"/>
      <c r="AV22" s="376"/>
      <c r="AW22" s="376"/>
      <c r="AX22" s="376"/>
      <c r="AY22" s="376"/>
      <c r="AZ22" s="376"/>
      <c r="BA22" s="376"/>
      <c r="BB22" s="376"/>
      <c r="BC22" s="376"/>
      <c r="BD22" s="376"/>
      <c r="BE22" s="376"/>
      <c r="BF22" s="376"/>
      <c r="BG22" s="376"/>
      <c r="BH22" s="376"/>
      <c r="BI22" s="376"/>
      <c r="BJ22" s="376"/>
      <c r="BK22" s="376"/>
      <c r="BL22" s="376"/>
      <c r="BM22" s="376"/>
      <c r="BN22" s="376"/>
      <c r="BO22" s="376"/>
      <c r="BP22" s="376"/>
      <c r="BQ22" s="376"/>
      <c r="BR22" s="376"/>
      <c r="BS22" s="376"/>
      <c r="BT22" s="376"/>
      <c r="BU22" s="376"/>
      <c r="BV22" s="376"/>
      <c r="BW22" s="376"/>
      <c r="BX22" s="376"/>
      <c r="BY22" s="376"/>
      <c r="BZ22" s="376"/>
      <c r="CA22" s="376"/>
      <c r="CB22" s="376"/>
      <c r="CC22" s="376"/>
      <c r="CD22" s="376"/>
      <c r="CE22" s="376"/>
      <c r="CF22" s="376"/>
      <c r="CG22" s="376"/>
      <c r="CH22" s="376"/>
      <c r="CI22" s="376"/>
      <c r="CJ22" s="376"/>
      <c r="CK22" s="376"/>
      <c r="CL22" s="376"/>
      <c r="CM22" s="376"/>
      <c r="CN22" s="376"/>
      <c r="CO22" s="376"/>
      <c r="CP22" s="376"/>
      <c r="CQ22" s="376"/>
      <c r="CR22" s="376"/>
      <c r="CS22" s="376"/>
      <c r="CT22" s="376"/>
      <c r="CU22" s="376"/>
      <c r="CV22" s="376"/>
      <c r="CW22" s="376"/>
      <c r="CX22" s="376"/>
      <c r="CY22" s="376"/>
      <c r="CZ22" s="376"/>
      <c r="DA22" s="376"/>
      <c r="DB22" s="376"/>
      <c r="DC22" s="376"/>
      <c r="DD22" s="376"/>
      <c r="DE22" s="376"/>
      <c r="DF22" s="376"/>
      <c r="DG22" s="376"/>
      <c r="DH22" s="376"/>
      <c r="DI22" s="376"/>
      <c r="DJ22" s="376"/>
      <c r="DK22" s="376"/>
      <c r="DL22" s="376"/>
      <c r="DM22" s="376"/>
      <c r="DN22" s="376"/>
      <c r="DO22" s="376"/>
      <c r="DP22" s="376"/>
      <c r="DQ22" s="376"/>
      <c r="DR22" s="376"/>
      <c r="DS22" s="376"/>
      <c r="DT22" s="376"/>
      <c r="DU22" s="376"/>
      <c r="DV22" s="376"/>
    </row>
    <row r="24" spans="1:126">
      <c r="A24" s="867" t="s">
        <v>1871</v>
      </c>
      <c r="B24" s="885"/>
      <c r="C24" s="885"/>
      <c r="D24" s="885"/>
      <c r="E24" s="886"/>
      <c r="F24" s="887">
        <f t="shared" ref="F24:S24" si="7">F12+F20</f>
        <v>30636222</v>
      </c>
      <c r="G24" s="887">
        <f t="shared" si="7"/>
        <v>32444836</v>
      </c>
      <c r="H24" s="887">
        <f t="shared" si="7"/>
        <v>31973986</v>
      </c>
      <c r="I24" s="821">
        <f t="shared" si="7"/>
        <v>34693575</v>
      </c>
      <c r="J24" s="887">
        <f t="shared" si="7"/>
        <v>36220701</v>
      </c>
      <c r="K24" s="887">
        <f t="shared" si="7"/>
        <v>37867656</v>
      </c>
      <c r="L24" s="887">
        <f t="shared" si="7"/>
        <v>38437120</v>
      </c>
      <c r="M24" s="888">
        <f t="shared" si="7"/>
        <v>41033483</v>
      </c>
      <c r="N24" s="887">
        <f>N12+N20</f>
        <v>41482333</v>
      </c>
      <c r="O24" s="887">
        <f t="shared" si="7"/>
        <v>43473519</v>
      </c>
      <c r="P24" s="887">
        <f t="shared" si="7"/>
        <v>43454399</v>
      </c>
      <c r="Q24" s="888">
        <f t="shared" si="7"/>
        <v>47671770</v>
      </c>
      <c r="R24" s="887">
        <f t="shared" si="7"/>
        <v>49593485</v>
      </c>
      <c r="S24" s="887">
        <f t="shared" si="7"/>
        <v>50424354</v>
      </c>
      <c r="T24" s="887">
        <f>T12+T20</f>
        <v>49746409</v>
      </c>
      <c r="U24" s="888">
        <f>U12+U20</f>
        <v>52524619</v>
      </c>
      <c r="V24" s="887">
        <f>V12+V20</f>
        <v>51846472</v>
      </c>
    </row>
    <row r="25" spans="1:126" s="1609" customFormat="1" ht="12">
      <c r="A25" s="884" t="s">
        <v>1218</v>
      </c>
      <c r="B25" s="1607"/>
      <c r="C25" s="1607"/>
      <c r="D25" s="1607"/>
      <c r="E25" s="1608"/>
      <c r="F25" s="1607"/>
      <c r="G25" s="1607"/>
      <c r="H25" s="1607"/>
      <c r="I25" s="1608"/>
      <c r="J25" s="1019">
        <f t="shared" ref="J25:V25" si="8">J24/F24-1</f>
        <v>0.18228354005268654</v>
      </c>
      <c r="K25" s="1019">
        <f t="shared" si="8"/>
        <v>0.16713969520450034</v>
      </c>
      <c r="L25" s="1019">
        <f t="shared" si="8"/>
        <v>0.20213726246080177</v>
      </c>
      <c r="M25" s="993">
        <f t="shared" si="8"/>
        <v>0.18274011830720815</v>
      </c>
      <c r="N25" s="1019">
        <f t="shared" si="8"/>
        <v>0.14526587986245776</v>
      </c>
      <c r="O25" s="1019">
        <f t="shared" si="8"/>
        <v>0.14803828892921178</v>
      </c>
      <c r="P25" s="1019">
        <f t="shared" si="8"/>
        <v>0.13053212623630484</v>
      </c>
      <c r="Q25" s="993">
        <f t="shared" si="8"/>
        <v>0.16177732219319529</v>
      </c>
      <c r="R25" s="1019">
        <f t="shared" si="8"/>
        <v>0.19553268616786812</v>
      </c>
      <c r="S25" s="1019">
        <f t="shared" si="8"/>
        <v>0.15988664271691455</v>
      </c>
      <c r="T25" s="1019">
        <f t="shared" si="8"/>
        <v>0.14479569720892926</v>
      </c>
      <c r="U25" s="993">
        <f t="shared" si="8"/>
        <v>0.10179712228012505</v>
      </c>
      <c r="V25" s="1019">
        <f t="shared" si="8"/>
        <v>4.5429092147889927E-2</v>
      </c>
      <c r="Y25" s="1610"/>
      <c r="Z25" s="1610">
        <v>1000</v>
      </c>
      <c r="AA25" s="1610"/>
      <c r="AB25" s="1610"/>
      <c r="AC25" s="1610"/>
      <c r="AD25" s="1610"/>
      <c r="AE25" s="1610"/>
      <c r="AF25" s="1610"/>
      <c r="AG25" s="1610"/>
      <c r="AH25" s="1610"/>
      <c r="AI25" s="1610"/>
      <c r="AJ25" s="1610"/>
      <c r="AK25" s="1610"/>
      <c r="AL25" s="1610"/>
      <c r="AM25" s="1610"/>
      <c r="AN25" s="1610"/>
      <c r="AO25" s="1610"/>
      <c r="AP25" s="1610"/>
      <c r="AQ25" s="1610"/>
      <c r="AR25" s="1610"/>
      <c r="AS25" s="1610"/>
      <c r="AT25" s="1610"/>
      <c r="AU25" s="1610"/>
      <c r="AV25" s="1610"/>
      <c r="AW25" s="1610"/>
      <c r="AX25" s="1610"/>
      <c r="AY25" s="1610"/>
      <c r="AZ25" s="1610"/>
      <c r="BA25" s="1610"/>
      <c r="BB25" s="1610"/>
      <c r="BC25" s="1610"/>
      <c r="BD25" s="1610"/>
      <c r="BE25" s="1610"/>
      <c r="BF25" s="1610"/>
      <c r="BG25" s="1610"/>
      <c r="BH25" s="1610"/>
      <c r="BI25" s="1610"/>
      <c r="BJ25" s="1610"/>
      <c r="BK25" s="1610"/>
      <c r="BL25" s="1610"/>
      <c r="BM25" s="1610"/>
      <c r="BN25" s="1610"/>
      <c r="BO25" s="1610"/>
      <c r="BP25" s="1610"/>
      <c r="BQ25" s="1610"/>
      <c r="BR25" s="1610"/>
      <c r="BS25" s="1610"/>
      <c r="BT25" s="1610"/>
      <c r="BU25" s="1610"/>
      <c r="BV25" s="1610"/>
      <c r="BW25" s="1610"/>
      <c r="BX25" s="1610"/>
      <c r="BY25" s="1610"/>
      <c r="BZ25" s="1610"/>
      <c r="CA25" s="1610"/>
      <c r="CB25" s="1610"/>
      <c r="CC25" s="1610"/>
      <c r="CD25" s="1610"/>
      <c r="CE25" s="1610"/>
      <c r="CF25" s="1610"/>
      <c r="CG25" s="1610"/>
      <c r="CH25" s="1610"/>
      <c r="CI25" s="1610"/>
      <c r="CJ25" s="1610"/>
      <c r="CK25" s="1610"/>
      <c r="CL25" s="1610"/>
      <c r="CM25" s="1610"/>
      <c r="CN25" s="1610"/>
      <c r="CO25" s="1610"/>
      <c r="CP25" s="1610"/>
      <c r="CQ25" s="1610"/>
      <c r="CR25" s="1610"/>
      <c r="CS25" s="1610"/>
      <c r="CT25" s="1610"/>
      <c r="CU25" s="1610"/>
      <c r="CV25" s="1610"/>
      <c r="CW25" s="1610"/>
      <c r="CX25" s="1610"/>
      <c r="CY25" s="1610"/>
      <c r="CZ25" s="1610"/>
      <c r="DA25" s="1610"/>
      <c r="DB25" s="1610"/>
      <c r="DC25" s="1610"/>
      <c r="DD25" s="1610"/>
      <c r="DE25" s="1610"/>
      <c r="DF25" s="1610"/>
      <c r="DG25" s="1610"/>
      <c r="DH25" s="1610"/>
      <c r="DI25" s="1610"/>
      <c r="DJ25" s="1610"/>
      <c r="DK25" s="1610"/>
      <c r="DL25" s="1610"/>
      <c r="DM25" s="1610"/>
      <c r="DN25" s="1610"/>
      <c r="DO25" s="1610"/>
      <c r="DP25" s="1610"/>
      <c r="DQ25" s="1610"/>
      <c r="DR25" s="1610"/>
      <c r="DS25" s="1610"/>
      <c r="DT25" s="1610"/>
      <c r="DU25" s="1610"/>
      <c r="DV25" s="1610"/>
    </row>
    <row r="26" spans="1:126">
      <c r="A26" s="867" t="s">
        <v>1219</v>
      </c>
      <c r="B26" s="880"/>
      <c r="C26" s="880"/>
      <c r="D26" s="880"/>
      <c r="E26" s="881"/>
      <c r="F26" s="880"/>
      <c r="G26" s="880"/>
      <c r="H26" s="880"/>
      <c r="I26" s="881"/>
      <c r="J26" s="880"/>
      <c r="K26" s="880"/>
      <c r="L26" s="880"/>
      <c r="M26" s="881"/>
      <c r="N26" s="880"/>
      <c r="O26" s="880"/>
      <c r="P26" s="880"/>
      <c r="Q26" s="881"/>
      <c r="R26" s="880"/>
    </row>
    <row r="27" spans="1:126">
      <c r="A27" s="867"/>
      <c r="B27" s="880"/>
      <c r="C27" s="880"/>
      <c r="D27" s="880"/>
      <c r="E27" s="881"/>
      <c r="F27" s="880"/>
      <c r="G27" s="880"/>
      <c r="H27" s="880"/>
      <c r="I27" s="881"/>
      <c r="J27" s="880"/>
      <c r="K27" s="880"/>
      <c r="L27" s="880"/>
      <c r="M27" s="881"/>
      <c r="N27" s="880"/>
      <c r="O27" s="880"/>
      <c r="P27" s="880"/>
      <c r="Q27" s="881"/>
      <c r="R27" s="880"/>
    </row>
    <row r="28" spans="1:126">
      <c r="A28" s="883" t="s">
        <v>1220</v>
      </c>
      <c r="B28" s="880"/>
      <c r="C28" s="880"/>
      <c r="D28" s="880"/>
      <c r="E28" s="881"/>
      <c r="F28" s="880"/>
      <c r="G28" s="880"/>
      <c r="H28" s="880"/>
      <c r="I28" s="881"/>
      <c r="J28" s="880"/>
      <c r="K28" s="880"/>
      <c r="L28" s="880"/>
      <c r="M28" s="881"/>
      <c r="N28" s="880"/>
      <c r="O28" s="880"/>
      <c r="P28" s="880"/>
      <c r="Q28" s="881"/>
      <c r="R28" s="880"/>
    </row>
    <row r="29" spans="1:126" s="1979" customFormat="1">
      <c r="A29" s="889" t="s">
        <v>1221</v>
      </c>
      <c r="B29" s="1977">
        <v>341.8</v>
      </c>
      <c r="C29" s="1977">
        <v>432.2</v>
      </c>
      <c r="D29" s="1977">
        <v>392.7</v>
      </c>
      <c r="E29" s="1978">
        <v>419.2</v>
      </c>
      <c r="F29" s="1977">
        <v>404.4</v>
      </c>
      <c r="G29" s="1977">
        <v>467.9</v>
      </c>
      <c r="H29" s="1977">
        <v>431.3</v>
      </c>
      <c r="I29" s="1978">
        <v>455.2</v>
      </c>
      <c r="J29" s="977">
        <v>477</v>
      </c>
      <c r="K29" s="977">
        <v>565.94479999999999</v>
      </c>
      <c r="L29" s="977">
        <v>493.49009999999998</v>
      </c>
      <c r="M29" s="978">
        <v>560.74</v>
      </c>
      <c r="N29" s="977">
        <v>670.11</v>
      </c>
      <c r="O29" s="1979">
        <f>O33+O37+O41</f>
        <v>1149.6400000000001</v>
      </c>
      <c r="P29" s="1979">
        <f>P33+P37+P41</f>
        <v>1070.162</v>
      </c>
      <c r="Q29" s="1980">
        <f>Q33+Q37+Q41</f>
        <v>1187.3400000000001</v>
      </c>
      <c r="R29" s="1979">
        <f>R33+R37+R41</f>
        <v>1183.924</v>
      </c>
      <c r="S29" s="1979">
        <v>1416.36</v>
      </c>
      <c r="T29" s="1979">
        <v>1243</v>
      </c>
      <c r="U29" s="1980">
        <v>1413.537</v>
      </c>
      <c r="V29" s="1979">
        <f>V33+V37+V41</f>
        <v>1372.809</v>
      </c>
      <c r="W29" s="1979">
        <f>W33+W37+W41</f>
        <v>1693.5929999999998</v>
      </c>
      <c r="X29" s="1979">
        <f>X33+X37+X41</f>
        <v>1492.9179999999999</v>
      </c>
      <c r="Y29" s="1981" t="s">
        <v>1432</v>
      </c>
      <c r="AI29" s="977"/>
      <c r="AJ29" s="977"/>
      <c r="AK29" s="977"/>
      <c r="AL29" s="977"/>
      <c r="AM29" s="977"/>
      <c r="AN29" s="977"/>
      <c r="AO29" s="977"/>
      <c r="AP29" s="977"/>
      <c r="AQ29" s="977"/>
      <c r="AR29" s="977"/>
      <c r="AS29" s="977"/>
      <c r="AT29" s="977"/>
      <c r="AU29" s="977"/>
      <c r="AV29" s="977"/>
    </row>
    <row r="30" spans="1:126" s="1613" customFormat="1" ht="12">
      <c r="A30" s="695" t="s">
        <v>1222</v>
      </c>
      <c r="B30" s="1611">
        <v>9.7000000000000003E-2</v>
      </c>
      <c r="C30" s="1611">
        <v>0.28799999999999998</v>
      </c>
      <c r="D30" s="1611">
        <v>0.441</v>
      </c>
      <c r="E30" s="1612">
        <v>0.34599999999999997</v>
      </c>
      <c r="F30" s="1611">
        <v>0.183</v>
      </c>
      <c r="G30" s="1611">
        <v>8.3000000000000004E-2</v>
      </c>
      <c r="H30" s="1611">
        <v>9.8000000000000004E-2</v>
      </c>
      <c r="I30" s="1612">
        <v>8.5999999999999993E-2</v>
      </c>
      <c r="J30" s="1613">
        <v>0.11700000000000001</v>
      </c>
      <c r="K30" s="1613">
        <v>0.21</v>
      </c>
      <c r="L30" s="1613">
        <v>0.13600000000000001</v>
      </c>
      <c r="M30" s="1491">
        <v>0.21299999999999999</v>
      </c>
      <c r="N30" s="1613">
        <v>0.40400000000000003</v>
      </c>
      <c r="O30" s="1613">
        <v>0.81</v>
      </c>
      <c r="P30" s="1613">
        <f t="shared" ref="P30:X30" si="9">P29/L29-1</f>
        <v>1.1685581939739014</v>
      </c>
      <c r="Q30" s="1491">
        <f t="shared" si="9"/>
        <v>1.1174519385098267</v>
      </c>
      <c r="R30" s="1613">
        <f t="shared" si="9"/>
        <v>0.76676068108221029</v>
      </c>
      <c r="S30" s="1613">
        <f t="shared" si="9"/>
        <v>0.23200306182805042</v>
      </c>
      <c r="T30" s="1613">
        <f t="shared" si="9"/>
        <v>0.16150638875235712</v>
      </c>
      <c r="U30" s="1491">
        <f t="shared" si="9"/>
        <v>0.19050735256960927</v>
      </c>
      <c r="V30" s="1613">
        <f t="shared" si="9"/>
        <v>0.15954149083893898</v>
      </c>
      <c r="W30" s="1613">
        <f t="shared" si="9"/>
        <v>0.19573625349487411</v>
      </c>
      <c r="X30" s="1613">
        <f t="shared" si="9"/>
        <v>0.20106033789219624</v>
      </c>
    </row>
    <row r="31" spans="1:126" s="1630" customFormat="1" ht="12">
      <c r="A31" s="695" t="s">
        <v>1433</v>
      </c>
      <c r="B31" s="1628">
        <v>0.23</v>
      </c>
      <c r="C31" s="1628">
        <v>0.36699999999999999</v>
      </c>
      <c r="D31" s="1628">
        <v>0.40899999999999997</v>
      </c>
      <c r="E31" s="1629">
        <v>0.34699999999999998</v>
      </c>
      <c r="F31" s="1628">
        <v>0.19400000000000001</v>
      </c>
      <c r="G31" s="1628">
        <v>0.156</v>
      </c>
      <c r="H31" s="1628">
        <v>0.184</v>
      </c>
      <c r="I31" s="1629">
        <v>0.156</v>
      </c>
      <c r="J31" s="1630">
        <v>0.19500000000000001</v>
      </c>
      <c r="K31" s="1630">
        <v>0.27400000000000002</v>
      </c>
      <c r="L31" s="1630">
        <v>0.16900000000000001</v>
      </c>
      <c r="M31" s="1631">
        <v>0.24</v>
      </c>
      <c r="N31" s="1630">
        <v>0.39700000000000002</v>
      </c>
      <c r="O31" s="1630">
        <v>0.76600000000000001</v>
      </c>
      <c r="P31" s="1630">
        <f>(P34+P38)/L29-1</f>
        <v>0.89892257210428328</v>
      </c>
      <c r="Q31" s="1631">
        <f>(Q34+Q38)/M29-1</f>
        <v>0.83050288547276785</v>
      </c>
      <c r="R31" s="1630">
        <f>(R34+R38)/N29-1</f>
        <v>0.45419506648162233</v>
      </c>
      <c r="S31" s="1630">
        <v>0.26700000000000002</v>
      </c>
      <c r="T31" s="1630">
        <v>0.26900000000000002</v>
      </c>
      <c r="U31" s="1631">
        <v>0.31900000000000001</v>
      </c>
      <c r="V31" s="1630">
        <v>0.26700000000000002</v>
      </c>
      <c r="W31" s="1632">
        <v>0.24</v>
      </c>
      <c r="X31" s="1632">
        <v>0.20599999999999999</v>
      </c>
      <c r="Y31" s="1613" t="s">
        <v>1434</v>
      </c>
    </row>
    <row r="32" spans="1:126" s="708" customFormat="1">
      <c r="A32" s="695"/>
      <c r="B32" s="711"/>
      <c r="C32" s="711"/>
      <c r="D32" s="711"/>
      <c r="E32" s="710"/>
      <c r="F32" s="711"/>
      <c r="G32" s="711"/>
      <c r="H32" s="711"/>
      <c r="I32" s="710"/>
      <c r="M32" s="709"/>
      <c r="Q32" s="709"/>
      <c r="U32" s="709"/>
      <c r="W32" s="730"/>
      <c r="X32" s="1626"/>
    </row>
    <row r="33" spans="1:126" s="1635" customFormat="1">
      <c r="A33" s="889" t="s">
        <v>1435</v>
      </c>
      <c r="B33" s="1633"/>
      <c r="C33" s="1633"/>
      <c r="D33" s="1633"/>
      <c r="E33" s="1634"/>
      <c r="F33" s="1633"/>
      <c r="G33" s="1633"/>
      <c r="H33" s="1633"/>
      <c r="I33" s="1634"/>
      <c r="J33" s="1626">
        <v>319</v>
      </c>
      <c r="K33" s="1626">
        <v>369.25299999999999</v>
      </c>
      <c r="L33" s="1626">
        <v>341.82</v>
      </c>
      <c r="M33" s="1627">
        <v>378.17200000000003</v>
      </c>
      <c r="N33" s="1626">
        <v>455.90600000000001</v>
      </c>
      <c r="O33" s="1626">
        <v>649.96600000000001</v>
      </c>
      <c r="P33" s="1626">
        <v>621.72</v>
      </c>
      <c r="Q33" s="1627">
        <v>689.64700000000005</v>
      </c>
      <c r="R33" s="1626">
        <v>743.18899999999996</v>
      </c>
      <c r="S33" s="1626">
        <v>804.73900000000003</v>
      </c>
      <c r="T33" s="1626">
        <v>749.09199999999998</v>
      </c>
      <c r="U33" s="1627">
        <v>821.15300000000002</v>
      </c>
      <c r="V33" s="1626">
        <v>839.56100000000004</v>
      </c>
      <c r="W33" s="1626">
        <v>985.62099999999998</v>
      </c>
      <c r="X33" s="1626">
        <v>916.947</v>
      </c>
      <c r="Y33" s="708" t="s">
        <v>1436</v>
      </c>
    </row>
    <row r="34" spans="1:126" s="1052" customFormat="1">
      <c r="A34" s="695" t="s">
        <v>1437</v>
      </c>
      <c r="B34" s="711"/>
      <c r="C34" s="711"/>
      <c r="D34" s="711"/>
      <c r="E34" s="710"/>
      <c r="F34" s="711"/>
      <c r="G34" s="711"/>
      <c r="H34" s="711"/>
      <c r="I34" s="710"/>
      <c r="J34" s="708"/>
      <c r="K34" s="708"/>
      <c r="L34" s="708"/>
      <c r="M34" s="709"/>
      <c r="N34" s="708"/>
      <c r="O34" s="708" t="s">
        <v>1438</v>
      </c>
      <c r="P34" s="977">
        <f>341.82*(1+P35)</f>
        <v>602.97047999999995</v>
      </c>
      <c r="Q34" s="978">
        <f>378.172*(1+Q35)</f>
        <v>668.22992399999998</v>
      </c>
      <c r="R34" s="977">
        <f>455.906*(1+R35)</f>
        <v>721.243292</v>
      </c>
      <c r="S34" s="977">
        <f>649.966*(1+S35)</f>
        <v>827.40671800000007</v>
      </c>
      <c r="T34" s="977">
        <f>649.966*(1+T35)</f>
        <v>854.70528999999999</v>
      </c>
      <c r="U34" s="978">
        <f>Q33*(1+U35)</f>
        <v>910.33404000000007</v>
      </c>
      <c r="V34" s="977">
        <f>R33*(1+V35)</f>
        <v>917.83841499999983</v>
      </c>
      <c r="W34" s="977">
        <f>S33*(1+W35)</f>
        <v>1023.628008</v>
      </c>
      <c r="X34" s="977">
        <f>T33*(1+X35)</f>
        <v>921.38315999999998</v>
      </c>
      <c r="Y34" s="708"/>
      <c r="Z34" s="708"/>
      <c r="AA34" s="708"/>
      <c r="AB34" s="708"/>
      <c r="AC34" s="708"/>
      <c r="AD34" s="708"/>
      <c r="AE34" s="708"/>
      <c r="AF34" s="708"/>
      <c r="AG34" s="708"/>
      <c r="AH34" s="708"/>
      <c r="AI34" s="708"/>
      <c r="AJ34" s="708"/>
      <c r="AK34" s="708"/>
      <c r="AL34" s="708"/>
      <c r="AM34" s="708"/>
      <c r="AN34" s="708"/>
      <c r="AO34" s="708"/>
      <c r="AP34" s="708"/>
      <c r="AQ34" s="708"/>
      <c r="AR34" s="708"/>
      <c r="AS34" s="708"/>
      <c r="AT34" s="708"/>
      <c r="AU34" s="708"/>
      <c r="AV34" s="708"/>
      <c r="AW34" s="708"/>
      <c r="AX34" s="708"/>
      <c r="AY34" s="708"/>
      <c r="AZ34" s="708"/>
      <c r="BA34" s="708"/>
      <c r="BB34" s="708"/>
      <c r="BC34" s="708"/>
      <c r="BD34" s="708"/>
      <c r="BE34" s="708"/>
      <c r="BF34" s="708"/>
      <c r="BG34" s="708"/>
      <c r="BH34" s="708"/>
      <c r="BI34" s="708"/>
      <c r="BJ34" s="708"/>
      <c r="BK34" s="708"/>
      <c r="BL34" s="708"/>
      <c r="BM34" s="708"/>
      <c r="BN34" s="708"/>
      <c r="BO34" s="708"/>
      <c r="BP34" s="708"/>
      <c r="BQ34" s="708"/>
      <c r="BR34" s="708"/>
      <c r="BS34" s="708"/>
      <c r="BT34" s="708"/>
      <c r="BU34" s="708"/>
      <c r="BV34" s="708"/>
      <c r="BW34" s="708"/>
      <c r="BX34" s="708"/>
      <c r="BY34" s="708"/>
      <c r="BZ34" s="708"/>
      <c r="CA34" s="708"/>
      <c r="CB34" s="708"/>
      <c r="CC34" s="708"/>
      <c r="CD34" s="708"/>
      <c r="CE34" s="708"/>
      <c r="CF34" s="708"/>
      <c r="CG34" s="708"/>
      <c r="CH34" s="708"/>
      <c r="CI34" s="708"/>
      <c r="CJ34" s="708"/>
      <c r="CK34" s="708"/>
      <c r="CL34" s="708"/>
      <c r="CM34" s="708"/>
      <c r="CN34" s="708"/>
      <c r="CO34" s="708"/>
      <c r="CP34" s="708"/>
      <c r="CQ34" s="708"/>
      <c r="CR34" s="708"/>
      <c r="CS34" s="708"/>
      <c r="CT34" s="708"/>
      <c r="CU34" s="708"/>
      <c r="CV34" s="708"/>
      <c r="CW34" s="708"/>
      <c r="CX34" s="708"/>
      <c r="CY34" s="708"/>
      <c r="CZ34" s="708"/>
      <c r="DA34" s="708"/>
      <c r="DB34" s="708"/>
      <c r="DC34" s="708"/>
      <c r="DD34" s="708"/>
      <c r="DE34" s="708"/>
      <c r="DF34" s="708"/>
      <c r="DG34" s="708"/>
      <c r="DH34" s="708"/>
      <c r="DI34" s="708"/>
      <c r="DJ34" s="708"/>
      <c r="DK34" s="708"/>
      <c r="DL34" s="708"/>
      <c r="DM34" s="708"/>
      <c r="DN34" s="708"/>
      <c r="DO34" s="708"/>
      <c r="DP34" s="708"/>
      <c r="DQ34" s="708"/>
      <c r="DR34" s="708"/>
      <c r="DS34" s="708"/>
      <c r="DT34" s="708"/>
      <c r="DU34" s="708"/>
      <c r="DV34" s="708"/>
    </row>
    <row r="35" spans="1:126" s="1635" customFormat="1" ht="12.75" customHeight="1">
      <c r="A35" s="695" t="s">
        <v>1223</v>
      </c>
      <c r="B35" s="1633"/>
      <c r="C35" s="1633"/>
      <c r="D35" s="1633"/>
      <c r="E35" s="1634"/>
      <c r="F35" s="1633"/>
      <c r="G35" s="1633"/>
      <c r="H35" s="1633"/>
      <c r="I35" s="1634"/>
      <c r="M35" s="1636"/>
      <c r="P35" s="1635">
        <v>0.76400000000000001</v>
      </c>
      <c r="Q35" s="1636">
        <v>0.76700000000000002</v>
      </c>
      <c r="R35" s="1635">
        <v>0.58199999999999996</v>
      </c>
      <c r="S35" s="1637">
        <v>0.27300000000000002</v>
      </c>
      <c r="T35" s="1635">
        <v>0.315</v>
      </c>
      <c r="U35" s="1636">
        <v>0.32</v>
      </c>
      <c r="V35" s="1635">
        <v>0.23499999999999999</v>
      </c>
      <c r="W35" s="1638">
        <v>0.27200000000000002</v>
      </c>
      <c r="X35" s="1632">
        <v>0.23</v>
      </c>
    </row>
    <row r="36" spans="1:126" s="708" customFormat="1" ht="12.75" customHeight="1">
      <c r="A36" s="695"/>
      <c r="B36" s="711"/>
      <c r="C36" s="711"/>
      <c r="D36" s="711"/>
      <c r="E36" s="710"/>
      <c r="F36" s="711"/>
      <c r="G36" s="711"/>
      <c r="H36" s="711"/>
      <c r="I36" s="710"/>
      <c r="M36" s="709"/>
      <c r="Q36" s="709"/>
      <c r="S36" s="1057"/>
      <c r="U36" s="709"/>
      <c r="W36" s="730"/>
      <c r="X36" s="730"/>
    </row>
    <row r="37" spans="1:126" s="1635" customFormat="1" ht="12.75" customHeight="1">
      <c r="A37" s="889" t="s">
        <v>1439</v>
      </c>
      <c r="B37" s="1633"/>
      <c r="C37" s="1633"/>
      <c r="D37" s="1633"/>
      <c r="E37" s="1634"/>
      <c r="F37" s="1633"/>
      <c r="G37" s="1633"/>
      <c r="H37" s="1633"/>
      <c r="I37" s="1634"/>
      <c r="J37" s="1626">
        <v>158</v>
      </c>
      <c r="K37" s="1626">
        <v>196.691</v>
      </c>
      <c r="L37" s="1626">
        <v>151.66999999999999</v>
      </c>
      <c r="M37" s="1627">
        <v>182.572</v>
      </c>
      <c r="N37" s="1626">
        <v>214.202</v>
      </c>
      <c r="O37" s="1626">
        <v>374.351</v>
      </c>
      <c r="P37" s="1626">
        <v>342.303</v>
      </c>
      <c r="Q37" s="1627">
        <v>367.85</v>
      </c>
      <c r="R37" s="1626">
        <v>305.12099999999998</v>
      </c>
      <c r="S37" s="1626">
        <v>424.05399999999997</v>
      </c>
      <c r="T37" s="1626">
        <v>350.24</v>
      </c>
      <c r="U37" s="1627">
        <v>402.20400000000001</v>
      </c>
      <c r="V37" s="1626">
        <v>338.96600000000001</v>
      </c>
      <c r="W37" s="1626">
        <v>454.58499999999998</v>
      </c>
      <c r="X37" s="1626">
        <v>383.71699999999998</v>
      </c>
    </row>
    <row r="38" spans="1:126" s="1052" customFormat="1">
      <c r="A38" s="695" t="s">
        <v>1440</v>
      </c>
      <c r="B38" s="711"/>
      <c r="C38" s="711"/>
      <c r="D38" s="711"/>
      <c r="E38" s="710"/>
      <c r="F38" s="711"/>
      <c r="G38" s="711"/>
      <c r="H38" s="711"/>
      <c r="I38" s="710"/>
      <c r="J38" s="708"/>
      <c r="K38" s="708"/>
      <c r="L38" s="708"/>
      <c r="M38" s="709"/>
      <c r="N38" s="708"/>
      <c r="O38" s="708"/>
      <c r="P38" s="977">
        <f>151.67*(1+P39)</f>
        <v>334.12900999999999</v>
      </c>
      <c r="Q38" s="978">
        <f>182.572*(1+Q39)</f>
        <v>358.20626399999998</v>
      </c>
      <c r="R38" s="1375">
        <f>182.572*(1+R39)</f>
        <v>253.22736399999999</v>
      </c>
      <c r="S38" s="1375">
        <f>374.351*(1+S39)</f>
        <v>434.24715999999995</v>
      </c>
      <c r="T38" s="1375">
        <f>374.351*(1+T39)</f>
        <v>418.15006699999998</v>
      </c>
      <c r="U38" s="1965">
        <f>Q37*(1+U39)</f>
        <v>445.46635000000003</v>
      </c>
      <c r="V38" s="856">
        <f>R37*(1+V39)</f>
        <v>370.722015</v>
      </c>
      <c r="W38" s="856">
        <f>S37*(1+W39)</f>
        <v>469.00372400000003</v>
      </c>
      <c r="X38" s="856">
        <f>T37*(1+X39)</f>
        <v>385.61424</v>
      </c>
      <c r="Z38" s="708"/>
      <c r="AA38" s="708"/>
      <c r="AB38" s="708"/>
      <c r="AC38" s="708"/>
      <c r="AD38" s="708"/>
      <c r="AE38" s="708"/>
      <c r="AF38" s="708"/>
      <c r="AG38" s="708"/>
      <c r="AH38" s="708"/>
      <c r="AI38" s="708"/>
      <c r="AJ38" s="708"/>
      <c r="AK38" s="708"/>
      <c r="AL38" s="708"/>
      <c r="AM38" s="708"/>
      <c r="AN38" s="708"/>
      <c r="AO38" s="708"/>
      <c r="AP38" s="708"/>
      <c r="AQ38" s="708"/>
      <c r="AR38" s="708"/>
      <c r="AS38" s="708"/>
      <c r="AT38" s="708"/>
      <c r="AU38" s="708"/>
      <c r="AV38" s="708"/>
      <c r="AW38" s="708"/>
      <c r="AX38" s="708"/>
      <c r="AY38" s="708"/>
      <c r="AZ38" s="708"/>
      <c r="BA38" s="708"/>
      <c r="BB38" s="708"/>
      <c r="BC38" s="708"/>
      <c r="BD38" s="708"/>
      <c r="BE38" s="708"/>
      <c r="BF38" s="708"/>
      <c r="BG38" s="708"/>
      <c r="BH38" s="708"/>
      <c r="BI38" s="708"/>
      <c r="BJ38" s="708"/>
      <c r="BK38" s="708"/>
      <c r="BL38" s="708"/>
      <c r="BM38" s="708"/>
      <c r="BN38" s="708"/>
      <c r="BO38" s="708"/>
      <c r="BP38" s="708"/>
      <c r="BQ38" s="708"/>
      <c r="BR38" s="708"/>
      <c r="BS38" s="708"/>
      <c r="BT38" s="708"/>
      <c r="BU38" s="708"/>
      <c r="BV38" s="708"/>
      <c r="BW38" s="708"/>
      <c r="BX38" s="708"/>
      <c r="BY38" s="708"/>
      <c r="BZ38" s="708"/>
      <c r="CA38" s="708"/>
      <c r="CB38" s="708"/>
      <c r="CC38" s="708"/>
      <c r="CD38" s="708"/>
      <c r="CE38" s="708"/>
      <c r="CF38" s="708"/>
      <c r="CG38" s="708"/>
      <c r="CH38" s="708"/>
      <c r="CI38" s="708"/>
      <c r="CJ38" s="708"/>
      <c r="CK38" s="708"/>
      <c r="CL38" s="708"/>
      <c r="CM38" s="708"/>
      <c r="CN38" s="708"/>
      <c r="CO38" s="708"/>
      <c r="CP38" s="708"/>
      <c r="CQ38" s="708"/>
      <c r="CR38" s="708"/>
      <c r="CS38" s="708"/>
      <c r="CT38" s="708"/>
      <c r="CU38" s="708"/>
      <c r="CV38" s="708"/>
      <c r="CW38" s="708"/>
      <c r="CX38" s="708"/>
      <c r="CY38" s="708"/>
      <c r="CZ38" s="708"/>
      <c r="DA38" s="708"/>
      <c r="DB38" s="708"/>
      <c r="DC38" s="708"/>
      <c r="DD38" s="708"/>
      <c r="DE38" s="708"/>
      <c r="DF38" s="708"/>
      <c r="DG38" s="708"/>
      <c r="DH38" s="708"/>
      <c r="DI38" s="708"/>
      <c r="DJ38" s="708"/>
      <c r="DK38" s="708"/>
      <c r="DL38" s="708"/>
      <c r="DM38" s="708"/>
      <c r="DN38" s="708"/>
      <c r="DO38" s="708"/>
      <c r="DP38" s="708"/>
      <c r="DQ38" s="708"/>
      <c r="DR38" s="708"/>
      <c r="DS38" s="708"/>
      <c r="DT38" s="708"/>
      <c r="DU38" s="708"/>
      <c r="DV38" s="708"/>
    </row>
    <row r="39" spans="1:126" s="1630" customFormat="1" ht="12">
      <c r="A39" s="695" t="s">
        <v>970</v>
      </c>
      <c r="B39" s="1628"/>
      <c r="C39" s="1628"/>
      <c r="D39" s="1628"/>
      <c r="E39" s="1629"/>
      <c r="F39" s="1628"/>
      <c r="G39" s="1628"/>
      <c r="H39" s="1628"/>
      <c r="I39" s="1629"/>
      <c r="M39" s="1631"/>
      <c r="P39" s="1630">
        <v>1.2030000000000001</v>
      </c>
      <c r="Q39" s="1631">
        <v>0.96199999999999997</v>
      </c>
      <c r="R39" s="1630">
        <v>0.38700000000000001</v>
      </c>
      <c r="S39" s="1639">
        <v>0.16</v>
      </c>
      <c r="T39" s="1630">
        <v>0.11700000000000001</v>
      </c>
      <c r="U39" s="1631">
        <v>0.21099999999999999</v>
      </c>
      <c r="V39" s="1630">
        <v>0.215</v>
      </c>
      <c r="W39" s="1632">
        <v>0.106</v>
      </c>
      <c r="X39" s="1632">
        <v>0.10100000000000001</v>
      </c>
    </row>
    <row r="40" spans="1:126" s="708" customFormat="1">
      <c r="A40" s="695"/>
      <c r="B40" s="711"/>
      <c r="C40" s="711"/>
      <c r="D40" s="711"/>
      <c r="E40" s="710"/>
      <c r="F40" s="711"/>
      <c r="G40" s="711"/>
      <c r="H40" s="711"/>
      <c r="I40" s="710"/>
      <c r="M40" s="709"/>
      <c r="Q40" s="709"/>
      <c r="S40" s="1057"/>
      <c r="U40" s="709"/>
      <c r="W40" s="730"/>
      <c r="X40" s="730"/>
    </row>
    <row r="41" spans="1:126" s="1635" customFormat="1">
      <c r="A41" s="889" t="s">
        <v>2044</v>
      </c>
      <c r="B41" s="1633"/>
      <c r="C41" s="1633"/>
      <c r="D41" s="1633"/>
      <c r="E41" s="1634"/>
      <c r="F41" s="1633"/>
      <c r="G41" s="1633"/>
      <c r="H41" s="1633"/>
      <c r="I41" s="1634"/>
      <c r="M41" s="1636"/>
      <c r="O41" s="1626">
        <v>125.32299999999999</v>
      </c>
      <c r="P41" s="1626">
        <v>106.139</v>
      </c>
      <c r="Q41" s="1627">
        <v>129.84299999999999</v>
      </c>
      <c r="R41" s="1626">
        <v>135.614</v>
      </c>
      <c r="S41" s="1626">
        <v>187.56299999999999</v>
      </c>
      <c r="T41" s="1626">
        <v>144.11000000000001</v>
      </c>
      <c r="U41" s="1627">
        <v>190.18</v>
      </c>
      <c r="V41" s="1626">
        <v>194.28200000000001</v>
      </c>
      <c r="W41" s="1626">
        <v>253.387</v>
      </c>
      <c r="X41" s="1626">
        <v>192.25399999999999</v>
      </c>
    </row>
    <row r="42" spans="1:126" s="708" customFormat="1">
      <c r="A42" s="695" t="s">
        <v>1441</v>
      </c>
      <c r="B42" s="711"/>
      <c r="C42" s="711"/>
      <c r="D42" s="711"/>
      <c r="E42" s="710"/>
      <c r="F42" s="711"/>
      <c r="G42" s="711"/>
      <c r="H42" s="711"/>
      <c r="I42" s="710"/>
      <c r="M42" s="709"/>
      <c r="Q42" s="709"/>
      <c r="S42" s="977">
        <f>O41*(1+S43)</f>
        <v>194.87726500000002</v>
      </c>
      <c r="T42" s="977">
        <f>T41*(1+T43)</f>
        <v>214.57979</v>
      </c>
      <c r="U42" s="978">
        <f>Q41*(1+U43)</f>
        <v>209.56660199999996</v>
      </c>
      <c r="V42" s="977">
        <f>R41*(1+V43)</f>
        <v>210.744156</v>
      </c>
      <c r="W42" s="977">
        <f>S41*(1+W43)</f>
        <v>263.33845199999996</v>
      </c>
      <c r="X42" s="977">
        <f>T41*(1+X43)</f>
        <v>193.39562000000004</v>
      </c>
    </row>
    <row r="43" spans="1:126" s="1630" customFormat="1" ht="12">
      <c r="A43" s="695" t="s">
        <v>1442</v>
      </c>
      <c r="B43" s="1628"/>
      <c r="C43" s="1628"/>
      <c r="D43" s="1628"/>
      <c r="E43" s="1629"/>
      <c r="F43" s="1628"/>
      <c r="G43" s="1628"/>
      <c r="H43" s="1628"/>
      <c r="I43" s="1629"/>
      <c r="M43" s="1631"/>
      <c r="Q43" s="1631"/>
      <c r="R43" s="1630">
        <v>0.55400000000000005</v>
      </c>
      <c r="S43" s="1639">
        <v>0.55500000000000005</v>
      </c>
      <c r="T43" s="1630">
        <v>0.48899999999999999</v>
      </c>
      <c r="U43" s="1631">
        <v>0.61399999999999999</v>
      </c>
      <c r="V43" s="1630">
        <v>0.55400000000000005</v>
      </c>
      <c r="W43" s="1630">
        <v>0.40400000000000003</v>
      </c>
      <c r="X43" s="1632">
        <v>0.34200000000000003</v>
      </c>
    </row>
    <row r="44" spans="1:126" s="27" customFormat="1">
      <c r="A44" s="513"/>
      <c r="B44" s="59"/>
      <c r="C44" s="59"/>
      <c r="D44" s="59"/>
      <c r="E44" s="517"/>
      <c r="F44" s="59"/>
      <c r="G44" s="59"/>
      <c r="H44" s="59"/>
      <c r="I44" s="517"/>
      <c r="M44" s="97"/>
      <c r="Q44" s="97"/>
      <c r="S44" s="38"/>
      <c r="U44" s="97"/>
    </row>
    <row r="45" spans="1:126" s="27" customFormat="1">
      <c r="A45" s="513"/>
      <c r="B45" s="59"/>
      <c r="C45" s="59"/>
      <c r="D45" s="59"/>
      <c r="E45" s="517"/>
      <c r="F45" s="59"/>
      <c r="G45" s="59"/>
      <c r="H45" s="59"/>
      <c r="I45" s="517"/>
      <c r="M45" s="97"/>
      <c r="Q45" s="97"/>
      <c r="S45" s="38"/>
      <c r="U45" s="97"/>
    </row>
    <row r="46" spans="1:126" s="27" customFormat="1">
      <c r="A46" s="513"/>
      <c r="B46" s="59"/>
      <c r="C46" s="59"/>
      <c r="D46" s="59"/>
      <c r="E46" s="517"/>
      <c r="F46" s="59"/>
      <c r="G46" s="59"/>
      <c r="H46" s="59"/>
      <c r="I46" s="517"/>
      <c r="M46" s="97"/>
      <c r="Q46" s="97"/>
      <c r="S46" s="38"/>
      <c r="U46" s="97"/>
    </row>
    <row r="47" spans="1:126" s="891" customFormat="1">
      <c r="A47" s="1976" t="s">
        <v>1443</v>
      </c>
      <c r="B47" s="964"/>
      <c r="C47" s="964"/>
      <c r="D47" s="964"/>
      <c r="E47" s="972"/>
      <c r="F47" s="964"/>
      <c r="G47" s="964"/>
      <c r="H47" s="964"/>
      <c r="I47" s="972"/>
      <c r="M47" s="892"/>
      <c r="Q47" s="892"/>
      <c r="U47" s="892"/>
      <c r="Z47" s="891">
        <v>1000</v>
      </c>
    </row>
    <row r="48" spans="1:126" s="1644" customFormat="1">
      <c r="A48" s="1650" t="s">
        <v>1879</v>
      </c>
      <c r="B48" s="1642">
        <v>16.368507000000001</v>
      </c>
      <c r="C48" s="1642">
        <v>16.475199</v>
      </c>
      <c r="D48" s="1642">
        <v>18.406372000000001</v>
      </c>
      <c r="E48" s="1643">
        <v>19.950983000000001</v>
      </c>
      <c r="F48" s="1642">
        <v>19.492000000000001</v>
      </c>
      <c r="G48" s="1642">
        <v>19.768000000000001</v>
      </c>
      <c r="H48" s="1642">
        <v>18.427</v>
      </c>
      <c r="I48" s="1643">
        <v>16.989000000000001</v>
      </c>
      <c r="J48" s="1644">
        <v>22.195</v>
      </c>
      <c r="K48" s="1644">
        <v>23.88</v>
      </c>
      <c r="L48" s="1644">
        <v>23.556000000000001</v>
      </c>
      <c r="M48" s="1645">
        <v>38.216000000000001</v>
      </c>
      <c r="N48" s="1644">
        <v>32.862000000000002</v>
      </c>
      <c r="O48" s="1644">
        <v>41.325000000000003</v>
      </c>
      <c r="P48" s="1644">
        <v>40.322000000000003</v>
      </c>
      <c r="Q48" s="1645">
        <v>40.473999999999997</v>
      </c>
      <c r="R48" s="1644">
        <v>45.27</v>
      </c>
      <c r="S48" s="1644">
        <v>40.448</v>
      </c>
      <c r="T48" s="1644">
        <v>41.067</v>
      </c>
      <c r="U48" s="1645">
        <v>43.506</v>
      </c>
      <c r="V48" s="1644">
        <v>41.692999999999998</v>
      </c>
      <c r="W48" s="1644">
        <v>44.613</v>
      </c>
      <c r="X48" s="1644">
        <v>45.991999999999997</v>
      </c>
    </row>
    <row r="49" spans="1:126" s="1644" customFormat="1">
      <c r="A49" s="1650" t="s">
        <v>1878</v>
      </c>
      <c r="B49" s="1644">
        <v>43.109419000000003</v>
      </c>
      <c r="C49" s="1644">
        <v>77.264202999999995</v>
      </c>
      <c r="D49" s="1644">
        <v>40.821193999999998</v>
      </c>
      <c r="E49" s="1645">
        <v>54.563234000000001</v>
      </c>
      <c r="F49" s="1644">
        <v>47.863</v>
      </c>
      <c r="G49" s="1644">
        <v>72.418999999999997</v>
      </c>
      <c r="H49" s="1644">
        <v>42.408000000000001</v>
      </c>
      <c r="I49" s="1645">
        <v>63.395000000000003</v>
      </c>
      <c r="J49" s="1644">
        <v>64.355999999999995</v>
      </c>
      <c r="K49" s="1644">
        <v>95.570999999999998</v>
      </c>
      <c r="L49" s="1644">
        <v>57.628</v>
      </c>
      <c r="M49" s="1645">
        <v>82.174999999999997</v>
      </c>
      <c r="N49" s="1644">
        <v>78.88</v>
      </c>
      <c r="O49" s="1644">
        <v>134.57400000000001</v>
      </c>
      <c r="P49" s="1644">
        <v>98.274000000000001</v>
      </c>
      <c r="Q49" s="1645">
        <v>113.72</v>
      </c>
      <c r="R49" s="1644">
        <v>93.394999999999996</v>
      </c>
      <c r="S49" s="1644">
        <v>76.278000000000006</v>
      </c>
      <c r="T49" s="1644">
        <v>44.86</v>
      </c>
      <c r="U49" s="1645">
        <v>58.204000000000001</v>
      </c>
      <c r="V49" s="1644">
        <v>58.182000000000002</v>
      </c>
      <c r="W49" s="1644">
        <v>68.524000000000001</v>
      </c>
      <c r="X49" s="1644">
        <v>46.762999999999998</v>
      </c>
    </row>
    <row r="50" spans="1:126" s="1644" customFormat="1">
      <c r="A50" s="1650" t="s">
        <v>1877</v>
      </c>
      <c r="B50" s="1644">
        <v>1.373032</v>
      </c>
      <c r="C50" s="1644">
        <v>1.1045940000000001</v>
      </c>
      <c r="D50" s="1644">
        <v>1.306187</v>
      </c>
      <c r="E50" s="1645">
        <v>1.175983</v>
      </c>
      <c r="F50" s="1644">
        <v>1.238</v>
      </c>
      <c r="G50" s="1644">
        <v>1.4730000000000001</v>
      </c>
      <c r="H50" s="1644">
        <v>1.615</v>
      </c>
      <c r="I50" s="1645">
        <v>1.605</v>
      </c>
      <c r="J50" s="1644">
        <v>1.448</v>
      </c>
      <c r="K50" s="1644">
        <v>1.7749999999999999</v>
      </c>
      <c r="L50" s="1644">
        <v>1.925</v>
      </c>
      <c r="M50" s="1645">
        <v>2.8570000000000002</v>
      </c>
      <c r="N50" s="1644">
        <v>8.2910000000000004</v>
      </c>
      <c r="O50" s="1644">
        <v>16.157</v>
      </c>
      <c r="P50" s="1644">
        <v>14.321</v>
      </c>
      <c r="Q50" s="1645">
        <v>18.283000000000001</v>
      </c>
      <c r="R50" s="1644">
        <v>19.140999999999998</v>
      </c>
      <c r="U50" s="1645"/>
    </row>
    <row r="51" spans="1:126" s="1644" customFormat="1">
      <c r="A51" s="1650" t="s">
        <v>1876</v>
      </c>
      <c r="E51" s="1645"/>
      <c r="I51" s="1645"/>
      <c r="M51" s="1645"/>
      <c r="Q51" s="1645"/>
      <c r="S51" s="1644">
        <v>15.081</v>
      </c>
      <c r="T51" s="1644">
        <v>11.846</v>
      </c>
      <c r="U51" s="1645">
        <v>14.679</v>
      </c>
      <c r="V51" s="1644">
        <v>12.138999999999999</v>
      </c>
      <c r="W51" s="1644">
        <v>18.321000000000002</v>
      </c>
      <c r="X51" s="1644">
        <v>14.257</v>
      </c>
    </row>
    <row r="52" spans="1:126" s="1644" customFormat="1">
      <c r="A52" s="1650" t="s">
        <v>1875</v>
      </c>
      <c r="E52" s="1645"/>
      <c r="I52" s="1645"/>
      <c r="M52" s="1645"/>
      <c r="Q52" s="1645"/>
      <c r="S52" s="1644">
        <v>5.6029999999999998</v>
      </c>
      <c r="T52" s="1644">
        <v>5.8360000000000003</v>
      </c>
      <c r="U52" s="1645">
        <v>8.4260000000000002</v>
      </c>
      <c r="V52" s="1644">
        <v>8.1630000000000003</v>
      </c>
      <c r="W52" s="1644">
        <v>10.279</v>
      </c>
      <c r="X52" s="1644">
        <v>10.945</v>
      </c>
    </row>
    <row r="53" spans="1:126" s="1649" customFormat="1">
      <c r="A53" s="1646" t="s">
        <v>352</v>
      </c>
      <c r="B53" s="1647">
        <f t="shared" ref="B53:O53" si="10">SUM(B48:B50)</f>
        <v>60.850958000000006</v>
      </c>
      <c r="C53" s="1647">
        <f t="shared" si="10"/>
        <v>94.843996000000004</v>
      </c>
      <c r="D53" s="1647">
        <f t="shared" si="10"/>
        <v>60.533752999999997</v>
      </c>
      <c r="E53" s="1648">
        <f t="shared" si="10"/>
        <v>75.690200000000004</v>
      </c>
      <c r="F53" s="1647">
        <f t="shared" si="10"/>
        <v>68.593000000000004</v>
      </c>
      <c r="G53" s="1647">
        <f t="shared" si="10"/>
        <v>93.66</v>
      </c>
      <c r="H53" s="1647">
        <f t="shared" si="10"/>
        <v>62.45</v>
      </c>
      <c r="I53" s="1648">
        <f t="shared" si="10"/>
        <v>81.989000000000004</v>
      </c>
      <c r="J53" s="1647">
        <f t="shared" si="10"/>
        <v>87.998999999999981</v>
      </c>
      <c r="K53" s="1647">
        <f t="shared" si="10"/>
        <v>121.226</v>
      </c>
      <c r="L53" s="1647">
        <f t="shared" si="10"/>
        <v>83.108999999999995</v>
      </c>
      <c r="M53" s="1648">
        <f t="shared" si="10"/>
        <v>123.24799999999999</v>
      </c>
      <c r="N53" s="1647">
        <f t="shared" si="10"/>
        <v>120.03299999999999</v>
      </c>
      <c r="O53" s="1647">
        <f t="shared" si="10"/>
        <v>192.05600000000001</v>
      </c>
      <c r="P53" s="1647">
        <v>152.917</v>
      </c>
      <c r="Q53" s="1648">
        <f>SUM(Q48:Q50)</f>
        <v>172.47699999999998</v>
      </c>
      <c r="R53" s="1647">
        <f>SUM(R48:R50)</f>
        <v>157.80599999999998</v>
      </c>
      <c r="S53" s="1647">
        <f t="shared" ref="S53:X53" si="11">SUM(S48:S52)</f>
        <v>137.41</v>
      </c>
      <c r="T53" s="1647">
        <f t="shared" si="11"/>
        <v>103.60899999999999</v>
      </c>
      <c r="U53" s="1648">
        <f t="shared" si="11"/>
        <v>124.81500000000001</v>
      </c>
      <c r="V53" s="1647">
        <f t="shared" si="11"/>
        <v>120.17699999999999</v>
      </c>
      <c r="W53" s="1647">
        <f t="shared" si="11"/>
        <v>141.73699999999999</v>
      </c>
      <c r="X53" s="1647">
        <f t="shared" si="11"/>
        <v>117.95699999999999</v>
      </c>
      <c r="Y53" s="1647"/>
      <c r="Z53" s="1647"/>
      <c r="AA53" s="1647"/>
      <c r="AB53" s="1647"/>
      <c r="AC53" s="1647"/>
      <c r="AD53" s="1647"/>
      <c r="AE53" s="1647"/>
      <c r="AF53" s="1647"/>
      <c r="AG53" s="1647"/>
      <c r="AH53" s="1647"/>
      <c r="AI53" s="1647"/>
      <c r="AJ53" s="1647"/>
      <c r="AK53" s="1647"/>
      <c r="AL53" s="1647"/>
      <c r="AM53" s="1647"/>
      <c r="AN53" s="1647"/>
      <c r="AO53" s="1647"/>
      <c r="AP53" s="1647"/>
      <c r="AQ53" s="1647"/>
      <c r="AR53" s="1647"/>
      <c r="AS53" s="1647"/>
      <c r="AT53" s="1647"/>
      <c r="AU53" s="1647"/>
      <c r="AV53" s="1647"/>
      <c r="AW53" s="1647"/>
      <c r="AX53" s="1647"/>
      <c r="AY53" s="1647"/>
      <c r="AZ53" s="1647"/>
      <c r="BA53" s="1647"/>
      <c r="BB53" s="1647"/>
      <c r="BC53" s="1647"/>
      <c r="BD53" s="1647"/>
      <c r="BE53" s="1647"/>
      <c r="BF53" s="1647"/>
      <c r="BG53" s="1647"/>
      <c r="BH53" s="1647"/>
      <c r="BI53" s="1647"/>
      <c r="BJ53" s="1647"/>
      <c r="BK53" s="1647"/>
      <c r="BL53" s="1647"/>
      <c r="BM53" s="1647"/>
      <c r="BN53" s="1647"/>
      <c r="BO53" s="1647"/>
      <c r="BP53" s="1647"/>
      <c r="BQ53" s="1647"/>
      <c r="BR53" s="1647"/>
      <c r="BS53" s="1647"/>
      <c r="BT53" s="1647"/>
      <c r="BU53" s="1647"/>
      <c r="BV53" s="1647"/>
      <c r="BW53" s="1647"/>
      <c r="BX53" s="1647"/>
      <c r="BY53" s="1647"/>
      <c r="BZ53" s="1647"/>
      <c r="CA53" s="1647"/>
      <c r="CB53" s="1647"/>
      <c r="CC53" s="1647"/>
      <c r="CD53" s="1647"/>
      <c r="CE53" s="1647"/>
      <c r="CF53" s="1647"/>
      <c r="CG53" s="1647"/>
      <c r="CH53" s="1647"/>
      <c r="CI53" s="1647"/>
      <c r="CJ53" s="1647"/>
      <c r="CK53" s="1647"/>
      <c r="CL53" s="1647"/>
      <c r="CM53" s="1647"/>
      <c r="CN53" s="1647"/>
      <c r="CO53" s="1647"/>
      <c r="CP53" s="1647"/>
      <c r="CQ53" s="1647"/>
      <c r="CR53" s="1647"/>
      <c r="CS53" s="1647"/>
      <c r="CT53" s="1647"/>
      <c r="CU53" s="1647"/>
      <c r="CV53" s="1647"/>
      <c r="CW53" s="1647"/>
      <c r="CX53" s="1647"/>
      <c r="CY53" s="1647"/>
      <c r="CZ53" s="1647"/>
      <c r="DA53" s="1647"/>
      <c r="DB53" s="1647"/>
      <c r="DC53" s="1647"/>
      <c r="DD53" s="1647"/>
      <c r="DE53" s="1647"/>
      <c r="DF53" s="1647"/>
      <c r="DG53" s="1647"/>
      <c r="DH53" s="1647"/>
      <c r="DI53" s="1647"/>
      <c r="DJ53" s="1647"/>
      <c r="DK53" s="1647"/>
      <c r="DL53" s="1647"/>
      <c r="DM53" s="1647"/>
      <c r="DN53" s="1647"/>
      <c r="DO53" s="1647"/>
      <c r="DP53" s="1647"/>
      <c r="DQ53" s="1647"/>
      <c r="DR53" s="1647"/>
      <c r="DS53" s="1647"/>
      <c r="DT53" s="1647"/>
      <c r="DU53" s="1647"/>
      <c r="DV53" s="1647"/>
    </row>
    <row r="54" spans="1:126" s="1644" customFormat="1">
      <c r="A54" s="1650" t="s">
        <v>1319</v>
      </c>
      <c r="B54" s="1644">
        <v>1.1684950000000001</v>
      </c>
      <c r="C54" s="1644">
        <v>0.28837600000000002</v>
      </c>
      <c r="D54" s="1644">
        <v>0.44744600000000001</v>
      </c>
      <c r="E54" s="1645">
        <v>0</v>
      </c>
      <c r="F54" s="1644">
        <v>0.123</v>
      </c>
      <c r="G54" s="1644">
        <v>0.129</v>
      </c>
      <c r="H54" s="1644">
        <v>0.88800000000000001</v>
      </c>
      <c r="I54" s="1645">
        <v>0</v>
      </c>
      <c r="J54" s="1644">
        <v>0</v>
      </c>
      <c r="K54" s="1644">
        <v>0</v>
      </c>
      <c r="L54" s="1644">
        <v>0.20599999999999999</v>
      </c>
      <c r="M54" s="1645">
        <v>9.2999999999999999E-2</v>
      </c>
      <c r="N54" s="1644">
        <v>6.4000000000000001E-2</v>
      </c>
      <c r="O54" s="1644">
        <v>12</v>
      </c>
      <c r="P54" s="1644">
        <v>8.7999999999999995E-2</v>
      </c>
      <c r="Q54" s="1645">
        <v>0.17399999999999999</v>
      </c>
      <c r="R54" s="1644">
        <v>0.161</v>
      </c>
      <c r="S54" s="1644">
        <v>3.0000000000000001E-3</v>
      </c>
      <c r="T54" s="1644">
        <v>0</v>
      </c>
      <c r="U54" s="1645">
        <v>7.8E-2</v>
      </c>
      <c r="V54" s="1644">
        <v>6.8000000000000005E-2</v>
      </c>
      <c r="W54" s="1644">
        <v>3.5000000000000003E-2</v>
      </c>
      <c r="X54" s="1644">
        <v>0.152</v>
      </c>
    </row>
    <row r="55" spans="1:126" s="1647" customFormat="1">
      <c r="A55" s="1646" t="s">
        <v>1224</v>
      </c>
      <c r="E55" s="1648"/>
      <c r="I55" s="1648"/>
      <c r="M55" s="1648"/>
      <c r="Q55" s="1648"/>
      <c r="U55" s="1648"/>
      <c r="Z55" s="1647">
        <v>-1</v>
      </c>
      <c r="AD55" s="1647" t="s">
        <v>1438</v>
      </c>
    </row>
    <row r="56" spans="1:126" s="1644" customFormat="1">
      <c r="A56" s="1650" t="s">
        <v>1874</v>
      </c>
      <c r="B56" s="1644">
        <v>-32.048746000000001</v>
      </c>
      <c r="C56" s="1644">
        <v>-59.391351</v>
      </c>
      <c r="D56" s="1644">
        <v>-28.309524</v>
      </c>
      <c r="E56" s="1645">
        <v>-38.786247000000003</v>
      </c>
      <c r="F56" s="1644">
        <v>-31.41</v>
      </c>
      <c r="G56" s="1644">
        <v>-54.051000000000002</v>
      </c>
      <c r="H56" s="1644">
        <v>-28.981999999999999</v>
      </c>
      <c r="I56" s="1645">
        <v>-45.697000000000003</v>
      </c>
      <c r="J56" s="1644">
        <v>-36.533999999999999</v>
      </c>
      <c r="K56" s="1644">
        <v>-62.357999999999997</v>
      </c>
      <c r="L56" s="1644">
        <v>-29.913</v>
      </c>
      <c r="M56" s="1645">
        <v>-46.703000000000003</v>
      </c>
      <c r="N56" s="1644">
        <v>-34.945</v>
      </c>
      <c r="O56" s="1644">
        <v>-58.356999999999999</v>
      </c>
      <c r="P56" s="1644">
        <v>-32.271000000000001</v>
      </c>
      <c r="Q56" s="1645">
        <v>-43.73</v>
      </c>
      <c r="R56" s="1644">
        <v>-34.988999999999997</v>
      </c>
      <c r="S56" s="1657">
        <v>-57.261000000000003</v>
      </c>
      <c r="T56" s="1644">
        <v>-29.491</v>
      </c>
      <c r="U56" s="1645">
        <v>-37.155999999999999</v>
      </c>
      <c r="V56" s="1644">
        <v>-36.915999999999997</v>
      </c>
      <c r="W56" s="1644">
        <v>-46.122999999999998</v>
      </c>
      <c r="X56" s="1644">
        <v>-27.934000000000001</v>
      </c>
    </row>
    <row r="57" spans="1:126" s="1644" customFormat="1">
      <c r="A57" s="1650" t="s">
        <v>1225</v>
      </c>
      <c r="B57" s="1644">
        <v>-0.27453699999999998</v>
      </c>
      <c r="C57" s="1644">
        <v>0</v>
      </c>
      <c r="D57" s="1644">
        <v>-0.17505299999999999</v>
      </c>
      <c r="E57" s="1645">
        <v>-1.823974</v>
      </c>
      <c r="F57" s="1644">
        <v>-0.81699999999999995</v>
      </c>
      <c r="G57" s="1644">
        <v>1.506</v>
      </c>
      <c r="H57" s="1644">
        <v>-0.26400000000000001</v>
      </c>
      <c r="I57" s="1645">
        <v>0</v>
      </c>
      <c r="J57" s="1644">
        <v>0</v>
      </c>
      <c r="K57" s="1644">
        <v>0</v>
      </c>
      <c r="L57" s="1644">
        <v>0</v>
      </c>
      <c r="M57" s="1645">
        <v>0</v>
      </c>
      <c r="N57" s="1644">
        <v>0</v>
      </c>
      <c r="O57" s="1644">
        <v>0</v>
      </c>
      <c r="P57" s="1644">
        <v>0</v>
      </c>
      <c r="Q57" s="1645">
        <v>0</v>
      </c>
      <c r="R57" s="1644">
        <v>0</v>
      </c>
      <c r="S57" s="1644">
        <v>0</v>
      </c>
      <c r="T57" s="1644">
        <v>0</v>
      </c>
      <c r="U57" s="1645">
        <v>0</v>
      </c>
      <c r="V57" s="1644">
        <v>0</v>
      </c>
      <c r="W57" s="1644">
        <v>0</v>
      </c>
      <c r="X57" s="1644">
        <v>0</v>
      </c>
    </row>
    <row r="58" spans="1:126" s="1644" customFormat="1">
      <c r="A58" s="1650" t="s">
        <v>1444</v>
      </c>
      <c r="E58" s="1645"/>
      <c r="I58" s="1645"/>
      <c r="M58" s="1645"/>
      <c r="O58" s="1644">
        <v>-1.819</v>
      </c>
      <c r="P58" s="1644">
        <v>-1.3759999999999999</v>
      </c>
      <c r="Q58" s="1645">
        <v>-1.661</v>
      </c>
      <c r="R58" s="1644">
        <v>-1.6739999999999999</v>
      </c>
      <c r="S58" s="1644">
        <v>-3.1030000000000002</v>
      </c>
      <c r="T58" s="1644">
        <v>-2.9620000000000002</v>
      </c>
      <c r="U58" s="1645">
        <v>-4.758</v>
      </c>
      <c r="V58" s="1644">
        <v>-1.7649999999999999</v>
      </c>
      <c r="W58" s="1644">
        <v>-3.4289999999999998</v>
      </c>
      <c r="X58" s="1644">
        <v>-2.8180000000000001</v>
      </c>
    </row>
    <row r="59" spans="1:126" s="1644" customFormat="1">
      <c r="A59" s="1652" t="s">
        <v>1315</v>
      </c>
      <c r="E59" s="1645"/>
      <c r="I59" s="1645"/>
      <c r="M59" s="1645"/>
      <c r="O59" s="1644">
        <v>9.3339999999999996</v>
      </c>
      <c r="P59" s="1644">
        <v>19.922000000000001</v>
      </c>
      <c r="Q59" s="1645">
        <v>24.321000000000002</v>
      </c>
      <c r="R59" s="1644">
        <v>24.164000000000001</v>
      </c>
      <c r="S59" s="1644">
        <v>92.373000000000005</v>
      </c>
      <c r="T59" s="1644">
        <v>88.227000000000004</v>
      </c>
      <c r="U59" s="1645">
        <v>96.340999999999994</v>
      </c>
      <c r="V59" s="1644">
        <v>81.417000000000002</v>
      </c>
      <c r="W59" s="1644">
        <v>105.327</v>
      </c>
      <c r="X59" s="1644">
        <v>92.652000000000001</v>
      </c>
      <c r="Z59" s="1644">
        <v>31.539000000000001</v>
      </c>
    </row>
    <row r="60" spans="1:126" s="1992" customFormat="1">
      <c r="A60" s="1653" t="s">
        <v>1445</v>
      </c>
      <c r="B60" s="1654">
        <f t="shared" ref="B60:N60" si="12">B53+B59+B56+B57</f>
        <v>28.527675000000006</v>
      </c>
      <c r="C60" s="1654">
        <f t="shared" si="12"/>
        <v>35.452645000000004</v>
      </c>
      <c r="D60" s="1654">
        <f t="shared" si="12"/>
        <v>32.049175999999996</v>
      </c>
      <c r="E60" s="1655">
        <f t="shared" si="12"/>
        <v>35.079979000000002</v>
      </c>
      <c r="F60" s="1654">
        <f t="shared" si="12"/>
        <v>36.366000000000007</v>
      </c>
      <c r="G60" s="1654">
        <f t="shared" si="12"/>
        <v>41.114999999999995</v>
      </c>
      <c r="H60" s="1654">
        <f t="shared" si="12"/>
        <v>33.204000000000001</v>
      </c>
      <c r="I60" s="1655">
        <f t="shared" si="12"/>
        <v>36.292000000000002</v>
      </c>
      <c r="J60" s="1654">
        <f t="shared" si="12"/>
        <v>51.464999999999982</v>
      </c>
      <c r="K60" s="1654">
        <f t="shared" si="12"/>
        <v>58.868000000000002</v>
      </c>
      <c r="L60" s="1654">
        <f t="shared" si="12"/>
        <v>53.195999999999998</v>
      </c>
      <c r="M60" s="1655">
        <f t="shared" si="12"/>
        <v>76.544999999999987</v>
      </c>
      <c r="N60" s="1654">
        <f t="shared" si="12"/>
        <v>85.087999999999994</v>
      </c>
      <c r="O60" s="1654">
        <f>O53+O59+O56+O57</f>
        <v>143.03300000000002</v>
      </c>
      <c r="P60" s="1654">
        <f>P53+P59+P56+P57</f>
        <v>140.56799999999998</v>
      </c>
      <c r="Q60" s="1655">
        <f>SUM(Q53:Q54,Q56:Q57)</f>
        <v>128.92099999999999</v>
      </c>
      <c r="R60" s="1654">
        <v>145.30699999999999</v>
      </c>
      <c r="S60" s="1654">
        <f t="shared" ref="S60:X60" si="13">S53+S59+S56+S57+S58</f>
        <v>169.41900000000001</v>
      </c>
      <c r="T60" s="1654">
        <f t="shared" si="13"/>
        <v>159.38300000000004</v>
      </c>
      <c r="U60" s="1655">
        <f t="shared" si="13"/>
        <v>179.24199999999999</v>
      </c>
      <c r="V60" s="1654">
        <f t="shared" si="13"/>
        <v>162.91300000000001</v>
      </c>
      <c r="W60" s="1654">
        <f t="shared" si="13"/>
        <v>197.512</v>
      </c>
      <c r="X60" s="1654">
        <f t="shared" si="13"/>
        <v>179.85699999999997</v>
      </c>
      <c r="AA60" s="1654"/>
      <c r="AB60" s="1654"/>
      <c r="AC60" s="1654"/>
      <c r="AD60" s="1654"/>
      <c r="AE60" s="1654"/>
      <c r="AF60" s="1654"/>
      <c r="AG60" s="1654"/>
      <c r="AH60" s="1654"/>
      <c r="AI60" s="1654"/>
      <c r="AJ60" s="1654"/>
      <c r="AK60" s="1654"/>
      <c r="AL60" s="1654"/>
      <c r="AM60" s="1654"/>
      <c r="AN60" s="1654"/>
      <c r="AO60" s="1654"/>
      <c r="AP60" s="1654"/>
      <c r="AQ60" s="1654"/>
      <c r="AR60" s="1654"/>
      <c r="AS60" s="1654"/>
      <c r="AT60" s="1654"/>
      <c r="AU60" s="1654"/>
      <c r="AV60" s="1654"/>
      <c r="AW60" s="1654"/>
      <c r="AX60" s="1654"/>
      <c r="AY60" s="1654"/>
      <c r="AZ60" s="1654"/>
      <c r="BA60" s="1654"/>
      <c r="BB60" s="1654"/>
      <c r="BC60" s="1654"/>
      <c r="BD60" s="1654"/>
      <c r="BE60" s="1654"/>
      <c r="BF60" s="1654"/>
      <c r="BG60" s="1654"/>
      <c r="BH60" s="1654"/>
      <c r="BI60" s="1654"/>
      <c r="BJ60" s="1654"/>
      <c r="BK60" s="1654"/>
      <c r="BL60" s="1654"/>
      <c r="BM60" s="1654"/>
      <c r="BN60" s="1654"/>
      <c r="BO60" s="1654"/>
      <c r="BP60" s="1654"/>
      <c r="BQ60" s="1654"/>
      <c r="BR60" s="1654"/>
      <c r="BS60" s="1654"/>
      <c r="BT60" s="1654"/>
      <c r="BU60" s="1654"/>
      <c r="BV60" s="1654"/>
      <c r="BW60" s="1654"/>
      <c r="BX60" s="1654"/>
      <c r="BY60" s="1654"/>
      <c r="BZ60" s="1654"/>
      <c r="CA60" s="1654"/>
      <c r="CB60" s="1654"/>
      <c r="CC60" s="1654"/>
      <c r="CD60" s="1654"/>
      <c r="CE60" s="1654"/>
      <c r="CF60" s="1654"/>
      <c r="CG60" s="1654"/>
      <c r="CH60" s="1654"/>
      <c r="CI60" s="1654"/>
      <c r="CJ60" s="1654"/>
      <c r="CK60" s="1654"/>
      <c r="CL60" s="1654"/>
      <c r="CM60" s="1654"/>
      <c r="CN60" s="1654"/>
      <c r="CO60" s="1654"/>
      <c r="CP60" s="1654"/>
      <c r="CQ60" s="1654"/>
      <c r="CR60" s="1654"/>
      <c r="CS60" s="1654"/>
      <c r="CT60" s="1654"/>
      <c r="CU60" s="1654"/>
      <c r="CV60" s="1654"/>
      <c r="CW60" s="1654"/>
      <c r="CX60" s="1654"/>
      <c r="CY60" s="1654"/>
      <c r="CZ60" s="1654"/>
      <c r="DA60" s="1654"/>
      <c r="DB60" s="1654"/>
      <c r="DC60" s="1654"/>
      <c r="DD60" s="1654"/>
      <c r="DE60" s="1654"/>
      <c r="DF60" s="1654"/>
      <c r="DG60" s="1654"/>
      <c r="DH60" s="1654"/>
      <c r="DI60" s="1654"/>
      <c r="DJ60" s="1654"/>
      <c r="DK60" s="1654"/>
      <c r="DL60" s="1654"/>
      <c r="DM60" s="1654"/>
      <c r="DN60" s="1654"/>
      <c r="DO60" s="1654"/>
      <c r="DP60" s="1654"/>
      <c r="DQ60" s="1654"/>
      <c r="DR60" s="1654"/>
      <c r="DS60" s="1654"/>
      <c r="DT60" s="1654"/>
      <c r="DU60" s="1654"/>
      <c r="DV60" s="1654"/>
    </row>
    <row r="61" spans="1:126" s="1647" customFormat="1">
      <c r="A61" s="1650"/>
      <c r="E61" s="1648"/>
      <c r="I61" s="1648"/>
      <c r="M61" s="1648"/>
      <c r="Q61" s="1648"/>
      <c r="U61" s="1648"/>
    </row>
    <row r="62" spans="1:126" s="1647" customFormat="1">
      <c r="A62" s="1646" t="s">
        <v>1226</v>
      </c>
      <c r="E62" s="1648"/>
      <c r="I62" s="1648"/>
      <c r="M62" s="1648"/>
      <c r="Q62" s="1648"/>
      <c r="U62" s="1648"/>
    </row>
    <row r="63" spans="1:126" s="1644" customFormat="1">
      <c r="A63" s="1656" t="s">
        <v>1880</v>
      </c>
      <c r="B63" s="1644">
        <v>-8.3663539999999994</v>
      </c>
      <c r="C63" s="1644">
        <v>-10.794326999999999</v>
      </c>
      <c r="D63" s="1644">
        <v>-10.346109999999999</v>
      </c>
      <c r="E63" s="1645">
        <v>-11.439145</v>
      </c>
      <c r="F63" s="1644">
        <v>-11.738</v>
      </c>
      <c r="G63" s="1644">
        <v>-12.429</v>
      </c>
      <c r="H63" s="1644">
        <v>-12.622999999999999</v>
      </c>
      <c r="I63" s="1645">
        <v>-12.189</v>
      </c>
      <c r="J63" s="1644">
        <v>-11.776999999999999</v>
      </c>
      <c r="K63" s="1644">
        <v>-13.141</v>
      </c>
      <c r="L63" s="1644">
        <v>-14.243</v>
      </c>
      <c r="M63" s="1645">
        <v>-13.651999999999999</v>
      </c>
      <c r="N63" s="1644">
        <v>-32.700000000000003</v>
      </c>
      <c r="O63" s="1644">
        <v>-29.821000000000002</v>
      </c>
      <c r="P63" s="1644">
        <v>-29.015000000000001</v>
      </c>
      <c r="Q63" s="1645">
        <v>-26.893999999999998</v>
      </c>
      <c r="R63" s="1644">
        <v>-28.427</v>
      </c>
      <c r="S63" s="1644">
        <v>-26.960999999999999</v>
      </c>
      <c r="T63" s="1644">
        <v>-28.745000000000001</v>
      </c>
      <c r="U63" s="1645">
        <v>-29.645</v>
      </c>
      <c r="V63" s="1644">
        <v>-28.216000000000001</v>
      </c>
      <c r="W63" s="1644">
        <v>-31.157</v>
      </c>
      <c r="X63" s="1644">
        <v>-32.564</v>
      </c>
    </row>
    <row r="64" spans="1:126" s="1644" customFormat="1" ht="12.75" customHeight="1">
      <c r="A64" s="1656" t="s">
        <v>1881</v>
      </c>
      <c r="E64" s="1645"/>
      <c r="F64" s="1644">
        <v>-12.673999999999999</v>
      </c>
      <c r="G64" s="1644">
        <v>-12.273999999999999</v>
      </c>
      <c r="H64" s="1644">
        <v>-14.768000000000001</v>
      </c>
      <c r="I64" s="1645">
        <v>-28.960999999999999</v>
      </c>
      <c r="J64" s="1644">
        <v>-52.963000000000001</v>
      </c>
      <c r="K64" s="1644">
        <v>-52.679000000000002</v>
      </c>
      <c r="L64" s="1644">
        <v>-48.357999999999997</v>
      </c>
      <c r="M64" s="1645">
        <v>-44.552</v>
      </c>
      <c r="N64" s="1644">
        <v>-78.834999999999994</v>
      </c>
      <c r="O64" s="1644">
        <v>-133.02099999999999</v>
      </c>
      <c r="P64" s="1644">
        <v>-115.947</v>
      </c>
      <c r="Q64" s="1645">
        <v>-108.971</v>
      </c>
      <c r="R64" s="1644">
        <v>-93.879000000000005</v>
      </c>
      <c r="S64" s="1644">
        <v>-55.929000000000002</v>
      </c>
      <c r="T64" s="1644">
        <v>-44.755000000000003</v>
      </c>
      <c r="U64" s="1645">
        <v>-49.695999999999998</v>
      </c>
      <c r="V64" s="1644">
        <v>-41.7</v>
      </c>
      <c r="W64" s="1644">
        <v>-54.526000000000003</v>
      </c>
      <c r="X64" s="1644">
        <v>-40.054000000000002</v>
      </c>
      <c r="Z64" s="1644">
        <v>-115.145</v>
      </c>
    </row>
    <row r="65" spans="1:126" s="1053" customFormat="1" ht="12.75" customHeight="1">
      <c r="A65" s="974" t="s">
        <v>1886</v>
      </c>
      <c r="B65" s="211"/>
      <c r="C65" s="211"/>
      <c r="D65" s="211"/>
      <c r="E65" s="446"/>
      <c r="F65" s="211">
        <f t="shared" ref="F65:T65" si="14">-F64/F29</f>
        <v>3.1340257171117707E-2</v>
      </c>
      <c r="G65" s="211">
        <f t="shared" si="14"/>
        <v>2.6232100876255611E-2</v>
      </c>
      <c r="H65" s="211">
        <f t="shared" si="14"/>
        <v>3.4240667748666825E-2</v>
      </c>
      <c r="I65" s="446">
        <f t="shared" si="14"/>
        <v>6.3622583479789108E-2</v>
      </c>
      <c r="J65" s="211">
        <f t="shared" si="14"/>
        <v>0.11103354297693921</v>
      </c>
      <c r="K65" s="211">
        <f t="shared" si="14"/>
        <v>9.308151607718633E-2</v>
      </c>
      <c r="L65" s="211">
        <f t="shared" si="14"/>
        <v>9.7991834081372658E-2</v>
      </c>
      <c r="M65" s="446">
        <f t="shared" si="14"/>
        <v>7.9452152512751006E-2</v>
      </c>
      <c r="N65" s="211">
        <f t="shared" si="14"/>
        <v>0.11764486427601438</v>
      </c>
      <c r="O65" s="211">
        <f t="shared" si="14"/>
        <v>0.1157066559966598</v>
      </c>
      <c r="P65" s="211">
        <f t="shared" si="14"/>
        <v>0.10834527856530132</v>
      </c>
      <c r="Q65" s="446">
        <f t="shared" si="14"/>
        <v>9.1777418431114921E-2</v>
      </c>
      <c r="R65" s="211">
        <f t="shared" si="14"/>
        <v>7.9294785813954285E-2</v>
      </c>
      <c r="S65" s="211">
        <f t="shared" si="14"/>
        <v>3.9487842074048977E-2</v>
      </c>
      <c r="T65" s="211">
        <f t="shared" si="14"/>
        <v>3.6005631536604993E-2</v>
      </c>
      <c r="U65" s="446">
        <f>-U64/U29</f>
        <v>3.5157197866062223E-2</v>
      </c>
      <c r="V65" s="211">
        <f>-V64/V29</f>
        <v>3.0375674984648268E-2</v>
      </c>
      <c r="W65" s="211">
        <f>-W64/W29</f>
        <v>3.2195456641589806E-2</v>
      </c>
      <c r="X65" s="211">
        <f>-X64/X29</f>
        <v>2.682933690932791E-2</v>
      </c>
      <c r="Z65" s="1054">
        <f>-Z64/W29</f>
        <v>6.7988589938668853E-2</v>
      </c>
      <c r="AA65" s="211" t="s">
        <v>1227</v>
      </c>
      <c r="AB65" s="211"/>
      <c r="AC65" s="211"/>
      <c r="AD65" s="211"/>
      <c r="AE65" s="211"/>
      <c r="AF65" s="211"/>
      <c r="AG65" s="891"/>
      <c r="AH65" s="891"/>
      <c r="AI65" s="891"/>
      <c r="AJ65" s="891"/>
      <c r="AK65" s="891"/>
      <c r="AL65" s="891"/>
      <c r="AM65" s="891"/>
      <c r="AN65" s="891"/>
      <c r="AO65" s="891"/>
      <c r="AP65" s="891"/>
      <c r="AQ65" s="891"/>
      <c r="AR65" s="891"/>
      <c r="AS65" s="891"/>
      <c r="AT65" s="891"/>
      <c r="AU65" s="891"/>
      <c r="AV65" s="891"/>
      <c r="AW65" s="891"/>
      <c r="AX65" s="891"/>
      <c r="AY65" s="891"/>
      <c r="AZ65" s="891"/>
      <c r="BA65" s="891"/>
      <c r="BB65" s="891"/>
      <c r="BC65" s="891"/>
      <c r="BD65" s="891"/>
      <c r="BE65" s="891"/>
      <c r="BF65" s="891"/>
      <c r="BG65" s="891"/>
      <c r="BH65" s="891"/>
      <c r="BI65" s="891"/>
      <c r="BJ65" s="891"/>
      <c r="BK65" s="891"/>
      <c r="BL65" s="891"/>
      <c r="BM65" s="891"/>
      <c r="BN65" s="891"/>
      <c r="BO65" s="891"/>
      <c r="BP65" s="891"/>
      <c r="BQ65" s="891"/>
      <c r="BR65" s="891"/>
      <c r="BS65" s="891"/>
      <c r="BT65" s="891"/>
      <c r="BU65" s="891"/>
      <c r="BV65" s="891"/>
      <c r="BW65" s="891"/>
      <c r="BX65" s="891"/>
      <c r="BY65" s="891"/>
      <c r="BZ65" s="891"/>
      <c r="CA65" s="891"/>
      <c r="CB65" s="891"/>
      <c r="CC65" s="891"/>
      <c r="CD65" s="891"/>
      <c r="CE65" s="891"/>
      <c r="CF65" s="891"/>
      <c r="CG65" s="891"/>
      <c r="CH65" s="891"/>
      <c r="CI65" s="891"/>
      <c r="CJ65" s="891"/>
      <c r="CK65" s="891"/>
      <c r="CL65" s="891"/>
      <c r="CM65" s="891"/>
      <c r="CN65" s="891"/>
      <c r="CO65" s="891"/>
      <c r="CP65" s="891"/>
      <c r="CQ65" s="891"/>
      <c r="CR65" s="891"/>
      <c r="CS65" s="891"/>
      <c r="CT65" s="891"/>
      <c r="CU65" s="891"/>
      <c r="CV65" s="891"/>
      <c r="CW65" s="891"/>
      <c r="CX65" s="891"/>
      <c r="CY65" s="891"/>
      <c r="CZ65" s="891"/>
      <c r="DA65" s="891"/>
      <c r="DB65" s="891"/>
      <c r="DC65" s="891"/>
      <c r="DD65" s="891"/>
      <c r="DE65" s="891"/>
      <c r="DF65" s="891"/>
      <c r="DG65" s="891"/>
      <c r="DH65" s="891"/>
      <c r="DI65" s="891"/>
      <c r="DJ65" s="891"/>
      <c r="DK65" s="891"/>
      <c r="DL65" s="891"/>
      <c r="DM65" s="891"/>
      <c r="DN65" s="891"/>
      <c r="DO65" s="891"/>
      <c r="DP65" s="891"/>
      <c r="DQ65" s="891"/>
      <c r="DR65" s="891"/>
      <c r="DS65" s="891"/>
      <c r="DT65" s="891"/>
      <c r="DU65" s="891"/>
      <c r="DV65" s="891"/>
    </row>
    <row r="66" spans="1:126" s="891" customFormat="1" ht="12.75" customHeight="1">
      <c r="A66" s="975"/>
      <c r="B66" s="976"/>
      <c r="E66" s="892"/>
      <c r="F66" s="27"/>
      <c r="G66" s="27"/>
      <c r="H66" s="27"/>
      <c r="I66" s="97"/>
      <c r="J66" s="211"/>
      <c r="K66" s="211"/>
      <c r="L66" s="211"/>
      <c r="M66" s="446"/>
      <c r="N66" s="211"/>
      <c r="O66" s="211"/>
      <c r="P66" s="211"/>
      <c r="Q66" s="97"/>
      <c r="S66" s="27"/>
      <c r="U66" s="892"/>
      <c r="Z66" s="211"/>
    </row>
    <row r="67" spans="1:126" s="1649" customFormat="1" ht="12.75" customHeight="1">
      <c r="A67" s="1982" t="s">
        <v>1228</v>
      </c>
      <c r="B67" s="1651"/>
      <c r="C67" s="1647"/>
      <c r="D67" s="1647"/>
      <c r="E67" s="1648"/>
      <c r="F67" s="1647">
        <f t="shared" ref="F67:R67" si="15">F64-F59</f>
        <v>-12.673999999999999</v>
      </c>
      <c r="G67" s="1647">
        <f t="shared" si="15"/>
        <v>-12.273999999999999</v>
      </c>
      <c r="H67" s="1647">
        <f t="shared" si="15"/>
        <v>-14.768000000000001</v>
      </c>
      <c r="I67" s="1648">
        <f t="shared" si="15"/>
        <v>-28.960999999999999</v>
      </c>
      <c r="J67" s="1647">
        <f t="shared" si="15"/>
        <v>-52.963000000000001</v>
      </c>
      <c r="K67" s="1647">
        <f t="shared" si="15"/>
        <v>-52.679000000000002</v>
      </c>
      <c r="L67" s="1647">
        <f>L64-L59</f>
        <v>-48.357999999999997</v>
      </c>
      <c r="M67" s="1648">
        <f t="shared" si="15"/>
        <v>-44.552</v>
      </c>
      <c r="N67" s="1647">
        <f t="shared" si="15"/>
        <v>-78.834999999999994</v>
      </c>
      <c r="O67" s="1647">
        <f>O64-O59</f>
        <v>-142.35499999999999</v>
      </c>
      <c r="P67" s="1647">
        <f t="shared" si="15"/>
        <v>-135.869</v>
      </c>
      <c r="Q67" s="1648">
        <f t="shared" si="15"/>
        <v>-133.292</v>
      </c>
      <c r="R67" s="1647">
        <f t="shared" si="15"/>
        <v>-118.04300000000001</v>
      </c>
      <c r="S67" s="1647">
        <f t="shared" ref="S67:X67" si="16">S64-S59</f>
        <v>-148.30200000000002</v>
      </c>
      <c r="T67" s="1647">
        <f t="shared" si="16"/>
        <v>-132.982</v>
      </c>
      <c r="U67" s="1648">
        <f t="shared" si="16"/>
        <v>-146.03699999999998</v>
      </c>
      <c r="V67" s="1647">
        <f t="shared" si="16"/>
        <v>-123.117</v>
      </c>
      <c r="W67" s="1647">
        <f t="shared" si="16"/>
        <v>-159.85300000000001</v>
      </c>
      <c r="X67" s="1647">
        <f t="shared" si="16"/>
        <v>-132.70600000000002</v>
      </c>
      <c r="AA67" s="1647"/>
      <c r="AB67" s="1647"/>
      <c r="AC67" s="1647"/>
      <c r="AD67" s="1647"/>
      <c r="AE67" s="1647"/>
      <c r="AF67" s="1647"/>
      <c r="AG67" s="1647"/>
      <c r="AH67" s="1647"/>
      <c r="AI67" s="1647"/>
      <c r="AJ67" s="1647"/>
      <c r="AK67" s="1647"/>
      <c r="AL67" s="1647"/>
      <c r="AM67" s="1647"/>
      <c r="AN67" s="1647"/>
      <c r="AO67" s="1647"/>
      <c r="AP67" s="1647"/>
      <c r="AQ67" s="1647"/>
      <c r="AR67" s="1647"/>
      <c r="AS67" s="1647"/>
      <c r="AT67" s="1647"/>
      <c r="AU67" s="1647"/>
      <c r="AV67" s="1647"/>
      <c r="AW67" s="1647"/>
      <c r="AX67" s="1647"/>
      <c r="AY67" s="1647"/>
      <c r="AZ67" s="1647"/>
      <c r="BA67" s="1647"/>
      <c r="BB67" s="1647"/>
      <c r="BC67" s="1647"/>
      <c r="BD67" s="1647"/>
      <c r="BE67" s="1647"/>
      <c r="BF67" s="1647"/>
      <c r="BG67" s="1647"/>
      <c r="BH67" s="1647"/>
      <c r="BI67" s="1647"/>
      <c r="BJ67" s="1647"/>
      <c r="BK67" s="1647"/>
      <c r="BL67" s="1647"/>
      <c r="BM67" s="1647"/>
      <c r="BN67" s="1647"/>
      <c r="BO67" s="1647"/>
      <c r="BP67" s="1647"/>
      <c r="BQ67" s="1647"/>
      <c r="BR67" s="1647"/>
      <c r="BS67" s="1647"/>
      <c r="BT67" s="1647"/>
      <c r="BU67" s="1647"/>
      <c r="BV67" s="1647"/>
      <c r="BW67" s="1647"/>
      <c r="BX67" s="1647"/>
      <c r="BY67" s="1647"/>
      <c r="BZ67" s="1647"/>
      <c r="CA67" s="1647"/>
      <c r="CB67" s="1647"/>
      <c r="CC67" s="1647"/>
      <c r="CD67" s="1647"/>
      <c r="CE67" s="1647"/>
      <c r="CF67" s="1647"/>
      <c r="CG67" s="1647"/>
      <c r="CH67" s="1647"/>
      <c r="CI67" s="1647"/>
      <c r="CJ67" s="1647"/>
      <c r="CK67" s="1647"/>
      <c r="CL67" s="1647"/>
      <c r="CM67" s="1647"/>
      <c r="CN67" s="1647"/>
      <c r="CO67" s="1647"/>
      <c r="CP67" s="1647"/>
      <c r="CQ67" s="1647"/>
      <c r="CR67" s="1647"/>
      <c r="CS67" s="1647"/>
      <c r="CT67" s="1647"/>
      <c r="CU67" s="1647"/>
      <c r="CV67" s="1647"/>
      <c r="CW67" s="1647"/>
      <c r="CX67" s="1647"/>
      <c r="CY67" s="1647"/>
      <c r="CZ67" s="1647"/>
      <c r="DA67" s="1647"/>
      <c r="DB67" s="1647"/>
      <c r="DC67" s="1647"/>
      <c r="DD67" s="1647"/>
      <c r="DE67" s="1647"/>
      <c r="DF67" s="1647"/>
      <c r="DG67" s="1647"/>
      <c r="DH67" s="1647"/>
      <c r="DI67" s="1647"/>
      <c r="DJ67" s="1647"/>
      <c r="DK67" s="1647"/>
      <c r="DL67" s="1647"/>
      <c r="DM67" s="1647"/>
      <c r="DN67" s="1647"/>
      <c r="DO67" s="1647"/>
      <c r="DP67" s="1647"/>
      <c r="DQ67" s="1647"/>
      <c r="DR67" s="1647"/>
      <c r="DS67" s="1647"/>
      <c r="DT67" s="1647"/>
      <c r="DU67" s="1647"/>
      <c r="DV67" s="1647"/>
    </row>
    <row r="68" spans="1:126" s="1053" customFormat="1" ht="12.75" customHeight="1">
      <c r="A68" s="979" t="s">
        <v>1989</v>
      </c>
      <c r="B68" s="447"/>
      <c r="C68" s="211"/>
      <c r="D68" s="211"/>
      <c r="E68" s="446"/>
      <c r="F68" s="211">
        <f t="shared" ref="F68:O68" si="17">-F67/F29</f>
        <v>3.1340257171117707E-2</v>
      </c>
      <c r="G68" s="211">
        <f t="shared" si="17"/>
        <v>2.6232100876255611E-2</v>
      </c>
      <c r="H68" s="211">
        <f t="shared" si="17"/>
        <v>3.4240667748666825E-2</v>
      </c>
      <c r="I68" s="446">
        <f t="shared" si="17"/>
        <v>6.3622583479789108E-2</v>
      </c>
      <c r="J68" s="211">
        <f t="shared" si="17"/>
        <v>0.11103354297693921</v>
      </c>
      <c r="K68" s="211">
        <f t="shared" si="17"/>
        <v>9.308151607718633E-2</v>
      </c>
      <c r="L68" s="211">
        <f t="shared" si="17"/>
        <v>9.7991834081372658E-2</v>
      </c>
      <c r="M68" s="446">
        <f t="shared" si="17"/>
        <v>7.9452152512751006E-2</v>
      </c>
      <c r="N68" s="211">
        <f t="shared" si="17"/>
        <v>0.11764486427601438</v>
      </c>
      <c r="O68" s="211">
        <f t="shared" si="17"/>
        <v>0.12382571935562435</v>
      </c>
      <c r="P68" s="211">
        <f>-P67/1070</f>
        <v>0.12698037383177571</v>
      </c>
      <c r="Q68" s="446">
        <v>0.112</v>
      </c>
      <c r="R68" s="211">
        <f>-R67/R29</f>
        <v>9.9704879705116212E-2</v>
      </c>
      <c r="S68" s="211">
        <f t="shared" ref="S68:X68" si="18">(-S64+S59)/S29</f>
        <v>0.10470643056849956</v>
      </c>
      <c r="T68" s="211">
        <f t="shared" si="18"/>
        <v>0.10698471440064361</v>
      </c>
      <c r="U68" s="446">
        <f t="shared" si="18"/>
        <v>0.10331317821889344</v>
      </c>
      <c r="V68" s="211">
        <f t="shared" si="18"/>
        <v>8.9682541416905057E-2</v>
      </c>
      <c r="W68" s="211">
        <f t="shared" si="18"/>
        <v>9.4386904055460796E-2</v>
      </c>
      <c r="X68" s="211">
        <f t="shared" si="18"/>
        <v>8.8890347627934033E-2</v>
      </c>
      <c r="Z68" s="1054">
        <f>(-Z64+Z59)/W29</f>
        <v>8.6611127939239252E-2</v>
      </c>
      <c r="AA68" s="891"/>
      <c r="AB68" s="891"/>
      <c r="AC68" s="891"/>
      <c r="AD68" s="891"/>
      <c r="AE68" s="891"/>
      <c r="AF68" s="891"/>
      <c r="AG68" s="891"/>
      <c r="AH68" s="891"/>
      <c r="AI68" s="891"/>
      <c r="AJ68" s="891"/>
      <c r="AK68" s="891"/>
      <c r="AL68" s="891"/>
      <c r="AM68" s="891"/>
      <c r="AN68" s="891"/>
      <c r="AO68" s="891"/>
      <c r="AP68" s="891"/>
      <c r="AQ68" s="891"/>
      <c r="AR68" s="891"/>
      <c r="AS68" s="891"/>
      <c r="AT68" s="891"/>
      <c r="AU68" s="891"/>
      <c r="AV68" s="891"/>
      <c r="AW68" s="891"/>
      <c r="AX68" s="891"/>
      <c r="AY68" s="891"/>
      <c r="AZ68" s="891"/>
      <c r="BA68" s="891"/>
      <c r="BB68" s="891"/>
      <c r="BC68" s="891"/>
      <c r="BD68" s="891"/>
      <c r="BE68" s="891"/>
      <c r="BF68" s="891"/>
      <c r="BG68" s="891"/>
      <c r="BH68" s="891"/>
      <c r="BI68" s="891"/>
      <c r="BJ68" s="891"/>
      <c r="BK68" s="891"/>
      <c r="BL68" s="891"/>
      <c r="BM68" s="891"/>
      <c r="BN68" s="891"/>
      <c r="BO68" s="891"/>
      <c r="BP68" s="891"/>
      <c r="BQ68" s="891"/>
      <c r="BR68" s="891"/>
      <c r="BS68" s="891"/>
      <c r="BT68" s="891"/>
      <c r="BU68" s="891"/>
      <c r="BV68" s="891"/>
      <c r="BW68" s="891"/>
      <c r="BX68" s="891"/>
      <c r="BY68" s="891"/>
      <c r="BZ68" s="891"/>
      <c r="CA68" s="891"/>
      <c r="CB68" s="891"/>
      <c r="CC68" s="891"/>
      <c r="CD68" s="891"/>
      <c r="CE68" s="891"/>
      <c r="CF68" s="891"/>
      <c r="CG68" s="891"/>
      <c r="CH68" s="891"/>
      <c r="CI68" s="891"/>
      <c r="CJ68" s="891"/>
      <c r="CK68" s="891"/>
      <c r="CL68" s="891"/>
      <c r="CM68" s="891"/>
      <c r="CN68" s="891"/>
      <c r="CO68" s="891"/>
      <c r="CP68" s="891"/>
      <c r="CQ68" s="891"/>
      <c r="CR68" s="891"/>
      <c r="CS68" s="891"/>
      <c r="CT68" s="891"/>
      <c r="CU68" s="891"/>
      <c r="CV68" s="891"/>
      <c r="CW68" s="891"/>
      <c r="CX68" s="891"/>
      <c r="CY68" s="891"/>
      <c r="CZ68" s="891"/>
      <c r="DA68" s="891"/>
      <c r="DB68" s="891"/>
      <c r="DC68" s="891"/>
      <c r="DD68" s="891"/>
      <c r="DE68" s="891"/>
      <c r="DF68" s="891"/>
      <c r="DG68" s="891"/>
      <c r="DH68" s="891"/>
      <c r="DI68" s="891"/>
      <c r="DJ68" s="891"/>
      <c r="DK68" s="891"/>
      <c r="DL68" s="891"/>
      <c r="DM68" s="891"/>
      <c r="DN68" s="891"/>
      <c r="DO68" s="891"/>
      <c r="DP68" s="891"/>
      <c r="DQ68" s="891"/>
      <c r="DR68" s="891"/>
      <c r="DS68" s="891"/>
      <c r="DT68" s="891"/>
      <c r="DU68" s="891"/>
      <c r="DV68" s="891"/>
    </row>
    <row r="69" spans="1:126" s="1053" customFormat="1">
      <c r="A69" s="979" t="s">
        <v>1990</v>
      </c>
      <c r="B69" s="891"/>
      <c r="C69" s="891"/>
      <c r="D69" s="891"/>
      <c r="E69" s="892"/>
      <c r="F69" s="891"/>
      <c r="G69" s="891"/>
      <c r="H69" s="891"/>
      <c r="I69" s="892"/>
      <c r="J69" s="891"/>
      <c r="K69" s="891"/>
      <c r="L69" s="891"/>
      <c r="M69" s="892"/>
      <c r="N69" s="891"/>
      <c r="O69" s="891">
        <f>O60+O67</f>
        <v>0.67800000000002569</v>
      </c>
      <c r="P69" s="891">
        <f>P60+P67</f>
        <v>4.6989999999999839</v>
      </c>
      <c r="Q69" s="892">
        <f>Q60+Q67</f>
        <v>-4.3710000000000093</v>
      </c>
      <c r="R69" s="891">
        <f>R60+R67</f>
        <v>27.263999999999982</v>
      </c>
      <c r="S69" s="891"/>
      <c r="T69" s="891"/>
      <c r="U69" s="892"/>
      <c r="V69" s="891"/>
      <c r="AA69" s="891"/>
      <c r="AB69" s="891"/>
      <c r="AC69" s="891"/>
      <c r="AD69" s="891"/>
      <c r="AE69" s="891"/>
      <c r="AF69" s="891"/>
      <c r="AG69" s="891"/>
      <c r="AH69" s="891"/>
      <c r="AI69" s="891"/>
      <c r="AJ69" s="891"/>
      <c r="AK69" s="891"/>
      <c r="AL69" s="891"/>
      <c r="AM69" s="891"/>
      <c r="AN69" s="891"/>
      <c r="AO69" s="891"/>
      <c r="AP69" s="891"/>
      <c r="AQ69" s="891"/>
      <c r="AR69" s="891"/>
      <c r="AS69" s="891"/>
      <c r="AT69" s="891"/>
      <c r="AU69" s="891"/>
      <c r="AV69" s="891"/>
      <c r="AW69" s="891"/>
      <c r="AX69" s="891"/>
      <c r="AY69" s="891"/>
      <c r="AZ69" s="891"/>
      <c r="BA69" s="891"/>
      <c r="BB69" s="891"/>
      <c r="BC69" s="891"/>
      <c r="BD69" s="891"/>
      <c r="BE69" s="891"/>
      <c r="BF69" s="891"/>
      <c r="BG69" s="891"/>
      <c r="BH69" s="891"/>
      <c r="BI69" s="891"/>
      <c r="BJ69" s="891"/>
      <c r="BK69" s="891"/>
      <c r="BL69" s="891"/>
      <c r="BM69" s="891"/>
      <c r="BN69" s="891"/>
      <c r="BO69" s="891"/>
      <c r="BP69" s="891"/>
      <c r="BQ69" s="891"/>
      <c r="BR69" s="891"/>
      <c r="BS69" s="891"/>
      <c r="BT69" s="891"/>
      <c r="BU69" s="891"/>
      <c r="BV69" s="891"/>
      <c r="BW69" s="891"/>
      <c r="BX69" s="891"/>
      <c r="BY69" s="891"/>
      <c r="BZ69" s="891"/>
      <c r="CA69" s="891"/>
      <c r="CB69" s="891"/>
      <c r="CC69" s="891"/>
      <c r="CD69" s="891"/>
      <c r="CE69" s="891"/>
      <c r="CF69" s="891"/>
      <c r="CG69" s="891"/>
      <c r="CH69" s="891"/>
      <c r="CI69" s="891"/>
      <c r="CJ69" s="891"/>
      <c r="CK69" s="891"/>
      <c r="CL69" s="891"/>
      <c r="CM69" s="891"/>
      <c r="CN69" s="891"/>
      <c r="CO69" s="891"/>
      <c r="CP69" s="891"/>
      <c r="CQ69" s="891"/>
      <c r="CR69" s="891"/>
      <c r="CS69" s="891"/>
      <c r="CT69" s="891"/>
      <c r="CU69" s="891"/>
      <c r="CV69" s="891"/>
      <c r="CW69" s="891"/>
      <c r="CX69" s="891"/>
      <c r="CY69" s="891"/>
      <c r="CZ69" s="891"/>
      <c r="DA69" s="891"/>
      <c r="DB69" s="891"/>
      <c r="DC69" s="891"/>
      <c r="DD69" s="891"/>
      <c r="DE69" s="891"/>
      <c r="DF69" s="891"/>
      <c r="DG69" s="891"/>
      <c r="DH69" s="891"/>
      <c r="DI69" s="891"/>
      <c r="DJ69" s="891"/>
      <c r="DK69" s="891"/>
      <c r="DL69" s="891"/>
      <c r="DM69" s="891"/>
      <c r="DN69" s="891"/>
      <c r="DO69" s="891"/>
      <c r="DP69" s="891"/>
      <c r="DQ69" s="891"/>
      <c r="DR69" s="891"/>
      <c r="DS69" s="891"/>
      <c r="DT69" s="891"/>
      <c r="DU69" s="891"/>
      <c r="DV69" s="891"/>
    </row>
    <row r="70" spans="1:126" s="1053" customFormat="1" ht="12.75" customHeight="1">
      <c r="A70" s="1983"/>
      <c r="B70" s="891"/>
      <c r="C70" s="891"/>
      <c r="D70" s="891"/>
      <c r="E70" s="892"/>
      <c r="F70" s="891"/>
      <c r="G70" s="891"/>
      <c r="H70" s="891"/>
      <c r="I70" s="892"/>
      <c r="J70" s="891"/>
      <c r="K70" s="891"/>
      <c r="L70" s="891"/>
      <c r="M70" s="892"/>
      <c r="N70" s="891"/>
      <c r="O70" s="891"/>
      <c r="P70" s="891"/>
      <c r="Q70" s="892"/>
      <c r="R70" s="891">
        <f>R59/R210</f>
        <v>5.1281833616298815</v>
      </c>
      <c r="S70" s="891">
        <f>S59/S210</f>
        <v>14.224360948567909</v>
      </c>
      <c r="T70" s="891">
        <f>T59/T210</f>
        <v>13.420596288408884</v>
      </c>
      <c r="U70" s="892">
        <f>U59/U210</f>
        <v>14.062326667639759</v>
      </c>
      <c r="V70" s="891">
        <f>V59/V210</f>
        <v>13.585349574503587</v>
      </c>
      <c r="AA70" s="891"/>
      <c r="AB70" s="891"/>
      <c r="AC70" s="891"/>
      <c r="AD70" s="891"/>
      <c r="AE70" s="891"/>
      <c r="AF70" s="891"/>
      <c r="AG70" s="891"/>
      <c r="AH70" s="891"/>
      <c r="AI70" s="891"/>
      <c r="AJ70" s="891"/>
      <c r="AK70" s="891"/>
      <c r="AL70" s="891"/>
      <c r="AM70" s="891"/>
      <c r="AN70" s="891"/>
      <c r="AO70" s="891"/>
      <c r="AP70" s="891"/>
      <c r="AQ70" s="891"/>
      <c r="AR70" s="891"/>
      <c r="AS70" s="891"/>
      <c r="AT70" s="891"/>
      <c r="AU70" s="891"/>
      <c r="AV70" s="891"/>
      <c r="AW70" s="891"/>
      <c r="AX70" s="891"/>
      <c r="AY70" s="891"/>
      <c r="AZ70" s="891"/>
      <c r="BA70" s="891"/>
      <c r="BB70" s="891"/>
      <c r="BC70" s="891"/>
      <c r="BD70" s="891"/>
      <c r="BE70" s="891"/>
      <c r="BF70" s="891"/>
      <c r="BG70" s="891"/>
      <c r="BH70" s="891"/>
      <c r="BI70" s="891"/>
      <c r="BJ70" s="891"/>
      <c r="BK70" s="891"/>
      <c r="BL70" s="891"/>
      <c r="BM70" s="891"/>
      <c r="BN70" s="891"/>
      <c r="BO70" s="891"/>
      <c r="BP70" s="891"/>
      <c r="BQ70" s="891"/>
      <c r="BR70" s="891"/>
      <c r="BS70" s="891"/>
      <c r="BT70" s="891"/>
      <c r="BU70" s="891"/>
      <c r="BV70" s="891"/>
      <c r="BW70" s="891"/>
      <c r="BX70" s="891"/>
      <c r="BY70" s="891"/>
      <c r="BZ70" s="891"/>
      <c r="CA70" s="891"/>
      <c r="CB70" s="891"/>
      <c r="CC70" s="891"/>
      <c r="CD70" s="891"/>
      <c r="CE70" s="891"/>
      <c r="CF70" s="891"/>
      <c r="CG70" s="891"/>
      <c r="CH70" s="891"/>
      <c r="CI70" s="891"/>
      <c r="CJ70" s="891"/>
      <c r="CK70" s="891"/>
      <c r="CL70" s="891"/>
      <c r="CM70" s="891"/>
      <c r="CN70" s="891"/>
      <c r="CO70" s="891"/>
      <c r="CP70" s="891"/>
      <c r="CQ70" s="891"/>
      <c r="CR70" s="891"/>
      <c r="CS70" s="891"/>
      <c r="CT70" s="891"/>
      <c r="CU70" s="891"/>
      <c r="CV70" s="891"/>
      <c r="CW70" s="891"/>
      <c r="CX70" s="891"/>
      <c r="CY70" s="891"/>
      <c r="CZ70" s="891"/>
      <c r="DA70" s="891"/>
      <c r="DB70" s="891"/>
      <c r="DC70" s="891"/>
      <c r="DD70" s="891"/>
      <c r="DE70" s="891"/>
      <c r="DF70" s="891"/>
      <c r="DG70" s="891"/>
      <c r="DH70" s="891"/>
      <c r="DI70" s="891"/>
      <c r="DJ70" s="891"/>
      <c r="DK70" s="891"/>
      <c r="DL70" s="891"/>
      <c r="DM70" s="891"/>
      <c r="DN70" s="891"/>
      <c r="DO70" s="891"/>
      <c r="DP70" s="891"/>
      <c r="DQ70" s="891"/>
      <c r="DR70" s="891"/>
      <c r="DS70" s="891"/>
      <c r="DT70" s="891"/>
      <c r="DU70" s="891"/>
      <c r="DV70" s="891"/>
    </row>
    <row r="71" spans="1:126" s="891" customFormat="1" ht="12.75" customHeight="1">
      <c r="A71" s="975"/>
      <c r="E71" s="892"/>
      <c r="I71" s="892"/>
      <c r="M71" s="892"/>
      <c r="Q71" s="892"/>
      <c r="U71" s="892"/>
    </row>
    <row r="72" spans="1:126" s="1644" customFormat="1">
      <c r="A72" s="1656" t="s">
        <v>1882</v>
      </c>
      <c r="B72" s="1644">
        <v>-22.482292999999999</v>
      </c>
      <c r="C72" s="1644">
        <v>-26.273156</v>
      </c>
      <c r="D72" s="1644">
        <v>-23.515286</v>
      </c>
      <c r="E72" s="1645">
        <v>-24.631930000000001</v>
      </c>
      <c r="F72" s="1644">
        <v>-27.654</v>
      </c>
      <c r="G72" s="1644">
        <v>18.100000000000001</v>
      </c>
      <c r="H72" s="1644">
        <v>-28.423999999999999</v>
      </c>
      <c r="I72" s="1645">
        <v>-38.822000000000003</v>
      </c>
      <c r="J72" s="1644">
        <v>-16.89</v>
      </c>
      <c r="K72" s="1644">
        <v>-18.669</v>
      </c>
      <c r="L72" s="1644">
        <v>-17.419</v>
      </c>
      <c r="M72" s="1645">
        <v>-18.202000000000002</v>
      </c>
      <c r="N72" s="1644">
        <v>-27.295000000000002</v>
      </c>
      <c r="O72" s="1644">
        <v>-29.599</v>
      </c>
      <c r="P72" s="1644">
        <v>-28.271999999999998</v>
      </c>
      <c r="Q72" s="1645">
        <v>-32.631999999999998</v>
      </c>
      <c r="R72" s="1644">
        <v>-30.062999999999999</v>
      </c>
      <c r="S72" s="1644">
        <v>-32.984000000000002</v>
      </c>
      <c r="T72" s="1644">
        <v>-30.960999999999999</v>
      </c>
      <c r="U72" s="1645">
        <v>-33.631</v>
      </c>
      <c r="V72" s="1644">
        <v>-35.725999999999999</v>
      </c>
      <c r="W72" s="1644">
        <v>-41.262999999999998</v>
      </c>
      <c r="X72" s="1644">
        <v>-38.072000000000003</v>
      </c>
    </row>
    <row r="73" spans="1:126" s="1644" customFormat="1">
      <c r="A73" s="1650" t="s">
        <v>1883</v>
      </c>
      <c r="B73" s="1644">
        <v>-1.6618170000000001</v>
      </c>
      <c r="C73" s="1644">
        <v>-2.0355319999999999</v>
      </c>
      <c r="D73" s="1644">
        <v>-1.9193899999999999</v>
      </c>
      <c r="E73" s="1645">
        <v>-1.9203129999999999</v>
      </c>
      <c r="F73" s="1644">
        <v>-2.0790000000000002</v>
      </c>
      <c r="G73" s="1644">
        <v>-2.0670000000000002</v>
      </c>
      <c r="H73" s="1644">
        <v>-2.1880000000000002</v>
      </c>
      <c r="I73" s="1645">
        <v>-2.3340000000000001</v>
      </c>
      <c r="J73" s="1644">
        <v>-4.3339999999999996</v>
      </c>
      <c r="K73" s="1644">
        <v>-2.1909999999999998</v>
      </c>
      <c r="L73" s="1644">
        <v>-2.496</v>
      </c>
      <c r="M73" s="1645">
        <v>-3.3769999999999998</v>
      </c>
      <c r="N73" s="1644">
        <v>-21.638000000000002</v>
      </c>
      <c r="O73" s="1644">
        <v>-7.4470000000000001</v>
      </c>
      <c r="P73" s="1644">
        <v>-7.7069999999999999</v>
      </c>
      <c r="Q73" s="1645">
        <v>-6.931</v>
      </c>
      <c r="R73" s="1644">
        <v>-10.627000000000001</v>
      </c>
      <c r="S73" s="1644">
        <v>-6.718</v>
      </c>
      <c r="T73" s="1644">
        <v>-6.61</v>
      </c>
      <c r="U73" s="1645">
        <v>-6.5860000000000003</v>
      </c>
      <c r="V73" s="1644">
        <v>-6.9029999999999996</v>
      </c>
      <c r="W73" s="1644">
        <v>-8.1720000000000006</v>
      </c>
      <c r="X73" s="1644">
        <v>-8.5470000000000006</v>
      </c>
    </row>
    <row r="74" spans="1:126" s="1644" customFormat="1">
      <c r="A74" s="1656" t="s">
        <v>1884</v>
      </c>
      <c r="B74" s="1644">
        <v>2.0615350000000001</v>
      </c>
      <c r="C74" s="1644">
        <v>2.5674039999999998</v>
      </c>
      <c r="D74" s="1644">
        <v>2.5432809999999999</v>
      </c>
      <c r="E74" s="1645">
        <v>3.6169980000000002</v>
      </c>
      <c r="F74" s="1644">
        <v>3.58</v>
      </c>
      <c r="G74" s="1644">
        <v>3.915</v>
      </c>
      <c r="H74" s="1644">
        <v>3.863</v>
      </c>
      <c r="I74" s="1645">
        <v>3.1389999999999998</v>
      </c>
      <c r="J74" s="1644">
        <v>2.7690000000000001</v>
      </c>
      <c r="K74" s="1644">
        <v>3.153</v>
      </c>
      <c r="L74" s="1644">
        <v>3.24</v>
      </c>
      <c r="M74" s="1645">
        <v>2.738</v>
      </c>
      <c r="N74" s="1644">
        <v>17.664999999999999</v>
      </c>
      <c r="O74" s="1644">
        <v>11.989000000000001</v>
      </c>
      <c r="P74" s="1644">
        <v>10.692</v>
      </c>
      <c r="Q74" s="1645">
        <v>10.593</v>
      </c>
      <c r="R74" s="1644">
        <v>11.586</v>
      </c>
      <c r="S74" s="1644">
        <v>9.19</v>
      </c>
      <c r="T74" s="1644">
        <v>13.353999999999999</v>
      </c>
      <c r="U74" s="1645">
        <v>14.268000000000001</v>
      </c>
      <c r="V74" s="1644">
        <v>8.9969999999999999</v>
      </c>
      <c r="W74" s="1644">
        <v>9.1020000000000003</v>
      </c>
      <c r="X74" s="1644">
        <v>1.867</v>
      </c>
      <c r="Z74" s="1644" t="s">
        <v>2072</v>
      </c>
    </row>
    <row r="75" spans="1:126" s="1649" customFormat="1">
      <c r="A75" s="1658" t="s">
        <v>1229</v>
      </c>
      <c r="B75" s="1647">
        <f t="shared" ref="B75:R75" si="19">SUM(B63,B64,B72,B73)</f>
        <v>-32.510463999999999</v>
      </c>
      <c r="C75" s="1647">
        <f t="shared" si="19"/>
        <v>-39.103014999999999</v>
      </c>
      <c r="D75" s="1647">
        <f t="shared" si="19"/>
        <v>-35.780785999999999</v>
      </c>
      <c r="E75" s="1648">
        <f t="shared" si="19"/>
        <v>-37.991388000000001</v>
      </c>
      <c r="F75" s="1647">
        <f t="shared" si="19"/>
        <v>-54.145000000000003</v>
      </c>
      <c r="G75" s="1647">
        <f t="shared" si="19"/>
        <v>-8.6699999999999982</v>
      </c>
      <c r="H75" s="1647">
        <f t="shared" si="19"/>
        <v>-58.003</v>
      </c>
      <c r="I75" s="1648">
        <f t="shared" si="19"/>
        <v>-82.306000000000012</v>
      </c>
      <c r="J75" s="1647">
        <f t="shared" si="19"/>
        <v>-85.963999999999999</v>
      </c>
      <c r="K75" s="1647">
        <f t="shared" si="19"/>
        <v>-86.68</v>
      </c>
      <c r="L75" s="1647">
        <f t="shared" si="19"/>
        <v>-82.515999999999991</v>
      </c>
      <c r="M75" s="1648">
        <f t="shared" si="19"/>
        <v>-79.783000000000001</v>
      </c>
      <c r="N75" s="1647">
        <f t="shared" si="19"/>
        <v>-160.46799999999999</v>
      </c>
      <c r="O75" s="1647">
        <f t="shared" si="19"/>
        <v>-199.88799999999998</v>
      </c>
      <c r="P75" s="1647">
        <f t="shared" si="19"/>
        <v>-180.94099999999997</v>
      </c>
      <c r="Q75" s="1648">
        <f t="shared" si="19"/>
        <v>-175.42800000000003</v>
      </c>
      <c r="R75" s="1647">
        <f t="shared" si="19"/>
        <v>-162.99600000000001</v>
      </c>
      <c r="S75" s="1647">
        <f t="shared" ref="S75:X75" si="20">SUM(S63,S64,S72,S73)</f>
        <v>-122.592</v>
      </c>
      <c r="T75" s="1647">
        <f t="shared" si="20"/>
        <v>-111.071</v>
      </c>
      <c r="U75" s="1648">
        <f t="shared" si="20"/>
        <v>-119.55799999999999</v>
      </c>
      <c r="V75" s="1647">
        <f t="shared" si="20"/>
        <v>-112.545</v>
      </c>
      <c r="W75" s="1647">
        <f t="shared" si="20"/>
        <v>-135.11799999999999</v>
      </c>
      <c r="X75" s="1647">
        <f t="shared" si="20"/>
        <v>-119.23699999999999</v>
      </c>
      <c r="AA75" s="1647"/>
      <c r="AB75" s="1647"/>
      <c r="AC75" s="1647"/>
      <c r="AD75" s="1647"/>
      <c r="AE75" s="1647"/>
      <c r="AF75" s="1647"/>
      <c r="AG75" s="1647"/>
      <c r="AH75" s="1647"/>
      <c r="AI75" s="1647"/>
      <c r="AJ75" s="1647"/>
      <c r="AK75" s="1647"/>
      <c r="AL75" s="1647"/>
      <c r="AM75" s="1647"/>
      <c r="AN75" s="1647"/>
      <c r="AO75" s="1647"/>
      <c r="AP75" s="1647"/>
      <c r="AQ75" s="1647"/>
      <c r="AR75" s="1647"/>
      <c r="AS75" s="1647"/>
      <c r="AT75" s="1647"/>
      <c r="AU75" s="1647"/>
      <c r="AV75" s="1647"/>
      <c r="AW75" s="1647"/>
      <c r="AX75" s="1647"/>
      <c r="AY75" s="1647"/>
      <c r="AZ75" s="1647"/>
      <c r="BA75" s="1647"/>
      <c r="BB75" s="1647"/>
      <c r="BC75" s="1647"/>
      <c r="BD75" s="1647"/>
      <c r="BE75" s="1647"/>
      <c r="BF75" s="1647"/>
      <c r="BG75" s="1647"/>
      <c r="BH75" s="1647"/>
      <c r="BI75" s="1647"/>
      <c r="BJ75" s="1647"/>
      <c r="BK75" s="1647"/>
      <c r="BL75" s="1647"/>
      <c r="BM75" s="1647"/>
      <c r="BN75" s="1647"/>
      <c r="BO75" s="1647"/>
      <c r="BP75" s="1647"/>
      <c r="BQ75" s="1647"/>
      <c r="BR75" s="1647"/>
      <c r="BS75" s="1647"/>
      <c r="BT75" s="1647"/>
      <c r="BU75" s="1647"/>
      <c r="BV75" s="1647"/>
      <c r="BW75" s="1647"/>
      <c r="BX75" s="1647"/>
      <c r="BY75" s="1647"/>
      <c r="BZ75" s="1647"/>
      <c r="CA75" s="1647"/>
      <c r="CB75" s="1647"/>
      <c r="CC75" s="1647"/>
      <c r="CD75" s="1647"/>
      <c r="CE75" s="1647"/>
      <c r="CF75" s="1647"/>
      <c r="CG75" s="1647"/>
      <c r="CH75" s="1647"/>
      <c r="CI75" s="1647"/>
      <c r="CJ75" s="1647"/>
      <c r="CK75" s="1647"/>
      <c r="CL75" s="1647"/>
      <c r="CM75" s="1647"/>
      <c r="CN75" s="1647"/>
      <c r="CO75" s="1647"/>
      <c r="CP75" s="1647"/>
      <c r="CQ75" s="1647"/>
      <c r="CR75" s="1647"/>
      <c r="CS75" s="1647"/>
      <c r="CT75" s="1647"/>
      <c r="CU75" s="1647"/>
      <c r="CV75" s="1647"/>
      <c r="CW75" s="1647"/>
      <c r="CX75" s="1647"/>
      <c r="CY75" s="1647"/>
      <c r="CZ75" s="1647"/>
      <c r="DA75" s="1647"/>
      <c r="DB75" s="1647"/>
      <c r="DC75" s="1647"/>
      <c r="DD75" s="1647"/>
      <c r="DE75" s="1647"/>
      <c r="DF75" s="1647"/>
      <c r="DG75" s="1647"/>
      <c r="DH75" s="1647"/>
      <c r="DI75" s="1647"/>
      <c r="DJ75" s="1647"/>
      <c r="DK75" s="1647"/>
      <c r="DL75" s="1647"/>
      <c r="DM75" s="1647"/>
      <c r="DN75" s="1647"/>
      <c r="DO75" s="1647"/>
      <c r="DP75" s="1647"/>
      <c r="DQ75" s="1647"/>
      <c r="DR75" s="1647"/>
      <c r="DS75" s="1647"/>
      <c r="DT75" s="1647"/>
      <c r="DU75" s="1647"/>
      <c r="DV75" s="1647"/>
    </row>
    <row r="76" spans="1:126" s="1649" customFormat="1">
      <c r="A76" s="1646" t="s">
        <v>1230</v>
      </c>
      <c r="B76" s="1647">
        <f>B75+B74</f>
        <v>-30.448929</v>
      </c>
      <c r="C76" s="1647">
        <f t="shared" ref="C76:R76" si="21">C75+C74</f>
        <v>-36.535611000000003</v>
      </c>
      <c r="D76" s="1647">
        <f t="shared" si="21"/>
        <v>-33.237504999999999</v>
      </c>
      <c r="E76" s="1648">
        <f t="shared" si="21"/>
        <v>-34.374389999999998</v>
      </c>
      <c r="F76" s="1647">
        <f t="shared" si="21"/>
        <v>-50.565000000000005</v>
      </c>
      <c r="G76" s="1647">
        <f t="shared" si="21"/>
        <v>-4.7549999999999981</v>
      </c>
      <c r="H76" s="1647">
        <f t="shared" si="21"/>
        <v>-54.14</v>
      </c>
      <c r="I76" s="1648">
        <f t="shared" si="21"/>
        <v>-79.167000000000016</v>
      </c>
      <c r="J76" s="1647">
        <f t="shared" si="21"/>
        <v>-83.194999999999993</v>
      </c>
      <c r="K76" s="1647">
        <f t="shared" si="21"/>
        <v>-83.527000000000001</v>
      </c>
      <c r="L76" s="1647">
        <f t="shared" si="21"/>
        <v>-79.275999999999996</v>
      </c>
      <c r="M76" s="1648">
        <f t="shared" si="21"/>
        <v>-77.045000000000002</v>
      </c>
      <c r="N76" s="1647">
        <f t="shared" si="21"/>
        <v>-142.803</v>
      </c>
      <c r="O76" s="1647">
        <f t="shared" si="21"/>
        <v>-187.89899999999997</v>
      </c>
      <c r="P76" s="1647">
        <f t="shared" si="21"/>
        <v>-170.24899999999997</v>
      </c>
      <c r="Q76" s="1648">
        <f t="shared" si="21"/>
        <v>-164.83500000000004</v>
      </c>
      <c r="R76" s="1647">
        <f t="shared" si="21"/>
        <v>-151.41</v>
      </c>
      <c r="S76" s="1647">
        <f t="shared" ref="S76:X76" si="22">S75+S74</f>
        <v>-113.402</v>
      </c>
      <c r="T76" s="1647">
        <f t="shared" si="22"/>
        <v>-97.716999999999999</v>
      </c>
      <c r="U76" s="1648">
        <f t="shared" si="22"/>
        <v>-105.28999999999999</v>
      </c>
      <c r="V76" s="1647">
        <f t="shared" si="22"/>
        <v>-103.548</v>
      </c>
      <c r="W76" s="1647">
        <f t="shared" si="22"/>
        <v>-126.01599999999999</v>
      </c>
      <c r="X76" s="1647">
        <f t="shared" si="22"/>
        <v>-117.36999999999999</v>
      </c>
      <c r="AA76" s="1647"/>
      <c r="AB76" s="1647"/>
      <c r="AC76" s="1647"/>
      <c r="AD76" s="1647"/>
      <c r="AE76" s="1647"/>
      <c r="AF76" s="1647"/>
      <c r="AG76" s="1647"/>
      <c r="AH76" s="1647"/>
      <c r="AI76" s="1647"/>
      <c r="AJ76" s="1647"/>
      <c r="AK76" s="1647"/>
      <c r="AL76" s="1647"/>
      <c r="AM76" s="1647"/>
      <c r="AN76" s="1647"/>
      <c r="AO76" s="1647"/>
      <c r="AP76" s="1647"/>
      <c r="AQ76" s="1647"/>
      <c r="AR76" s="1647"/>
      <c r="AS76" s="1647"/>
      <c r="AT76" s="1647"/>
      <c r="AU76" s="1647"/>
      <c r="AV76" s="1647"/>
      <c r="AW76" s="1647"/>
      <c r="AX76" s="1647"/>
      <c r="AY76" s="1647"/>
      <c r="AZ76" s="1647"/>
      <c r="BA76" s="1647"/>
      <c r="BB76" s="1647"/>
      <c r="BC76" s="1647"/>
      <c r="BD76" s="1647"/>
      <c r="BE76" s="1647"/>
      <c r="BF76" s="1647"/>
      <c r="BG76" s="1647"/>
      <c r="BH76" s="1647"/>
      <c r="BI76" s="1647"/>
      <c r="BJ76" s="1647"/>
      <c r="BK76" s="1647"/>
      <c r="BL76" s="1647"/>
      <c r="BM76" s="1647"/>
      <c r="BN76" s="1647"/>
      <c r="BO76" s="1647"/>
      <c r="BP76" s="1647"/>
      <c r="BQ76" s="1647"/>
      <c r="BR76" s="1647"/>
      <c r="BS76" s="1647"/>
      <c r="BT76" s="1647"/>
      <c r="BU76" s="1647"/>
      <c r="BV76" s="1647"/>
      <c r="BW76" s="1647"/>
      <c r="BX76" s="1647"/>
      <c r="BY76" s="1647"/>
      <c r="BZ76" s="1647"/>
      <c r="CA76" s="1647"/>
      <c r="CB76" s="1647"/>
      <c r="CC76" s="1647"/>
      <c r="CD76" s="1647"/>
      <c r="CE76" s="1647"/>
      <c r="CF76" s="1647"/>
      <c r="CG76" s="1647"/>
      <c r="CH76" s="1647"/>
      <c r="CI76" s="1647"/>
      <c r="CJ76" s="1647"/>
      <c r="CK76" s="1647"/>
      <c r="CL76" s="1647"/>
      <c r="CM76" s="1647"/>
      <c r="CN76" s="1647"/>
      <c r="CO76" s="1647"/>
      <c r="CP76" s="1647"/>
      <c r="CQ76" s="1647"/>
      <c r="CR76" s="1647"/>
      <c r="CS76" s="1647"/>
      <c r="CT76" s="1647"/>
      <c r="CU76" s="1647"/>
      <c r="CV76" s="1647"/>
      <c r="CW76" s="1647"/>
      <c r="CX76" s="1647"/>
      <c r="CY76" s="1647"/>
      <c r="CZ76" s="1647"/>
      <c r="DA76" s="1647"/>
      <c r="DB76" s="1647"/>
      <c r="DC76" s="1647"/>
      <c r="DD76" s="1647"/>
      <c r="DE76" s="1647"/>
      <c r="DF76" s="1647"/>
      <c r="DG76" s="1647"/>
      <c r="DH76" s="1647"/>
      <c r="DI76" s="1647"/>
      <c r="DJ76" s="1647"/>
      <c r="DK76" s="1647"/>
      <c r="DL76" s="1647"/>
      <c r="DM76" s="1647"/>
      <c r="DN76" s="1647"/>
      <c r="DO76" s="1647"/>
      <c r="DP76" s="1647"/>
      <c r="DQ76" s="1647"/>
      <c r="DR76" s="1647"/>
      <c r="DS76" s="1647"/>
      <c r="DT76" s="1647"/>
      <c r="DU76" s="1647"/>
      <c r="DV76" s="1647"/>
    </row>
    <row r="77" spans="1:126" s="1647" customFormat="1">
      <c r="A77" s="1650"/>
      <c r="E77" s="1648"/>
      <c r="I77" s="1648"/>
      <c r="M77" s="1648"/>
      <c r="Q77" s="1648"/>
      <c r="U77" s="1648"/>
    </row>
    <row r="78" spans="1:126" s="1647" customFormat="1">
      <c r="A78" s="1659" t="s">
        <v>1231</v>
      </c>
      <c r="B78" s="1647">
        <f>B53+B54+B56+B57+B58+B75</f>
        <v>-2.8142939999999932</v>
      </c>
      <c r="C78" s="1647">
        <f t="shared" ref="C78:U78" si="23">C53+C54+C56+C57+C58+C75</f>
        <v>-3.3619939999999957</v>
      </c>
      <c r="D78" s="1647">
        <f t="shared" si="23"/>
        <v>-3.2841640000000041</v>
      </c>
      <c r="E78" s="1648">
        <f t="shared" si="23"/>
        <v>-2.911408999999999</v>
      </c>
      <c r="F78" s="1647">
        <f t="shared" si="23"/>
        <v>-17.655999999999992</v>
      </c>
      <c r="G78" s="1647">
        <f t="shared" si="23"/>
        <v>32.573999999999998</v>
      </c>
      <c r="H78" s="1647">
        <f t="shared" si="23"/>
        <v>-23.911000000000001</v>
      </c>
      <c r="I78" s="1648">
        <f t="shared" si="23"/>
        <v>-46.01400000000001</v>
      </c>
      <c r="J78" s="1647">
        <f t="shared" si="23"/>
        <v>-34.499000000000017</v>
      </c>
      <c r="K78" s="1647">
        <f t="shared" si="23"/>
        <v>-27.812000000000005</v>
      </c>
      <c r="L78" s="1647">
        <f t="shared" si="23"/>
        <v>-29.11399999999999</v>
      </c>
      <c r="M78" s="1648">
        <f t="shared" si="23"/>
        <v>-3.1450000000000102</v>
      </c>
      <c r="N78" s="1647">
        <f t="shared" si="23"/>
        <v>-75.316000000000003</v>
      </c>
      <c r="O78" s="1647">
        <f t="shared" si="23"/>
        <v>-56.007999999999953</v>
      </c>
      <c r="P78" s="1647">
        <f t="shared" si="23"/>
        <v>-61.582999999999984</v>
      </c>
      <c r="Q78" s="1648">
        <f t="shared" si="23"/>
        <v>-48.168000000000035</v>
      </c>
      <c r="R78" s="1647">
        <f t="shared" si="23"/>
        <v>-41.692000000000036</v>
      </c>
      <c r="S78" s="1647">
        <f t="shared" si="23"/>
        <v>-45.543000000000006</v>
      </c>
      <c r="T78" s="1647">
        <f t="shared" si="23"/>
        <v>-39.915000000000006</v>
      </c>
      <c r="U78" s="1648">
        <f t="shared" si="23"/>
        <v>-36.578999999999965</v>
      </c>
      <c r="V78" s="1647">
        <f>V53+V54+V56+V57+V58+V75</f>
        <v>-30.981000000000009</v>
      </c>
      <c r="W78" s="1647">
        <f>W53+W54+W56+W57+W58+W75</f>
        <v>-42.897999999999996</v>
      </c>
      <c r="X78" s="1647">
        <f>X53+X54+X56+X57+X58+X75</f>
        <v>-31.879999999999995</v>
      </c>
      <c r="Z78" s="1649"/>
    </row>
    <row r="79" spans="1:126" s="38" customFormat="1">
      <c r="A79" s="1986" t="s">
        <v>1873</v>
      </c>
      <c r="B79" s="38">
        <f>B78/B60</f>
        <v>-9.8651362229834449E-2</v>
      </c>
      <c r="C79" s="38">
        <f t="shared" ref="C79:U79" si="24">C78/C60</f>
        <v>-9.4830554955772556E-2</v>
      </c>
      <c r="D79" s="38">
        <f t="shared" si="24"/>
        <v>-0.10247265015487464</v>
      </c>
      <c r="E79" s="1548">
        <f t="shared" si="24"/>
        <v>-8.2993464733830055E-2</v>
      </c>
      <c r="F79" s="38">
        <f t="shared" si="24"/>
        <v>-0.48550844195127285</v>
      </c>
      <c r="G79" s="38">
        <f t="shared" si="24"/>
        <v>0.79226559649762862</v>
      </c>
      <c r="H79" s="38">
        <f t="shared" si="24"/>
        <v>-0.72012408143597162</v>
      </c>
      <c r="I79" s="1548">
        <f t="shared" si="24"/>
        <v>-1.267882728976083</v>
      </c>
      <c r="J79" s="38">
        <f t="shared" si="24"/>
        <v>-0.67033906538424226</v>
      </c>
      <c r="K79" s="38">
        <f t="shared" si="24"/>
        <v>-0.47244683019637163</v>
      </c>
      <c r="L79" s="38">
        <f t="shared" si="24"/>
        <v>-0.54729678923227298</v>
      </c>
      <c r="M79" s="1548">
        <f t="shared" si="24"/>
        <v>-4.1086942321510361E-2</v>
      </c>
      <c r="N79" s="38">
        <f t="shared" si="24"/>
        <v>-0.88515419330575418</v>
      </c>
      <c r="O79" s="38">
        <f t="shared" si="24"/>
        <v>-0.39157397243992609</v>
      </c>
      <c r="P79" s="38">
        <f t="shared" si="24"/>
        <v>-0.43810113254794825</v>
      </c>
      <c r="Q79" s="1548">
        <f t="shared" si="24"/>
        <v>-0.37362415742974409</v>
      </c>
      <c r="R79" s="38">
        <f t="shared" si="24"/>
        <v>-0.28692354807407794</v>
      </c>
      <c r="S79" s="38">
        <f t="shared" si="24"/>
        <v>-0.2688187275335116</v>
      </c>
      <c r="T79" s="38">
        <f t="shared" si="24"/>
        <v>-0.2504344879943281</v>
      </c>
      <c r="U79" s="1548">
        <f t="shared" si="24"/>
        <v>-0.20407605360350792</v>
      </c>
      <c r="V79" s="38">
        <f>V78/V60</f>
        <v>-0.19016898590044998</v>
      </c>
      <c r="W79" s="38">
        <f>W78/W60</f>
        <v>-0.21719186682328159</v>
      </c>
      <c r="X79" s="38">
        <f>X78/X60</f>
        <v>-0.17725192792051464</v>
      </c>
      <c r="Z79" s="1987"/>
    </row>
    <row r="80" spans="1:126" s="1660" customFormat="1">
      <c r="A80" s="1661"/>
      <c r="E80" s="1591"/>
      <c r="I80" s="1591"/>
      <c r="M80" s="1591"/>
      <c r="Q80" s="1591"/>
      <c r="U80" s="1591"/>
    </row>
    <row r="81" spans="1:27" s="1654" customFormat="1">
      <c r="A81" s="1653" t="s">
        <v>1232</v>
      </c>
      <c r="B81" s="1654">
        <f t="shared" ref="B81:R81" si="25">B78+B74</f>
        <v>-0.75275899999999307</v>
      </c>
      <c r="C81" s="1654">
        <f t="shared" si="25"/>
        <v>-0.79458999999999591</v>
      </c>
      <c r="D81" s="1654">
        <f t="shared" si="25"/>
        <v>-0.74088300000000418</v>
      </c>
      <c r="E81" s="1655">
        <f t="shared" si="25"/>
        <v>0.70558900000000113</v>
      </c>
      <c r="F81" s="1654">
        <f t="shared" si="25"/>
        <v>-14.075999999999992</v>
      </c>
      <c r="G81" s="1654">
        <f t="shared" si="25"/>
        <v>36.488999999999997</v>
      </c>
      <c r="H81" s="1654">
        <f t="shared" si="25"/>
        <v>-20.048000000000002</v>
      </c>
      <c r="I81" s="1655">
        <f t="shared" si="25"/>
        <v>-42.875000000000007</v>
      </c>
      <c r="J81" s="1654">
        <f t="shared" si="25"/>
        <v>-31.730000000000018</v>
      </c>
      <c r="K81" s="1654">
        <f t="shared" si="25"/>
        <v>-24.659000000000006</v>
      </c>
      <c r="L81" s="1654">
        <f t="shared" si="25"/>
        <v>-25.873999999999988</v>
      </c>
      <c r="M81" s="1655">
        <f t="shared" si="25"/>
        <v>-0.40700000000001024</v>
      </c>
      <c r="N81" s="1654">
        <f t="shared" si="25"/>
        <v>-57.651000000000003</v>
      </c>
      <c r="O81" s="1654">
        <f t="shared" si="25"/>
        <v>-44.018999999999949</v>
      </c>
      <c r="P81" s="1654">
        <f t="shared" si="25"/>
        <v>-50.890999999999984</v>
      </c>
      <c r="Q81" s="1655">
        <f t="shared" si="25"/>
        <v>-37.575000000000031</v>
      </c>
      <c r="R81" s="1654">
        <f t="shared" si="25"/>
        <v>-30.106000000000037</v>
      </c>
      <c r="S81" s="1654">
        <f t="shared" ref="S81:X81" si="26">S78+S74</f>
        <v>-36.353000000000009</v>
      </c>
      <c r="T81" s="1654">
        <f t="shared" si="26"/>
        <v>-26.561000000000007</v>
      </c>
      <c r="U81" s="1655">
        <f t="shared" si="26"/>
        <v>-22.310999999999964</v>
      </c>
      <c r="V81" s="1654">
        <f t="shared" si="26"/>
        <v>-21.984000000000009</v>
      </c>
      <c r="W81" s="1654">
        <f t="shared" si="26"/>
        <v>-33.795999999999992</v>
      </c>
      <c r="X81" s="1654">
        <f t="shared" si="26"/>
        <v>-30.012999999999995</v>
      </c>
    </row>
    <row r="82" spans="1:27" s="708" customFormat="1">
      <c r="A82" s="668" t="s">
        <v>1968</v>
      </c>
      <c r="B82" s="708">
        <f t="shared" ref="B82:R82" si="27">B81/B60</f>
        <v>-2.6386973351315623E-2</v>
      </c>
      <c r="C82" s="708">
        <f t="shared" si="27"/>
        <v>-2.2412714199462291E-2</v>
      </c>
      <c r="D82" s="708">
        <f t="shared" si="27"/>
        <v>-2.3117068594837017E-2</v>
      </c>
      <c r="E82" s="709">
        <f t="shared" si="27"/>
        <v>2.0113723557246173E-2</v>
      </c>
      <c r="F82" s="708">
        <f t="shared" si="27"/>
        <v>-0.38706484078534864</v>
      </c>
      <c r="G82" s="708">
        <f t="shared" si="27"/>
        <v>0.88748631886172935</v>
      </c>
      <c r="H82" s="708">
        <f t="shared" si="27"/>
        <v>-0.60378267678592945</v>
      </c>
      <c r="I82" s="709">
        <f t="shared" si="27"/>
        <v>-1.1813898379808223</v>
      </c>
      <c r="J82" s="708">
        <f t="shared" si="27"/>
        <v>-0.61653550956961101</v>
      </c>
      <c r="K82" s="708">
        <f t="shared" si="27"/>
        <v>-0.41888632194061298</v>
      </c>
      <c r="L82" s="708">
        <f t="shared" si="27"/>
        <v>-0.4863899541318894</v>
      </c>
      <c r="M82" s="709">
        <f t="shared" si="27"/>
        <v>-5.317133712195575E-3</v>
      </c>
      <c r="N82" s="708">
        <f t="shared" si="27"/>
        <v>-0.67754559984956764</v>
      </c>
      <c r="O82" s="708">
        <f t="shared" si="27"/>
        <v>-0.30775415463564315</v>
      </c>
      <c r="P82" s="708">
        <f t="shared" si="27"/>
        <v>-0.36203830174719703</v>
      </c>
      <c r="Q82" s="709">
        <f t="shared" si="27"/>
        <v>-0.29145755928048989</v>
      </c>
      <c r="R82" s="708">
        <f t="shared" si="27"/>
        <v>-0.20718891725794381</v>
      </c>
      <c r="S82" s="708">
        <f t="shared" ref="S82:X82" si="28">S81/S60</f>
        <v>-0.21457451643558281</v>
      </c>
      <c r="T82" s="708">
        <f t="shared" si="28"/>
        <v>-0.16664888978121883</v>
      </c>
      <c r="U82" s="709">
        <f t="shared" si="28"/>
        <v>-0.12447417457961843</v>
      </c>
      <c r="V82" s="708">
        <f t="shared" si="28"/>
        <v>-0.13494319053728068</v>
      </c>
      <c r="W82" s="708">
        <f t="shared" si="28"/>
        <v>-0.1711085908704281</v>
      </c>
      <c r="X82" s="708">
        <f t="shared" si="28"/>
        <v>-0.16687145899242176</v>
      </c>
    </row>
    <row r="83" spans="1:27" s="897" customFormat="1">
      <c r="A83" s="895"/>
      <c r="B83" s="211"/>
      <c r="C83" s="211"/>
      <c r="D83" s="211"/>
      <c r="E83" s="446"/>
      <c r="F83" s="211"/>
      <c r="G83" s="211"/>
      <c r="H83" s="211"/>
      <c r="I83" s="446"/>
      <c r="J83" s="211"/>
      <c r="K83" s="211"/>
      <c r="L83" s="211"/>
      <c r="M83" s="896"/>
      <c r="Q83" s="896"/>
      <c r="U83" s="896"/>
    </row>
    <row r="84" spans="1:27" s="1984" customFormat="1">
      <c r="A84" s="1654" t="s">
        <v>1446</v>
      </c>
      <c r="B84" s="1984">
        <v>-1.3448</v>
      </c>
      <c r="C84" s="1984">
        <v>0.26700000000000002</v>
      </c>
      <c r="D84" s="1984">
        <v>-0.32100000000000001</v>
      </c>
      <c r="E84" s="1985">
        <v>1.466</v>
      </c>
      <c r="F84" s="1984">
        <v>-0.9617</v>
      </c>
      <c r="G84" s="1984">
        <v>1.5936999999999999</v>
      </c>
      <c r="H84" s="1984">
        <v>-5.7240000000000002</v>
      </c>
      <c r="I84" s="1985">
        <v>-13.472</v>
      </c>
      <c r="J84" s="1984">
        <v>-29.338999999999999</v>
      </c>
      <c r="K84" s="1984">
        <v>-24.257000000000001</v>
      </c>
      <c r="L84" s="1984">
        <v>-24.998000000000001</v>
      </c>
      <c r="M84" s="1985">
        <v>1.3220000000000001</v>
      </c>
      <c r="N84" s="1984">
        <v>-35.779000000000003</v>
      </c>
      <c r="O84" s="1984">
        <v>-52.328000000000003</v>
      </c>
      <c r="P84" s="1984">
        <v>-45.021999999999998</v>
      </c>
      <c r="Q84" s="1985">
        <v>-33.911000000000001</v>
      </c>
      <c r="R84" s="1984">
        <v>-23.545999999999999</v>
      </c>
      <c r="S84" s="1984">
        <v>-32.790999999999997</v>
      </c>
      <c r="T84" s="1984">
        <v>-25.373999999999999</v>
      </c>
      <c r="U84" s="1985">
        <v>-22.196999999999999</v>
      </c>
      <c r="V84" s="1984">
        <v>-18.427</v>
      </c>
      <c r="W84" s="1984">
        <v>-29.178999999999998</v>
      </c>
      <c r="X84" s="1984">
        <v>-19.337</v>
      </c>
      <c r="Z84" s="1984">
        <f>U84-Q84</f>
        <v>11.714000000000002</v>
      </c>
      <c r="AA84" s="1984">
        <f>U84-T84</f>
        <v>3.1769999999999996</v>
      </c>
    </row>
    <row r="85" spans="1:27" s="708" customFormat="1">
      <c r="A85" s="731" t="s">
        <v>1233</v>
      </c>
      <c r="B85" s="708">
        <f t="shared" ref="B85:U85" si="29">B84/B60</f>
        <v>-4.7140189307400611E-2</v>
      </c>
      <c r="C85" s="708">
        <f t="shared" si="29"/>
        <v>7.5311729209484929E-3</v>
      </c>
      <c r="D85" s="708">
        <f t="shared" si="29"/>
        <v>-1.0015858130018696E-2</v>
      </c>
      <c r="E85" s="709">
        <f t="shared" si="29"/>
        <v>4.1790218859595094E-2</v>
      </c>
      <c r="F85" s="708">
        <f t="shared" si="29"/>
        <v>-2.6445031072980251E-2</v>
      </c>
      <c r="G85" s="708">
        <f t="shared" si="29"/>
        <v>3.876200899914873E-2</v>
      </c>
      <c r="H85" s="708">
        <f t="shared" si="29"/>
        <v>-0.17238886881098664</v>
      </c>
      <c r="I85" s="709">
        <f t="shared" si="29"/>
        <v>-0.37121128623388072</v>
      </c>
      <c r="J85" s="708">
        <f t="shared" si="29"/>
        <v>-0.57007675119012935</v>
      </c>
      <c r="K85" s="708">
        <f t="shared" si="29"/>
        <v>-0.4120574845416865</v>
      </c>
      <c r="L85" s="708">
        <f t="shared" si="29"/>
        <v>-0.46992255056771187</v>
      </c>
      <c r="M85" s="709">
        <f>M84/M60</f>
        <v>1.727088640668888E-2</v>
      </c>
      <c r="N85" s="708">
        <f t="shared" si="29"/>
        <v>-0.42049407672057171</v>
      </c>
      <c r="O85" s="708">
        <f t="shared" si="29"/>
        <v>-0.36584564401222092</v>
      </c>
      <c r="P85" s="708">
        <f t="shared" si="29"/>
        <v>-0.32028626714472713</v>
      </c>
      <c r="Q85" s="709">
        <f t="shared" si="29"/>
        <v>-0.26303705369955249</v>
      </c>
      <c r="R85" s="708">
        <f t="shared" si="29"/>
        <v>-0.16204312249237821</v>
      </c>
      <c r="S85" s="708">
        <f t="shared" si="29"/>
        <v>-0.19354971992515593</v>
      </c>
      <c r="T85" s="708">
        <f t="shared" si="29"/>
        <v>-0.15920142047771715</v>
      </c>
      <c r="U85" s="709">
        <f t="shared" si="29"/>
        <v>-0.12383816293056316</v>
      </c>
      <c r="V85" s="708">
        <f>V84/V60</f>
        <v>-0.11310945105669896</v>
      </c>
      <c r="W85" s="708">
        <f>W84/W60</f>
        <v>-0.14773279598201627</v>
      </c>
      <c r="X85" s="708">
        <f>X84/X60</f>
        <v>-0.10751319103510013</v>
      </c>
    </row>
    <row r="86" spans="1:27" s="27" customFormat="1">
      <c r="A86" s="696"/>
      <c r="E86" s="97"/>
      <c r="I86" s="97"/>
      <c r="M86" s="97"/>
      <c r="Q86" s="97"/>
      <c r="U86" s="97"/>
    </row>
    <row r="87" spans="1:27" s="1644" customFormat="1">
      <c r="A87" s="1650" t="s">
        <v>1868</v>
      </c>
      <c r="B87" s="1644">
        <v>-2.7070500000000002</v>
      </c>
      <c r="C87" s="1644">
        <v>-3.9717570000000002</v>
      </c>
      <c r="D87" s="1644">
        <v>-4.7449719999999997</v>
      </c>
      <c r="E87" s="1645">
        <v>-3.6108370000000001</v>
      </c>
      <c r="F87" s="1644">
        <v>-5.9480000000000004</v>
      </c>
      <c r="G87" s="1644">
        <v>-6.9119999999999999</v>
      </c>
      <c r="H87" s="1644">
        <v>-12.218</v>
      </c>
      <c r="I87" s="1645">
        <v>-19.47</v>
      </c>
      <c r="J87" s="1644">
        <v>-49.918999999999997</v>
      </c>
      <c r="K87" s="1644">
        <v>-14.314</v>
      </c>
      <c r="L87" s="1644">
        <v>-39.412999999999997</v>
      </c>
      <c r="M87" s="1645">
        <v>16.556000000000001</v>
      </c>
      <c r="N87" s="1644">
        <v>-73.097999999999999</v>
      </c>
      <c r="O87" s="1644">
        <v>-66.805000000000007</v>
      </c>
      <c r="P87" s="1644">
        <v>-72.123000000000005</v>
      </c>
      <c r="Q87" s="1645">
        <v>-17.07</v>
      </c>
      <c r="R87" s="1644">
        <v>-63.781999999999996</v>
      </c>
      <c r="S87" s="1644">
        <v>-107.012</v>
      </c>
      <c r="T87" s="1644">
        <v>-106.589</v>
      </c>
      <c r="U87" s="1645">
        <v>12.02</v>
      </c>
      <c r="V87" s="1644">
        <v>-40.314</v>
      </c>
      <c r="W87" s="1644">
        <v>-35.375999999999998</v>
      </c>
      <c r="X87" s="1644">
        <v>-59.432000000000002</v>
      </c>
    </row>
    <row r="88" spans="1:27" s="897" customFormat="1">
      <c r="A88" s="70" t="s">
        <v>1320</v>
      </c>
      <c r="B88" s="211">
        <f t="shared" ref="B88:U88" si="30">B87/B60</f>
        <v>-9.4892065336554754E-2</v>
      </c>
      <c r="C88" s="211">
        <f t="shared" si="30"/>
        <v>-0.11202992047560907</v>
      </c>
      <c r="D88" s="211">
        <f t="shared" si="30"/>
        <v>-0.14805285477542388</v>
      </c>
      <c r="E88" s="446">
        <f t="shared" si="30"/>
        <v>-0.10293156104796984</v>
      </c>
      <c r="F88" s="211">
        <f t="shared" si="30"/>
        <v>-0.16355936864103832</v>
      </c>
      <c r="G88" s="211">
        <f t="shared" si="30"/>
        <v>-0.16811382707041228</v>
      </c>
      <c r="H88" s="211">
        <f t="shared" si="30"/>
        <v>-0.3679677147331647</v>
      </c>
      <c r="I88" s="446">
        <f t="shared" si="30"/>
        <v>-0.53648186928248642</v>
      </c>
      <c r="J88" s="211">
        <f t="shared" si="30"/>
        <v>-0.96996016710385724</v>
      </c>
      <c r="K88" s="897">
        <f t="shared" si="30"/>
        <v>-0.24315417544336482</v>
      </c>
      <c r="L88" s="897">
        <f t="shared" si="30"/>
        <v>-0.74090157154673275</v>
      </c>
      <c r="M88" s="896">
        <f t="shared" si="30"/>
        <v>0.21629107061205832</v>
      </c>
      <c r="N88" s="897">
        <f t="shared" si="30"/>
        <v>-0.85908706280556602</v>
      </c>
      <c r="O88" s="897">
        <f t="shared" si="30"/>
        <v>-0.46706004907958304</v>
      </c>
      <c r="P88" s="897">
        <f t="shared" si="30"/>
        <v>-0.51308263616185767</v>
      </c>
      <c r="Q88" s="896">
        <f t="shared" si="30"/>
        <v>-0.13240666764918052</v>
      </c>
      <c r="R88" s="897">
        <f t="shared" si="30"/>
        <v>-0.43894650636239135</v>
      </c>
      <c r="S88" s="897">
        <f t="shared" si="30"/>
        <v>-0.63164107921779722</v>
      </c>
      <c r="T88" s="897">
        <f t="shared" si="30"/>
        <v>-0.66876015635293584</v>
      </c>
      <c r="U88" s="896">
        <f t="shared" si="30"/>
        <v>6.7060175628479934E-2</v>
      </c>
      <c r="V88" s="897">
        <f>V87/V60</f>
        <v>-0.24745723177401432</v>
      </c>
      <c r="W88" s="897">
        <f>W87/W60</f>
        <v>-0.17910810482401068</v>
      </c>
      <c r="X88" s="897">
        <f>X87/X60</f>
        <v>-0.33044029423375243</v>
      </c>
    </row>
    <row r="89" spans="1:27" s="897" customFormat="1" hidden="1">
      <c r="A89" s="895" t="s">
        <v>1234</v>
      </c>
      <c r="B89" s="2"/>
      <c r="C89" s="2"/>
      <c r="D89" s="2"/>
      <c r="E89" s="480"/>
      <c r="F89" s="2"/>
      <c r="G89" s="2"/>
      <c r="H89" s="2"/>
      <c r="I89" s="480"/>
      <c r="M89" s="896"/>
      <c r="Q89" s="896"/>
      <c r="U89" s="896"/>
    </row>
    <row r="90" spans="1:27">
      <c r="A90" s="890"/>
      <c r="B90" s="10"/>
      <c r="C90" s="10"/>
      <c r="D90" s="10"/>
      <c r="E90" s="101"/>
      <c r="F90" s="10"/>
      <c r="G90" s="10"/>
      <c r="H90" s="10"/>
      <c r="I90" s="101"/>
    </row>
    <row r="91" spans="1:27" s="1647" customFormat="1">
      <c r="A91" s="1647" t="s">
        <v>1235</v>
      </c>
      <c r="B91" s="1647">
        <f t="shared" ref="B91:T91" si="31">B87+B74</f>
        <v>-0.64551500000000006</v>
      </c>
      <c r="C91" s="1647">
        <f t="shared" si="31"/>
        <v>-1.4043530000000004</v>
      </c>
      <c r="D91" s="1647">
        <f t="shared" si="31"/>
        <v>-2.2016909999999998</v>
      </c>
      <c r="E91" s="1648">
        <f t="shared" si="31"/>
        <v>6.1610000000000831E-3</v>
      </c>
      <c r="F91" s="1647">
        <f t="shared" si="31"/>
        <v>-2.3680000000000003</v>
      </c>
      <c r="G91" s="1647">
        <f t="shared" si="31"/>
        <v>-2.9969999999999999</v>
      </c>
      <c r="H91" s="1647">
        <f t="shared" si="31"/>
        <v>-8.3550000000000004</v>
      </c>
      <c r="I91" s="1648">
        <f t="shared" si="31"/>
        <v>-16.331</v>
      </c>
      <c r="J91" s="1647">
        <f t="shared" si="31"/>
        <v>-47.15</v>
      </c>
      <c r="K91" s="1647">
        <f t="shared" si="31"/>
        <v>-11.161</v>
      </c>
      <c r="L91" s="1647">
        <f t="shared" si="31"/>
        <v>-36.172999999999995</v>
      </c>
      <c r="M91" s="1648">
        <f t="shared" si="31"/>
        <v>19.294</v>
      </c>
      <c r="N91" s="1647">
        <f t="shared" si="31"/>
        <v>-55.433</v>
      </c>
      <c r="O91" s="1647">
        <f t="shared" si="31"/>
        <v>-54.816000000000003</v>
      </c>
      <c r="P91" s="1647">
        <f t="shared" si="31"/>
        <v>-61.431000000000004</v>
      </c>
      <c r="Q91" s="1648">
        <f t="shared" si="31"/>
        <v>-6.4770000000000003</v>
      </c>
      <c r="R91" s="1647">
        <f t="shared" si="31"/>
        <v>-52.195999999999998</v>
      </c>
      <c r="S91" s="1647">
        <f t="shared" si="31"/>
        <v>-97.822000000000003</v>
      </c>
      <c r="T91" s="1647">
        <f t="shared" si="31"/>
        <v>-93.234999999999999</v>
      </c>
      <c r="U91" s="1648">
        <f>U87+U74</f>
        <v>26.288</v>
      </c>
      <c r="V91" s="1647">
        <f>V87+V74</f>
        <v>-31.317</v>
      </c>
      <c r="W91" s="1647">
        <f>W87+W74</f>
        <v>-26.273999999999997</v>
      </c>
      <c r="X91" s="1647">
        <f>X87+X74</f>
        <v>-57.565000000000005</v>
      </c>
    </row>
    <row r="92" spans="1:27" s="897" customFormat="1">
      <c r="A92" s="898" t="s">
        <v>1321</v>
      </c>
      <c r="B92" s="2">
        <f t="shared" ref="B92:U92" si="32">B91/B60</f>
        <v>-2.2627676458035921E-2</v>
      </c>
      <c r="C92" s="2">
        <f t="shared" si="32"/>
        <v>-3.9612079719298809E-2</v>
      </c>
      <c r="D92" s="2">
        <f t="shared" si="32"/>
        <v>-6.8697273215386254E-2</v>
      </c>
      <c r="E92" s="480">
        <f t="shared" si="32"/>
        <v>1.7562724310639076E-4</v>
      </c>
      <c r="F92" s="2">
        <f t="shared" si="32"/>
        <v>-6.511576747511412E-2</v>
      </c>
      <c r="G92" s="2">
        <f t="shared" si="32"/>
        <v>-7.2893104706311565E-2</v>
      </c>
      <c r="H92" s="2">
        <f t="shared" si="32"/>
        <v>-0.25162631008312253</v>
      </c>
      <c r="I92" s="480">
        <f t="shared" si="32"/>
        <v>-0.44998897828722578</v>
      </c>
      <c r="J92" s="2">
        <f t="shared" si="32"/>
        <v>-0.91615661128922599</v>
      </c>
      <c r="K92" s="897">
        <f t="shared" si="32"/>
        <v>-0.18959366718760615</v>
      </c>
      <c r="L92" s="897">
        <f t="shared" si="32"/>
        <v>-0.67999473644634922</v>
      </c>
      <c r="M92" s="896">
        <f t="shared" si="32"/>
        <v>0.2520608792213731</v>
      </c>
      <c r="N92" s="897">
        <f t="shared" si="32"/>
        <v>-0.65147846934937947</v>
      </c>
      <c r="O92" s="897">
        <f t="shared" si="32"/>
        <v>-0.3832402312753001</v>
      </c>
      <c r="P92" s="897">
        <f t="shared" si="32"/>
        <v>-0.43701980536110646</v>
      </c>
      <c r="Q92" s="896">
        <f t="shared" si="32"/>
        <v>-5.0240069499926314E-2</v>
      </c>
      <c r="R92" s="897">
        <f t="shared" si="32"/>
        <v>-0.35921187554625728</v>
      </c>
      <c r="S92" s="897">
        <f t="shared" si="32"/>
        <v>-0.57739686811986846</v>
      </c>
      <c r="T92" s="897">
        <f t="shared" si="32"/>
        <v>-0.58497455813982657</v>
      </c>
      <c r="U92" s="896">
        <f t="shared" si="32"/>
        <v>0.14666205465236942</v>
      </c>
      <c r="V92" s="897">
        <f>V91/V60</f>
        <v>-0.19223143641084503</v>
      </c>
      <c r="W92" s="897">
        <f>W91/W60</f>
        <v>-0.13302482887115719</v>
      </c>
      <c r="X92" s="897">
        <f>X91/X60</f>
        <v>-0.32005982530565957</v>
      </c>
    </row>
    <row r="93" spans="1:27">
      <c r="A93" s="67"/>
      <c r="B93" s="10"/>
      <c r="C93" s="10"/>
      <c r="D93" s="10"/>
      <c r="E93" s="101"/>
      <c r="F93" s="10"/>
      <c r="G93" s="10"/>
      <c r="H93" s="10"/>
      <c r="I93" s="101"/>
    </row>
    <row r="94" spans="1:27" s="1664" customFormat="1">
      <c r="A94" s="1658" t="s">
        <v>1236</v>
      </c>
      <c r="B94" s="1662">
        <f t="shared" ref="B94:U94" si="33">B81-B73</f>
        <v>0.90905800000000703</v>
      </c>
      <c r="C94" s="1662">
        <f t="shared" si="33"/>
        <v>1.240942000000004</v>
      </c>
      <c r="D94" s="1662">
        <f t="shared" si="33"/>
        <v>1.1785069999999958</v>
      </c>
      <c r="E94" s="1663">
        <f t="shared" si="33"/>
        <v>2.6259020000000008</v>
      </c>
      <c r="F94" s="1662">
        <f t="shared" si="33"/>
        <v>-11.996999999999991</v>
      </c>
      <c r="G94" s="1662">
        <f t="shared" si="33"/>
        <v>38.555999999999997</v>
      </c>
      <c r="H94" s="1662">
        <f t="shared" si="33"/>
        <v>-17.860000000000003</v>
      </c>
      <c r="I94" s="1663">
        <f t="shared" si="33"/>
        <v>-40.541000000000004</v>
      </c>
      <c r="J94" s="1664">
        <f t="shared" si="33"/>
        <v>-27.396000000000019</v>
      </c>
      <c r="K94" s="1664">
        <f t="shared" si="33"/>
        <v>-22.468000000000007</v>
      </c>
      <c r="L94" s="1664">
        <f t="shared" si="33"/>
        <v>-23.377999999999989</v>
      </c>
      <c r="M94" s="1665">
        <f t="shared" si="33"/>
        <v>2.9699999999999895</v>
      </c>
      <c r="N94" s="1664">
        <f t="shared" si="33"/>
        <v>-36.013000000000005</v>
      </c>
      <c r="O94" s="1664">
        <f t="shared" si="33"/>
        <v>-36.571999999999946</v>
      </c>
      <c r="P94" s="1664">
        <f t="shared" si="33"/>
        <v>-43.183999999999983</v>
      </c>
      <c r="Q94" s="1665">
        <f t="shared" si="33"/>
        <v>-30.64400000000003</v>
      </c>
      <c r="R94" s="1664">
        <f t="shared" si="33"/>
        <v>-19.479000000000035</v>
      </c>
      <c r="S94" s="1664">
        <f t="shared" si="33"/>
        <v>-29.635000000000009</v>
      </c>
      <c r="T94" s="1664">
        <f t="shared" si="33"/>
        <v>-19.951000000000008</v>
      </c>
      <c r="U94" s="1665">
        <f t="shared" si="33"/>
        <v>-15.724999999999964</v>
      </c>
      <c r="V94" s="1664">
        <f>V81-V73</f>
        <v>-15.08100000000001</v>
      </c>
      <c r="W94" s="1664">
        <f>W81-W73</f>
        <v>-25.623999999999992</v>
      </c>
      <c r="X94" s="1664">
        <f>X81-X73</f>
        <v>-21.465999999999994</v>
      </c>
    </row>
    <row r="95" spans="1:27" s="211" customFormat="1">
      <c r="A95" s="70" t="s">
        <v>1237</v>
      </c>
      <c r="B95" s="2">
        <f t="shared" ref="B95:U95" si="34">B94/B60</f>
        <v>3.1865828533170222E-2</v>
      </c>
      <c r="C95" s="2">
        <f t="shared" si="34"/>
        <v>3.5002804445197357E-2</v>
      </c>
      <c r="D95" s="2">
        <f t="shared" si="34"/>
        <v>3.6771834633127415E-2</v>
      </c>
      <c r="E95" s="480">
        <f t="shared" si="34"/>
        <v>7.485471983891441E-2</v>
      </c>
      <c r="F95" s="2">
        <f t="shared" si="34"/>
        <v>-0.32989605675631051</v>
      </c>
      <c r="G95" s="2">
        <f t="shared" si="34"/>
        <v>0.93775994162714338</v>
      </c>
      <c r="H95" s="2">
        <f t="shared" si="34"/>
        <v>-0.53788700156607649</v>
      </c>
      <c r="I95" s="480">
        <f t="shared" si="34"/>
        <v>-1.1170781439435689</v>
      </c>
      <c r="J95" s="211">
        <f t="shared" si="34"/>
        <v>-0.53232293791897456</v>
      </c>
      <c r="K95" s="211">
        <f t="shared" si="34"/>
        <v>-0.38166745940069319</v>
      </c>
      <c r="L95" s="211">
        <f t="shared" si="34"/>
        <v>-0.43946913301751994</v>
      </c>
      <c r="M95" s="446">
        <f t="shared" si="34"/>
        <v>3.8800705467372007E-2</v>
      </c>
      <c r="N95" s="211">
        <f t="shared" si="34"/>
        <v>-0.42324417074088011</v>
      </c>
      <c r="O95" s="211">
        <f t="shared" si="34"/>
        <v>-0.25568924653751191</v>
      </c>
      <c r="P95" s="211">
        <f t="shared" si="34"/>
        <v>-0.30721074497751971</v>
      </c>
      <c r="Q95" s="446">
        <f t="shared" si="34"/>
        <v>-0.23769595333576402</v>
      </c>
      <c r="R95" s="211">
        <f t="shared" si="34"/>
        <v>-0.13405410613390983</v>
      </c>
      <c r="S95" s="211">
        <f t="shared" si="34"/>
        <v>-0.17492134884517088</v>
      </c>
      <c r="T95" s="211">
        <f t="shared" si="34"/>
        <v>-0.12517646173054844</v>
      </c>
      <c r="U95" s="446">
        <f t="shared" si="34"/>
        <v>-8.7730554222782406E-2</v>
      </c>
      <c r="V95" s="211">
        <f>V94/V60</f>
        <v>-9.2570881390680967E-2</v>
      </c>
      <c r="W95" s="211">
        <f>W94/W60</f>
        <v>-0.12973388958645546</v>
      </c>
      <c r="X95" s="211">
        <f>X94/X60</f>
        <v>-0.11935037279616582</v>
      </c>
    </row>
    <row r="96" spans="1:27">
      <c r="A96" s="67"/>
      <c r="B96" s="10"/>
      <c r="C96" s="10"/>
      <c r="D96" s="10"/>
      <c r="E96" s="101"/>
      <c r="F96" s="10"/>
      <c r="G96" s="10"/>
      <c r="H96" s="10"/>
      <c r="I96" s="101"/>
    </row>
    <row r="97" spans="1:24" s="1669" customFormat="1">
      <c r="A97" s="899" t="s">
        <v>1238</v>
      </c>
      <c r="B97" s="1667">
        <v>38.309438999999998</v>
      </c>
      <c r="C97" s="1667">
        <v>41.686518999999997</v>
      </c>
      <c r="D97" s="1667">
        <v>41.788240000000002</v>
      </c>
      <c r="E97" s="1668">
        <v>41.839413999999998</v>
      </c>
      <c r="F97" s="1667">
        <v>41.922167999999999</v>
      </c>
      <c r="G97" s="1667">
        <v>41.932383999999999</v>
      </c>
      <c r="H97" s="1667">
        <v>41.764733999999997</v>
      </c>
      <c r="I97" s="1668">
        <v>41.509079999999997</v>
      </c>
      <c r="J97" s="1669">
        <v>41.655814999999997</v>
      </c>
      <c r="K97" s="1669">
        <v>41.678925</v>
      </c>
      <c r="L97" s="1669">
        <v>41.627668999999997</v>
      </c>
      <c r="M97" s="1670">
        <v>49.752167999999998</v>
      </c>
      <c r="N97" s="1669">
        <v>78.062498000000005</v>
      </c>
      <c r="O97" s="1669">
        <v>97.426641000000004</v>
      </c>
      <c r="P97" s="1669">
        <v>101.106251</v>
      </c>
      <c r="Q97" s="1670">
        <v>101.34475399999999</v>
      </c>
      <c r="R97" s="1669">
        <v>101.66574</v>
      </c>
      <c r="S97" s="1669">
        <v>102.50473100000001</v>
      </c>
      <c r="T97" s="1669">
        <v>104.74407100000001</v>
      </c>
      <c r="U97" s="1670"/>
      <c r="V97" s="1669">
        <v>104.38582599999999</v>
      </c>
      <c r="W97" s="1669">
        <v>104.59677499999999</v>
      </c>
      <c r="X97" s="1669">
        <v>105.120107</v>
      </c>
    </row>
    <row r="98" spans="1:24" s="1673" customFormat="1">
      <c r="A98" s="901" t="s">
        <v>1239</v>
      </c>
      <c r="B98" s="1671"/>
      <c r="C98" s="1671"/>
      <c r="D98" s="1671"/>
      <c r="E98" s="1672"/>
      <c r="F98" s="1671"/>
      <c r="G98" s="1671"/>
      <c r="H98" s="1671"/>
      <c r="I98" s="1672"/>
      <c r="M98" s="1674"/>
      <c r="Q98" s="1674"/>
      <c r="U98" s="1674"/>
    </row>
    <row r="99" spans="1:24" s="1677" customFormat="1">
      <c r="A99" s="1666" t="s">
        <v>1240</v>
      </c>
      <c r="B99" s="1675">
        <v>-7.0000000000000007E-2</v>
      </c>
      <c r="C99" s="1675">
        <v>-0.09</v>
      </c>
      <c r="D99" s="1675">
        <v>-0.11</v>
      </c>
      <c r="E99" s="1676">
        <v>-0.09</v>
      </c>
      <c r="F99" s="1675">
        <v>-0.14000000000000001</v>
      </c>
      <c r="G99" s="1675">
        <v>-0.16</v>
      </c>
      <c r="H99" s="1675">
        <v>-0.28999999999999998</v>
      </c>
      <c r="I99" s="1676">
        <v>-0.47</v>
      </c>
      <c r="J99" s="1677">
        <v>-1.2</v>
      </c>
      <c r="K99" s="1677">
        <v>-0.34</v>
      </c>
      <c r="L99" s="1677">
        <v>-0.95</v>
      </c>
      <c r="M99" s="1678">
        <v>0.33</v>
      </c>
      <c r="N99" s="1677">
        <v>-0.93</v>
      </c>
      <c r="O99" s="1677">
        <v>-0.7</v>
      </c>
      <c r="P99" s="1677">
        <v>-0.61</v>
      </c>
      <c r="Q99" s="1678">
        <v>-0.45</v>
      </c>
      <c r="R99" s="1677">
        <v>-0.42</v>
      </c>
      <c r="S99" s="1677">
        <v>-0.5</v>
      </c>
      <c r="T99" s="1677">
        <v>0.45</v>
      </c>
      <c r="U99" s="1678">
        <v>-0.28000000000000003</v>
      </c>
      <c r="V99" s="1677">
        <v>-0.39</v>
      </c>
      <c r="W99" s="1677">
        <v>-0.41</v>
      </c>
      <c r="X99" s="1677">
        <v>-0.35</v>
      </c>
    </row>
    <row r="100" spans="1:24" s="1677" customFormat="1">
      <c r="A100" s="1666" t="s">
        <v>1241</v>
      </c>
      <c r="B100" s="1675">
        <v>-7.0000000000000007E-2</v>
      </c>
      <c r="C100" s="1675">
        <v>-0.09</v>
      </c>
      <c r="D100" s="1675">
        <v>-0.11</v>
      </c>
      <c r="E100" s="1676">
        <v>-0.09</v>
      </c>
      <c r="F100" s="1675">
        <v>-0.14000000000000001</v>
      </c>
      <c r="G100" s="1675">
        <v>-0.16</v>
      </c>
      <c r="H100" s="1675">
        <v>-0.28999999999999998</v>
      </c>
      <c r="I100" s="1676">
        <v>-0.47</v>
      </c>
      <c r="J100" s="1677">
        <v>-1.2</v>
      </c>
      <c r="K100" s="1677">
        <v>-0.34</v>
      </c>
      <c r="L100" s="1677">
        <v>-0.95</v>
      </c>
      <c r="M100" s="1678">
        <v>0.31</v>
      </c>
      <c r="N100" s="1677">
        <v>-0.93</v>
      </c>
      <c r="O100" s="1677">
        <v>-0.7</v>
      </c>
      <c r="P100" s="1677">
        <v>-0.61</v>
      </c>
      <c r="Q100" s="1678">
        <v>-0.45</v>
      </c>
      <c r="R100" s="1677">
        <v>-0.42</v>
      </c>
      <c r="S100" s="1677">
        <v>-0.5</v>
      </c>
      <c r="T100" s="1677">
        <v>0.45</v>
      </c>
      <c r="U100" s="1678">
        <v>-0.28000000000000003</v>
      </c>
      <c r="V100" s="1677">
        <v>-0.39</v>
      </c>
      <c r="W100" s="1677">
        <v>-0.41</v>
      </c>
      <c r="X100" s="1677">
        <v>-0.35</v>
      </c>
    </row>
    <row r="101" spans="1:24" ht="11.25" customHeight="1">
      <c r="A101" s="70"/>
      <c r="B101" s="904"/>
      <c r="C101" s="904"/>
      <c r="D101" s="904"/>
      <c r="E101" s="905"/>
      <c r="F101" s="904"/>
      <c r="G101" s="904"/>
      <c r="H101" s="904"/>
      <c r="I101" s="905"/>
    </row>
    <row r="102" spans="1:24" s="1392" customFormat="1">
      <c r="A102" s="906"/>
      <c r="B102" s="907"/>
      <c r="C102" s="907"/>
      <c r="D102" s="907"/>
      <c r="E102" s="908"/>
      <c r="F102" s="907"/>
      <c r="G102" s="907"/>
      <c r="H102" s="907"/>
      <c r="I102" s="908"/>
      <c r="J102" s="907"/>
      <c r="K102" s="907"/>
      <c r="L102" s="907"/>
      <c r="M102" s="908"/>
      <c r="N102" s="907"/>
      <c r="O102" s="907"/>
      <c r="P102" s="907"/>
      <c r="Q102" s="908"/>
      <c r="U102" s="1966"/>
    </row>
    <row r="103" spans="1:24" s="1392" customFormat="1" ht="12.75" customHeight="1">
      <c r="A103" s="909" t="s">
        <v>1242</v>
      </c>
      <c r="B103" s="907"/>
      <c r="C103" s="907"/>
      <c r="D103" s="907"/>
      <c r="E103" s="908"/>
      <c r="F103" s="907"/>
      <c r="G103" s="907"/>
      <c r="H103" s="907"/>
      <c r="I103" s="908"/>
      <c r="J103" s="907"/>
      <c r="K103" s="907"/>
      <c r="L103" s="907"/>
      <c r="M103" s="908"/>
      <c r="N103" s="907"/>
      <c r="O103" s="907"/>
      <c r="P103" s="907"/>
      <c r="Q103" s="908"/>
      <c r="U103" s="1966"/>
    </row>
    <row r="104" spans="1:24">
      <c r="A104" s="70" t="s">
        <v>1243</v>
      </c>
      <c r="B104" s="904"/>
      <c r="C104" s="904"/>
      <c r="D104" s="904"/>
      <c r="E104" s="905"/>
      <c r="F104" s="904"/>
      <c r="G104" s="904"/>
      <c r="H104" s="904"/>
      <c r="I104" s="905"/>
    </row>
    <row r="105" spans="1:24" s="911" customFormat="1">
      <c r="A105" s="974" t="s">
        <v>1887</v>
      </c>
      <c r="B105" s="469">
        <f t="shared" ref="B105:U105" si="35">-B63/B$60</f>
        <v>0.29327149864123164</v>
      </c>
      <c r="C105" s="469">
        <f t="shared" si="35"/>
        <v>0.30447169738675345</v>
      </c>
      <c r="D105" s="469">
        <f t="shared" si="35"/>
        <v>0.32281984410457232</v>
      </c>
      <c r="E105" s="504">
        <f t="shared" si="35"/>
        <v>0.32608756692813295</v>
      </c>
      <c r="F105" s="469">
        <f t="shared" si="35"/>
        <v>0.32277401968872016</v>
      </c>
      <c r="G105" s="469">
        <f t="shared" si="35"/>
        <v>0.30229843122947836</v>
      </c>
      <c r="H105" s="469">
        <f t="shared" si="35"/>
        <v>0.38016504035658349</v>
      </c>
      <c r="I105" s="504">
        <f t="shared" si="35"/>
        <v>0.33585914251074617</v>
      </c>
      <c r="J105" s="469">
        <f t="shared" si="35"/>
        <v>0.2288351306713301</v>
      </c>
      <c r="K105" s="469">
        <f t="shared" si="35"/>
        <v>0.22322823945097506</v>
      </c>
      <c r="L105" s="469">
        <f t="shared" si="35"/>
        <v>0.26774569516505003</v>
      </c>
      <c r="M105" s="910">
        <f t="shared" si="35"/>
        <v>0.17835260304396108</v>
      </c>
      <c r="N105" s="911">
        <f t="shared" si="35"/>
        <v>0.38430801053027458</v>
      </c>
      <c r="O105" s="911">
        <f t="shared" si="35"/>
        <v>0.2084903483811428</v>
      </c>
      <c r="P105" s="911">
        <f t="shared" si="35"/>
        <v>0.20641255477775883</v>
      </c>
      <c r="Q105" s="910">
        <f t="shared" si="35"/>
        <v>0.20860837256924783</v>
      </c>
      <c r="R105" s="911">
        <f t="shared" si="35"/>
        <v>0.19563407131108621</v>
      </c>
      <c r="S105" s="911">
        <f t="shared" si="35"/>
        <v>0.15913799514812385</v>
      </c>
      <c r="T105" s="911">
        <f t="shared" si="35"/>
        <v>0.18035173136407268</v>
      </c>
      <c r="U105" s="910">
        <f t="shared" si="35"/>
        <v>0.165390924002187</v>
      </c>
      <c r="V105" s="911">
        <f t="shared" ref="V105:X106" si="36">-V63/V$60</f>
        <v>0.17319673690865675</v>
      </c>
      <c r="W105" s="911">
        <f t="shared" si="36"/>
        <v>0.15774737737453925</v>
      </c>
      <c r="X105" s="911">
        <f t="shared" si="36"/>
        <v>0.18105494920964993</v>
      </c>
    </row>
    <row r="106" spans="1:24" s="911" customFormat="1">
      <c r="A106" s="974" t="s">
        <v>1881</v>
      </c>
      <c r="B106" s="469">
        <f>-B64/B$60</f>
        <v>0</v>
      </c>
      <c r="C106" s="469">
        <f>-C72/C$60</f>
        <v>0.74107745698522631</v>
      </c>
      <c r="D106" s="469">
        <f>-D64/D$60</f>
        <v>0</v>
      </c>
      <c r="E106" s="504">
        <f>-E72/E$60</f>
        <v>0.70216490152402888</v>
      </c>
      <c r="F106" s="469">
        <f t="shared" ref="F106:U106" si="37">-F64/F$60</f>
        <v>0.34851234669746456</v>
      </c>
      <c r="G106" s="469">
        <f t="shared" si="37"/>
        <v>0.29852851757266208</v>
      </c>
      <c r="H106" s="469">
        <f t="shared" si="37"/>
        <v>0.44476569088061679</v>
      </c>
      <c r="I106" s="504">
        <f t="shared" si="37"/>
        <v>0.79799955913148901</v>
      </c>
      <c r="J106" s="469">
        <f t="shared" si="37"/>
        <v>1.0291071602059656</v>
      </c>
      <c r="K106" s="469">
        <f t="shared" si="37"/>
        <v>0.8948664809404091</v>
      </c>
      <c r="L106" s="469">
        <f t="shared" si="37"/>
        <v>0.90905331227911867</v>
      </c>
      <c r="M106" s="910">
        <f t="shared" si="37"/>
        <v>0.5820367104317723</v>
      </c>
      <c r="N106" s="911">
        <f t="shared" si="37"/>
        <v>0.92651137645731474</v>
      </c>
      <c r="O106" s="911">
        <f t="shared" si="37"/>
        <v>0.93000216733201413</v>
      </c>
      <c r="P106" s="911">
        <f t="shared" si="37"/>
        <v>0.82484633771555416</v>
      </c>
      <c r="Q106" s="910">
        <f t="shared" si="37"/>
        <v>0.84525407032213529</v>
      </c>
      <c r="R106" s="911">
        <f t="shared" si="37"/>
        <v>0.64607348579215051</v>
      </c>
      <c r="S106" s="911">
        <f t="shared" si="37"/>
        <v>0.33012235935756912</v>
      </c>
      <c r="T106" s="911">
        <f t="shared" si="37"/>
        <v>0.28080159113581743</v>
      </c>
      <c r="U106" s="910">
        <f t="shared" si="37"/>
        <v>0.27725644659175863</v>
      </c>
      <c r="V106" s="911">
        <f t="shared" si="36"/>
        <v>0.25596484012939424</v>
      </c>
      <c r="W106" s="911">
        <f t="shared" si="36"/>
        <v>0.27606423913483741</v>
      </c>
      <c r="X106" s="911">
        <f t="shared" si="36"/>
        <v>0.22269914432020999</v>
      </c>
    </row>
    <row r="107" spans="1:24" s="911" customFormat="1">
      <c r="A107" s="974" t="s">
        <v>1888</v>
      </c>
      <c r="B107" s="469">
        <f>-B72/B$60</f>
        <v>0.78808711190098713</v>
      </c>
      <c r="C107" s="469">
        <f>-C73/C$60</f>
        <v>5.7415518644659651E-2</v>
      </c>
      <c r="D107" s="469">
        <f>-D72/D$60</f>
        <v>0.73372513539817696</v>
      </c>
      <c r="E107" s="504">
        <f>-E73/E$60</f>
        <v>5.4740996281668237E-2</v>
      </c>
      <c r="F107" s="469">
        <f t="shared" ref="F107:U107" si="38">-F72/F$60</f>
        <v>0.76043557168784015</v>
      </c>
      <c r="G107" s="469">
        <f t="shared" si="38"/>
        <v>-0.44022862702176829</v>
      </c>
      <c r="H107" s="469">
        <f t="shared" si="38"/>
        <v>0.85604144079026623</v>
      </c>
      <c r="I107" s="504">
        <f t="shared" si="38"/>
        <v>1.0697123332965943</v>
      </c>
      <c r="J107" s="469">
        <f t="shared" si="38"/>
        <v>0.32818420285631023</v>
      </c>
      <c r="K107" s="469">
        <f t="shared" si="38"/>
        <v>0.31713324726506759</v>
      </c>
      <c r="L107" s="469">
        <f t="shared" si="38"/>
        <v>0.32744943228814199</v>
      </c>
      <c r="M107" s="910">
        <f t="shared" si="38"/>
        <v>0.23779476125155144</v>
      </c>
      <c r="N107" s="911">
        <f t="shared" si="38"/>
        <v>0.3207855396765702</v>
      </c>
      <c r="O107" s="911">
        <f t="shared" si="38"/>
        <v>0.20693825900316709</v>
      </c>
      <c r="P107" s="911">
        <f t="shared" si="38"/>
        <v>0.20112685675260372</v>
      </c>
      <c r="Q107" s="910">
        <f t="shared" si="38"/>
        <v>0.25311624948611938</v>
      </c>
      <c r="R107" s="911">
        <f t="shared" si="38"/>
        <v>0.20689299207883999</v>
      </c>
      <c r="S107" s="911">
        <f t="shared" si="38"/>
        <v>0.19468890738346939</v>
      </c>
      <c r="T107" s="911">
        <f t="shared" si="38"/>
        <v>0.19425534718257273</v>
      </c>
      <c r="U107" s="910">
        <f t="shared" si="38"/>
        <v>0.18762901552091588</v>
      </c>
      <c r="V107" s="911">
        <f t="shared" ref="V107:X108" si="39">-V72/V$60</f>
        <v>0.21929496111421432</v>
      </c>
      <c r="W107" s="911">
        <f t="shared" si="39"/>
        <v>0.20891388877637812</v>
      </c>
      <c r="X107" s="911">
        <f t="shared" si="39"/>
        <v>0.21167927853794966</v>
      </c>
    </row>
    <row r="108" spans="1:24" s="911" customFormat="1">
      <c r="A108" s="975" t="s">
        <v>1883</v>
      </c>
      <c r="B108" s="469">
        <f>-B73/B$60</f>
        <v>5.8252801884485846E-2</v>
      </c>
      <c r="C108" s="469" t="e">
        <f>-#REF!/C$60</f>
        <v>#REF!</v>
      </c>
      <c r="D108" s="469">
        <f>-D73/D$60</f>
        <v>5.9888903227964432E-2</v>
      </c>
      <c r="E108" s="504">
        <f>-E73/E$60</f>
        <v>5.4740996281668237E-2</v>
      </c>
      <c r="F108" s="469">
        <f t="shared" ref="F108:U108" si="40">-F73/F$60</f>
        <v>5.7168784029038106E-2</v>
      </c>
      <c r="G108" s="469">
        <f t="shared" si="40"/>
        <v>5.027362276541409E-2</v>
      </c>
      <c r="H108" s="469">
        <f t="shared" si="40"/>
        <v>6.5895675219853039E-2</v>
      </c>
      <c r="I108" s="504">
        <f t="shared" si="40"/>
        <v>6.4311694037253384E-2</v>
      </c>
      <c r="J108" s="469">
        <f t="shared" si="40"/>
        <v>8.4212571650636378E-2</v>
      </c>
      <c r="K108" s="469">
        <f t="shared" si="40"/>
        <v>3.7218862539919816E-2</v>
      </c>
      <c r="L108" s="469">
        <f t="shared" si="40"/>
        <v>4.6920821114369501E-2</v>
      </c>
      <c r="M108" s="910">
        <f t="shared" si="40"/>
        <v>4.4117839179567582E-2</v>
      </c>
      <c r="N108" s="911">
        <f t="shared" si="40"/>
        <v>0.25430142910868753</v>
      </c>
      <c r="O108" s="911">
        <f t="shared" si="40"/>
        <v>5.2064908098131198E-2</v>
      </c>
      <c r="P108" s="911">
        <f t="shared" si="40"/>
        <v>5.4827556769677314E-2</v>
      </c>
      <c r="Q108" s="910">
        <f t="shared" si="40"/>
        <v>5.3761605944725843E-2</v>
      </c>
      <c r="R108" s="911">
        <f t="shared" si="40"/>
        <v>7.3134811124033958E-2</v>
      </c>
      <c r="S108" s="911">
        <f t="shared" si="40"/>
        <v>3.9653167590411938E-2</v>
      </c>
      <c r="T108" s="911">
        <f t="shared" si="40"/>
        <v>4.147242805067039E-2</v>
      </c>
      <c r="U108" s="910">
        <f t="shared" si="40"/>
        <v>3.674362035683601E-2</v>
      </c>
      <c r="V108" s="911">
        <f t="shared" si="39"/>
        <v>4.2372309146599715E-2</v>
      </c>
      <c r="W108" s="911">
        <f t="shared" si="39"/>
        <v>4.1374701283972623E-2</v>
      </c>
      <c r="X108" s="911">
        <f t="shared" si="39"/>
        <v>4.7521086196255925E-2</v>
      </c>
    </row>
    <row r="109" spans="1:24" s="911" customFormat="1">
      <c r="A109" s="912" t="s">
        <v>1889</v>
      </c>
      <c r="B109" s="469">
        <f t="shared" ref="B109:U109" si="41">B74/B$60</f>
        <v>7.2264388878518826E-2</v>
      </c>
      <c r="C109" s="444">
        <f t="shared" si="41"/>
        <v>7.2417840756310276E-2</v>
      </c>
      <c r="D109" s="444">
        <f t="shared" si="41"/>
        <v>7.9355581560037622E-2</v>
      </c>
      <c r="E109" s="445">
        <f t="shared" si="41"/>
        <v>0.10310718829107623</v>
      </c>
      <c r="F109" s="444">
        <f t="shared" si="41"/>
        <v>9.8443601165924197E-2</v>
      </c>
      <c r="G109" s="444">
        <f t="shared" si="41"/>
        <v>9.5220722364100702E-2</v>
      </c>
      <c r="H109" s="444">
        <f t="shared" si="41"/>
        <v>0.11634140465004215</v>
      </c>
      <c r="I109" s="445">
        <f t="shared" si="41"/>
        <v>8.6492890995260654E-2</v>
      </c>
      <c r="J109" s="444">
        <f t="shared" si="41"/>
        <v>5.3803555814631324E-2</v>
      </c>
      <c r="K109" s="444">
        <f t="shared" si="41"/>
        <v>5.3560508255758643E-2</v>
      </c>
      <c r="L109" s="444">
        <f t="shared" si="41"/>
        <v>6.0906835100383493E-2</v>
      </c>
      <c r="M109" s="910">
        <f t="shared" si="41"/>
        <v>3.5769808609314786E-2</v>
      </c>
      <c r="N109" s="911">
        <f t="shared" si="41"/>
        <v>0.20760859345618654</v>
      </c>
      <c r="O109" s="911">
        <f t="shared" si="41"/>
        <v>8.3819817804282923E-2</v>
      </c>
      <c r="P109" s="911">
        <f t="shared" si="41"/>
        <v>7.6062830800751241E-2</v>
      </c>
      <c r="Q109" s="910">
        <f t="shared" si="41"/>
        <v>8.21665981492542E-2</v>
      </c>
      <c r="R109" s="911">
        <f t="shared" si="41"/>
        <v>7.9734630816134119E-2</v>
      </c>
      <c r="S109" s="911">
        <f t="shared" si="41"/>
        <v>5.4244211097928798E-2</v>
      </c>
      <c r="T109" s="911">
        <f t="shared" si="41"/>
        <v>8.3785598213109283E-2</v>
      </c>
      <c r="U109" s="910">
        <f t="shared" si="41"/>
        <v>7.9601879023889502E-2</v>
      </c>
      <c r="V109" s="911">
        <f>V74/V$60</f>
        <v>5.5225795363169294E-2</v>
      </c>
      <c r="W109" s="911">
        <f>W74/W$60</f>
        <v>4.6083275952853497E-2</v>
      </c>
      <c r="X109" s="911">
        <f>X74/X$60</f>
        <v>1.0380468928092875E-2</v>
      </c>
    </row>
    <row r="110" spans="1:24">
      <c r="A110" s="913"/>
      <c r="B110" s="10"/>
      <c r="C110" s="10"/>
      <c r="D110" s="10"/>
      <c r="E110" s="101"/>
      <c r="F110" s="10"/>
      <c r="G110" s="10"/>
      <c r="H110" s="10"/>
      <c r="I110" s="101"/>
    </row>
    <row r="111" spans="1:24" s="883" customFormat="1">
      <c r="A111" s="909" t="s">
        <v>1244</v>
      </c>
      <c r="E111" s="914"/>
      <c r="I111" s="914"/>
      <c r="M111" s="914"/>
      <c r="Q111" s="914"/>
      <c r="U111" s="914"/>
    </row>
    <row r="112" spans="1:24" s="1614" customFormat="1" ht="12">
      <c r="A112" s="895" t="s">
        <v>352</v>
      </c>
      <c r="B112" s="987">
        <v>0.10299999999999999</v>
      </c>
      <c r="C112" s="987">
        <v>0.22900000000000001</v>
      </c>
      <c r="D112" s="987">
        <v>0.27700000000000002</v>
      </c>
      <c r="E112" s="468">
        <v>8.2000000000000003E-2</v>
      </c>
      <c r="F112" s="987">
        <v>0.127</v>
      </c>
      <c r="G112" s="987">
        <v>-1.2E-2</v>
      </c>
      <c r="H112" s="987">
        <v>3.2000000000000001E-2</v>
      </c>
      <c r="I112" s="468">
        <v>8.3000000000000004E-2</v>
      </c>
      <c r="J112" s="987">
        <v>0.121</v>
      </c>
      <c r="K112" s="1614">
        <v>0.29399999999999998</v>
      </c>
      <c r="L112" s="1614">
        <v>0.26900000000000002</v>
      </c>
      <c r="M112" s="1615">
        <v>0.38600000000000001</v>
      </c>
      <c r="N112" s="1614">
        <v>0.36399999999999999</v>
      </c>
      <c r="O112" s="1614">
        <v>0.58399999999999996</v>
      </c>
      <c r="P112" s="1614">
        <v>0.84</v>
      </c>
      <c r="Q112" s="1615">
        <v>0.39900000000000002</v>
      </c>
      <c r="R112" s="1614">
        <v>0.315</v>
      </c>
      <c r="U112" s="1615"/>
    </row>
    <row r="113" spans="1:126" s="1614" customFormat="1" ht="12.75" customHeight="1">
      <c r="A113" s="895" t="s">
        <v>1245</v>
      </c>
      <c r="B113" s="987">
        <v>0.24299999999999999</v>
      </c>
      <c r="C113" s="987">
        <v>0.313</v>
      </c>
      <c r="D113" s="987">
        <v>0.254</v>
      </c>
      <c r="E113" s="468">
        <v>8.6999999999999994E-2</v>
      </c>
      <c r="F113" s="987">
        <v>0.14299999999999999</v>
      </c>
      <c r="G113" s="987">
        <v>5.1999999999999998E-2</v>
      </c>
      <c r="H113" s="987">
        <v>0.121</v>
      </c>
      <c r="I113" s="468">
        <v>0.156</v>
      </c>
      <c r="J113" s="987">
        <v>0.19500000000000001</v>
      </c>
      <c r="K113" s="1614">
        <v>0.36299999999999999</v>
      </c>
      <c r="L113" s="1614">
        <v>0.30199999999999999</v>
      </c>
      <c r="M113" s="1615">
        <v>0.41499999999999998</v>
      </c>
      <c r="N113" s="1614">
        <v>0.35799999999999998</v>
      </c>
      <c r="O113" s="1614">
        <v>0.54600000000000004</v>
      </c>
      <c r="P113" s="1614">
        <v>0.79400000000000004</v>
      </c>
      <c r="Q113" s="1615">
        <v>0.36</v>
      </c>
      <c r="R113" s="1614">
        <v>0.27300000000000002</v>
      </c>
      <c r="U113" s="1615"/>
    </row>
    <row r="114" spans="1:126" s="1990" customFormat="1" ht="12">
      <c r="A114" s="915" t="s">
        <v>1447</v>
      </c>
      <c r="B114" s="1988">
        <v>0.31</v>
      </c>
      <c r="C114" s="1988">
        <v>0.36299999999999999</v>
      </c>
      <c r="D114" s="1988">
        <v>0.375</v>
      </c>
      <c r="E114" s="1989">
        <v>0.22900000000000001</v>
      </c>
      <c r="F114" s="1988">
        <v>0.27500000000000002</v>
      </c>
      <c r="G114" s="1988">
        <v>7.4999999999999997E-2</v>
      </c>
      <c r="H114" s="1988">
        <v>5.0000000000000001E-3</v>
      </c>
      <c r="I114" s="1989">
        <v>0.03</v>
      </c>
      <c r="J114" s="1988">
        <v>0.216</v>
      </c>
      <c r="K114" s="1990">
        <v>0.54500000000000004</v>
      </c>
      <c r="L114" s="1990">
        <v>0.46800000000000003</v>
      </c>
      <c r="M114" s="1991">
        <v>0.77200000000000002</v>
      </c>
      <c r="N114" s="1990">
        <v>0.65300000000000002</v>
      </c>
      <c r="O114" s="1990">
        <v>1.399</v>
      </c>
      <c r="P114" s="1990">
        <v>1.617</v>
      </c>
      <c r="Q114" s="1991">
        <v>0.97799999999999998</v>
      </c>
      <c r="R114" s="1990">
        <v>0.70799999999999996</v>
      </c>
      <c r="S114" s="1990">
        <v>0.20399999999999999</v>
      </c>
      <c r="T114" s="1990">
        <v>0.15</v>
      </c>
      <c r="U114" s="1991">
        <v>0.188</v>
      </c>
      <c r="V114" s="1990">
        <v>0.16700000000000001</v>
      </c>
      <c r="W114" s="1990">
        <v>0.16700000000000001</v>
      </c>
      <c r="X114" s="1990">
        <v>0.13100000000000001</v>
      </c>
      <c r="Z114" s="1990" t="s">
        <v>2073</v>
      </c>
    </row>
    <row r="115" spans="1:126" s="1990" customFormat="1" ht="12">
      <c r="A115" s="915" t="s">
        <v>1448</v>
      </c>
      <c r="B115" s="1988">
        <v>0.45100000000000001</v>
      </c>
      <c r="C115" s="1988">
        <v>0.438</v>
      </c>
      <c r="D115" s="1988">
        <v>0.34799999999999998</v>
      </c>
      <c r="E115" s="1989">
        <v>0.22900000000000001</v>
      </c>
      <c r="F115" s="1988">
        <v>0.28399999999999997</v>
      </c>
      <c r="G115" s="1988">
        <v>0.14699999999999999</v>
      </c>
      <c r="H115" s="1988">
        <v>7.6999999999999999E-2</v>
      </c>
      <c r="I115" s="1989">
        <v>9.5000000000000001E-2</v>
      </c>
      <c r="J115" s="1988">
        <v>0.28999999999999998</v>
      </c>
      <c r="K115" s="1990">
        <v>0.626</v>
      </c>
      <c r="L115" s="1990">
        <v>0.50900000000000001</v>
      </c>
      <c r="M115" s="1991">
        <v>0.80800000000000005</v>
      </c>
      <c r="N115" s="1990">
        <v>0.64500000000000002</v>
      </c>
      <c r="O115" s="1990">
        <v>1.35</v>
      </c>
      <c r="P115" s="1990">
        <v>1.5649999999999999</v>
      </c>
      <c r="Q115" s="1991">
        <v>0.93799999999999994</v>
      </c>
      <c r="R115" s="1990">
        <v>0.67200000000000004</v>
      </c>
      <c r="S115" s="1990">
        <v>0.25</v>
      </c>
      <c r="T115" s="1990">
        <v>0.253</v>
      </c>
      <c r="U115" s="1991">
        <v>0.314</v>
      </c>
      <c r="V115" s="1990">
        <v>0.26200000000000001</v>
      </c>
      <c r="W115" s="1990">
        <v>0.21</v>
      </c>
      <c r="X115" s="1990">
        <v>0.13600000000000001</v>
      </c>
    </row>
    <row r="116" spans="1:126" s="1614" customFormat="1" ht="12">
      <c r="A116" s="895" t="s">
        <v>1246</v>
      </c>
      <c r="B116" s="1616"/>
      <c r="C116" s="1616"/>
      <c r="D116" s="1616"/>
      <c r="E116" s="1617"/>
      <c r="F116" s="1616"/>
      <c r="G116" s="1616"/>
      <c r="H116" s="1616"/>
      <c r="I116" s="1617"/>
      <c r="J116" s="1616"/>
      <c r="M116" s="1615"/>
      <c r="Q116" s="1615"/>
      <c r="U116" s="1615"/>
    </row>
    <row r="117" spans="1:126" s="1614" customFormat="1" ht="12">
      <c r="A117" s="974" t="s">
        <v>1887</v>
      </c>
      <c r="B117" s="987">
        <f>-B63/9.808287-1</f>
        <v>-0.14701170550984088</v>
      </c>
      <c r="C117" s="987">
        <f>-C63/9.799967-1</f>
        <v>0.10146564779248735</v>
      </c>
      <c r="D117" s="987">
        <f>-D63/10.715275-1</f>
        <v>-3.445221891178718E-2</v>
      </c>
      <c r="E117" s="468">
        <f>-E63/8.339202-1</f>
        <v>0.37173137189865413</v>
      </c>
      <c r="F117" s="987">
        <f>F63/$B63-1</f>
        <v>0.40300063803181185</v>
      </c>
      <c r="G117" s="987">
        <f>G63/$C63-1</f>
        <v>0.1514381582103268</v>
      </c>
      <c r="H117" s="987">
        <f>H63/$D63-1</f>
        <v>0.22007208506385489</v>
      </c>
      <c r="I117" s="468">
        <f>I63/$E63-1</f>
        <v>6.5551664919012653E-2</v>
      </c>
      <c r="J117" s="987">
        <f>J63/$F63-1</f>
        <v>3.3225421707274716E-3</v>
      </c>
      <c r="K117" s="1614">
        <f>K63/$G63-1</f>
        <v>5.7285380963874699E-2</v>
      </c>
      <c r="L117" s="1614">
        <f>L63/$H63-1</f>
        <v>0.12833716232274428</v>
      </c>
      <c r="M117" s="1615">
        <f>M63/$I63-1</f>
        <v>0.12002625317909588</v>
      </c>
      <c r="N117" s="1614">
        <f>N63/$J63-1</f>
        <v>1.7765984546149278</v>
      </c>
      <c r="O117" s="1614">
        <f>O63/$K63-1</f>
        <v>1.2693097937752076</v>
      </c>
      <c r="P117" s="1614">
        <f>P63/$L63-1</f>
        <v>1.0371410517447166</v>
      </c>
      <c r="Q117" s="1615">
        <f>Q63/$M63-1</f>
        <v>0.96996777029006731</v>
      </c>
      <c r="R117" s="1614">
        <f t="shared" ref="R117:W117" si="42">R63/$N63-1</f>
        <v>-0.13067278287461781</v>
      </c>
      <c r="S117" s="1614">
        <f t="shared" si="42"/>
        <v>-0.1755045871559634</v>
      </c>
      <c r="T117" s="1614">
        <f t="shared" si="42"/>
        <v>-0.12094801223241591</v>
      </c>
      <c r="U117" s="1615">
        <f t="shared" si="42"/>
        <v>-9.3425076452599454E-2</v>
      </c>
      <c r="V117" s="1614">
        <f t="shared" si="42"/>
        <v>-0.13712538226299698</v>
      </c>
      <c r="W117" s="1614">
        <f t="shared" si="42"/>
        <v>-4.7186544342507686E-2</v>
      </c>
      <c r="X117" s="1614">
        <f>X63/$N63-1</f>
        <v>-4.1590214067278586E-3</v>
      </c>
    </row>
    <row r="118" spans="1:126" s="1614" customFormat="1" ht="12">
      <c r="A118" s="974" t="s">
        <v>1881</v>
      </c>
      <c r="B118" s="987"/>
      <c r="C118" s="987"/>
      <c r="D118" s="987"/>
      <c r="E118" s="468"/>
      <c r="F118" s="987" t="e">
        <f>F64/$B64-1</f>
        <v>#DIV/0!</v>
      </c>
      <c r="G118" s="987" t="e">
        <f>G64/$C64-1</f>
        <v>#DIV/0!</v>
      </c>
      <c r="H118" s="987" t="e">
        <f>H64/$D64-1</f>
        <v>#DIV/0!</v>
      </c>
      <c r="I118" s="468" t="e">
        <f>I64/$E64-1</f>
        <v>#DIV/0!</v>
      </c>
      <c r="J118" s="987">
        <f>J64/$F64-1</f>
        <v>3.1788701278207352</v>
      </c>
      <c r="K118" s="1614">
        <f>K64/$G64-1</f>
        <v>3.2919178751833149</v>
      </c>
      <c r="L118" s="1614">
        <f>L64/$H64-1</f>
        <v>2.2745124593716137</v>
      </c>
      <c r="M118" s="1615">
        <f>M64/$I64-1</f>
        <v>0.53834467041883927</v>
      </c>
      <c r="N118" s="1614">
        <f>N64/$J64-1</f>
        <v>0.48849196608953416</v>
      </c>
      <c r="O118" s="1614">
        <f>O64/$K64-1</f>
        <v>1.5251238633990769</v>
      </c>
      <c r="P118" s="1614">
        <f>P64/$L64-1</f>
        <v>1.3976798047892802</v>
      </c>
      <c r="Q118" s="1615">
        <f t="shared" ref="Q118:X118" si="43">Q64/M64-1</f>
        <v>1.4459283533848089</v>
      </c>
      <c r="R118" s="1614">
        <f t="shared" si="43"/>
        <v>0.19082894653390015</v>
      </c>
      <c r="S118" s="1614">
        <f t="shared" si="43"/>
        <v>-0.57954759023011393</v>
      </c>
      <c r="T118" s="1614">
        <f t="shared" si="43"/>
        <v>-0.61400467454957863</v>
      </c>
      <c r="U118" s="1615">
        <f t="shared" si="43"/>
        <v>-0.5439520606399868</v>
      </c>
      <c r="V118" s="1614">
        <f t="shared" si="43"/>
        <v>-0.55581120378359383</v>
      </c>
      <c r="W118" s="1614">
        <f t="shared" si="43"/>
        <v>-2.508537610184336E-2</v>
      </c>
      <c r="X118" s="1614">
        <f t="shared" si="43"/>
        <v>-0.10503854317953298</v>
      </c>
    </row>
    <row r="119" spans="1:126" s="1614" customFormat="1" ht="12">
      <c r="A119" s="974" t="s">
        <v>1882</v>
      </c>
      <c r="B119" s="987">
        <f>-B72/19.409091-1</f>
        <v>0.15833827560497293</v>
      </c>
      <c r="C119" s="987">
        <f>-C72/20.451845-1</f>
        <v>0.28463500481252435</v>
      </c>
      <c r="D119" s="987">
        <f>-D72/17.208352-1</f>
        <v>0.36650424166125828</v>
      </c>
      <c r="E119" s="468">
        <f>-E72/19.973516-1</f>
        <v>0.23322954256025841</v>
      </c>
      <c r="F119" s="987">
        <f>F72/$B72-1</f>
        <v>0.2300346766230652</v>
      </c>
      <c r="G119" s="987">
        <f>G72/$C72-1</f>
        <v>-1.6889160936737102</v>
      </c>
      <c r="H119" s="987">
        <f>H72/$D72-1</f>
        <v>0.20874566441590381</v>
      </c>
      <c r="I119" s="468">
        <f>I72/$E72-1</f>
        <v>0.57608437503679166</v>
      </c>
      <c r="J119" s="987">
        <f>J72/$F72-1</f>
        <v>-0.3892384465176828</v>
      </c>
      <c r="K119" s="1614">
        <f>K72/$G72-1</f>
        <v>-2.0314364640883977</v>
      </c>
      <c r="L119" s="1614">
        <f>L72/$H72-1</f>
        <v>-0.38717281170841544</v>
      </c>
      <c r="M119" s="1615">
        <f>M72/$I72-1</f>
        <v>-0.5311421359023234</v>
      </c>
      <c r="N119" s="1614">
        <f>N72/$J72-1</f>
        <v>0.61604499703966842</v>
      </c>
      <c r="O119" s="1614">
        <f>O72/$K72-1</f>
        <v>0.58546253146928051</v>
      </c>
      <c r="P119" s="1614">
        <f>P72/$L72-1</f>
        <v>0.62305528445949809</v>
      </c>
      <c r="Q119" s="1615">
        <f t="shared" ref="Q119:X120" si="44">Q72/M72-1</f>
        <v>0.79277002527194784</v>
      </c>
      <c r="R119" s="1614">
        <f t="shared" si="44"/>
        <v>0.10141051474629048</v>
      </c>
      <c r="S119" s="1614">
        <f t="shared" si="44"/>
        <v>0.1143619716882327</v>
      </c>
      <c r="T119" s="1614">
        <f t="shared" si="44"/>
        <v>9.5111771363893594E-2</v>
      </c>
      <c r="U119" s="1615">
        <f t="shared" si="44"/>
        <v>3.0614121108114789E-2</v>
      </c>
      <c r="V119" s="1614">
        <f t="shared" si="44"/>
        <v>0.18837108738316211</v>
      </c>
      <c r="W119" s="1614">
        <f t="shared" si="44"/>
        <v>0.25100048508367689</v>
      </c>
      <c r="X119" s="1614">
        <f t="shared" si="44"/>
        <v>0.22967604405542463</v>
      </c>
    </row>
    <row r="120" spans="1:126" s="1614" customFormat="1" ht="12">
      <c r="A120" s="975" t="s">
        <v>1883</v>
      </c>
      <c r="B120" s="987">
        <f>-B73/1.248655-1</f>
        <v>0.33088563294104456</v>
      </c>
      <c r="C120" s="987">
        <f>-C73/1.316395-1</f>
        <v>0.54629271609205432</v>
      </c>
      <c r="D120" s="987">
        <f>-D73/1.302765-1</f>
        <v>0.47332020740501934</v>
      </c>
      <c r="E120" s="468">
        <f>-E73/1.411168-1</f>
        <v>0.36079687181115205</v>
      </c>
      <c r="F120" s="987">
        <f>F73/$B73-1</f>
        <v>0.2510402769980089</v>
      </c>
      <c r="G120" s="987">
        <f>G73/$C73-1</f>
        <v>1.5459349202076034E-2</v>
      </c>
      <c r="H120" s="987">
        <f>H73/$D73-1</f>
        <v>0.13994550351934731</v>
      </c>
      <c r="I120" s="468">
        <f>I73/$E73-1</f>
        <v>0.21542686010041079</v>
      </c>
      <c r="J120" s="987">
        <f>J73/$F73-1</f>
        <v>1.0846560846560842</v>
      </c>
      <c r="K120" s="1614">
        <f>K73/$G73-1</f>
        <v>5.999032414126737E-2</v>
      </c>
      <c r="L120" s="1614">
        <f>L73/$H73-1</f>
        <v>0.14076782449725767</v>
      </c>
      <c r="M120" s="1615">
        <f>M73/$I73-1</f>
        <v>0.4468723221936588</v>
      </c>
      <c r="N120" s="1614">
        <f>N73/$J73-1</f>
        <v>3.9926165205353028</v>
      </c>
      <c r="O120" s="1614">
        <f>O73/$K73-1</f>
        <v>2.39890460976723</v>
      </c>
      <c r="P120" s="1614">
        <f>P73/$L73-1</f>
        <v>2.0877403846153846</v>
      </c>
      <c r="Q120" s="1615">
        <f t="shared" si="44"/>
        <v>1.0524133846609418</v>
      </c>
      <c r="R120" s="1614">
        <f t="shared" si="44"/>
        <v>-0.50887327849154262</v>
      </c>
      <c r="S120" s="1614">
        <f t="shared" si="44"/>
        <v>-9.7891768497381459E-2</v>
      </c>
      <c r="T120" s="1614">
        <f t="shared" si="44"/>
        <v>-0.14233813416374719</v>
      </c>
      <c r="U120" s="1615">
        <f t="shared" si="44"/>
        <v>-4.9776367046602155E-2</v>
      </c>
      <c r="V120" s="1614">
        <f t="shared" si="44"/>
        <v>-0.35042815470029176</v>
      </c>
      <c r="W120" s="1614">
        <f t="shared" si="44"/>
        <v>0.21643346233998217</v>
      </c>
      <c r="X120" s="1614">
        <f t="shared" si="44"/>
        <v>0.29304084720121026</v>
      </c>
    </row>
    <row r="121" spans="1:126" s="1614" customFormat="1" ht="12">
      <c r="A121" s="974" t="s">
        <v>1890</v>
      </c>
      <c r="B121" s="987">
        <f>B74/2.867133-1</f>
        <v>-0.28097685039375564</v>
      </c>
      <c r="C121" s="987">
        <f>C74/3.009379-1</f>
        <v>-0.14686584840261074</v>
      </c>
      <c r="D121" s="987">
        <f>D74/4.010111-1</f>
        <v>-0.36578289229400385</v>
      </c>
      <c r="E121" s="468">
        <f>E74/2.015778-1</f>
        <v>0.7943434247223653</v>
      </c>
      <c r="F121" s="987">
        <f>F74/$B74-1</f>
        <v>0.73657008006170144</v>
      </c>
      <c r="G121" s="987">
        <f>G74/$C74-1</f>
        <v>0.52488661698743178</v>
      </c>
      <c r="H121" s="987">
        <f>H74/$D74-1</f>
        <v>0.51890412423951582</v>
      </c>
      <c r="I121" s="468">
        <f>I74/$E74-1</f>
        <v>-0.13215323868025375</v>
      </c>
      <c r="J121" s="987">
        <f>J74/$F74-1</f>
        <v>-0.22653631284916198</v>
      </c>
      <c r="K121" s="1614">
        <f>K74/$G74-1</f>
        <v>-0.19463601532567054</v>
      </c>
      <c r="L121" s="1614">
        <f>L74/$H74-1</f>
        <v>-0.161273621537665</v>
      </c>
      <c r="M121" s="1615">
        <f>M74/$I74-1</f>
        <v>-0.12774769034724431</v>
      </c>
      <c r="N121" s="1614">
        <f>N74/$J74-1</f>
        <v>5.3795594077284212</v>
      </c>
      <c r="O121" s="1614">
        <f>O74/$K74-1</f>
        <v>2.8024104027909931</v>
      </c>
      <c r="P121" s="1614">
        <f>P74/$L74-1</f>
        <v>2.2999999999999998</v>
      </c>
      <c r="Q121" s="1615">
        <f>Q74/$M74-1</f>
        <v>2.8688823959094227</v>
      </c>
      <c r="R121" s="1614">
        <f t="shared" ref="R121:W121" si="45">R74/$N74-1</f>
        <v>-0.3441268044155108</v>
      </c>
      <c r="S121" s="1614">
        <f t="shared" si="45"/>
        <v>-0.47976224172091708</v>
      </c>
      <c r="T121" s="1614">
        <f t="shared" si="45"/>
        <v>-0.24404189074440985</v>
      </c>
      <c r="U121" s="1615">
        <f t="shared" si="45"/>
        <v>-0.19230116048683832</v>
      </c>
      <c r="V121" s="1614">
        <f t="shared" si="45"/>
        <v>-0.49068780073591844</v>
      </c>
      <c r="W121" s="1614">
        <f t="shared" si="45"/>
        <v>-0.48474384375884516</v>
      </c>
      <c r="X121" s="1614">
        <f>X74/$N74-1</f>
        <v>-0.89431078403622988</v>
      </c>
    </row>
    <row r="122" spans="1:126" s="1614" customFormat="1" ht="12">
      <c r="A122" s="895" t="s">
        <v>1231</v>
      </c>
      <c r="B122" s="987">
        <f>B78/-8.69277-1</f>
        <v>-0.6762488826921691</v>
      </c>
      <c r="C122" s="987">
        <f>C78/-5.447684-1</f>
        <v>-0.38285810997847969</v>
      </c>
      <c r="D122" s="987">
        <f>D78/-5.8835-1</f>
        <v>-0.44180096881108111</v>
      </c>
      <c r="E122" s="468">
        <f>E78/-1.176112-1</f>
        <v>1.4754521678207508</v>
      </c>
      <c r="F122" s="987">
        <f t="shared" ref="F122:X122" si="46">F78/B78-1</f>
        <v>5.2736871130024205</v>
      </c>
      <c r="G122" s="987">
        <f t="shared" si="46"/>
        <v>-10.688892960546641</v>
      </c>
      <c r="H122" s="987">
        <f t="shared" si="46"/>
        <v>6.2806960919125752</v>
      </c>
      <c r="I122" s="468">
        <f t="shared" si="46"/>
        <v>14.804718608756113</v>
      </c>
      <c r="J122" s="987">
        <f t="shared" si="46"/>
        <v>0.95395333031264351</v>
      </c>
      <c r="K122" s="1614">
        <f t="shared" si="46"/>
        <v>-1.8538097869466448</v>
      </c>
      <c r="L122" s="1614">
        <f t="shared" si="46"/>
        <v>0.21759859478900867</v>
      </c>
      <c r="M122" s="1615">
        <f t="shared" si="46"/>
        <v>-0.93165123658017102</v>
      </c>
      <c r="N122" s="1614">
        <f t="shared" si="46"/>
        <v>1.1831357430650153</v>
      </c>
      <c r="O122" s="1614">
        <f t="shared" si="46"/>
        <v>1.0138069897885784</v>
      </c>
      <c r="P122" s="1614">
        <f t="shared" si="46"/>
        <v>1.115236655904376</v>
      </c>
      <c r="Q122" s="1615">
        <f t="shared" si="46"/>
        <v>14.315739268680407</v>
      </c>
      <c r="R122" s="1614">
        <f t="shared" si="46"/>
        <v>-0.44643900366455957</v>
      </c>
      <c r="S122" s="1614">
        <f t="shared" si="46"/>
        <v>-0.18684830738465852</v>
      </c>
      <c r="T122" s="1614">
        <f t="shared" si="46"/>
        <v>-0.35185034831041007</v>
      </c>
      <c r="U122" s="1615">
        <f t="shared" si="46"/>
        <v>-0.24059541604384782</v>
      </c>
      <c r="V122" s="1614">
        <f t="shared" si="46"/>
        <v>-0.25690780005756542</v>
      </c>
      <c r="W122" s="1614">
        <f t="shared" si="46"/>
        <v>-5.8076982192653337E-2</v>
      </c>
      <c r="X122" s="1614">
        <f t="shared" si="46"/>
        <v>-0.20130276838281369</v>
      </c>
    </row>
    <row r="123" spans="1:126" s="1614" customFormat="1" ht="12.75" customHeight="1">
      <c r="A123" s="895" t="s">
        <v>1247</v>
      </c>
      <c r="B123" s="987">
        <f>B87/-20.407056-1</f>
        <v>-0.86734735279797337</v>
      </c>
      <c r="C123" s="987">
        <f>C87/-9.141832-1</f>
        <v>-0.56554036433835142</v>
      </c>
      <c r="D123" s="987">
        <f>D87/-7.45201-1</f>
        <v>-0.36326279755394852</v>
      </c>
      <c r="E123" s="468">
        <f>E87/-1.633438-1</f>
        <v>1.2105748733652582</v>
      </c>
      <c r="F123" s="987">
        <f>F87/B87-1</f>
        <v>1.1972257623612421</v>
      </c>
      <c r="G123" s="987">
        <f t="shared" ref="G123:O123" si="47">G87/C87-1</f>
        <v>0.74028773663645575</v>
      </c>
      <c r="H123" s="987">
        <f t="shared" si="47"/>
        <v>1.5749361640068691</v>
      </c>
      <c r="I123" s="468">
        <f t="shared" si="47"/>
        <v>4.3921016096821868</v>
      </c>
      <c r="J123" s="987">
        <f t="shared" si="47"/>
        <v>7.3925689307330185</v>
      </c>
      <c r="K123" s="1614">
        <f t="shared" si="47"/>
        <v>1.0708912037037037</v>
      </c>
      <c r="L123" s="1614">
        <f t="shared" si="47"/>
        <v>2.2258143722376817</v>
      </c>
      <c r="M123" s="1615">
        <f t="shared" si="47"/>
        <v>-1.8503338469440165</v>
      </c>
      <c r="N123" s="1614">
        <f t="shared" si="47"/>
        <v>0.46433221819347348</v>
      </c>
      <c r="O123" s="1614">
        <f t="shared" si="47"/>
        <v>3.6671091239346101</v>
      </c>
      <c r="P123" s="1614">
        <f t="shared" ref="P123:X123" si="48">P87/L87-1</f>
        <v>0.82992921117397844</v>
      </c>
      <c r="Q123" s="1615">
        <f t="shared" si="48"/>
        <v>-2.0310461464121765</v>
      </c>
      <c r="R123" s="1614">
        <f t="shared" si="48"/>
        <v>-0.12744534734192459</v>
      </c>
      <c r="S123" s="1614">
        <f t="shared" si="48"/>
        <v>0.60185614849187918</v>
      </c>
      <c r="T123" s="1614">
        <f t="shared" si="48"/>
        <v>0.47787806940920352</v>
      </c>
      <c r="U123" s="1615">
        <f t="shared" si="48"/>
        <v>-1.7041593438781488</v>
      </c>
      <c r="V123" s="1614">
        <f t="shared" si="48"/>
        <v>-0.36794079834436044</v>
      </c>
      <c r="W123" s="1614">
        <f t="shared" si="48"/>
        <v>-0.6694202519343625</v>
      </c>
      <c r="X123" s="1614">
        <f t="shared" si="48"/>
        <v>-0.44241901134263384</v>
      </c>
    </row>
    <row r="124" spans="1:126" s="916" customFormat="1" ht="12.75" customHeight="1">
      <c r="A124" s="1622"/>
      <c r="B124" s="1055"/>
      <c r="C124" s="1055"/>
      <c r="D124" s="1055"/>
      <c r="E124" s="1056"/>
      <c r="F124" s="1055"/>
      <c r="G124" s="1055"/>
      <c r="H124" s="1055"/>
      <c r="I124" s="1056"/>
      <c r="J124" s="1055"/>
      <c r="K124" s="1055"/>
      <c r="L124" s="1055"/>
      <c r="M124" s="1056"/>
      <c r="N124" s="1055"/>
      <c r="O124" s="1055"/>
      <c r="P124" s="1055"/>
      <c r="Q124" s="1056"/>
      <c r="R124" s="1055"/>
      <c r="S124" s="1055"/>
      <c r="T124" s="1055"/>
      <c r="U124" s="1056"/>
      <c r="V124" s="1055"/>
      <c r="Y124" s="1055" t="s">
        <v>305</v>
      </c>
      <c r="Z124" s="1055"/>
      <c r="AA124" s="1055"/>
      <c r="AB124" s="1055"/>
      <c r="AC124" s="1055"/>
      <c r="AD124" s="1055"/>
      <c r="AE124" s="1055"/>
      <c r="AF124" s="1055"/>
      <c r="AG124" s="1055"/>
      <c r="AH124" s="1055"/>
      <c r="AI124" s="1055"/>
      <c r="AJ124" s="1055"/>
      <c r="AK124" s="1055"/>
      <c r="AL124" s="1055"/>
      <c r="AM124" s="1055"/>
      <c r="AN124" s="1055"/>
      <c r="AO124" s="1055"/>
      <c r="AP124" s="1055"/>
      <c r="AQ124" s="1055"/>
      <c r="AR124" s="1055"/>
      <c r="AS124" s="1055"/>
      <c r="AT124" s="1055"/>
      <c r="AU124" s="1055"/>
      <c r="AV124" s="1055"/>
      <c r="AW124" s="1055"/>
      <c r="AX124" s="1055"/>
      <c r="AY124" s="1055"/>
      <c r="AZ124" s="1055"/>
      <c r="BA124" s="1055"/>
      <c r="BB124" s="1055"/>
      <c r="BC124" s="1055"/>
      <c r="BD124" s="1055"/>
      <c r="BE124" s="1055"/>
      <c r="BF124" s="1055"/>
      <c r="BG124" s="1055"/>
      <c r="BH124" s="1055"/>
      <c r="BI124" s="1055"/>
      <c r="BJ124" s="1055"/>
      <c r="BK124" s="1055"/>
      <c r="BL124" s="1055"/>
      <c r="BM124" s="1055"/>
      <c r="BN124" s="1055"/>
      <c r="BO124" s="1055"/>
      <c r="BP124" s="1055"/>
      <c r="BQ124" s="1055"/>
      <c r="BR124" s="1055"/>
      <c r="BS124" s="1055"/>
      <c r="BT124" s="1055"/>
      <c r="BU124" s="1055"/>
      <c r="BV124" s="1055"/>
      <c r="BW124" s="1055"/>
      <c r="BX124" s="1055"/>
      <c r="BY124" s="1055"/>
      <c r="BZ124" s="1055"/>
      <c r="CA124" s="1055"/>
      <c r="CB124" s="1055"/>
      <c r="CC124" s="1055"/>
      <c r="CD124" s="1055"/>
      <c r="CE124" s="1055"/>
      <c r="CF124" s="1055"/>
      <c r="CG124" s="1055"/>
      <c r="CH124" s="1055"/>
      <c r="CI124" s="1055"/>
      <c r="CJ124" s="1055"/>
      <c r="CK124" s="1055"/>
      <c r="CL124" s="1055"/>
      <c r="CM124" s="1055"/>
      <c r="CN124" s="1055"/>
      <c r="CO124" s="1055"/>
      <c r="CP124" s="1055"/>
      <c r="CQ124" s="1055"/>
      <c r="CR124" s="1055"/>
      <c r="CS124" s="1055"/>
      <c r="CT124" s="1055"/>
      <c r="CU124" s="1055"/>
      <c r="CV124" s="1055"/>
      <c r="CW124" s="1055"/>
      <c r="CX124" s="1055"/>
      <c r="CY124" s="1055"/>
      <c r="CZ124" s="1055"/>
      <c r="DA124" s="1055"/>
      <c r="DB124" s="1055"/>
      <c r="DC124" s="1055"/>
      <c r="DD124" s="1055"/>
      <c r="DE124" s="1055"/>
      <c r="DF124" s="1055"/>
      <c r="DG124" s="1055"/>
      <c r="DH124" s="1055"/>
      <c r="DI124" s="1055"/>
      <c r="DJ124" s="1055"/>
      <c r="DK124" s="1055"/>
      <c r="DL124" s="1055"/>
      <c r="DM124" s="1055"/>
      <c r="DN124" s="1055"/>
      <c r="DO124" s="1055"/>
      <c r="DP124" s="1055"/>
      <c r="DQ124" s="1055"/>
      <c r="DR124" s="1055"/>
      <c r="DS124" s="1055"/>
      <c r="DT124" s="1055"/>
      <c r="DU124" s="1055"/>
      <c r="DV124" s="1055"/>
    </row>
    <row r="125" spans="1:126" s="916" customFormat="1" ht="15">
      <c r="A125" s="1622"/>
      <c r="B125" s="902"/>
      <c r="C125" s="902"/>
      <c r="D125" s="902"/>
      <c r="E125" s="903"/>
      <c r="F125" s="902"/>
      <c r="G125" s="902"/>
      <c r="H125" s="902"/>
      <c r="I125" s="903"/>
      <c r="J125" s="1055"/>
      <c r="K125" s="1055"/>
      <c r="L125" s="1055"/>
      <c r="M125" s="1056"/>
      <c r="N125" s="1055"/>
      <c r="O125" s="1055"/>
      <c r="P125" s="1055"/>
      <c r="Q125" s="1056"/>
      <c r="R125" s="1055"/>
      <c r="S125" s="1055"/>
      <c r="T125" s="1055"/>
      <c r="U125" s="1056"/>
      <c r="V125" s="1055"/>
      <c r="Y125" s="1055" t="s">
        <v>305</v>
      </c>
      <c r="Z125" s="1055"/>
      <c r="AA125" s="1055"/>
      <c r="AB125" s="1055"/>
      <c r="AC125" s="1055"/>
      <c r="AD125" s="1055"/>
      <c r="AE125" s="1055"/>
      <c r="AF125" s="1055"/>
      <c r="AG125" s="1055"/>
      <c r="AH125" s="1055"/>
      <c r="AI125" s="1055"/>
      <c r="AJ125" s="1055"/>
      <c r="AK125" s="1055"/>
      <c r="AL125" s="1055"/>
      <c r="AM125" s="1055"/>
      <c r="AN125" s="1055"/>
      <c r="AO125" s="1055"/>
      <c r="AP125" s="1055"/>
      <c r="AQ125" s="1055"/>
      <c r="AR125" s="1055"/>
      <c r="AS125" s="1055"/>
      <c r="AT125" s="1055"/>
      <c r="AU125" s="1055"/>
      <c r="AV125" s="1055"/>
      <c r="AW125" s="1055"/>
      <c r="AX125" s="1055"/>
      <c r="AY125" s="1055"/>
      <c r="AZ125" s="1055"/>
      <c r="BA125" s="1055"/>
      <c r="BB125" s="1055"/>
      <c r="BC125" s="1055"/>
      <c r="BD125" s="1055"/>
      <c r="BE125" s="1055"/>
      <c r="BF125" s="1055"/>
      <c r="BG125" s="1055"/>
      <c r="BH125" s="1055"/>
      <c r="BI125" s="1055"/>
      <c r="BJ125" s="1055"/>
      <c r="BK125" s="1055"/>
      <c r="BL125" s="1055"/>
      <c r="BM125" s="1055"/>
      <c r="BN125" s="1055"/>
      <c r="BO125" s="1055"/>
      <c r="BP125" s="1055"/>
      <c r="BQ125" s="1055"/>
      <c r="BR125" s="1055"/>
      <c r="BS125" s="1055"/>
      <c r="BT125" s="1055"/>
      <c r="BU125" s="1055"/>
      <c r="BV125" s="1055"/>
      <c r="BW125" s="1055"/>
      <c r="BX125" s="1055"/>
      <c r="BY125" s="1055"/>
      <c r="BZ125" s="1055"/>
      <c r="CA125" s="1055"/>
      <c r="CB125" s="1055"/>
      <c r="CC125" s="1055"/>
      <c r="CD125" s="1055"/>
      <c r="CE125" s="1055"/>
      <c r="CF125" s="1055"/>
      <c r="CG125" s="1055"/>
      <c r="CH125" s="1055"/>
      <c r="CI125" s="1055"/>
      <c r="CJ125" s="1055"/>
      <c r="CK125" s="1055"/>
      <c r="CL125" s="1055"/>
      <c r="CM125" s="1055"/>
      <c r="CN125" s="1055"/>
      <c r="CO125" s="1055"/>
      <c r="CP125" s="1055"/>
      <c r="CQ125" s="1055"/>
      <c r="CR125" s="1055"/>
      <c r="CS125" s="1055"/>
      <c r="CT125" s="1055"/>
      <c r="CU125" s="1055"/>
      <c r="CV125" s="1055"/>
      <c r="CW125" s="1055"/>
      <c r="CX125" s="1055"/>
      <c r="CY125" s="1055"/>
      <c r="CZ125" s="1055"/>
      <c r="DA125" s="1055"/>
      <c r="DB125" s="1055"/>
      <c r="DC125" s="1055"/>
      <c r="DD125" s="1055"/>
      <c r="DE125" s="1055"/>
      <c r="DF125" s="1055"/>
      <c r="DG125" s="1055"/>
      <c r="DH125" s="1055"/>
      <c r="DI125" s="1055"/>
      <c r="DJ125" s="1055"/>
      <c r="DK125" s="1055"/>
      <c r="DL125" s="1055"/>
      <c r="DM125" s="1055"/>
      <c r="DN125" s="1055"/>
      <c r="DO125" s="1055"/>
      <c r="DP125" s="1055"/>
      <c r="DQ125" s="1055"/>
      <c r="DR125" s="1055"/>
      <c r="DS125" s="1055"/>
      <c r="DT125" s="1055"/>
      <c r="DU125" s="1055"/>
      <c r="DV125" s="1055"/>
    </row>
    <row r="126" spans="1:126" s="878" customFormat="1">
      <c r="A126" s="869"/>
      <c r="B126" s="870"/>
      <c r="C126" s="870"/>
      <c r="D126" s="870"/>
      <c r="E126" s="871"/>
      <c r="F126" s="870"/>
      <c r="G126" s="870"/>
      <c r="H126" s="870"/>
      <c r="I126" s="871"/>
      <c r="J126" s="872"/>
      <c r="K126" s="872"/>
      <c r="L126" s="872"/>
      <c r="M126" s="873"/>
      <c r="N126" s="872"/>
      <c r="O126" s="872"/>
      <c r="P126" s="872"/>
      <c r="Q126" s="873"/>
      <c r="U126" s="1967"/>
    </row>
    <row r="127" spans="1:126" s="878" customFormat="1">
      <c r="A127" s="875" t="s">
        <v>1248</v>
      </c>
      <c r="B127" s="870"/>
      <c r="C127" s="870"/>
      <c r="D127" s="870"/>
      <c r="E127" s="871"/>
      <c r="F127" s="870"/>
      <c r="G127" s="870"/>
      <c r="H127" s="870"/>
      <c r="I127" s="871"/>
      <c r="J127" s="872"/>
      <c r="K127" s="872"/>
      <c r="L127" s="872"/>
      <c r="M127" s="873"/>
      <c r="N127" s="872"/>
      <c r="O127" s="872"/>
      <c r="P127" s="872"/>
      <c r="Q127" s="873"/>
      <c r="U127" s="1967"/>
    </row>
    <row r="128" spans="1:126">
      <c r="A128" s="917" t="s">
        <v>0</v>
      </c>
      <c r="B128" s="918"/>
      <c r="C128" s="918"/>
      <c r="D128" s="918"/>
      <c r="E128" s="919"/>
      <c r="F128" s="918"/>
      <c r="G128" s="918"/>
      <c r="H128" s="918"/>
      <c r="I128" s="919"/>
    </row>
    <row r="129" spans="1:24" s="1464" customFormat="1">
      <c r="A129" s="72" t="s">
        <v>1891</v>
      </c>
      <c r="B129" s="1485"/>
      <c r="C129" s="1485"/>
      <c r="D129" s="1485"/>
      <c r="E129" s="1486"/>
      <c r="F129" s="1485"/>
      <c r="G129" s="1485"/>
      <c r="H129" s="1485"/>
      <c r="I129" s="1486"/>
      <c r="M129" s="1465"/>
      <c r="Q129" s="1465"/>
      <c r="U129" s="1465"/>
    </row>
    <row r="130" spans="1:24" s="1464" customFormat="1">
      <c r="A130" s="75" t="s">
        <v>1892</v>
      </c>
      <c r="B130" s="1487">
        <v>38.011775</v>
      </c>
      <c r="C130" s="1487">
        <v>39.123317</v>
      </c>
      <c r="D130" s="1487">
        <v>35.770437999999999</v>
      </c>
      <c r="E130" s="1488">
        <v>44.039144</v>
      </c>
      <c r="F130" s="1487">
        <v>49.856999999999999</v>
      </c>
      <c r="G130" s="1487">
        <v>51.304000000000002</v>
      </c>
      <c r="H130" s="1487">
        <v>45.856999999999999</v>
      </c>
      <c r="I130" s="1488">
        <v>46.524999999999999</v>
      </c>
      <c r="J130" s="1464">
        <v>53.433999999999997</v>
      </c>
      <c r="K130" s="1464">
        <v>43.01</v>
      </c>
      <c r="L130" s="1464">
        <v>54.039000000000001</v>
      </c>
      <c r="M130" s="1465">
        <v>64.814999999999998</v>
      </c>
      <c r="N130" s="1464">
        <v>101.70399999999999</v>
      </c>
      <c r="O130" s="1464">
        <v>366.923</v>
      </c>
      <c r="P130" s="1464">
        <v>236.51400000000001</v>
      </c>
      <c r="Q130" s="1465">
        <v>226.25700000000001</v>
      </c>
      <c r="R130" s="1464">
        <v>187.64699999999999</v>
      </c>
      <c r="S130" s="1464">
        <v>158.89400000000001</v>
      </c>
      <c r="T130" s="1464">
        <v>218.00399999999999</v>
      </c>
      <c r="U130" s="1465">
        <v>141.63300000000001</v>
      </c>
      <c r="V130" s="1464">
        <v>177.99</v>
      </c>
      <c r="W130" s="1464">
        <v>187.29900000000001</v>
      </c>
      <c r="X130" s="1464">
        <v>171.852</v>
      </c>
    </row>
    <row r="131" spans="1:24" s="1464" customFormat="1">
      <c r="A131" s="75" t="s">
        <v>1893</v>
      </c>
      <c r="B131" s="1487"/>
      <c r="C131" s="1487"/>
      <c r="D131" s="1487"/>
      <c r="E131" s="1488"/>
      <c r="F131" s="1487"/>
      <c r="G131" s="1487"/>
      <c r="H131" s="1487"/>
      <c r="I131" s="1488"/>
      <c r="M131" s="1465"/>
      <c r="Q131" s="1465"/>
      <c r="U131" s="1465"/>
      <c r="V131" s="1464">
        <v>0</v>
      </c>
    </row>
    <row r="132" spans="1:24" s="1464" customFormat="1">
      <c r="A132" s="75" t="s">
        <v>1894</v>
      </c>
      <c r="B132" s="1487">
        <v>29.513593</v>
      </c>
      <c r="C132" s="1487">
        <v>33.039394999999999</v>
      </c>
      <c r="D132" s="1487">
        <v>31.790324999999999</v>
      </c>
      <c r="E132" s="1488">
        <v>26.468012999999999</v>
      </c>
      <c r="F132" s="1487">
        <v>92.628</v>
      </c>
      <c r="G132" s="1487">
        <v>77.481999999999999</v>
      </c>
      <c r="H132" s="1487">
        <v>61.219000000000001</v>
      </c>
      <c r="I132" s="1488">
        <v>38.426000000000002</v>
      </c>
      <c r="J132" s="1464">
        <v>148.55500000000001</v>
      </c>
      <c r="K132" s="1464">
        <v>132.452</v>
      </c>
      <c r="L132" s="1464">
        <v>92.531999999999996</v>
      </c>
      <c r="M132" s="1465">
        <v>68.878</v>
      </c>
      <c r="N132" s="1464">
        <v>75.510999999999996</v>
      </c>
      <c r="O132" s="1464">
        <v>125.49299999999999</v>
      </c>
      <c r="P132" s="1464">
        <v>204.863</v>
      </c>
      <c r="Q132" s="1465">
        <v>188.99199999999999</v>
      </c>
      <c r="R132" s="1464">
        <v>202.17</v>
      </c>
      <c r="S132" s="1464">
        <v>196.87200000000001</v>
      </c>
      <c r="T132" s="1464">
        <v>113.968</v>
      </c>
      <c r="U132" s="1465">
        <v>159.14699999999999</v>
      </c>
      <c r="V132" s="1464">
        <v>133.994</v>
      </c>
      <c r="W132" s="1464">
        <v>79.459000000000003</v>
      </c>
      <c r="X132" s="1464">
        <v>77.760999999999996</v>
      </c>
    </row>
    <row r="133" spans="1:24" s="30" customFormat="1">
      <c r="A133" s="1385" t="s">
        <v>1896</v>
      </c>
      <c r="B133" s="30">
        <f>SUM(B130:B132)</f>
        <v>67.525368</v>
      </c>
      <c r="C133" s="30">
        <f t="shared" ref="C133:U133" si="49">SUM(C130:C132)</f>
        <v>72.162711999999999</v>
      </c>
      <c r="D133" s="30">
        <f t="shared" si="49"/>
        <v>67.560762999999994</v>
      </c>
      <c r="E133" s="105">
        <f t="shared" si="49"/>
        <v>70.507157000000007</v>
      </c>
      <c r="F133" s="30">
        <f t="shared" si="49"/>
        <v>142.48500000000001</v>
      </c>
      <c r="G133" s="30">
        <f t="shared" si="49"/>
        <v>128.786</v>
      </c>
      <c r="H133" s="30">
        <f t="shared" si="49"/>
        <v>107.07599999999999</v>
      </c>
      <c r="I133" s="105">
        <f t="shared" si="49"/>
        <v>84.950999999999993</v>
      </c>
      <c r="J133" s="30">
        <f t="shared" si="49"/>
        <v>201.989</v>
      </c>
      <c r="K133" s="30">
        <f t="shared" si="49"/>
        <v>175.46199999999999</v>
      </c>
      <c r="L133" s="30">
        <f t="shared" si="49"/>
        <v>146.571</v>
      </c>
      <c r="M133" s="105">
        <f t="shared" si="49"/>
        <v>133.69299999999998</v>
      </c>
      <c r="N133" s="30">
        <f t="shared" si="49"/>
        <v>177.21499999999997</v>
      </c>
      <c r="O133" s="30">
        <f t="shared" si="49"/>
        <v>492.416</v>
      </c>
      <c r="P133" s="30">
        <f t="shared" si="49"/>
        <v>441.37700000000001</v>
      </c>
      <c r="Q133" s="105">
        <f t="shared" si="49"/>
        <v>415.24900000000002</v>
      </c>
      <c r="R133" s="30">
        <f t="shared" si="49"/>
        <v>389.81700000000001</v>
      </c>
      <c r="S133" s="30">
        <f t="shared" si="49"/>
        <v>355.76600000000002</v>
      </c>
      <c r="T133" s="30">
        <f t="shared" si="49"/>
        <v>331.97199999999998</v>
      </c>
      <c r="U133" s="105">
        <f t="shared" si="49"/>
        <v>300.77999999999997</v>
      </c>
      <c r="V133" s="30">
        <f>SUM(V130:V132)</f>
        <v>311.98400000000004</v>
      </c>
      <c r="W133" s="30">
        <f>SUM(W130:W132)</f>
        <v>266.75800000000004</v>
      </c>
      <c r="X133" s="30">
        <f>SUM(X130:X132)</f>
        <v>249.613</v>
      </c>
    </row>
    <row r="134" spans="1:24" s="30" customFormat="1" hidden="1">
      <c r="A134" s="1386" t="s">
        <v>1250</v>
      </c>
      <c r="E134" s="105"/>
      <c r="I134" s="105"/>
      <c r="M134" s="105"/>
      <c r="Q134" s="105"/>
      <c r="U134" s="105"/>
    </row>
    <row r="135" spans="1:24" s="1464" customFormat="1">
      <c r="A135" s="1389" t="s">
        <v>1895</v>
      </c>
      <c r="B135" s="1487">
        <v>269.83701600000001</v>
      </c>
      <c r="C135" s="1487">
        <v>267.18964899999997</v>
      </c>
      <c r="D135" s="1487">
        <v>269.91632399999997</v>
      </c>
      <c r="E135" s="1488">
        <v>263.56784299999998</v>
      </c>
      <c r="F135" s="1487">
        <v>280.40499999999997</v>
      </c>
      <c r="G135" s="1487">
        <v>270.13900000000001</v>
      </c>
      <c r="H135" s="1487">
        <v>264.86399999999998</v>
      </c>
      <c r="I135" s="1488">
        <v>248.44399999999999</v>
      </c>
      <c r="J135" s="1464">
        <v>400.98899999999998</v>
      </c>
      <c r="K135" s="1464">
        <v>362.70499999999998</v>
      </c>
      <c r="L135" s="1464">
        <v>337.80399999999997</v>
      </c>
      <c r="M135" s="1465">
        <v>313.69299999999998</v>
      </c>
      <c r="N135" s="1464">
        <v>1544.7840000000001</v>
      </c>
      <c r="O135" s="1464">
        <v>1839.692</v>
      </c>
      <c r="P135" s="1464">
        <v>1793.97</v>
      </c>
      <c r="Q135" s="1465">
        <v>1801.8309999999999</v>
      </c>
      <c r="R135" s="1464">
        <v>1765.4559999999999</v>
      </c>
      <c r="S135" s="1464">
        <v>1659.7929999999999</v>
      </c>
      <c r="T135" s="1464">
        <v>1578.9960000000001</v>
      </c>
      <c r="U135" s="1465">
        <v>1580.4449999999999</v>
      </c>
      <c r="V135" s="1464">
        <v>1570.2860000000001</v>
      </c>
      <c r="W135" s="1464">
        <v>1582.008</v>
      </c>
      <c r="X135" s="1464">
        <v>1546.547</v>
      </c>
    </row>
    <row r="136" spans="1:24" s="30" customFormat="1">
      <c r="A136" s="1389"/>
      <c r="B136" s="34"/>
      <c r="C136" s="34"/>
      <c r="D136" s="34"/>
      <c r="E136" s="106"/>
      <c r="F136" s="34"/>
      <c r="G136" s="34"/>
      <c r="H136" s="34"/>
      <c r="I136" s="106"/>
      <c r="M136" s="105"/>
      <c r="Q136" s="105"/>
      <c r="U136" s="105"/>
    </row>
    <row r="137" spans="1:24" s="30" customFormat="1">
      <c r="A137" s="75" t="s">
        <v>5</v>
      </c>
      <c r="B137" s="40"/>
      <c r="C137" s="40"/>
      <c r="D137" s="40"/>
      <c r="E137" s="114"/>
      <c r="F137" s="40"/>
      <c r="G137" s="40"/>
      <c r="H137" s="40"/>
      <c r="I137" s="114"/>
      <c r="M137" s="105"/>
      <c r="Q137" s="105"/>
      <c r="U137" s="105"/>
    </row>
    <row r="138" spans="1:24" s="30" customFormat="1" hidden="1">
      <c r="A138" s="75" t="s">
        <v>1251</v>
      </c>
      <c r="B138" s="89"/>
      <c r="C138" s="89"/>
      <c r="D138" s="89"/>
      <c r="E138" s="110"/>
      <c r="F138" s="89"/>
      <c r="G138" s="89"/>
      <c r="H138" s="89"/>
      <c r="I138" s="110"/>
      <c r="M138" s="105"/>
      <c r="Q138" s="105"/>
      <c r="U138" s="105"/>
    </row>
    <row r="139" spans="1:24" s="1497" customFormat="1" ht="12.75" customHeight="1">
      <c r="A139" s="1387" t="s">
        <v>1897</v>
      </c>
      <c r="B139" s="1679">
        <v>0.115005</v>
      </c>
      <c r="C139" s="1679">
        <v>0.13350100000000001</v>
      </c>
      <c r="D139" s="1679">
        <v>0.140427</v>
      </c>
      <c r="E139" s="1680">
        <v>0.136823</v>
      </c>
      <c r="F139" s="1679">
        <v>0.13700000000000001</v>
      </c>
      <c r="G139" s="1679">
        <v>0.14799999999999999</v>
      </c>
      <c r="H139" s="1679">
        <v>0.14699999999999999</v>
      </c>
      <c r="I139" s="1680">
        <v>0.13300000000000001</v>
      </c>
      <c r="J139" s="1497">
        <v>2.0169999999999999</v>
      </c>
      <c r="K139" s="1497">
        <v>3.9350000000000001</v>
      </c>
      <c r="L139" s="1497">
        <v>0.49199999999999999</v>
      </c>
      <c r="M139" s="1498">
        <v>0.47899999999999998</v>
      </c>
      <c r="N139" s="1497">
        <v>0.52300000000000002</v>
      </c>
      <c r="O139" s="1497">
        <v>0.65500000000000003</v>
      </c>
      <c r="P139" s="1497">
        <v>0.58899999999999997</v>
      </c>
      <c r="Q139" s="1498">
        <v>0.53700000000000003</v>
      </c>
      <c r="R139" s="1497">
        <v>0.42399999999999999</v>
      </c>
      <c r="S139" s="1497">
        <v>0.35199999999999998</v>
      </c>
      <c r="T139" s="1497">
        <v>0.35</v>
      </c>
      <c r="U139" s="1498">
        <v>0.46500000000000002</v>
      </c>
      <c r="V139" s="1497">
        <v>0.47399999999999998</v>
      </c>
      <c r="W139" s="1497">
        <v>23.050999999999998</v>
      </c>
      <c r="X139" s="1497">
        <v>22.596</v>
      </c>
    </row>
    <row r="140" spans="1:24" s="1497" customFormat="1">
      <c r="A140" s="1387" t="s">
        <v>1898</v>
      </c>
      <c r="B140" s="1681">
        <v>0.20310800000000001</v>
      </c>
      <c r="C140" s="1681">
        <v>0.29781000000000002</v>
      </c>
      <c r="D140" s="1681">
        <v>0.28686899999999999</v>
      </c>
      <c r="E140" s="1682">
        <v>0.327571</v>
      </c>
      <c r="F140" s="1681">
        <v>0.36199999999999999</v>
      </c>
      <c r="G140" s="1681">
        <v>0.432</v>
      </c>
      <c r="H140" s="1681">
        <v>0.39400000000000002</v>
      </c>
      <c r="I140" s="1682">
        <v>0.36799999999999999</v>
      </c>
      <c r="J140" s="1497">
        <v>195.28299999999999</v>
      </c>
      <c r="K140" s="1497">
        <v>176.98099999999999</v>
      </c>
      <c r="L140" s="1497">
        <v>186.047</v>
      </c>
      <c r="M140" s="1498">
        <v>0.19400000000000001</v>
      </c>
      <c r="N140" s="1497">
        <v>0.22600000000000001</v>
      </c>
      <c r="O140" s="1497">
        <v>0.254</v>
      </c>
      <c r="P140" s="1497">
        <v>0.25</v>
      </c>
      <c r="Q140" s="1498">
        <v>0.252</v>
      </c>
      <c r="R140" s="1497">
        <v>0.22800000000000001</v>
      </c>
      <c r="S140" s="1497">
        <v>0.19800000000000001</v>
      </c>
      <c r="T140" s="1497">
        <v>0.19500000000000001</v>
      </c>
      <c r="U140" s="1498">
        <v>0.23300000000000001</v>
      </c>
      <c r="V140" s="1497">
        <v>0.23300000000000001</v>
      </c>
      <c r="W140" s="1497">
        <v>3.4470000000000001</v>
      </c>
      <c r="X140" s="1497">
        <v>3.6840000000000002</v>
      </c>
    </row>
    <row r="141" spans="1:24" s="698" customFormat="1">
      <c r="A141" s="1388" t="s">
        <v>1252</v>
      </c>
      <c r="B141" s="700">
        <f>SUM(B139:B140)</f>
        <v>0.31811299999999998</v>
      </c>
      <c r="C141" s="700">
        <f t="shared" ref="C141:U141" si="50">SUM(C139:C140)</f>
        <v>0.431311</v>
      </c>
      <c r="D141" s="700">
        <f t="shared" si="50"/>
        <v>0.42729600000000001</v>
      </c>
      <c r="E141" s="701">
        <f t="shared" si="50"/>
        <v>0.46439399999999997</v>
      </c>
      <c r="F141" s="700">
        <f t="shared" si="50"/>
        <v>0.499</v>
      </c>
      <c r="G141" s="700">
        <f t="shared" si="50"/>
        <v>0.57999999999999996</v>
      </c>
      <c r="H141" s="700">
        <f t="shared" si="50"/>
        <v>0.54100000000000004</v>
      </c>
      <c r="I141" s="701">
        <f t="shared" si="50"/>
        <v>0.501</v>
      </c>
      <c r="J141" s="700">
        <f t="shared" si="50"/>
        <v>197.29999999999998</v>
      </c>
      <c r="K141" s="700">
        <f t="shared" si="50"/>
        <v>180.916</v>
      </c>
      <c r="L141" s="700">
        <f t="shared" si="50"/>
        <v>186.53899999999999</v>
      </c>
      <c r="M141" s="699">
        <f t="shared" si="50"/>
        <v>0.67300000000000004</v>
      </c>
      <c r="N141" s="698">
        <f t="shared" si="50"/>
        <v>0.749</v>
      </c>
      <c r="O141" s="698">
        <f t="shared" si="50"/>
        <v>0.90900000000000003</v>
      </c>
      <c r="P141" s="698">
        <f t="shared" si="50"/>
        <v>0.83899999999999997</v>
      </c>
      <c r="Q141" s="699">
        <f t="shared" si="50"/>
        <v>0.78900000000000003</v>
      </c>
      <c r="R141" s="698">
        <f t="shared" si="50"/>
        <v>0.65200000000000002</v>
      </c>
      <c r="S141" s="698">
        <f t="shared" si="50"/>
        <v>0.55000000000000004</v>
      </c>
      <c r="T141" s="698">
        <f t="shared" si="50"/>
        <v>0.54499999999999993</v>
      </c>
      <c r="U141" s="699">
        <f t="shared" si="50"/>
        <v>0.69800000000000006</v>
      </c>
      <c r="V141" s="698">
        <f>SUM(V139:V140)</f>
        <v>0.70699999999999996</v>
      </c>
      <c r="W141" s="698">
        <f>SUM(W139:W140)</f>
        <v>26.497999999999998</v>
      </c>
      <c r="X141" s="698">
        <f>SUM(X139:X140)</f>
        <v>26.28</v>
      </c>
    </row>
    <row r="142" spans="1:24" s="1464" customFormat="1">
      <c r="A142" s="1010" t="s">
        <v>1253</v>
      </c>
      <c r="B142" s="1464">
        <v>107.537491</v>
      </c>
      <c r="C142" s="1464">
        <v>105.39501300000001</v>
      </c>
      <c r="D142" s="1464">
        <v>111.358053</v>
      </c>
      <c r="E142" s="1465">
        <v>105.23380899999999</v>
      </c>
      <c r="F142" s="1464">
        <v>122.551</v>
      </c>
      <c r="G142" s="1464">
        <v>117.512</v>
      </c>
      <c r="H142" s="1464">
        <v>128.483</v>
      </c>
      <c r="I142" s="1465">
        <v>128.10300000000001</v>
      </c>
      <c r="J142" s="1464">
        <v>323.38</v>
      </c>
      <c r="K142" s="1464">
        <v>298.78300000000002</v>
      </c>
      <c r="L142" s="1464">
        <v>309.99200000000002</v>
      </c>
      <c r="M142" s="1465">
        <v>109.321</v>
      </c>
      <c r="N142" s="1464">
        <v>139.322</v>
      </c>
      <c r="O142" s="1464">
        <v>163.18299999999999</v>
      </c>
      <c r="P142" s="1464">
        <v>176.197</v>
      </c>
      <c r="Q142" s="1465">
        <v>190.738</v>
      </c>
      <c r="R142" s="1464">
        <v>206.524</v>
      </c>
      <c r="S142" s="1464">
        <v>198.38300000000001</v>
      </c>
      <c r="T142" s="1464">
        <v>213.226</v>
      </c>
      <c r="U142" s="1465">
        <v>191.75700000000001</v>
      </c>
      <c r="V142" s="1464">
        <v>212.91800000000001</v>
      </c>
      <c r="W142" s="1464">
        <v>264.74</v>
      </c>
      <c r="X142" s="1464">
        <v>279.69</v>
      </c>
    </row>
    <row r="143" spans="1:24" s="30" customFormat="1">
      <c r="A143" s="1010"/>
      <c r="E143" s="105"/>
      <c r="I143" s="105"/>
      <c r="M143" s="105"/>
      <c r="Q143" s="105"/>
      <c r="U143" s="105"/>
    </row>
    <row r="144" spans="1:24" s="30" customFormat="1">
      <c r="A144" s="1010" t="s">
        <v>1254</v>
      </c>
      <c r="B144" s="34">
        <v>162.29952499999999</v>
      </c>
      <c r="C144" s="34">
        <v>267.18964899999997</v>
      </c>
      <c r="D144" s="34">
        <v>269.91632399999997</v>
      </c>
      <c r="E144" s="106">
        <v>263.56784299999998</v>
      </c>
      <c r="F144" s="34">
        <v>280.40499999999997</v>
      </c>
      <c r="G144" s="34">
        <v>270.13900000000001</v>
      </c>
      <c r="H144" s="34">
        <v>264.86399999999998</v>
      </c>
      <c r="I144" s="106">
        <v>248.44399999999999</v>
      </c>
      <c r="J144" s="30">
        <v>400.98899999999998</v>
      </c>
      <c r="K144" s="30">
        <v>362.70499999999998</v>
      </c>
      <c r="L144" s="30">
        <v>337.80399999999997</v>
      </c>
      <c r="M144" s="105">
        <v>313.69299999999998</v>
      </c>
      <c r="N144" s="30">
        <v>1404.8009999999999</v>
      </c>
      <c r="O144" s="30">
        <v>1676.09</v>
      </c>
      <c r="P144" s="30">
        <v>1617.7729999999999</v>
      </c>
      <c r="Q144" s="105">
        <v>1611.0930000000001</v>
      </c>
      <c r="R144" s="30">
        <f t="shared" ref="R144:X144" si="51">R135-R142</f>
        <v>1558.9319999999998</v>
      </c>
      <c r="S144" s="30">
        <f t="shared" si="51"/>
        <v>1461.4099999999999</v>
      </c>
      <c r="T144" s="30">
        <f t="shared" si="51"/>
        <v>1365.77</v>
      </c>
      <c r="U144" s="105">
        <f t="shared" si="51"/>
        <v>1388.6879999999999</v>
      </c>
      <c r="V144" s="30">
        <f t="shared" si="51"/>
        <v>1357.3679999999999</v>
      </c>
      <c r="W144" s="30">
        <f t="shared" si="51"/>
        <v>1317.268</v>
      </c>
      <c r="X144" s="30">
        <f t="shared" si="51"/>
        <v>1266.857</v>
      </c>
    </row>
    <row r="145" spans="1:24" s="30" customFormat="1">
      <c r="A145" s="72" t="s">
        <v>1255</v>
      </c>
      <c r="B145" s="34">
        <f>SUM(B142:B144)</f>
        <v>269.83701600000001</v>
      </c>
      <c r="C145" s="34">
        <f t="shared" ref="C145:J145" si="52">SUM(C142:C144)</f>
        <v>372.58466199999998</v>
      </c>
      <c r="D145" s="34">
        <f t="shared" si="52"/>
        <v>381.27437699999996</v>
      </c>
      <c r="E145" s="106">
        <f t="shared" si="52"/>
        <v>368.80165199999999</v>
      </c>
      <c r="F145" s="34">
        <f t="shared" si="52"/>
        <v>402.95599999999996</v>
      </c>
      <c r="G145" s="34">
        <f t="shared" si="52"/>
        <v>387.65100000000001</v>
      </c>
      <c r="H145" s="34">
        <f t="shared" si="52"/>
        <v>393.34699999999998</v>
      </c>
      <c r="I145" s="106">
        <f t="shared" si="52"/>
        <v>376.54700000000003</v>
      </c>
      <c r="J145" s="34">
        <f t="shared" si="52"/>
        <v>724.36899999999991</v>
      </c>
      <c r="K145" s="30">
        <f t="shared" ref="K145:T145" si="53">K142+K144</f>
        <v>661.48800000000006</v>
      </c>
      <c r="L145" s="30">
        <f t="shared" si="53"/>
        <v>647.79600000000005</v>
      </c>
      <c r="M145" s="105">
        <f t="shared" si="53"/>
        <v>423.01400000000001</v>
      </c>
      <c r="N145" s="30">
        <f t="shared" si="53"/>
        <v>1544.123</v>
      </c>
      <c r="O145" s="30">
        <f t="shared" si="53"/>
        <v>1839.2729999999999</v>
      </c>
      <c r="P145" s="30">
        <f t="shared" si="53"/>
        <v>1793.9699999999998</v>
      </c>
      <c r="Q145" s="105">
        <f t="shared" si="53"/>
        <v>1801.8310000000001</v>
      </c>
      <c r="R145" s="30">
        <f t="shared" si="53"/>
        <v>1765.4559999999997</v>
      </c>
      <c r="S145" s="30">
        <f t="shared" si="53"/>
        <v>1659.7929999999999</v>
      </c>
      <c r="T145" s="30">
        <f t="shared" si="53"/>
        <v>1578.9960000000001</v>
      </c>
      <c r="U145" s="105">
        <f>U142+U144</f>
        <v>1580.4449999999999</v>
      </c>
      <c r="V145" s="30">
        <f>V142+V144</f>
        <v>1570.2860000000001</v>
      </c>
      <c r="W145" s="30">
        <f>W142+W144</f>
        <v>1582.008</v>
      </c>
      <c r="X145" s="30">
        <f>X142+X144</f>
        <v>1546.547</v>
      </c>
    </row>
    <row r="146" spans="1:24">
      <c r="A146" s="917"/>
      <c r="B146" s="91"/>
      <c r="C146" s="91"/>
      <c r="D146" s="91"/>
      <c r="E146" s="108"/>
      <c r="F146" s="91"/>
      <c r="G146" s="91"/>
      <c r="H146" s="91"/>
      <c r="I146" s="108"/>
    </row>
    <row r="147" spans="1:24" s="897" customFormat="1">
      <c r="A147" s="920" t="s">
        <v>1256</v>
      </c>
      <c r="B147" s="498">
        <f>B141/B135</f>
        <v>1.1789079375232937E-3</v>
      </c>
      <c r="C147" s="498">
        <f t="shared" ref="C147:S147" si="54">C141/C135</f>
        <v>1.614250408330751E-3</v>
      </c>
      <c r="D147" s="498">
        <f t="shared" si="54"/>
        <v>1.5830683882609488E-3</v>
      </c>
      <c r="E147" s="500">
        <f t="shared" si="54"/>
        <v>1.7619524245224406E-3</v>
      </c>
      <c r="F147" s="498">
        <f t="shared" si="54"/>
        <v>1.7795688379308502E-3</v>
      </c>
      <c r="G147" s="498">
        <f t="shared" si="54"/>
        <v>2.1470428186970408E-3</v>
      </c>
      <c r="H147" s="498">
        <f t="shared" si="54"/>
        <v>2.0425576899842941E-3</v>
      </c>
      <c r="I147" s="500">
        <f t="shared" si="54"/>
        <v>2.0165510135080745E-3</v>
      </c>
      <c r="J147" s="498">
        <f t="shared" si="54"/>
        <v>0.49203344730154691</v>
      </c>
      <c r="K147" s="498">
        <f t="shared" si="54"/>
        <v>0.49879654264484913</v>
      </c>
      <c r="L147" s="498">
        <f t="shared" si="54"/>
        <v>0.55221074942866277</v>
      </c>
      <c r="M147" s="896">
        <f t="shared" si="54"/>
        <v>2.1454096839903986E-3</v>
      </c>
      <c r="N147" s="897">
        <f t="shared" si="54"/>
        <v>4.8485742990605801E-4</v>
      </c>
      <c r="O147" s="897">
        <f t="shared" si="54"/>
        <v>4.9410444791845589E-4</v>
      </c>
      <c r="P147" s="897">
        <f t="shared" si="54"/>
        <v>4.676778318478012E-4</v>
      </c>
      <c r="Q147" s="896">
        <f t="shared" si="54"/>
        <v>4.378879040265153E-4</v>
      </c>
      <c r="R147" s="897">
        <f t="shared" si="54"/>
        <v>3.6930968542971338E-4</v>
      </c>
      <c r="S147" s="897">
        <f t="shared" si="54"/>
        <v>3.3136662222337367E-4</v>
      </c>
      <c r="T147" s="897">
        <f>T141/T135</f>
        <v>3.4515603586076211E-4</v>
      </c>
      <c r="U147" s="896">
        <f>U141/U135</f>
        <v>4.4164776376273777E-4</v>
      </c>
      <c r="V147" s="897">
        <f>V141/V135</f>
        <v>4.5023645374154766E-4</v>
      </c>
      <c r="W147" s="897">
        <f>W141/W135</f>
        <v>1.6749599243493077E-2</v>
      </c>
      <c r="X147" s="897">
        <f>X141/X135</f>
        <v>1.6992694046802329E-2</v>
      </c>
    </row>
    <row r="148" spans="1:24">
      <c r="A148" s="921"/>
      <c r="B148" s="918"/>
      <c r="C148" s="918"/>
      <c r="D148" s="918"/>
      <c r="E148" s="919"/>
      <c r="F148" s="918"/>
      <c r="G148" s="918"/>
      <c r="H148" s="918"/>
      <c r="I148" s="919"/>
    </row>
    <row r="149" spans="1:24">
      <c r="A149" s="921"/>
      <c r="B149" s="918"/>
      <c r="C149" s="918"/>
      <c r="D149" s="918"/>
      <c r="E149" s="919"/>
      <c r="F149" s="918"/>
      <c r="G149" s="918"/>
      <c r="H149" s="918"/>
      <c r="I149" s="919"/>
    </row>
    <row r="150" spans="1:24" s="878" customFormat="1">
      <c r="A150" s="869" t="s">
        <v>1257</v>
      </c>
      <c r="B150" s="870"/>
      <c r="C150" s="870"/>
      <c r="D150" s="870"/>
      <c r="E150" s="871"/>
      <c r="F150" s="870"/>
      <c r="G150" s="870"/>
      <c r="H150" s="870"/>
      <c r="I150" s="871"/>
      <c r="J150" s="872"/>
      <c r="K150" s="872"/>
      <c r="L150" s="872"/>
      <c r="M150" s="873"/>
      <c r="N150" s="872"/>
      <c r="O150" s="872"/>
      <c r="P150" s="872"/>
      <c r="Q150" s="873"/>
      <c r="U150" s="1967"/>
    </row>
    <row r="151" spans="1:24" s="878" customFormat="1" ht="12">
      <c r="A151" s="875" t="s">
        <v>1967</v>
      </c>
      <c r="B151" s="870"/>
      <c r="C151" s="870"/>
      <c r="D151" s="870"/>
      <c r="E151" s="871"/>
      <c r="F151" s="870"/>
      <c r="G151" s="870"/>
      <c r="H151" s="870"/>
      <c r="I151" s="871"/>
      <c r="J151" s="872"/>
      <c r="K151" s="872"/>
      <c r="L151" s="872"/>
      <c r="M151" s="873"/>
      <c r="N151" s="872"/>
      <c r="O151" s="872"/>
      <c r="P151" s="872"/>
      <c r="Q151" s="873"/>
      <c r="U151" s="1967"/>
      <c r="X151" s="2058" t="s">
        <v>2074</v>
      </c>
    </row>
    <row r="152" spans="1:24" s="1644" customFormat="1">
      <c r="A152" s="1683" t="s">
        <v>1258</v>
      </c>
      <c r="B152" s="1644">
        <v>-3.9575960000000001</v>
      </c>
      <c r="C152" s="1644">
        <v>4.2121130000000004</v>
      </c>
      <c r="D152" s="1644">
        <f>1.509075-C152</f>
        <v>-2.7030380000000003</v>
      </c>
      <c r="E152" s="1645">
        <f>4.86319-SUM(C152:D152)</f>
        <v>3.3541150000000002</v>
      </c>
      <c r="F152" s="1644">
        <f>10.827-SUM(C152:E152)</f>
        <v>5.9638099999999996</v>
      </c>
      <c r="G152" s="1644">
        <f>-0.224</f>
        <v>-0.224</v>
      </c>
      <c r="H152" s="1644">
        <f>-1.415-G152</f>
        <v>-1.1910000000000001</v>
      </c>
      <c r="I152" s="1645">
        <f>-20.024-SUM(G152:H152)</f>
        <v>-18.609000000000002</v>
      </c>
      <c r="J152" s="1644">
        <f>-66-SUM(G152:I152)</f>
        <v>-45.975999999999999</v>
      </c>
      <c r="K152" s="1644">
        <v>-14.073</v>
      </c>
      <c r="L152" s="1644">
        <f>-36.371-K152</f>
        <v>-22.298000000000002</v>
      </c>
      <c r="M152" s="1645">
        <f>-46.086-SUM(K152:L152)</f>
        <v>-9.7149999999999963</v>
      </c>
      <c r="N152" s="1644">
        <f>-108.457-SUM(K152:M152)</f>
        <v>-62.370999999999995</v>
      </c>
      <c r="O152" s="1644">
        <v>-26.062999999999999</v>
      </c>
      <c r="P152" s="1644">
        <f>-78.259-O152</f>
        <v>-52.195999999999998</v>
      </c>
      <c r="Q152" s="1645">
        <f>-102.073-SUM(O152:P152)</f>
        <v>-23.813999999999993</v>
      </c>
      <c r="R152" s="1644">
        <f>-125.478-SUM(P152:Q152)</f>
        <v>-49.468000000000004</v>
      </c>
      <c r="S152" s="1644">
        <v>-34.329000000000001</v>
      </c>
      <c r="T152" s="1644">
        <f>-64.244-S152</f>
        <v>-29.914999999999999</v>
      </c>
      <c r="U152" s="1645">
        <v>-92.174999999999997</v>
      </c>
      <c r="V152" s="1644">
        <v>-78.927000000000007</v>
      </c>
      <c r="W152" s="1644">
        <v>-23.911999999999999</v>
      </c>
      <c r="X152" s="1644">
        <v>-37.378</v>
      </c>
    </row>
    <row r="153" spans="1:24" s="1644" customFormat="1">
      <c r="A153" s="1683" t="s">
        <v>1259</v>
      </c>
      <c r="B153" s="1644">
        <v>-64.451925000000003</v>
      </c>
      <c r="C153" s="1644">
        <v>-1.784098</v>
      </c>
      <c r="D153" s="1644">
        <f>-1.411116-C153</f>
        <v>0.37298199999999992</v>
      </c>
      <c r="E153" s="1645">
        <f>5.115726-SUM(C153,D153)</f>
        <v>6.5268420000000003</v>
      </c>
      <c r="F153" s="1644">
        <f>5.418-SUM(C153:E153)</f>
        <v>0.30227399999999971</v>
      </c>
      <c r="G153" s="1644">
        <v>4.24</v>
      </c>
      <c r="H153" s="1644">
        <f>7.397-G153</f>
        <v>3.157</v>
      </c>
      <c r="I153" s="1645">
        <f>28.031-SUM(G153:H153)</f>
        <v>20.634</v>
      </c>
      <c r="J153" s="1644">
        <f>-103.646-SUM(G153:I153)</f>
        <v>-131.67699999999999</v>
      </c>
      <c r="K153" s="1644">
        <v>13.595000000000001</v>
      </c>
      <c r="L153" s="1644">
        <f>51.225-K153</f>
        <v>37.630000000000003</v>
      </c>
      <c r="M153" s="1645">
        <f>72.305-SUM(K153:L153)</f>
        <v>21.080000000000005</v>
      </c>
      <c r="N153" s="1644">
        <f>163.011-SUM(K153:M153)</f>
        <v>90.705999999999989</v>
      </c>
      <c r="O153" s="1644">
        <v>-34.469000000000001</v>
      </c>
      <c r="P153" s="1644">
        <f>-115.153-O153</f>
        <v>-80.683999999999997</v>
      </c>
      <c r="Q153" s="1645">
        <f>-100.214-SUM(O153:P153)</f>
        <v>14.938999999999993</v>
      </c>
      <c r="R153" s="1644">
        <f>-115.09-SUM(P153:Q153)</f>
        <v>-49.344999999999999</v>
      </c>
      <c r="S153" s="1644">
        <v>4.6369999999999996</v>
      </c>
      <c r="T153" s="1644">
        <f>93.926-S153</f>
        <v>89.289000000000001</v>
      </c>
      <c r="U153" s="1645">
        <v>46.252000000000002</v>
      </c>
      <c r="V153" s="1644">
        <v>70.010999999999996</v>
      </c>
      <c r="W153" s="1644">
        <v>38.957999999999998</v>
      </c>
      <c r="X153" s="1644">
        <v>38.881</v>
      </c>
    </row>
    <row r="154" spans="1:24" s="1644" customFormat="1">
      <c r="A154" s="1683" t="s">
        <v>1260</v>
      </c>
      <c r="B154" s="1644">
        <v>72.458995000000002</v>
      </c>
      <c r="C154" s="1644">
        <v>-1.1626069999999999</v>
      </c>
      <c r="D154" s="1644">
        <f>-1.460524-C154</f>
        <v>-0.29791699999999999</v>
      </c>
      <c r="E154" s="1645">
        <f>-1.52351-SUM(C154,D154)</f>
        <v>-6.2985999999999986E-2</v>
      </c>
      <c r="F154" s="1644">
        <f>-2.721-SUM(C154:E154)</f>
        <v>-1.1974900000000002</v>
      </c>
      <c r="G154" s="1644">
        <v>-2.6779999999999999</v>
      </c>
      <c r="H154" s="1644">
        <f>-9.528-G154</f>
        <v>-6.8500000000000005</v>
      </c>
      <c r="I154" s="1645">
        <f>-10.042-SUM(G154:H154)</f>
        <v>-0.51399999999999935</v>
      </c>
      <c r="J154" s="1644">
        <f>164.614-SUM(G154:I154)</f>
        <v>174.65600000000001</v>
      </c>
      <c r="K154" s="1644">
        <v>-2.5230000000000001</v>
      </c>
      <c r="L154" s="1644">
        <f>-6.503-K154</f>
        <v>-3.98</v>
      </c>
      <c r="M154" s="1645">
        <f>-6.651-SUM(K154:L154)</f>
        <v>-0.14799999999999969</v>
      </c>
      <c r="N154" s="1644">
        <f>2.159-SUM(K154:M154)</f>
        <v>8.8099999999999987</v>
      </c>
      <c r="O154" s="1644">
        <v>326.13900000000001</v>
      </c>
      <c r="P154" s="1644">
        <f>328.849-O154</f>
        <v>2.7099999999999795</v>
      </c>
      <c r="Q154" s="1645">
        <f>328.194-SUM(O154:P154)</f>
        <v>-0.65499999999997272</v>
      </c>
      <c r="R154" s="1644">
        <f>327.899-SUM(P154:Q154)</f>
        <v>325.84399999999999</v>
      </c>
      <c r="S154" s="1644">
        <v>8.9999999999999993E-3</v>
      </c>
      <c r="T154" s="1644">
        <f>-0.155-S154</f>
        <v>-0.16400000000000001</v>
      </c>
      <c r="U154" s="1645">
        <v>-0.219</v>
      </c>
      <c r="V154" s="1644">
        <v>-0.33500000000000002</v>
      </c>
      <c r="W154" s="1644">
        <v>-5.3940000000000001</v>
      </c>
      <c r="X154" s="1644">
        <v>-7.1210000000000004</v>
      </c>
    </row>
    <row r="155" spans="1:24" s="893" customFormat="1" hidden="1">
      <c r="A155" s="922" t="s">
        <v>1261</v>
      </c>
      <c r="B155" s="923"/>
      <c r="C155" s="923"/>
      <c r="D155" s="923"/>
      <c r="E155" s="924"/>
      <c r="F155" s="923"/>
      <c r="G155" s="923"/>
      <c r="H155" s="923"/>
      <c r="I155" s="924"/>
      <c r="M155" s="894"/>
      <c r="Q155" s="894"/>
      <c r="U155" s="894"/>
    </row>
    <row r="157" spans="1:24" s="878" customFormat="1">
      <c r="A157" s="869"/>
      <c r="B157" s="870"/>
      <c r="C157" s="870"/>
      <c r="D157" s="870"/>
      <c r="E157" s="871"/>
      <c r="F157" s="870"/>
      <c r="G157" s="870"/>
      <c r="H157" s="870"/>
      <c r="I157" s="871"/>
      <c r="J157" s="872"/>
      <c r="K157" s="872"/>
      <c r="L157" s="872"/>
      <c r="M157" s="873"/>
      <c r="N157" s="872"/>
      <c r="O157" s="872"/>
      <c r="P157" s="872"/>
      <c r="Q157" s="873"/>
      <c r="U157" s="1967"/>
    </row>
    <row r="158" spans="1:24" s="878" customFormat="1">
      <c r="A158" s="926" t="s">
        <v>1262</v>
      </c>
      <c r="B158" s="870"/>
      <c r="C158" s="870"/>
      <c r="D158" s="870"/>
      <c r="E158" s="871"/>
      <c r="F158" s="870"/>
      <c r="G158" s="870"/>
      <c r="H158" s="870"/>
      <c r="I158" s="871"/>
      <c r="J158" s="872"/>
      <c r="K158" s="872"/>
      <c r="L158" s="872"/>
      <c r="M158" s="873"/>
      <c r="N158" s="872"/>
      <c r="O158" s="872"/>
      <c r="P158" s="872"/>
      <c r="Q158" s="873"/>
      <c r="U158" s="1967"/>
    </row>
    <row r="159" spans="1:24">
      <c r="A159" s="925" t="s">
        <v>1263</v>
      </c>
      <c r="B159" s="712"/>
      <c r="C159" s="712"/>
      <c r="D159" s="712"/>
      <c r="E159" s="713"/>
      <c r="F159" s="712"/>
      <c r="G159" s="712"/>
      <c r="H159" s="712"/>
      <c r="I159" s="713"/>
      <c r="J159" s="712"/>
      <c r="K159" s="712"/>
      <c r="L159" s="712"/>
      <c r="M159" s="713"/>
      <c r="N159" s="712"/>
    </row>
    <row r="160" spans="1:24">
      <c r="B160" s="712"/>
      <c r="C160" s="712"/>
      <c r="D160" s="712"/>
      <c r="E160" s="713"/>
      <c r="F160" s="712"/>
      <c r="G160" s="712"/>
      <c r="H160" s="712"/>
      <c r="I160" s="713"/>
      <c r="J160" s="712"/>
      <c r="K160" s="712"/>
      <c r="L160" s="712"/>
      <c r="M160" s="713"/>
      <c r="N160" s="712"/>
    </row>
    <row r="161" spans="1:24" s="1640" customFormat="1" ht="21.75" customHeight="1">
      <c r="A161" s="1383" t="s">
        <v>1264</v>
      </c>
      <c r="B161" s="1684"/>
      <c r="C161" s="1684"/>
      <c r="D161" s="1684"/>
      <c r="E161" s="1685"/>
      <c r="F161" s="1684"/>
      <c r="G161" s="1684"/>
      <c r="H161" s="1684"/>
      <c r="I161" s="1685"/>
      <c r="J161" s="1686"/>
      <c r="K161" s="1686"/>
      <c r="L161" s="1686"/>
      <c r="M161" s="1687"/>
      <c r="N161" s="1688"/>
      <c r="O161" s="1686"/>
      <c r="Q161" s="1641"/>
      <c r="U161" s="1641"/>
    </row>
    <row r="162" spans="1:24" s="964" customFormat="1">
      <c r="A162" s="973" t="s">
        <v>1913</v>
      </c>
      <c r="B162" s="1973">
        <f t="shared" ref="B162:H162" si="55">B163+B164</f>
        <v>11.4</v>
      </c>
      <c r="C162" s="1973">
        <f t="shared" si="55"/>
        <v>13</v>
      </c>
      <c r="D162" s="1973">
        <f t="shared" si="55"/>
        <v>15.5</v>
      </c>
      <c r="E162" s="1974">
        <f t="shared" si="55"/>
        <v>20</v>
      </c>
      <c r="F162" s="1973">
        <f t="shared" si="55"/>
        <v>24</v>
      </c>
      <c r="G162" s="1973">
        <f t="shared" si="55"/>
        <v>25.5</v>
      </c>
      <c r="H162" s="1973">
        <f t="shared" si="55"/>
        <v>27</v>
      </c>
      <c r="I162" s="1974"/>
      <c r="J162" s="1973">
        <v>11.4</v>
      </c>
      <c r="K162" s="1973">
        <v>13</v>
      </c>
      <c r="L162" s="1973">
        <v>15.5</v>
      </c>
      <c r="M162" s="1974">
        <v>20</v>
      </c>
      <c r="N162" s="1973">
        <f>N163+N164</f>
        <v>53.5</v>
      </c>
      <c r="O162" s="1973">
        <f>O163+O164</f>
        <v>58.5</v>
      </c>
      <c r="P162" s="1973">
        <f>P163+P164</f>
        <v>58.5</v>
      </c>
      <c r="Q162" s="972"/>
      <c r="R162" s="964">
        <f>R163+R164</f>
        <v>53</v>
      </c>
      <c r="T162" s="964">
        <f>T163+T164</f>
        <v>58</v>
      </c>
      <c r="U162" s="972">
        <f>U163+U164</f>
        <v>60</v>
      </c>
      <c r="V162" s="2024">
        <v>61.5</v>
      </c>
      <c r="W162" s="2024">
        <v>63</v>
      </c>
      <c r="X162" s="2024">
        <v>66.5</v>
      </c>
    </row>
    <row r="163" spans="1:24" s="1640" customFormat="1">
      <c r="A163" s="930" t="s">
        <v>1449</v>
      </c>
      <c r="B163" s="1689">
        <v>11.4</v>
      </c>
      <c r="C163" s="1689">
        <v>13</v>
      </c>
      <c r="D163" s="1689">
        <v>15.5</v>
      </c>
      <c r="E163" s="1690">
        <v>20</v>
      </c>
      <c r="F163" s="1689">
        <v>24</v>
      </c>
      <c r="G163" s="1689">
        <v>25.5</v>
      </c>
      <c r="H163" s="1689">
        <v>27</v>
      </c>
      <c r="I163" s="1690"/>
      <c r="J163" s="1689">
        <v>30</v>
      </c>
      <c r="K163" s="1689">
        <v>33</v>
      </c>
      <c r="L163" s="1689"/>
      <c r="M163" s="1690">
        <v>34</v>
      </c>
      <c r="N163" s="1689">
        <v>40</v>
      </c>
      <c r="O163" s="1689">
        <v>45</v>
      </c>
      <c r="P163" s="1640">
        <v>45</v>
      </c>
      <c r="Q163" s="1641"/>
      <c r="R163" s="1640">
        <v>53</v>
      </c>
      <c r="T163" s="1640">
        <v>58</v>
      </c>
      <c r="U163" s="1641">
        <f>60-U164</f>
        <v>45.5</v>
      </c>
      <c r="V163" s="964">
        <f>V162-V164</f>
        <v>45.5</v>
      </c>
      <c r="W163" s="964">
        <f>W162-W164</f>
        <v>46.5</v>
      </c>
      <c r="X163" s="964">
        <f>X162-X164</f>
        <v>50</v>
      </c>
    </row>
    <row r="164" spans="1:24" s="1640" customFormat="1">
      <c r="A164" s="930" t="s">
        <v>1914</v>
      </c>
      <c r="B164" s="1684"/>
      <c r="C164" s="1684"/>
      <c r="D164" s="1684"/>
      <c r="E164" s="1685"/>
      <c r="F164" s="1684"/>
      <c r="G164" s="1684"/>
      <c r="H164" s="1684"/>
      <c r="I164" s="1685"/>
      <c r="J164" s="1686"/>
      <c r="K164" s="1686"/>
      <c r="L164" s="1686"/>
      <c r="M164" s="1687"/>
      <c r="N164" s="1689">
        <v>13.5</v>
      </c>
      <c r="O164" s="1689">
        <v>13.5</v>
      </c>
      <c r="P164" s="1640">
        <v>13.5</v>
      </c>
      <c r="Q164" s="1641"/>
      <c r="U164" s="1641">
        <v>14.5</v>
      </c>
      <c r="V164" s="1640">
        <v>16</v>
      </c>
      <c r="W164" s="1640">
        <v>16.5</v>
      </c>
      <c r="X164" s="1640">
        <v>16.5</v>
      </c>
    </row>
    <row r="165" spans="1:24" s="1640" customFormat="1">
      <c r="A165" s="973" t="s">
        <v>1265</v>
      </c>
      <c r="B165" s="1689">
        <v>170</v>
      </c>
      <c r="C165" s="1689">
        <v>184</v>
      </c>
      <c r="D165" s="1689"/>
      <c r="E165" s="1690">
        <v>190</v>
      </c>
      <c r="F165" s="1689">
        <v>205</v>
      </c>
      <c r="G165" s="1689">
        <v>250</v>
      </c>
      <c r="H165" s="1689"/>
      <c r="I165" s="1690"/>
      <c r="J165" s="1689">
        <v>300</v>
      </c>
      <c r="K165" s="1689">
        <v>310</v>
      </c>
      <c r="L165" s="1689"/>
      <c r="M165" s="1690"/>
      <c r="N165" s="1689">
        <v>240</v>
      </c>
      <c r="O165" s="1689">
        <v>500</v>
      </c>
      <c r="Q165" s="1641">
        <v>500</v>
      </c>
      <c r="U165" s="1641">
        <v>500</v>
      </c>
      <c r="V165" s="1640">
        <v>500</v>
      </c>
      <c r="W165" s="1640">
        <v>500</v>
      </c>
      <c r="X165" s="1640">
        <v>500</v>
      </c>
    </row>
    <row r="166" spans="1:24" s="1673" customFormat="1">
      <c r="A166" s="925" t="s">
        <v>1266</v>
      </c>
      <c r="B166" s="1691"/>
      <c r="C166" s="1691"/>
      <c r="D166" s="1691"/>
      <c r="E166" s="1692"/>
      <c r="F166" s="1691"/>
      <c r="G166" s="1691"/>
      <c r="H166" s="1691"/>
      <c r="I166" s="1692"/>
      <c r="J166" s="1691"/>
      <c r="K166" s="1691"/>
      <c r="L166" s="1691"/>
      <c r="M166" s="1692"/>
      <c r="N166" s="1691"/>
      <c r="O166" s="1689">
        <v>100</v>
      </c>
      <c r="P166" s="1693"/>
      <c r="Q166" s="1674"/>
      <c r="S166" s="1640"/>
      <c r="U166" s="1674"/>
    </row>
    <row r="167" spans="1:24" s="1673" customFormat="1">
      <c r="A167" s="925"/>
      <c r="B167" s="1691"/>
      <c r="C167" s="1691"/>
      <c r="D167" s="1691"/>
      <c r="E167" s="1692"/>
      <c r="F167" s="1691"/>
      <c r="G167" s="1691"/>
      <c r="H167" s="1691"/>
      <c r="I167" s="1692"/>
      <c r="J167" s="1691"/>
      <c r="K167" s="1691"/>
      <c r="L167" s="1691"/>
      <c r="M167" s="1692"/>
      <c r="N167" s="1691"/>
      <c r="O167" s="1693"/>
      <c r="P167" s="1693"/>
      <c r="Q167" s="1674"/>
      <c r="U167" s="1674"/>
    </row>
    <row r="168" spans="1:24" s="1673" customFormat="1">
      <c r="A168" s="1384" t="s">
        <v>1899</v>
      </c>
      <c r="B168" s="1691"/>
      <c r="C168" s="1691"/>
      <c r="D168" s="1691"/>
      <c r="E168" s="1692"/>
      <c r="F168" s="1691"/>
      <c r="G168" s="1691"/>
      <c r="H168" s="1691"/>
      <c r="I168" s="1692"/>
      <c r="J168" s="1691"/>
      <c r="K168" s="1691"/>
      <c r="L168" s="1691"/>
      <c r="M168" s="1692"/>
      <c r="N168" s="1691"/>
      <c r="O168" s="1693"/>
      <c r="P168" s="1693"/>
      <c r="Q168" s="1674"/>
      <c r="U168" s="1674"/>
    </row>
    <row r="169" spans="1:24" s="1673" customFormat="1">
      <c r="A169" s="925" t="s">
        <v>1900</v>
      </c>
      <c r="B169" s="1686">
        <v>0.12</v>
      </c>
      <c r="C169" s="1686">
        <v>0.13</v>
      </c>
      <c r="D169" s="1686">
        <v>0.13</v>
      </c>
      <c r="E169" s="1687">
        <v>0.15</v>
      </c>
      <c r="F169" s="1686">
        <v>0.15</v>
      </c>
      <c r="G169" s="1686">
        <v>0.15</v>
      </c>
      <c r="H169" s="1686">
        <v>0.15</v>
      </c>
      <c r="I169" s="1687">
        <v>0.15</v>
      </c>
      <c r="J169" s="1686">
        <v>0.158</v>
      </c>
      <c r="K169" s="1686">
        <v>0.16200000000000001</v>
      </c>
      <c r="L169" s="1686"/>
      <c r="M169" s="1687">
        <v>0.17</v>
      </c>
      <c r="N169" s="1686"/>
      <c r="O169" s="1686">
        <v>0.23</v>
      </c>
      <c r="P169" s="1686">
        <v>0.23</v>
      </c>
      <c r="Q169" s="1694">
        <v>0.24</v>
      </c>
      <c r="R169" s="1695"/>
      <c r="S169" s="1551">
        <v>0.24</v>
      </c>
      <c r="T169" s="1551">
        <v>0.25</v>
      </c>
      <c r="U169" s="1554"/>
      <c r="V169" s="1551"/>
      <c r="X169" s="1551">
        <v>0.26</v>
      </c>
    </row>
    <row r="170" spans="1:24" s="1673" customFormat="1">
      <c r="A170" s="925" t="s">
        <v>1901</v>
      </c>
      <c r="B170" s="1686"/>
      <c r="C170" s="1686"/>
      <c r="D170" s="1686"/>
      <c r="E170" s="1687"/>
      <c r="F170" s="1686"/>
      <c r="G170" s="1686"/>
      <c r="H170" s="1686"/>
      <c r="I170" s="1687"/>
      <c r="J170" s="1686"/>
      <c r="K170" s="1686">
        <v>0.5</v>
      </c>
      <c r="L170" s="1686"/>
      <c r="M170" s="1687"/>
      <c r="N170" s="1686"/>
      <c r="O170" s="1686"/>
      <c r="P170" s="1686"/>
      <c r="Q170" s="1674"/>
      <c r="U170" s="1674"/>
    </row>
    <row r="171" spans="1:24" s="1673" customFormat="1">
      <c r="A171" s="925" t="s">
        <v>1902</v>
      </c>
      <c r="B171" s="1686"/>
      <c r="C171" s="1686"/>
      <c r="D171" s="1686"/>
      <c r="E171" s="1687"/>
      <c r="F171" s="1686">
        <v>0.22600000000000001</v>
      </c>
      <c r="G171" s="1686"/>
      <c r="H171" s="1686"/>
      <c r="I171" s="1687">
        <v>0.25</v>
      </c>
      <c r="J171" s="1686">
        <v>0.28999999999999998</v>
      </c>
      <c r="K171" s="1686">
        <v>0.28000000000000003</v>
      </c>
      <c r="L171" s="1686">
        <v>0.27</v>
      </c>
      <c r="M171" s="1687"/>
      <c r="N171" s="1686"/>
      <c r="O171" s="1686"/>
      <c r="P171" s="1686"/>
      <c r="Q171" s="1674"/>
      <c r="T171" s="1673" t="s">
        <v>1314</v>
      </c>
      <c r="U171" s="1674"/>
    </row>
    <row r="172" spans="1:24" s="1673" customFormat="1">
      <c r="A172" s="925" t="s">
        <v>1903</v>
      </c>
      <c r="B172" s="1686"/>
      <c r="C172" s="1686"/>
      <c r="D172" s="1686"/>
      <c r="E172" s="1687"/>
      <c r="F172" s="1686"/>
      <c r="G172" s="1686"/>
      <c r="H172" s="1686"/>
      <c r="I172" s="1687">
        <v>2.3E-2</v>
      </c>
      <c r="J172" s="1686"/>
      <c r="K172" s="1686"/>
      <c r="L172" s="1686"/>
      <c r="M172" s="1687">
        <v>0.05</v>
      </c>
      <c r="N172" s="1686"/>
      <c r="O172" s="1686"/>
      <c r="P172" s="1686"/>
      <c r="Q172" s="1687"/>
      <c r="U172" s="1674"/>
    </row>
    <row r="173" spans="1:24" s="1673" customFormat="1">
      <c r="A173" s="925" t="s">
        <v>1904</v>
      </c>
      <c r="B173" s="1686"/>
      <c r="C173" s="1686"/>
      <c r="D173" s="1686"/>
      <c r="E173" s="1687"/>
      <c r="F173" s="1686"/>
      <c r="G173" s="1686">
        <v>0.4</v>
      </c>
      <c r="H173" s="1686"/>
      <c r="I173" s="1687"/>
      <c r="J173" s="1686"/>
      <c r="K173" s="1686"/>
      <c r="L173" s="1686"/>
      <c r="M173" s="1687"/>
      <c r="N173" s="1686"/>
      <c r="O173" s="1686"/>
      <c r="P173" s="1686"/>
      <c r="Q173" s="1687"/>
      <c r="U173" s="1674"/>
    </row>
    <row r="174" spans="1:24">
      <c r="B174" s="928"/>
      <c r="C174" s="928"/>
      <c r="D174" s="928"/>
      <c r="E174" s="929"/>
      <c r="F174" s="928"/>
      <c r="G174" s="928"/>
      <c r="H174" s="928"/>
      <c r="I174" s="929"/>
      <c r="J174" s="928"/>
      <c r="K174" s="928"/>
      <c r="L174" s="928"/>
      <c r="M174" s="929"/>
      <c r="N174" s="928"/>
      <c r="O174" s="928"/>
      <c r="P174" s="928"/>
      <c r="Q174" s="929"/>
    </row>
    <row r="175" spans="1:24">
      <c r="A175" s="883" t="s">
        <v>1869</v>
      </c>
      <c r="B175" s="928"/>
      <c r="C175" s="928"/>
      <c r="D175" s="928"/>
      <c r="E175" s="929"/>
      <c r="F175" s="928"/>
      <c r="G175" s="928"/>
      <c r="H175" s="928"/>
      <c r="I175" s="929"/>
      <c r="J175" s="928"/>
      <c r="K175" s="928"/>
      <c r="L175" s="928"/>
      <c r="M175" s="929"/>
      <c r="N175" s="928"/>
      <c r="O175" s="928"/>
      <c r="P175" s="928"/>
      <c r="Q175" s="929"/>
    </row>
    <row r="176" spans="1:24" s="1673" customFormat="1" ht="12.5">
      <c r="A176" s="968" t="s">
        <v>1313</v>
      </c>
      <c r="B176" s="1686"/>
      <c r="C176" s="1686"/>
      <c r="D176" s="1686"/>
      <c r="E176" s="1687"/>
      <c r="F176" s="1686"/>
      <c r="G176" s="1686"/>
      <c r="H176" s="1696">
        <v>1443</v>
      </c>
      <c r="I176" s="1697">
        <v>1424</v>
      </c>
      <c r="J176" s="1696">
        <v>1.4810000000000001</v>
      </c>
      <c r="K176" s="1696">
        <v>1.633</v>
      </c>
      <c r="L176" s="1696">
        <v>1.66</v>
      </c>
      <c r="M176" s="1697">
        <v>1.7609999999999999</v>
      </c>
      <c r="N176" s="1696">
        <v>1.8140000000000001</v>
      </c>
      <c r="O176" s="1696">
        <v>1.873</v>
      </c>
      <c r="P176" s="1696">
        <v>2.1869999999999998</v>
      </c>
      <c r="Q176" s="1697">
        <v>2.3079999999999998</v>
      </c>
      <c r="R176" s="1696">
        <v>2.5070000000000001</v>
      </c>
      <c r="S176" s="1696">
        <v>2.3660000000000001</v>
      </c>
      <c r="T176" s="1696">
        <v>2.6709999999999998</v>
      </c>
      <c r="U176" s="1697">
        <v>2.4870000000000001</v>
      </c>
      <c r="V176" s="1696"/>
    </row>
    <row r="177" spans="1:22" ht="13">
      <c r="A177" s="884" t="s">
        <v>1450</v>
      </c>
      <c r="B177" s="928"/>
      <c r="C177" s="928"/>
      <c r="D177" s="928"/>
      <c r="E177" s="929"/>
      <c r="F177" s="928"/>
      <c r="G177" s="928"/>
      <c r="H177" s="928"/>
      <c r="I177" s="929"/>
      <c r="J177" s="928"/>
      <c r="K177" s="928"/>
      <c r="L177" s="969">
        <f>L176/H176-1</f>
        <v>-0.99884961884961887</v>
      </c>
      <c r="M177" s="970">
        <f t="shared" ref="M177:V177" si="56">M176/I176-1</f>
        <v>-0.99876334269662925</v>
      </c>
      <c r="N177" s="969">
        <f t="shared" si="56"/>
        <v>0.22484807562457787</v>
      </c>
      <c r="O177" s="969">
        <f t="shared" si="56"/>
        <v>0.14696876913655843</v>
      </c>
      <c r="P177" s="969">
        <f t="shared" si="56"/>
        <v>0.31746987951807215</v>
      </c>
      <c r="Q177" s="970">
        <f t="shared" si="56"/>
        <v>0.31061896649630882</v>
      </c>
      <c r="R177" s="969">
        <f t="shared" si="56"/>
        <v>0.38202866593164275</v>
      </c>
      <c r="S177" s="969">
        <f t="shared" si="56"/>
        <v>0.26321409503470372</v>
      </c>
      <c r="T177" s="969">
        <f t="shared" si="56"/>
        <v>0.22130772748056704</v>
      </c>
      <c r="U177" s="970">
        <f t="shared" si="56"/>
        <v>7.7556325823223693E-2</v>
      </c>
      <c r="V177" s="969">
        <f t="shared" si="56"/>
        <v>-1</v>
      </c>
    </row>
    <row r="178" spans="1:22" s="1673" customFormat="1" ht="12.5">
      <c r="A178" s="867" t="s">
        <v>1312</v>
      </c>
      <c r="B178" s="1686"/>
      <c r="C178" s="1686"/>
      <c r="D178" s="1686"/>
      <c r="E178" s="1687"/>
      <c r="F178" s="1686"/>
      <c r="G178" s="1686"/>
      <c r="H178" s="1696">
        <v>313</v>
      </c>
      <c r="I178" s="1697">
        <v>301</v>
      </c>
      <c r="J178" s="1696">
        <v>287</v>
      </c>
      <c r="K178" s="1696">
        <v>275</v>
      </c>
      <c r="L178" s="1696">
        <v>300</v>
      </c>
      <c r="M178" s="1697">
        <v>365</v>
      </c>
      <c r="N178" s="1696">
        <v>442</v>
      </c>
      <c r="O178" s="1696">
        <v>469</v>
      </c>
      <c r="P178" s="1696">
        <v>443</v>
      </c>
      <c r="Q178" s="1697">
        <v>504</v>
      </c>
      <c r="R178" s="1696">
        <v>682</v>
      </c>
      <c r="S178" s="1696">
        <v>579</v>
      </c>
      <c r="T178" s="1696">
        <v>577</v>
      </c>
      <c r="U178" s="1697">
        <v>600</v>
      </c>
      <c r="V178" s="1696"/>
    </row>
    <row r="179" spans="1:22" ht="13">
      <c r="A179" s="884" t="s">
        <v>1450</v>
      </c>
      <c r="B179" s="928"/>
      <c r="C179" s="928"/>
      <c r="D179" s="928"/>
      <c r="E179" s="929"/>
      <c r="F179" s="928"/>
      <c r="G179" s="928"/>
      <c r="H179" s="928"/>
      <c r="I179" s="929"/>
      <c r="J179" s="928"/>
      <c r="K179" s="928"/>
      <c r="L179" s="969">
        <f>L178/H178-1</f>
        <v>-4.1533546325878579E-2</v>
      </c>
      <c r="M179" s="970">
        <f t="shared" ref="M179:V179" si="57">M178/I178-1</f>
        <v>0.21262458471760803</v>
      </c>
      <c r="N179" s="969">
        <f t="shared" si="57"/>
        <v>0.54006968641114983</v>
      </c>
      <c r="O179" s="969">
        <f t="shared" si="57"/>
        <v>0.70545454545454556</v>
      </c>
      <c r="P179" s="969">
        <f t="shared" si="57"/>
        <v>0.47666666666666657</v>
      </c>
      <c r="Q179" s="970">
        <f t="shared" si="57"/>
        <v>0.38082191780821928</v>
      </c>
      <c r="R179" s="969">
        <f t="shared" si="57"/>
        <v>0.54298642533936659</v>
      </c>
      <c r="S179" s="969">
        <f t="shared" si="57"/>
        <v>0.23454157782515983</v>
      </c>
      <c r="T179" s="969">
        <f t="shared" si="57"/>
        <v>0.30248306997742658</v>
      </c>
      <c r="U179" s="970">
        <f t="shared" si="57"/>
        <v>0.19047619047619047</v>
      </c>
      <c r="V179" s="969">
        <f t="shared" si="57"/>
        <v>-1</v>
      </c>
    </row>
    <row r="180" spans="1:22" s="1673" customFormat="1" ht="12.5">
      <c r="A180" s="968" t="s">
        <v>1451</v>
      </c>
      <c r="B180" s="1686"/>
      <c r="C180" s="1686"/>
      <c r="D180" s="1686"/>
      <c r="E180" s="1687"/>
      <c r="F180" s="1686"/>
      <c r="G180" s="1686"/>
      <c r="H180" s="1696">
        <v>21</v>
      </c>
      <c r="I180" s="1697">
        <v>36</v>
      </c>
      <c r="J180" s="1696">
        <v>31</v>
      </c>
      <c r="K180" s="1696">
        <v>48</v>
      </c>
      <c r="L180" s="1696">
        <v>26</v>
      </c>
      <c r="M180" s="1697">
        <v>36</v>
      </c>
      <c r="N180" s="1696">
        <v>33</v>
      </c>
      <c r="O180" s="1696">
        <v>54</v>
      </c>
      <c r="P180" s="1696">
        <v>32</v>
      </c>
      <c r="Q180" s="1697">
        <v>46</v>
      </c>
      <c r="R180" s="1696">
        <v>37</v>
      </c>
      <c r="S180" s="1696">
        <v>50</v>
      </c>
      <c r="T180" s="1696">
        <v>27</v>
      </c>
      <c r="U180" s="1697">
        <v>29</v>
      </c>
      <c r="V180" s="1696"/>
    </row>
    <row r="181" spans="1:22" ht="13">
      <c r="A181" s="884" t="s">
        <v>1450</v>
      </c>
      <c r="B181" s="928"/>
      <c r="C181" s="928"/>
      <c r="D181" s="928"/>
      <c r="E181" s="929"/>
      <c r="F181" s="928"/>
      <c r="G181" s="928"/>
      <c r="H181" s="928"/>
      <c r="I181" s="929"/>
      <c r="J181" s="928"/>
      <c r="K181" s="928"/>
      <c r="L181" s="969">
        <f>L180/H180-1</f>
        <v>0.23809523809523814</v>
      </c>
      <c r="M181" s="970">
        <f t="shared" ref="M181:V181" si="58">M180/I180-1</f>
        <v>0</v>
      </c>
      <c r="N181" s="969">
        <f t="shared" si="58"/>
        <v>6.4516129032258007E-2</v>
      </c>
      <c r="O181" s="969">
        <f t="shared" si="58"/>
        <v>0.125</v>
      </c>
      <c r="P181" s="969">
        <f t="shared" si="58"/>
        <v>0.23076923076923084</v>
      </c>
      <c r="Q181" s="970">
        <f t="shared" si="58"/>
        <v>0.27777777777777768</v>
      </c>
      <c r="R181" s="969">
        <f t="shared" si="58"/>
        <v>0.1212121212121211</v>
      </c>
      <c r="S181" s="969">
        <f t="shared" si="58"/>
        <v>-7.407407407407407E-2</v>
      </c>
      <c r="T181" s="969">
        <f t="shared" si="58"/>
        <v>-0.15625</v>
      </c>
      <c r="U181" s="970">
        <f t="shared" si="58"/>
        <v>-0.36956521739130432</v>
      </c>
      <c r="V181" s="969">
        <f t="shared" si="58"/>
        <v>-1</v>
      </c>
    </row>
    <row r="182" spans="1:22" ht="12.5" hidden="1" outlineLevel="1">
      <c r="A182" s="968"/>
      <c r="B182" s="928"/>
      <c r="C182" s="928"/>
      <c r="D182" s="928"/>
      <c r="E182" s="929"/>
      <c r="F182" s="928"/>
      <c r="G182" s="928"/>
      <c r="H182" s="928"/>
      <c r="I182" s="929"/>
      <c r="J182" s="928"/>
      <c r="K182" s="928"/>
      <c r="L182" s="928"/>
      <c r="M182" s="929"/>
      <c r="N182" s="928"/>
      <c r="O182" s="928"/>
      <c r="P182" s="928"/>
      <c r="Q182" s="929"/>
    </row>
    <row r="183" spans="1:22" ht="12.5" hidden="1" outlineLevel="1">
      <c r="A183" s="968"/>
      <c r="B183" s="928"/>
      <c r="C183" s="928"/>
      <c r="D183" s="928"/>
      <c r="E183" s="929"/>
      <c r="F183" s="928"/>
      <c r="G183" s="928"/>
      <c r="H183" s="928"/>
      <c r="I183" s="929"/>
      <c r="J183" s="928"/>
      <c r="K183" s="928"/>
      <c r="L183" s="928"/>
      <c r="M183" s="929"/>
      <c r="N183" s="928"/>
      <c r="O183" s="928"/>
      <c r="P183" s="928"/>
      <c r="Q183" s="929"/>
    </row>
    <row r="184" spans="1:22" s="1673" customFormat="1" hidden="1" outlineLevel="1">
      <c r="A184" s="931" t="s">
        <v>1452</v>
      </c>
      <c r="B184" s="1686"/>
      <c r="C184" s="1686"/>
      <c r="D184" s="1686"/>
      <c r="E184" s="1687"/>
      <c r="F184" s="1686"/>
      <c r="G184" s="1686"/>
      <c r="H184" s="1686"/>
      <c r="I184" s="1687"/>
      <c r="J184" s="1686"/>
      <c r="K184" s="1686"/>
      <c r="L184" s="1686"/>
      <c r="M184" s="1687"/>
      <c r="N184" s="1686"/>
      <c r="O184" s="1686"/>
      <c r="P184" s="1686"/>
      <c r="Q184" s="1687"/>
      <c r="R184" s="1698">
        <v>31</v>
      </c>
      <c r="S184" s="1698">
        <v>33</v>
      </c>
      <c r="U184" s="1674"/>
    </row>
    <row r="185" spans="1:22" s="1673" customFormat="1" hidden="1" outlineLevel="1">
      <c r="A185" s="925"/>
      <c r="B185" s="1686"/>
      <c r="C185" s="1686"/>
      <c r="D185" s="1686"/>
      <c r="E185" s="1687"/>
      <c r="F185" s="1686"/>
      <c r="G185" s="1686"/>
      <c r="H185" s="1686"/>
      <c r="I185" s="1687"/>
      <c r="J185" s="1686"/>
      <c r="K185" s="1686"/>
      <c r="L185" s="1686"/>
      <c r="M185" s="1687"/>
      <c r="N185" s="1686"/>
      <c r="O185" s="1686"/>
      <c r="P185" s="1686"/>
      <c r="Q185" s="1687"/>
      <c r="U185" s="1674"/>
    </row>
    <row r="186" spans="1:22" s="1673" customFormat="1" hidden="1" outlineLevel="1">
      <c r="A186" s="931" t="s">
        <v>1453</v>
      </c>
      <c r="B186" s="1686"/>
      <c r="C186" s="1686"/>
      <c r="D186" s="1686"/>
      <c r="E186" s="1687"/>
      <c r="F186" s="1686"/>
      <c r="G186" s="1686"/>
      <c r="H186" s="1686"/>
      <c r="I186" s="1687"/>
      <c r="J186" s="1686"/>
      <c r="K186" s="1686"/>
      <c r="L186" s="1686"/>
      <c r="M186" s="1687"/>
      <c r="N186" s="1686"/>
      <c r="O186" s="1686"/>
      <c r="P186" s="1686"/>
      <c r="Q186" s="1687"/>
      <c r="U186" s="1674"/>
    </row>
    <row r="187" spans="1:22" s="1673" customFormat="1" hidden="1" outlineLevel="1">
      <c r="A187" s="925" t="s">
        <v>1454</v>
      </c>
      <c r="B187" s="1686"/>
      <c r="C187" s="1686"/>
      <c r="D187" s="1686"/>
      <c r="E187" s="1687"/>
      <c r="F187" s="1686"/>
      <c r="G187" s="1686"/>
      <c r="H187" s="1686"/>
      <c r="I187" s="1687"/>
      <c r="J187" s="1686"/>
      <c r="K187" s="1686"/>
      <c r="L187" s="1686"/>
      <c r="M187" s="1687"/>
      <c r="N187" s="1686"/>
      <c r="O187" s="1686"/>
      <c r="P187" s="1686"/>
      <c r="Q187" s="1687"/>
      <c r="R187" s="1698">
        <v>750000</v>
      </c>
      <c r="S187" s="1698">
        <v>900000</v>
      </c>
      <c r="U187" s="1674"/>
    </row>
    <row r="188" spans="1:22" s="1673" customFormat="1" hidden="1" outlineLevel="1">
      <c r="A188" s="925" t="s">
        <v>1455</v>
      </c>
      <c r="B188" s="1686"/>
      <c r="C188" s="1686"/>
      <c r="D188" s="1686"/>
      <c r="E188" s="1687"/>
      <c r="F188" s="1686"/>
      <c r="G188" s="1686"/>
      <c r="H188" s="1686"/>
      <c r="I188" s="1687"/>
      <c r="J188" s="1686"/>
      <c r="K188" s="1686"/>
      <c r="L188" s="1686"/>
      <c r="M188" s="1687"/>
      <c r="N188" s="1686"/>
      <c r="O188" s="1686"/>
      <c r="P188" s="1686"/>
      <c r="Q188" s="1687"/>
      <c r="R188" s="1698">
        <v>30000</v>
      </c>
      <c r="S188" s="1698">
        <v>33000</v>
      </c>
      <c r="U188" s="1674"/>
    </row>
    <row r="189" spans="1:22" hidden="1" outlineLevel="1">
      <c r="B189" s="928"/>
      <c r="C189" s="928"/>
      <c r="D189" s="928"/>
      <c r="E189" s="929"/>
      <c r="F189" s="928"/>
      <c r="G189" s="928"/>
      <c r="H189" s="928"/>
      <c r="I189" s="929"/>
      <c r="J189" s="928"/>
      <c r="K189" s="928"/>
      <c r="L189" s="928"/>
      <c r="M189" s="929"/>
      <c r="N189" s="928"/>
      <c r="O189" s="928"/>
      <c r="P189" s="928"/>
      <c r="Q189" s="929"/>
    </row>
    <row r="190" spans="1:22" collapsed="1">
      <c r="B190" s="928"/>
      <c r="C190" s="928"/>
      <c r="D190" s="928"/>
      <c r="E190" s="929"/>
      <c r="F190" s="928"/>
      <c r="G190" s="928"/>
      <c r="H190" s="928"/>
      <c r="I190" s="929"/>
      <c r="J190" s="928"/>
      <c r="K190" s="928"/>
      <c r="L190" s="928"/>
      <c r="M190" s="929"/>
      <c r="N190" s="928"/>
      <c r="O190" s="928"/>
      <c r="P190" s="928"/>
      <c r="Q190" s="929"/>
    </row>
    <row r="191" spans="1:22">
      <c r="A191" s="1384" t="s">
        <v>1456</v>
      </c>
      <c r="B191" s="89"/>
      <c r="C191" s="89"/>
      <c r="D191" s="89"/>
      <c r="E191" s="110"/>
      <c r="F191" s="89"/>
      <c r="G191" s="89"/>
      <c r="H191" s="89"/>
      <c r="I191" s="110"/>
    </row>
    <row r="192" spans="1:22" s="1673" customFormat="1">
      <c r="A192" s="925" t="s">
        <v>1457</v>
      </c>
      <c r="B192" s="1679">
        <v>1.0354000000000001</v>
      </c>
      <c r="C192" s="1679">
        <v>1.1020000000000001</v>
      </c>
      <c r="D192" s="1679">
        <v>1.5649999999999999</v>
      </c>
      <c r="E192" s="1680">
        <v>1.3180000000000001</v>
      </c>
      <c r="F192" s="1679">
        <v>1.4478</v>
      </c>
      <c r="G192" s="1679">
        <v>1.605</v>
      </c>
      <c r="H192" s="1679">
        <v>1.6785000000000001</v>
      </c>
      <c r="I192" s="1680">
        <v>1.7738</v>
      </c>
      <c r="J192" s="1699">
        <v>1.9032</v>
      </c>
      <c r="K192" s="1699">
        <v>2.1503000000000001</v>
      </c>
      <c r="L192" s="1699">
        <v>2.1995</v>
      </c>
      <c r="M192" s="1700">
        <v>2.3191000000000002</v>
      </c>
      <c r="N192" s="1699">
        <v>2.7107999999999999</v>
      </c>
      <c r="O192" s="1699">
        <v>3.4201999999999999</v>
      </c>
      <c r="P192" s="1699">
        <v>3.5369999999999999</v>
      </c>
      <c r="Q192" s="1700">
        <v>3.98</v>
      </c>
      <c r="R192" s="1699">
        <v>4.2480000000000002</v>
      </c>
      <c r="S192" s="1701"/>
      <c r="U192" s="1674"/>
    </row>
    <row r="193" spans="1:24" s="1710" customFormat="1" ht="12">
      <c r="A193" s="927" t="s">
        <v>1906</v>
      </c>
      <c r="B193" s="1705">
        <v>-1.7999999999999999E-2</v>
      </c>
      <c r="C193" s="1705">
        <v>0.161</v>
      </c>
      <c r="D193" s="1705">
        <v>0.39700000000000002</v>
      </c>
      <c r="E193" s="1706">
        <v>0.47299999999999998</v>
      </c>
      <c r="F193" s="1705">
        <v>0.39800000000000002</v>
      </c>
      <c r="G193" s="1705">
        <v>0.45600000000000002</v>
      </c>
      <c r="H193" s="1705">
        <v>7.1999999999999995E-2</v>
      </c>
      <c r="I193" s="1706">
        <v>0.34599999999999997</v>
      </c>
      <c r="J193" s="1707">
        <v>0.315</v>
      </c>
      <c r="K193" s="1707">
        <v>0.34</v>
      </c>
      <c r="L193" s="1707">
        <v>0.31</v>
      </c>
      <c r="M193" s="1708">
        <v>0.307</v>
      </c>
      <c r="N193" s="1707">
        <v>0.42399999999999999</v>
      </c>
      <c r="O193" s="1707">
        <v>0.59099999999999997</v>
      </c>
      <c r="P193" s="1707">
        <v>0.60799999999999998</v>
      </c>
      <c r="Q193" s="1708">
        <v>0.71599999999999997</v>
      </c>
      <c r="R193" s="1707">
        <v>0.56699999999999995</v>
      </c>
      <c r="S193" s="1709"/>
      <c r="U193" s="1968"/>
    </row>
    <row r="194" spans="1:24" s="1693" customFormat="1">
      <c r="A194" s="1390" t="s">
        <v>1905</v>
      </c>
      <c r="B194" s="1684"/>
      <c r="C194" s="1684"/>
      <c r="D194" s="1684"/>
      <c r="E194" s="1685"/>
      <c r="F194" s="1684"/>
      <c r="G194" s="1684"/>
      <c r="H194" s="1684"/>
      <c r="I194" s="1685"/>
      <c r="J194" s="1686"/>
      <c r="K194" s="1686"/>
      <c r="L194" s="1686"/>
      <c r="M194" s="1687"/>
      <c r="N194" s="1686"/>
      <c r="O194" s="1686"/>
      <c r="P194" s="1686"/>
      <c r="Q194" s="1687"/>
      <c r="U194" s="1969"/>
    </row>
    <row r="195" spans="1:24" s="1702" customFormat="1">
      <c r="A195" s="933" t="s">
        <v>1267</v>
      </c>
      <c r="B195" s="1702">
        <v>0.28199999999999997</v>
      </c>
      <c r="C195" s="1702">
        <v>0.376</v>
      </c>
      <c r="D195" s="1702">
        <v>0.2949</v>
      </c>
      <c r="E195" s="1703">
        <v>0.34160000000000001</v>
      </c>
      <c r="F195" s="1702">
        <v>0.373</v>
      </c>
      <c r="G195" s="1702">
        <v>0.43009999999999998</v>
      </c>
      <c r="H195" s="1702">
        <v>0.53680000000000005</v>
      </c>
      <c r="I195" s="1703">
        <v>0.84789999999999999</v>
      </c>
      <c r="J195" s="1702">
        <v>1.3225</v>
      </c>
      <c r="K195" s="1702">
        <v>1.5494000000000001</v>
      </c>
      <c r="L195" s="1702">
        <v>1.4641999999999999</v>
      </c>
      <c r="M195" s="1703">
        <v>1.5074000000000001</v>
      </c>
      <c r="N195" s="1702">
        <v>2.3531</v>
      </c>
      <c r="O195" s="1702">
        <v>3.5748000000000002</v>
      </c>
      <c r="P195" s="1702">
        <v>3.524</v>
      </c>
      <c r="Q195" s="1703">
        <v>3.2389999999999999</v>
      </c>
      <c r="R195" s="1702">
        <v>3.0512100000000002</v>
      </c>
      <c r="S195" s="1704"/>
      <c r="U195" s="1703"/>
    </row>
    <row r="196" spans="1:24" s="1707" customFormat="1" ht="12">
      <c r="A196" s="937" t="s">
        <v>1907</v>
      </c>
      <c r="B196" s="1707">
        <v>0.68899999999999995</v>
      </c>
      <c r="C196" s="1707">
        <v>1.0649999999999999</v>
      </c>
      <c r="D196" s="1707">
        <v>0.70899999999999996</v>
      </c>
      <c r="E196" s="1708">
        <v>0.46500000000000002</v>
      </c>
      <c r="F196" s="1707">
        <v>0.32200000000000001</v>
      </c>
      <c r="G196" s="1707">
        <v>0.14399999999999999</v>
      </c>
      <c r="H196" s="1707">
        <v>0.82</v>
      </c>
      <c r="I196" s="1708">
        <v>1.482</v>
      </c>
      <c r="J196" s="1707">
        <v>2.5449999999999999</v>
      </c>
      <c r="K196" s="1707">
        <v>2.6030000000000002</v>
      </c>
      <c r="L196" s="1707">
        <v>1.7270000000000001</v>
      </c>
      <c r="M196" s="1708">
        <v>0.77800000000000002</v>
      </c>
      <c r="N196" s="1707">
        <v>0.77900000000000003</v>
      </c>
      <c r="O196" s="1707">
        <v>1.3069999999999999</v>
      </c>
      <c r="P196" s="1707">
        <v>1.407</v>
      </c>
      <c r="Q196" s="1708">
        <v>1.149</v>
      </c>
      <c r="R196" s="1707">
        <v>0.42399999999999999</v>
      </c>
      <c r="U196" s="1708"/>
    </row>
    <row r="197" spans="1:24" s="934" customFormat="1">
      <c r="A197" s="933" t="s">
        <v>1908</v>
      </c>
      <c r="E197" s="935"/>
      <c r="I197" s="935"/>
      <c r="J197" s="934">
        <v>17.5</v>
      </c>
      <c r="M197" s="935"/>
      <c r="Q197" s="935"/>
      <c r="U197" s="935"/>
    </row>
    <row r="198" spans="1:24" s="934" customFormat="1">
      <c r="A198" s="933"/>
      <c r="E198" s="935"/>
      <c r="I198" s="935"/>
      <c r="M198" s="935"/>
      <c r="O198" s="822"/>
      <c r="Q198" s="935"/>
      <c r="U198" s="935"/>
    </row>
    <row r="199" spans="1:24" s="1716" customFormat="1">
      <c r="A199" s="938" t="s">
        <v>1268</v>
      </c>
      <c r="B199" s="1711"/>
      <c r="C199" s="1711">
        <v>0.13789999999999999</v>
      </c>
      <c r="D199" s="1711">
        <v>0.12959999999999999</v>
      </c>
      <c r="E199" s="1712">
        <v>0.159</v>
      </c>
      <c r="F199" s="1713"/>
      <c r="G199" s="1713">
        <v>0.2457</v>
      </c>
      <c r="H199" s="1713">
        <v>0.34710000000000002</v>
      </c>
      <c r="I199" s="1714">
        <v>0.67789999999999995</v>
      </c>
      <c r="J199" s="1713">
        <v>1.1729000000000001</v>
      </c>
      <c r="K199" s="1713">
        <v>1.4206000000000001</v>
      </c>
      <c r="L199" s="1713">
        <v>1.3631</v>
      </c>
      <c r="M199" s="1714">
        <v>1.3919999999999999</v>
      </c>
      <c r="N199" s="1713">
        <v>2.2915999999999999</v>
      </c>
      <c r="O199" s="1715"/>
      <c r="Q199" s="1717"/>
      <c r="S199" s="1693"/>
      <c r="U199" s="1717"/>
    </row>
    <row r="200" spans="1:24" s="1716" customFormat="1">
      <c r="A200" s="884" t="s">
        <v>1269</v>
      </c>
      <c r="B200" s="1711"/>
      <c r="C200" s="1711"/>
      <c r="D200" s="1711"/>
      <c r="E200" s="1712"/>
      <c r="F200" s="1713"/>
      <c r="G200" s="1468">
        <v>0.78100000000000003</v>
      </c>
      <c r="H200" s="1718">
        <v>1.679</v>
      </c>
      <c r="I200" s="1719">
        <v>3.2629999999999999</v>
      </c>
      <c r="J200" s="1718">
        <v>5.069</v>
      </c>
      <c r="K200" s="1718">
        <v>4.782</v>
      </c>
      <c r="L200" s="1718">
        <v>2.927</v>
      </c>
      <c r="M200" s="1469">
        <f>M199/I199-1</f>
        <v>1.0534002065201356</v>
      </c>
      <c r="N200" s="1718">
        <v>0.95399999999999996</v>
      </c>
      <c r="O200" s="1720"/>
      <c r="P200" s="1718"/>
      <c r="Q200" s="1719"/>
      <c r="R200" s="1718"/>
      <c r="S200" s="1693"/>
      <c r="U200" s="1717"/>
    </row>
    <row r="201" spans="1:24" s="1715" customFormat="1">
      <c r="A201" s="938" t="s">
        <v>1270</v>
      </c>
      <c r="B201" s="1721"/>
      <c r="C201" s="1721">
        <v>3.3799999999999997E-2</v>
      </c>
      <c r="D201" s="1721">
        <v>3.73E-2</v>
      </c>
      <c r="E201" s="1722">
        <v>4.7899999999999998E-2</v>
      </c>
      <c r="F201" s="1723"/>
      <c r="G201" s="1723">
        <v>0.1069</v>
      </c>
      <c r="H201" s="1723">
        <v>0.18779999999999999</v>
      </c>
      <c r="I201" s="1724">
        <v>0.4103</v>
      </c>
      <c r="J201" s="1723">
        <v>0.82740000000000002</v>
      </c>
      <c r="K201" s="1723">
        <v>1.0374000000000001</v>
      </c>
      <c r="L201" s="1723">
        <v>1.0397000000000001</v>
      </c>
      <c r="M201" s="1724">
        <v>1.024</v>
      </c>
      <c r="N201" s="1723">
        <v>1.7625</v>
      </c>
      <c r="Q201" s="1725"/>
      <c r="U201" s="1725"/>
    </row>
    <row r="202" spans="1:24" s="822" customFormat="1">
      <c r="A202" s="938"/>
      <c r="B202" s="823"/>
      <c r="C202" s="823"/>
      <c r="D202" s="823"/>
      <c r="E202" s="824"/>
      <c r="F202" s="825"/>
      <c r="G202" s="825"/>
      <c r="H202" s="825"/>
      <c r="I202" s="826"/>
      <c r="J202" s="825"/>
      <c r="K202" s="825"/>
      <c r="L202" s="825"/>
      <c r="M202" s="826"/>
      <c r="N202" s="825"/>
      <c r="Q202" s="1047"/>
      <c r="U202" s="1047"/>
    </row>
    <row r="203" spans="1:24" s="2051" customFormat="1">
      <c r="A203" s="2050" t="s">
        <v>2045</v>
      </c>
      <c r="E203" s="2052"/>
      <c r="I203" s="2052"/>
      <c r="M203" s="2052"/>
      <c r="Q203" s="2052"/>
      <c r="S203" s="2053"/>
      <c r="U203" s="2052"/>
    </row>
    <row r="204" spans="1:24" s="1702" customFormat="1">
      <c r="A204" s="933" t="s">
        <v>1458</v>
      </c>
      <c r="E204" s="1703"/>
      <c r="I204" s="1703"/>
      <c r="K204" s="1702">
        <v>4.7275</v>
      </c>
      <c r="L204" s="1702">
        <v>4.6920000000000002</v>
      </c>
      <c r="M204" s="1703"/>
      <c r="O204" s="1702">
        <v>7.8349000000000002</v>
      </c>
      <c r="P204" s="1702">
        <v>7.7229999999999999</v>
      </c>
      <c r="Q204" s="1703">
        <v>8.4629999999999992</v>
      </c>
      <c r="R204" s="1702">
        <v>9.3179999999999996</v>
      </c>
      <c r="S204" s="1704">
        <v>9.1709999999999994</v>
      </c>
      <c r="T204" s="1702">
        <v>10.005000000000001</v>
      </c>
      <c r="U204" s="1703">
        <v>10.103999999999999</v>
      </c>
      <c r="V204" s="1702">
        <v>10.205</v>
      </c>
      <c r="W204" s="1702">
        <v>10.609</v>
      </c>
      <c r="X204" s="1702">
        <v>11.161</v>
      </c>
    </row>
    <row r="205" spans="1:24" s="1610" customFormat="1" ht="12">
      <c r="A205" s="884" t="s">
        <v>1311</v>
      </c>
      <c r="B205" s="1618"/>
      <c r="C205" s="1618"/>
      <c r="D205" s="1618"/>
      <c r="E205" s="234"/>
      <c r="F205" s="1618"/>
      <c r="G205" s="1618"/>
      <c r="H205" s="1618"/>
      <c r="I205" s="234"/>
      <c r="J205" s="1619"/>
      <c r="K205" s="1619"/>
      <c r="L205" s="1619"/>
      <c r="M205" s="1620"/>
      <c r="N205" s="1619"/>
      <c r="O205" s="987">
        <f>O204/K204-1</f>
        <v>0.65730301427815974</v>
      </c>
      <c r="P205" s="987">
        <v>0.64600000000000002</v>
      </c>
      <c r="Q205" s="468">
        <v>0.64900000000000002</v>
      </c>
      <c r="R205" s="987">
        <v>0.55100000000000005</v>
      </c>
      <c r="S205" s="987">
        <f t="shared" ref="S205:X205" si="59">S204/O204-1</f>
        <v>0.17053185107659319</v>
      </c>
      <c r="T205" s="987">
        <f t="shared" si="59"/>
        <v>0.29548103068755682</v>
      </c>
      <c r="U205" s="468">
        <f t="shared" si="59"/>
        <v>0.19390287132222617</v>
      </c>
      <c r="V205" s="987">
        <f t="shared" si="59"/>
        <v>9.5192101309293786E-2</v>
      </c>
      <c r="W205" s="987">
        <f t="shared" si="59"/>
        <v>0.15679860429615089</v>
      </c>
      <c r="X205" s="987">
        <f t="shared" si="59"/>
        <v>0.11554222888555699</v>
      </c>
    </row>
    <row r="206" spans="1:24" s="1621" customFormat="1" ht="12">
      <c r="A206" s="966" t="s">
        <v>1459</v>
      </c>
      <c r="E206" s="1726"/>
      <c r="I206" s="1726"/>
      <c r="M206" s="1726"/>
      <c r="O206" s="987">
        <v>0.222</v>
      </c>
      <c r="P206" s="987">
        <v>0.15</v>
      </c>
      <c r="Q206" s="468">
        <v>0.16</v>
      </c>
      <c r="R206" s="987">
        <v>0.4</v>
      </c>
      <c r="S206" s="987">
        <f t="shared" ref="S206:X206" si="60">S204/O204-1</f>
        <v>0.17053185107659319</v>
      </c>
      <c r="T206" s="987">
        <f t="shared" si="60"/>
        <v>0.29548103068755682</v>
      </c>
      <c r="U206" s="468">
        <f t="shared" si="60"/>
        <v>0.19390287132222617</v>
      </c>
      <c r="V206" s="987">
        <f t="shared" si="60"/>
        <v>9.5192101309293786E-2</v>
      </c>
      <c r="W206" s="987">
        <f t="shared" si="60"/>
        <v>0.15679860429615089</v>
      </c>
      <c r="X206" s="987">
        <f t="shared" si="60"/>
        <v>0.11554222888555699</v>
      </c>
    </row>
    <row r="207" spans="1:24" s="934" customFormat="1">
      <c r="E207" s="935"/>
      <c r="I207" s="935"/>
      <c r="M207" s="935"/>
      <c r="Q207" s="935"/>
      <c r="S207" s="936"/>
      <c r="U207" s="935"/>
    </row>
    <row r="208" spans="1:24" s="1702" customFormat="1">
      <c r="A208" s="933" t="s">
        <v>1271</v>
      </c>
      <c r="E208" s="1703"/>
      <c r="I208" s="1703"/>
      <c r="K208" s="1702">
        <v>2.3451</v>
      </c>
      <c r="L208" s="1702">
        <v>2.2109999999999999</v>
      </c>
      <c r="M208" s="1703"/>
      <c r="O208" s="1702">
        <v>5.7998000000000003</v>
      </c>
      <c r="P208" s="1702">
        <v>5.6319999999999997</v>
      </c>
      <c r="Q208" s="1703">
        <v>5.5919999999999996</v>
      </c>
      <c r="R208" s="1702">
        <v>4.8869999999999996</v>
      </c>
      <c r="S208" s="1704">
        <v>6.7460000000000004</v>
      </c>
      <c r="T208" s="1702">
        <v>6.7060000000000004</v>
      </c>
      <c r="U208" s="1703">
        <v>7.0179999999999998</v>
      </c>
      <c r="V208" s="1702">
        <v>6.141</v>
      </c>
      <c r="W208" s="1702">
        <v>7.5579999999999998</v>
      </c>
      <c r="X208" s="1702">
        <v>7.51</v>
      </c>
    </row>
    <row r="209" spans="1:24" s="1621" customFormat="1" ht="12">
      <c r="A209" s="884" t="s">
        <v>1272</v>
      </c>
      <c r="E209" s="1726"/>
      <c r="I209" s="1726"/>
      <c r="M209" s="1726"/>
      <c r="O209" s="987">
        <f>O208/K208-1</f>
        <v>1.4731567950194022</v>
      </c>
      <c r="P209" s="987">
        <v>1.548</v>
      </c>
      <c r="Q209" s="468">
        <v>1.319</v>
      </c>
      <c r="R209" s="987">
        <v>0.37</v>
      </c>
      <c r="S209" s="987">
        <f t="shared" ref="S209:X209" si="61">S208/O208-1</f>
        <v>0.1631435566743682</v>
      </c>
      <c r="T209" s="987">
        <f t="shared" si="61"/>
        <v>0.19069602272727293</v>
      </c>
      <c r="U209" s="468">
        <f t="shared" si="61"/>
        <v>0.25500715307582267</v>
      </c>
      <c r="V209" s="987">
        <f t="shared" si="61"/>
        <v>0.25659914057704114</v>
      </c>
      <c r="W209" s="987">
        <f t="shared" si="61"/>
        <v>0.1203676252594128</v>
      </c>
      <c r="X209" s="987">
        <f t="shared" si="61"/>
        <v>0.11989263346257073</v>
      </c>
    </row>
    <row r="210" spans="1:24" s="1702" customFormat="1">
      <c r="A210" s="933" t="s">
        <v>1273</v>
      </c>
      <c r="E210" s="1703"/>
      <c r="I210" s="1703"/>
      <c r="K210" s="1702">
        <v>1.8814</v>
      </c>
      <c r="L210" s="1702">
        <v>1.8879999999999999</v>
      </c>
      <c r="M210" s="1703"/>
      <c r="O210" s="1702">
        <v>5.4973000000000001</v>
      </c>
      <c r="P210" s="1702">
        <v>5.3979999999999997</v>
      </c>
      <c r="Q210" s="1703">
        <v>5.3920000000000003</v>
      </c>
      <c r="R210" s="1702">
        <v>4.7119999999999997</v>
      </c>
      <c r="S210" s="1704">
        <v>6.4939999999999998</v>
      </c>
      <c r="T210" s="1702">
        <v>6.5739999999999998</v>
      </c>
      <c r="U210" s="1703">
        <v>6.851</v>
      </c>
      <c r="V210" s="1702">
        <v>5.9930000000000003</v>
      </c>
      <c r="W210" s="1702">
        <v>7.38</v>
      </c>
      <c r="X210" s="1702">
        <v>7.3849999999999998</v>
      </c>
    </row>
    <row r="211" spans="1:24" s="1621" customFormat="1" ht="12">
      <c r="A211" s="884" t="s">
        <v>1274</v>
      </c>
      <c r="E211" s="1726"/>
      <c r="I211" s="1726"/>
      <c r="M211" s="1726"/>
      <c r="O211" s="987">
        <v>1.9219999999999999</v>
      </c>
      <c r="P211" s="987">
        <v>1.859</v>
      </c>
      <c r="Q211" s="468">
        <v>1.663</v>
      </c>
      <c r="R211" s="987">
        <v>1.327</v>
      </c>
      <c r="S211" s="987">
        <f t="shared" ref="S211:X211" si="62">S210/O210-1</f>
        <v>0.18130718716460792</v>
      </c>
      <c r="T211" s="987">
        <f t="shared" si="62"/>
        <v>0.21785846609855497</v>
      </c>
      <c r="U211" s="468">
        <f t="shared" si="62"/>
        <v>0.27058605341246289</v>
      </c>
      <c r="V211" s="987">
        <f t="shared" si="62"/>
        <v>0.27185908319185081</v>
      </c>
      <c r="W211" s="987">
        <f t="shared" si="62"/>
        <v>0.1364336310440406</v>
      </c>
      <c r="X211" s="987">
        <f t="shared" si="62"/>
        <v>0.12336477030727111</v>
      </c>
    </row>
    <row r="212" spans="1:24" s="1731" customFormat="1" ht="12">
      <c r="A212" s="966" t="s">
        <v>1275</v>
      </c>
      <c r="B212" s="1727"/>
      <c r="C212" s="1727"/>
      <c r="D212" s="1727"/>
      <c r="E212" s="1728"/>
      <c r="F212" s="1729"/>
      <c r="G212" s="1729"/>
      <c r="H212" s="1729"/>
      <c r="I212" s="1730"/>
      <c r="J212" s="1729"/>
      <c r="K212" s="1729"/>
      <c r="L212" s="1729"/>
      <c r="M212" s="1730"/>
      <c r="N212" s="1729"/>
      <c r="O212" s="987">
        <v>0.36</v>
      </c>
      <c r="P212" s="987">
        <v>0.28999999999999998</v>
      </c>
      <c r="Q212" s="468">
        <v>0.28000000000000003</v>
      </c>
      <c r="R212" s="987">
        <v>0.19</v>
      </c>
      <c r="S212" s="987">
        <f t="shared" ref="S212:X212" si="63">S210/O210-1</f>
        <v>0.18130718716460792</v>
      </c>
      <c r="T212" s="987">
        <f t="shared" si="63"/>
        <v>0.21785846609855497</v>
      </c>
      <c r="U212" s="468">
        <f t="shared" si="63"/>
        <v>0.27058605341246289</v>
      </c>
      <c r="V212" s="987">
        <f t="shared" si="63"/>
        <v>0.27185908319185081</v>
      </c>
      <c r="W212" s="987">
        <f t="shared" si="63"/>
        <v>0.1364336310440406</v>
      </c>
      <c r="X212" s="987">
        <f t="shared" si="63"/>
        <v>0.12336477030727111</v>
      </c>
    </row>
    <row r="213" spans="1:24" s="1715" customFormat="1">
      <c r="A213" s="938" t="s">
        <v>1276</v>
      </c>
      <c r="B213" s="1721"/>
      <c r="C213" s="1721"/>
      <c r="D213" s="1721"/>
      <c r="E213" s="1722"/>
      <c r="F213" s="1723"/>
      <c r="G213" s="1723"/>
      <c r="H213" s="1723"/>
      <c r="I213" s="1724"/>
      <c r="J213" s="1723"/>
      <c r="K213" s="1723"/>
      <c r="L213" s="1723"/>
      <c r="M213" s="1724"/>
      <c r="N213" s="1723"/>
      <c r="O213" s="1715">
        <v>9.6709999999999994</v>
      </c>
      <c r="P213" s="1715">
        <v>8.6379999999999999</v>
      </c>
      <c r="Q213" s="1725">
        <v>10.247999999999999</v>
      </c>
      <c r="R213" s="1715">
        <v>11.013</v>
      </c>
      <c r="S213" s="1701">
        <v>14.894</v>
      </c>
      <c r="T213" s="1715">
        <v>13.24</v>
      </c>
      <c r="U213" s="1725">
        <v>16.219000000000001</v>
      </c>
      <c r="V213" s="1715">
        <v>17.111000000000001</v>
      </c>
      <c r="W213" s="1715">
        <v>20.98</v>
      </c>
      <c r="X213" s="1702">
        <v>17.681999999999999</v>
      </c>
    </row>
    <row r="214" spans="1:24" s="822" customFormat="1">
      <c r="A214" s="884" t="s">
        <v>1218</v>
      </c>
      <c r="B214" s="823"/>
      <c r="C214" s="823"/>
      <c r="D214" s="823"/>
      <c r="E214" s="824"/>
      <c r="F214" s="825"/>
      <c r="G214" s="825"/>
      <c r="H214" s="825"/>
      <c r="I214" s="826"/>
      <c r="J214" s="825"/>
      <c r="K214" s="825"/>
      <c r="L214" s="825"/>
      <c r="M214" s="826"/>
      <c r="N214" s="825"/>
      <c r="Q214" s="1047"/>
      <c r="R214" s="27"/>
      <c r="S214" s="27">
        <f t="shared" ref="S214:X214" si="64">S213/O213-1</f>
        <v>0.54006824526936215</v>
      </c>
      <c r="T214" s="27">
        <f t="shared" si="64"/>
        <v>0.53276221347534158</v>
      </c>
      <c r="U214" s="97">
        <f t="shared" si="64"/>
        <v>0.58265027322404395</v>
      </c>
      <c r="V214" s="27">
        <f t="shared" si="64"/>
        <v>0.55370925270135296</v>
      </c>
      <c r="W214" s="27">
        <f t="shared" si="64"/>
        <v>0.40862092117631255</v>
      </c>
      <c r="X214" s="27">
        <f t="shared" si="64"/>
        <v>0.33549848942598182</v>
      </c>
    </row>
    <row r="215" spans="1:24" s="822" customFormat="1">
      <c r="A215" s="966" t="s">
        <v>1277</v>
      </c>
      <c r="B215" s="823"/>
      <c r="C215" s="823"/>
      <c r="D215" s="823"/>
      <c r="E215" s="824"/>
      <c r="F215" s="825"/>
      <c r="G215" s="825"/>
      <c r="H215" s="825"/>
      <c r="I215" s="826"/>
      <c r="J215" s="825"/>
      <c r="K215" s="825"/>
      <c r="L215" s="825"/>
      <c r="M215" s="826"/>
      <c r="N215" s="825"/>
      <c r="P215" s="211">
        <v>0.45</v>
      </c>
      <c r="Q215" s="446">
        <v>0.34</v>
      </c>
      <c r="R215" s="27">
        <v>0.55000000000000004</v>
      </c>
      <c r="S215" s="27">
        <f t="shared" ref="S215:X215" si="65">S213/O213-1</f>
        <v>0.54006824526936215</v>
      </c>
      <c r="T215" s="27">
        <f t="shared" si="65"/>
        <v>0.53276221347534158</v>
      </c>
      <c r="U215" s="97">
        <f t="shared" si="65"/>
        <v>0.58265027322404395</v>
      </c>
      <c r="V215" s="27">
        <f t="shared" si="65"/>
        <v>0.55370925270135296</v>
      </c>
      <c r="W215" s="27">
        <f t="shared" si="65"/>
        <v>0.40862092117631255</v>
      </c>
      <c r="X215" s="27">
        <f t="shared" si="65"/>
        <v>0.33549848942598182</v>
      </c>
    </row>
    <row r="216" spans="1:24" s="822" customFormat="1">
      <c r="A216" s="938"/>
      <c r="B216" s="823"/>
      <c r="C216" s="823"/>
      <c r="D216" s="823"/>
      <c r="E216" s="824"/>
      <c r="F216" s="825"/>
      <c r="G216" s="825"/>
      <c r="H216" s="825"/>
      <c r="I216" s="826"/>
      <c r="J216" s="825"/>
      <c r="K216" s="825"/>
      <c r="L216" s="825"/>
      <c r="M216" s="826"/>
      <c r="N216" s="967"/>
      <c r="O216" s="967"/>
      <c r="P216" s="967"/>
      <c r="Q216" s="1048"/>
      <c r="R216" s="967"/>
      <c r="S216" s="967"/>
      <c r="U216" s="1047"/>
    </row>
    <row r="217" spans="1:24" s="1715" customFormat="1">
      <c r="A217" s="1993" t="s">
        <v>1460</v>
      </c>
      <c r="B217" s="1721"/>
      <c r="C217" s="1721"/>
      <c r="D217" s="1721"/>
      <c r="E217" s="1722"/>
      <c r="F217" s="1723"/>
      <c r="G217" s="1723"/>
      <c r="H217" s="1723"/>
      <c r="I217" s="1724">
        <v>0.89500000000000002</v>
      </c>
      <c r="J217" s="1723">
        <v>0.98399999999999999</v>
      </c>
      <c r="K217" s="1723">
        <v>1.1279999999999999</v>
      </c>
      <c r="L217" s="1723">
        <v>1.1890000000000001</v>
      </c>
      <c r="M217" s="1724">
        <v>1.327</v>
      </c>
      <c r="N217" s="1723">
        <v>1.4390000000000001</v>
      </c>
      <c r="O217" s="1715">
        <v>1.86</v>
      </c>
      <c r="P217" s="1715">
        <v>2.0190000000000001</v>
      </c>
      <c r="Q217" s="1725">
        <v>2.7890000000000001</v>
      </c>
      <c r="R217" s="1715">
        <v>3.488</v>
      </c>
      <c r="S217" s="1715">
        <f>61530*30*(1+1/1.2+1/1.2/1.2)/1000000</f>
        <v>4.6660250000000012</v>
      </c>
      <c r="T217" s="1715">
        <f>66519*90/1000000</f>
        <v>5.9867100000000004</v>
      </c>
      <c r="U217" s="1725"/>
    </row>
    <row r="218" spans="1:24" s="822" customFormat="1">
      <c r="A218" s="966" t="s">
        <v>1461</v>
      </c>
      <c r="B218" s="823"/>
      <c r="C218" s="823"/>
      <c r="D218" s="823"/>
      <c r="E218" s="824"/>
      <c r="F218" s="825"/>
      <c r="G218" s="825"/>
      <c r="H218" s="825"/>
      <c r="I218" s="826"/>
      <c r="J218" s="825"/>
      <c r="K218" s="211">
        <f>K217/K210</f>
        <v>0.59955352397151052</v>
      </c>
      <c r="L218" s="211">
        <f>L217/L210</f>
        <v>0.62976694915254239</v>
      </c>
      <c r="M218" s="826"/>
      <c r="N218" s="825"/>
      <c r="O218" s="211">
        <f t="shared" ref="O218:T218" si="66">O217/O210</f>
        <v>0.33834791624979538</v>
      </c>
      <c r="P218" s="211">
        <f t="shared" si="66"/>
        <v>0.37402741756206009</v>
      </c>
      <c r="Q218" s="446">
        <f t="shared" si="66"/>
        <v>0.51724777448071213</v>
      </c>
      <c r="R218" s="211">
        <f t="shared" si="66"/>
        <v>0.74023769100169778</v>
      </c>
      <c r="S218" s="211">
        <f t="shared" si="66"/>
        <v>0.7185132429935327</v>
      </c>
      <c r="T218" s="211">
        <f t="shared" si="66"/>
        <v>0.91066473988439312</v>
      </c>
      <c r="U218" s="446"/>
      <c r="V218" s="211"/>
    </row>
    <row r="219" spans="1:24" s="822" customFormat="1">
      <c r="A219" s="966"/>
      <c r="B219" s="823"/>
      <c r="C219" s="823"/>
      <c r="D219" s="823"/>
      <c r="E219" s="824"/>
      <c r="F219" s="825"/>
      <c r="G219" s="825"/>
      <c r="H219" s="825"/>
      <c r="I219" s="826"/>
      <c r="J219" s="825"/>
      <c r="K219" s="211"/>
      <c r="L219" s="211"/>
      <c r="M219" s="826"/>
      <c r="N219" s="825"/>
      <c r="Q219" s="1047"/>
      <c r="U219" s="1047"/>
    </row>
    <row r="220" spans="1:24" s="822" customFormat="1">
      <c r="A220" s="966"/>
      <c r="B220" s="823"/>
      <c r="C220" s="823"/>
      <c r="D220" s="823"/>
      <c r="E220" s="824"/>
      <c r="F220" s="825"/>
      <c r="G220" s="825"/>
      <c r="H220" s="825"/>
      <c r="I220" s="826"/>
      <c r="J220" s="825"/>
      <c r="K220" s="825"/>
      <c r="L220" s="825"/>
      <c r="M220" s="826"/>
      <c r="N220" s="825"/>
      <c r="P220" s="211"/>
      <c r="Q220" s="1047"/>
      <c r="U220" s="1047"/>
    </row>
    <row r="221" spans="1:24" s="2055" customFormat="1">
      <c r="A221" s="2054" t="s">
        <v>1870</v>
      </c>
      <c r="E221" s="2056"/>
      <c r="I221" s="2056"/>
      <c r="M221" s="2056"/>
      <c r="Q221" s="2056"/>
      <c r="U221" s="2056"/>
    </row>
    <row r="222" spans="1:24" s="1673" customFormat="1">
      <c r="A222" s="925" t="s">
        <v>1457</v>
      </c>
      <c r="B222" s="1489">
        <v>16.094000000000001</v>
      </c>
      <c r="C222" s="1489">
        <v>16.475200000000001</v>
      </c>
      <c r="D222" s="1489">
        <v>18.231300000000001</v>
      </c>
      <c r="E222" s="1490">
        <v>18.126999999999999</v>
      </c>
      <c r="F222" s="1489">
        <v>18.675699999999999</v>
      </c>
      <c r="G222" s="1489">
        <v>18.262</v>
      </c>
      <c r="H222" s="1489">
        <v>18.163699999999999</v>
      </c>
      <c r="I222" s="1490">
        <v>16.988199999999999</v>
      </c>
      <c r="J222" s="1732">
        <v>22.195399999999999</v>
      </c>
      <c r="K222" s="1732">
        <v>23.88</v>
      </c>
      <c r="L222" s="1732">
        <v>23.556000000000001</v>
      </c>
      <c r="M222" s="1733">
        <v>38.216000000000001</v>
      </c>
      <c r="N222" s="1732">
        <v>32.862000000000002</v>
      </c>
      <c r="O222" s="1466">
        <v>45.613</v>
      </c>
      <c r="P222" s="1640">
        <v>47.052999999999997</v>
      </c>
      <c r="Q222" s="1641">
        <v>50.923999999999999</v>
      </c>
      <c r="R222" s="1698">
        <v>58.5</v>
      </c>
      <c r="S222" s="1734">
        <v>54.398000000000003</v>
      </c>
      <c r="T222" s="1734">
        <v>56.517000000000003</v>
      </c>
      <c r="U222" s="1970">
        <v>60.764000000000003</v>
      </c>
      <c r="V222" s="1698">
        <v>62.473999999999997</v>
      </c>
      <c r="W222" s="1640">
        <v>65.033000000000001</v>
      </c>
      <c r="X222" s="1640">
        <v>65.951999999999998</v>
      </c>
    </row>
    <row r="223" spans="1:24" s="1610" customFormat="1" ht="12">
      <c r="A223" s="884" t="s">
        <v>1218</v>
      </c>
      <c r="B223" s="1618"/>
      <c r="C223" s="1618"/>
      <c r="D223" s="1618"/>
      <c r="E223" s="234"/>
      <c r="F223" s="987">
        <f t="shared" ref="F223:M223" si="67">F222/B222-1</f>
        <v>0.16041381881446481</v>
      </c>
      <c r="G223" s="987">
        <f t="shared" si="67"/>
        <v>0.10845391861707299</v>
      </c>
      <c r="H223" s="987">
        <f t="shared" si="67"/>
        <v>-3.707908925858372E-3</v>
      </c>
      <c r="I223" s="468">
        <f t="shared" si="67"/>
        <v>-6.282341258895574E-2</v>
      </c>
      <c r="J223" s="987">
        <f t="shared" si="67"/>
        <v>0.18846415395406857</v>
      </c>
      <c r="K223" s="987">
        <f t="shared" si="67"/>
        <v>0.30763333698390083</v>
      </c>
      <c r="L223" s="987">
        <f t="shared" si="67"/>
        <v>0.29687233328011375</v>
      </c>
      <c r="M223" s="468">
        <f t="shared" si="67"/>
        <v>1.2495614603077434</v>
      </c>
      <c r="N223" s="987">
        <f t="shared" ref="N223:X223" si="68">N222/J222-1</f>
        <v>0.48057705650720428</v>
      </c>
      <c r="O223" s="987">
        <f t="shared" si="68"/>
        <v>0.91009212730318256</v>
      </c>
      <c r="P223" s="987">
        <f t="shared" si="68"/>
        <v>0.99749533027678705</v>
      </c>
      <c r="Q223" s="468">
        <f t="shared" si="68"/>
        <v>0.332530877119531</v>
      </c>
      <c r="R223" s="987">
        <f t="shared" si="68"/>
        <v>0.78017162680299434</v>
      </c>
      <c r="S223" s="987">
        <f t="shared" si="68"/>
        <v>0.19259860127595219</v>
      </c>
      <c r="T223" s="987">
        <f t="shared" si="68"/>
        <v>0.20113489044269239</v>
      </c>
      <c r="U223" s="468">
        <f t="shared" si="68"/>
        <v>0.19322912575602857</v>
      </c>
      <c r="V223" s="987">
        <f t="shared" si="68"/>
        <v>6.7931623931623886E-2</v>
      </c>
      <c r="W223" s="987">
        <f t="shared" si="68"/>
        <v>0.1955035111584984</v>
      </c>
      <c r="X223" s="987">
        <f t="shared" si="68"/>
        <v>0.1669409204310206</v>
      </c>
    </row>
    <row r="224" spans="1:24" s="1740" customFormat="1" ht="12">
      <c r="A224" s="932" t="s">
        <v>1994</v>
      </c>
      <c r="B224" s="1508">
        <v>0.39100000000000001</v>
      </c>
      <c r="C224" s="1508">
        <v>0.23899999999999999</v>
      </c>
      <c r="D224" s="1508">
        <v>0.16400000000000001</v>
      </c>
      <c r="E224" s="1737">
        <v>0.10199999999999999</v>
      </c>
      <c r="F224" s="1508">
        <v>0.17</v>
      </c>
      <c r="G224" s="1508">
        <v>0.17599999999999999</v>
      </c>
      <c r="H224" s="1508">
        <v>6.9000000000000006E-2</v>
      </c>
      <c r="I224" s="1737">
        <v>-1E-3</v>
      </c>
      <c r="J224" s="1738">
        <v>0.28199999999999997</v>
      </c>
      <c r="K224" s="1738">
        <v>0.38100000000000001</v>
      </c>
      <c r="L224" s="1738">
        <v>0.33200000000000002</v>
      </c>
      <c r="M224" s="1739">
        <v>0.10199999999999999</v>
      </c>
      <c r="N224" s="1738">
        <v>0.47199999999999998</v>
      </c>
      <c r="O224" s="1738">
        <v>0.86099999999999999</v>
      </c>
      <c r="P224" s="1738">
        <v>0.94699999999999995</v>
      </c>
      <c r="Q224" s="1739">
        <v>0.30199999999999999</v>
      </c>
      <c r="R224" s="1738">
        <v>0.73799999999999999</v>
      </c>
      <c r="S224" s="1473">
        <v>0.23899999999999999</v>
      </c>
      <c r="T224" s="1473">
        <v>0.307</v>
      </c>
      <c r="U224" s="1971">
        <v>0.32200000000000001</v>
      </c>
      <c r="V224" s="1473">
        <v>0.16800000000000001</v>
      </c>
      <c r="W224" s="1473">
        <v>0.24199999999999999</v>
      </c>
      <c r="X224" s="1473">
        <v>0.17199999999999999</v>
      </c>
    </row>
    <row r="225" spans="1:26" s="1640" customFormat="1">
      <c r="A225" s="965" t="s">
        <v>1267</v>
      </c>
      <c r="B225" s="1735">
        <v>11.060700000000001</v>
      </c>
      <c r="C225" s="1735">
        <v>17.872900000000001</v>
      </c>
      <c r="D225" s="1735">
        <v>12.511699999999999</v>
      </c>
      <c r="E225" s="1736">
        <v>15.776999999999999</v>
      </c>
      <c r="F225" s="1735">
        <v>16.453199999999999</v>
      </c>
      <c r="G225" s="1735">
        <v>18.368099999999998</v>
      </c>
      <c r="H225" s="1735">
        <v>13.4254</v>
      </c>
      <c r="I225" s="1736">
        <v>17.698599999999999</v>
      </c>
      <c r="J225" s="1691">
        <v>27.821999999999999</v>
      </c>
      <c r="K225" s="1691">
        <v>33.213299999999997</v>
      </c>
      <c r="L225" s="1691">
        <v>27.715</v>
      </c>
      <c r="M225" s="1692">
        <v>35.472000000000001</v>
      </c>
      <c r="N225" s="1691">
        <v>43.935000000000002</v>
      </c>
      <c r="O225" s="1640">
        <v>81.263000000000005</v>
      </c>
      <c r="P225" s="1640">
        <v>79.194000000000003</v>
      </c>
      <c r="Q225" s="1641">
        <v>83.861000000000004</v>
      </c>
      <c r="R225" s="1640">
        <v>69.400000000000006</v>
      </c>
      <c r="S225" s="1640">
        <v>93.838999999999999</v>
      </c>
      <c r="T225" s="1640">
        <v>85.47</v>
      </c>
      <c r="U225" s="1641">
        <v>95.45</v>
      </c>
      <c r="V225" s="1640">
        <v>76.855999999999995</v>
      </c>
      <c r="W225" s="1640">
        <v>101.375</v>
      </c>
      <c r="X225" s="1640">
        <v>87.07</v>
      </c>
      <c r="Z225" s="2057">
        <f>X225/T225-1</f>
        <v>1.8720018720018716E-2</v>
      </c>
    </row>
    <row r="226" spans="1:26" s="1610" customFormat="1" ht="12">
      <c r="A226" s="884" t="s">
        <v>1218</v>
      </c>
      <c r="B226" s="1618"/>
      <c r="C226" s="1618"/>
      <c r="D226" s="1618"/>
      <c r="E226" s="234"/>
      <c r="F226" s="987">
        <f t="shared" ref="F226:N226" si="69">F225/B225-1</f>
        <v>0.48753695516558615</v>
      </c>
      <c r="G226" s="987">
        <f t="shared" si="69"/>
        <v>2.7706751562421195E-2</v>
      </c>
      <c r="H226" s="987">
        <f t="shared" si="69"/>
        <v>7.3027646123228651E-2</v>
      </c>
      <c r="I226" s="468">
        <f t="shared" si="69"/>
        <v>0.12179755340051979</v>
      </c>
      <c r="J226" s="987">
        <f t="shared" si="69"/>
        <v>0.69097804682371833</v>
      </c>
      <c r="K226" s="987">
        <f t="shared" si="69"/>
        <v>0.80820553023992692</v>
      </c>
      <c r="L226" s="987">
        <f t="shared" si="69"/>
        <v>1.0643705215487063</v>
      </c>
      <c r="M226" s="468">
        <f t="shared" si="69"/>
        <v>1.0042263229859989</v>
      </c>
      <c r="N226" s="987">
        <f t="shared" si="69"/>
        <v>0.57914599956868673</v>
      </c>
      <c r="O226" s="987">
        <f t="shared" ref="O226:X226" si="70">O225/K225-1</f>
        <v>1.4467005687480623</v>
      </c>
      <c r="P226" s="987">
        <f t="shared" si="70"/>
        <v>1.8574418185098325</v>
      </c>
      <c r="Q226" s="468">
        <f t="shared" si="70"/>
        <v>1.3641463689670728</v>
      </c>
      <c r="R226" s="987">
        <f t="shared" si="70"/>
        <v>0.57960623648571752</v>
      </c>
      <c r="S226" s="987">
        <f t="shared" si="70"/>
        <v>0.15475677737715809</v>
      </c>
      <c r="T226" s="987">
        <f t="shared" si="70"/>
        <v>7.9248427911205344E-2</v>
      </c>
      <c r="U226" s="468">
        <f t="shared" si="70"/>
        <v>0.13819296216358024</v>
      </c>
      <c r="V226" s="987">
        <f t="shared" si="70"/>
        <v>0.10743515850144081</v>
      </c>
      <c r="W226" s="987">
        <f t="shared" si="70"/>
        <v>8.0307761165400393E-2</v>
      </c>
      <c r="X226" s="987">
        <f t="shared" si="70"/>
        <v>1.8720018720018716E-2</v>
      </c>
    </row>
    <row r="227" spans="1:26" s="1740" customFormat="1" ht="12">
      <c r="A227" s="932" t="s">
        <v>1994</v>
      </c>
      <c r="B227" s="1508">
        <v>0.54600000000000004</v>
      </c>
      <c r="C227" s="1508">
        <v>0.70899999999999996</v>
      </c>
      <c r="D227" s="1508">
        <v>0.752</v>
      </c>
      <c r="E227" s="1737">
        <v>0.435</v>
      </c>
      <c r="F227" s="1508">
        <v>0.495</v>
      </c>
      <c r="G227" s="1508">
        <v>0.104</v>
      </c>
      <c r="H227" s="1508">
        <v>0.159</v>
      </c>
      <c r="I227" s="1737">
        <v>0.183</v>
      </c>
      <c r="J227" s="1738">
        <v>0.79100000000000004</v>
      </c>
      <c r="K227" s="1738">
        <v>0.89800000000000002</v>
      </c>
      <c r="L227" s="1738">
        <v>0.73399999999999999</v>
      </c>
      <c r="M227" s="1739">
        <v>0.435</v>
      </c>
      <c r="N227" s="1738">
        <v>0.57199999999999995</v>
      </c>
      <c r="O227" s="1738">
        <v>1.397</v>
      </c>
      <c r="P227" s="1738">
        <v>1.804</v>
      </c>
      <c r="Q227" s="1739">
        <v>1.3149999999999999</v>
      </c>
      <c r="R227" s="1738">
        <v>0.54500000000000004</v>
      </c>
      <c r="S227" s="1473">
        <v>0.19800000000000001</v>
      </c>
      <c r="T227" s="1473">
        <v>0.17699999999999999</v>
      </c>
      <c r="U227" s="1971">
        <v>0.26</v>
      </c>
      <c r="V227" s="1473">
        <v>0.21199999999999999</v>
      </c>
      <c r="W227" s="1473">
        <v>0.121</v>
      </c>
      <c r="X227" s="1473">
        <v>2.4E-2</v>
      </c>
    </row>
    <row r="228" spans="1:26" s="1673" customFormat="1">
      <c r="A228" s="925" t="s">
        <v>1997</v>
      </c>
      <c r="B228" s="1489"/>
      <c r="C228" s="1489"/>
      <c r="D228" s="1489"/>
      <c r="E228" s="1490"/>
      <c r="F228" s="1489"/>
      <c r="G228" s="1489"/>
      <c r="H228" s="1489"/>
      <c r="I228" s="1490"/>
      <c r="J228" s="1732"/>
      <c r="K228" s="1732"/>
      <c r="L228" s="1732"/>
      <c r="M228" s="1733"/>
      <c r="N228" s="1732"/>
      <c r="O228" s="1640">
        <v>11.182</v>
      </c>
      <c r="P228" s="1640">
        <v>9.6259999999999994</v>
      </c>
      <c r="Q228" s="1641">
        <v>11.584</v>
      </c>
      <c r="R228" s="1640">
        <v>12.01</v>
      </c>
      <c r="S228" s="1640">
        <v>16.056000000000001</v>
      </c>
      <c r="T228" s="1640">
        <v>12.12</v>
      </c>
      <c r="U228" s="1641">
        <v>15.073</v>
      </c>
      <c r="V228" s="1640">
        <v>15.576000000000001</v>
      </c>
      <c r="W228" s="1640">
        <v>21.350999999999999</v>
      </c>
      <c r="X228" s="1640">
        <v>16.646999999999998</v>
      </c>
    </row>
    <row r="229" spans="1:26" s="1610" customFormat="1" ht="12">
      <c r="A229" s="884" t="s">
        <v>1218</v>
      </c>
      <c r="B229" s="1618"/>
      <c r="C229" s="1618"/>
      <c r="D229" s="1618"/>
      <c r="E229" s="234"/>
      <c r="F229" s="1618"/>
      <c r="G229" s="1618"/>
      <c r="H229" s="1618"/>
      <c r="I229" s="234"/>
      <c r="J229" s="1619"/>
      <c r="K229" s="1619"/>
      <c r="L229" s="1619"/>
      <c r="M229" s="1620"/>
      <c r="N229" s="1619"/>
      <c r="O229" s="987"/>
      <c r="P229" s="987"/>
      <c r="Q229" s="468"/>
      <c r="R229" s="987"/>
      <c r="S229" s="987">
        <f t="shared" ref="S229:X229" si="71">S228/O228-1</f>
        <v>0.43587909139688796</v>
      </c>
      <c r="T229" s="987">
        <f t="shared" si="71"/>
        <v>0.25908996467899437</v>
      </c>
      <c r="U229" s="468">
        <f t="shared" si="71"/>
        <v>0.30119129834254155</v>
      </c>
      <c r="V229" s="987">
        <f t="shared" si="71"/>
        <v>0.2969192339716904</v>
      </c>
      <c r="W229" s="987">
        <f t="shared" si="71"/>
        <v>0.32978325859491764</v>
      </c>
      <c r="X229" s="987">
        <f t="shared" si="71"/>
        <v>0.37351485148514851</v>
      </c>
    </row>
    <row r="230" spans="1:26" s="1740" customFormat="1" ht="12">
      <c r="A230" s="932" t="s">
        <v>1995</v>
      </c>
      <c r="B230" s="1508"/>
      <c r="C230" s="1508"/>
      <c r="D230" s="1508"/>
      <c r="E230" s="1737"/>
      <c r="F230" s="1508"/>
      <c r="G230" s="1508"/>
      <c r="H230" s="1508"/>
      <c r="I230" s="1737"/>
      <c r="J230" s="1738"/>
      <c r="K230" s="1738"/>
      <c r="L230" s="1738"/>
      <c r="M230" s="1739"/>
      <c r="N230" s="1738"/>
      <c r="O230" s="1738"/>
      <c r="P230" s="1738"/>
      <c r="Q230" s="1739"/>
      <c r="R230" s="1738"/>
      <c r="S230" s="1473">
        <v>0.48899999999999999</v>
      </c>
      <c r="T230" s="1473">
        <v>0.374</v>
      </c>
      <c r="U230" s="1971">
        <v>0.434</v>
      </c>
      <c r="V230" s="1473">
        <v>0.40799999999999997</v>
      </c>
      <c r="W230" s="1473">
        <v>0.37</v>
      </c>
      <c r="X230" s="1473">
        <v>0.38300000000000001</v>
      </c>
    </row>
    <row r="231" spans="1:26" s="1640" customFormat="1">
      <c r="A231" s="965" t="s">
        <v>1278</v>
      </c>
      <c r="B231" s="1735">
        <v>1.373</v>
      </c>
      <c r="C231" s="1735">
        <v>1.1046</v>
      </c>
      <c r="D231" s="1735">
        <v>1.3062</v>
      </c>
      <c r="E231" s="1736">
        <v>1.1759999999999999</v>
      </c>
      <c r="F231" s="1735">
        <v>1.2381</v>
      </c>
      <c r="G231" s="1735">
        <v>1.4726999999999999</v>
      </c>
      <c r="H231" s="1735">
        <v>1.6153</v>
      </c>
      <c r="I231" s="1736">
        <v>1.6044</v>
      </c>
      <c r="J231" s="1691">
        <v>1.4484999999999999</v>
      </c>
      <c r="K231" s="1691">
        <v>1.7749999999999999</v>
      </c>
      <c r="L231" s="1691">
        <v>1.925</v>
      </c>
      <c r="M231" s="1692">
        <v>2.8570000000000002</v>
      </c>
      <c r="N231" s="1691">
        <v>8.2910000000000004</v>
      </c>
      <c r="O231" s="1625">
        <v>14.337999999999999</v>
      </c>
      <c r="P231" s="1625">
        <v>12.945</v>
      </c>
      <c r="Q231" s="1641">
        <v>5.0380000000000003</v>
      </c>
      <c r="R231" s="1640">
        <v>5.4569999999999999</v>
      </c>
      <c r="S231" s="1640">
        <v>5.7960000000000003</v>
      </c>
      <c r="T231" s="1640">
        <v>5.99</v>
      </c>
      <c r="U231" s="1641">
        <v>8.6020000000000003</v>
      </c>
      <c r="V231" s="1640">
        <v>8.4429999999999996</v>
      </c>
      <c r="W231" s="1640">
        <v>10.74</v>
      </c>
      <c r="X231" s="1640">
        <v>11.409000000000001</v>
      </c>
    </row>
    <row r="232" spans="1:26" s="1740" customFormat="1" ht="12">
      <c r="A232" s="932" t="s">
        <v>1996</v>
      </c>
      <c r="B232" s="1508">
        <v>0.497</v>
      </c>
      <c r="C232" s="1508">
        <v>0.313</v>
      </c>
      <c r="D232" s="1508">
        <v>0.28999999999999998</v>
      </c>
      <c r="E232" s="1737">
        <v>8.3000000000000004E-2</v>
      </c>
      <c r="F232" s="1508">
        <v>-8.8999999999999996E-2</v>
      </c>
      <c r="G232" s="1508">
        <v>0.41299999999999998</v>
      </c>
      <c r="H232" s="1508">
        <v>0.32800000000000001</v>
      </c>
      <c r="I232" s="1737">
        <v>0.45200000000000001</v>
      </c>
      <c r="J232" s="1738">
        <v>0.26800000000000002</v>
      </c>
      <c r="K232" s="1738">
        <v>0.27100000000000002</v>
      </c>
      <c r="L232" s="1738">
        <v>0.22</v>
      </c>
      <c r="M232" s="1739">
        <v>8.3000000000000004E-2</v>
      </c>
      <c r="N232" s="1738">
        <v>4.7069999999999999</v>
      </c>
      <c r="O232" s="1738">
        <v>7.0270000000000001</v>
      </c>
      <c r="P232" s="1738">
        <v>5.6749999999999998</v>
      </c>
      <c r="Q232" s="1739">
        <v>4.758</v>
      </c>
      <c r="R232" s="1738"/>
      <c r="S232" s="1473">
        <v>0.90600000000000003</v>
      </c>
      <c r="T232" s="1473">
        <v>0.95799999999999996</v>
      </c>
      <c r="U232" s="1971">
        <v>0.86899999999999999</v>
      </c>
      <c r="V232" s="1473">
        <v>0.67900000000000005</v>
      </c>
      <c r="W232" s="1473">
        <v>0.91900000000000004</v>
      </c>
      <c r="X232" s="1473">
        <v>0.91200000000000003</v>
      </c>
    </row>
    <row r="233" spans="1:26" s="1740" customFormat="1" ht="12">
      <c r="A233" s="927" t="s">
        <v>1993</v>
      </c>
      <c r="B233" s="1508"/>
      <c r="C233" s="1508"/>
      <c r="D233" s="1508"/>
      <c r="E233" s="1737"/>
      <c r="F233" s="939">
        <f t="shared" ref="F233:X233" si="72">F222+F225+F228+F231</f>
        <v>36.367000000000004</v>
      </c>
      <c r="G233" s="939">
        <f t="shared" si="72"/>
        <v>38.102800000000002</v>
      </c>
      <c r="H233" s="939">
        <f t="shared" si="72"/>
        <v>33.2044</v>
      </c>
      <c r="I233" s="940">
        <f t="shared" si="72"/>
        <v>36.291199999999996</v>
      </c>
      <c r="J233" s="939">
        <f t="shared" si="72"/>
        <v>51.465899999999998</v>
      </c>
      <c r="K233" s="939">
        <f t="shared" si="72"/>
        <v>58.868299999999998</v>
      </c>
      <c r="L233" s="939">
        <f t="shared" si="72"/>
        <v>53.195999999999998</v>
      </c>
      <c r="M233" s="940">
        <f t="shared" si="72"/>
        <v>76.545000000000002</v>
      </c>
      <c r="N233" s="939">
        <f t="shared" si="72"/>
        <v>85.087999999999994</v>
      </c>
      <c r="O233" s="939">
        <f t="shared" si="72"/>
        <v>152.39599999999999</v>
      </c>
      <c r="P233" s="939">
        <f t="shared" si="72"/>
        <v>148.81799999999998</v>
      </c>
      <c r="Q233" s="940">
        <f t="shared" si="72"/>
        <v>151.40700000000001</v>
      </c>
      <c r="R233" s="939">
        <f t="shared" si="72"/>
        <v>145.36699999999999</v>
      </c>
      <c r="S233" s="939">
        <f t="shared" si="72"/>
        <v>170.089</v>
      </c>
      <c r="T233" s="939">
        <f t="shared" si="72"/>
        <v>160.09700000000001</v>
      </c>
      <c r="U233" s="940">
        <f t="shared" si="72"/>
        <v>179.88900000000001</v>
      </c>
      <c r="V233" s="939">
        <f t="shared" si="72"/>
        <v>163.34899999999999</v>
      </c>
      <c r="W233" s="939">
        <f t="shared" si="72"/>
        <v>198.49900000000002</v>
      </c>
      <c r="X233" s="939">
        <f t="shared" si="72"/>
        <v>181.07799999999997</v>
      </c>
    </row>
    <row r="234" spans="1:26" s="1740" customFormat="1" ht="12">
      <c r="A234" s="932" t="s">
        <v>1996</v>
      </c>
      <c r="B234" s="1508">
        <v>0.45100000000000001</v>
      </c>
      <c r="C234" s="1508">
        <v>0.438</v>
      </c>
      <c r="D234" s="1508">
        <v>0.34799999999999998</v>
      </c>
      <c r="E234" s="1737">
        <v>0.22900000000000001</v>
      </c>
      <c r="F234" s="1508">
        <v>0.28399999999999997</v>
      </c>
      <c r="G234" s="1508">
        <f>G115</f>
        <v>0.14699999999999999</v>
      </c>
      <c r="H234" s="1508">
        <v>0.115</v>
      </c>
      <c r="I234" s="1737">
        <v>9.7000000000000003E-2</v>
      </c>
      <c r="J234" s="1738">
        <v>0.51200000000000001</v>
      </c>
      <c r="K234" s="1738">
        <v>0.626</v>
      </c>
      <c r="L234" s="1738">
        <v>0.50900000000000001</v>
      </c>
      <c r="M234" s="1739">
        <v>0.22900000000000001</v>
      </c>
      <c r="N234" s="1738">
        <v>0.64500000000000002</v>
      </c>
      <c r="O234" s="1738">
        <v>1.35</v>
      </c>
      <c r="P234" s="1738">
        <v>1.5649999999999999</v>
      </c>
      <c r="Q234" s="1739">
        <v>0.93799999999999994</v>
      </c>
      <c r="R234" s="1738">
        <v>0.67200000000000004</v>
      </c>
      <c r="S234" s="1473">
        <v>0.25</v>
      </c>
      <c r="T234" s="1473">
        <v>0.253</v>
      </c>
      <c r="U234" s="1971">
        <v>0.314</v>
      </c>
      <c r="V234" s="1473">
        <v>0.22800000000000001</v>
      </c>
      <c r="W234" s="1473">
        <v>0.21</v>
      </c>
      <c r="X234" s="1473">
        <v>0.13600000000000001</v>
      </c>
    </row>
    <row r="236" spans="1:26" s="964" customFormat="1">
      <c r="A236" s="927" t="s">
        <v>1279</v>
      </c>
      <c r="B236" s="703">
        <f t="shared" ref="B236:V236" si="73">B222/B60</f>
        <v>0.56415393122643176</v>
      </c>
      <c r="C236" s="703">
        <f t="shared" si="73"/>
        <v>0.46471003785472137</v>
      </c>
      <c r="D236" s="703">
        <f t="shared" si="73"/>
        <v>0.56885393870968803</v>
      </c>
      <c r="E236" s="704">
        <f t="shared" si="73"/>
        <v>0.51673349063293328</v>
      </c>
      <c r="F236" s="703">
        <f t="shared" si="73"/>
        <v>0.51354836935599169</v>
      </c>
      <c r="G236" s="703">
        <f t="shared" si="73"/>
        <v>0.44416879484373106</v>
      </c>
      <c r="H236" s="703">
        <f t="shared" si="73"/>
        <v>0.5470334899409709</v>
      </c>
      <c r="I236" s="704">
        <f t="shared" si="73"/>
        <v>0.46809765237517903</v>
      </c>
      <c r="J236" s="928">
        <f t="shared" si="73"/>
        <v>0.43127173807441965</v>
      </c>
      <c r="K236" s="928">
        <f t="shared" si="73"/>
        <v>0.40565332608547933</v>
      </c>
      <c r="L236" s="928">
        <f t="shared" si="73"/>
        <v>0.44281524926686222</v>
      </c>
      <c r="M236" s="929">
        <f t="shared" si="73"/>
        <v>0.49926187210137835</v>
      </c>
      <c r="N236" s="928">
        <f t="shared" si="73"/>
        <v>0.38621192177510349</v>
      </c>
      <c r="O236" s="928">
        <f t="shared" si="73"/>
        <v>0.31889843602525286</v>
      </c>
      <c r="P236" s="928">
        <f t="shared" si="73"/>
        <v>0.33473479027943775</v>
      </c>
      <c r="Q236" s="929">
        <f t="shared" si="73"/>
        <v>0.39500159012108194</v>
      </c>
      <c r="R236" s="928">
        <f t="shared" si="73"/>
        <v>0.40259588319902007</v>
      </c>
      <c r="S236" s="928">
        <f t="shared" si="73"/>
        <v>0.32108559252504149</v>
      </c>
      <c r="T236" s="928">
        <f t="shared" si="73"/>
        <v>0.35459867112552773</v>
      </c>
      <c r="U236" s="929">
        <f t="shared" si="73"/>
        <v>0.33900536704567014</v>
      </c>
      <c r="V236" s="928">
        <f t="shared" si="73"/>
        <v>0.38348075353102573</v>
      </c>
      <c r="W236" s="928">
        <f>W222/W60</f>
        <v>0.32926100692616145</v>
      </c>
      <c r="X236" s="928">
        <f>X222/X60</f>
        <v>0.36669131587872594</v>
      </c>
    </row>
    <row r="237" spans="1:26" s="964" customFormat="1">
      <c r="A237" s="965" t="s">
        <v>1281</v>
      </c>
      <c r="B237" s="703">
        <f t="shared" ref="B237:V237" si="74">B225/B60</f>
        <v>0.38771824202287775</v>
      </c>
      <c r="C237" s="703">
        <f t="shared" si="74"/>
        <v>0.50413445879707985</v>
      </c>
      <c r="D237" s="703">
        <f t="shared" si="74"/>
        <v>0.39039069210390936</v>
      </c>
      <c r="E237" s="704">
        <f t="shared" si="74"/>
        <v>0.44974371278842551</v>
      </c>
      <c r="F237" s="703">
        <f t="shared" si="74"/>
        <v>0.45243359181653181</v>
      </c>
      <c r="G237" s="703">
        <f t="shared" si="74"/>
        <v>0.44674936154688072</v>
      </c>
      <c r="H237" s="703">
        <f t="shared" si="74"/>
        <v>0.40433080351764844</v>
      </c>
      <c r="I237" s="704">
        <f t="shared" si="74"/>
        <v>0.48767221426209628</v>
      </c>
      <c r="J237" s="928">
        <f t="shared" si="74"/>
        <v>0.54060040804430209</v>
      </c>
      <c r="K237" s="928">
        <f t="shared" si="74"/>
        <v>0.56419956512876257</v>
      </c>
      <c r="L237" s="928">
        <f t="shared" si="74"/>
        <v>0.52099781938491618</v>
      </c>
      <c r="M237" s="929">
        <f t="shared" si="74"/>
        <v>0.46341367822849311</v>
      </c>
      <c r="N237" s="928">
        <f t="shared" si="74"/>
        <v>0.5163477811207221</v>
      </c>
      <c r="O237" s="928">
        <f t="shared" si="74"/>
        <v>0.5681416176686499</v>
      </c>
      <c r="P237" s="928">
        <f t="shared" si="74"/>
        <v>0.56338569233395941</v>
      </c>
      <c r="Q237" s="929">
        <f t="shared" si="74"/>
        <v>0.65048362950954464</v>
      </c>
      <c r="R237" s="928">
        <f t="shared" si="74"/>
        <v>0.47760947511131613</v>
      </c>
      <c r="S237" s="928">
        <f t="shared" si="74"/>
        <v>0.55388710829363885</v>
      </c>
      <c r="T237" s="928">
        <f t="shared" si="74"/>
        <v>0.5362554350213008</v>
      </c>
      <c r="U237" s="929">
        <f t="shared" si="74"/>
        <v>0.53252027984512562</v>
      </c>
      <c r="V237" s="928">
        <f t="shared" si="74"/>
        <v>0.47176100127061676</v>
      </c>
      <c r="W237" s="928">
        <f>W225/W60</f>
        <v>0.51325995382559031</v>
      </c>
      <c r="X237" s="928">
        <f>X225/X60</f>
        <v>0.4841068181944545</v>
      </c>
    </row>
    <row r="238" spans="1:26" s="964" customFormat="1">
      <c r="A238" s="965" t="s">
        <v>1282</v>
      </c>
      <c r="B238" s="703">
        <f t="shared" ref="B238:V238" si="75">B231/B60</f>
        <v>4.8128703092698573E-2</v>
      </c>
      <c r="C238" s="703">
        <f t="shared" si="75"/>
        <v>3.1157054713407135E-2</v>
      </c>
      <c r="D238" s="703">
        <f t="shared" si="75"/>
        <v>4.0756118035608788E-2</v>
      </c>
      <c r="E238" s="704">
        <f t="shared" si="75"/>
        <v>3.3523395210698387E-2</v>
      </c>
      <c r="F238" s="703">
        <f t="shared" si="75"/>
        <v>3.4045537040092388E-2</v>
      </c>
      <c r="G238" s="703">
        <f t="shared" si="75"/>
        <v>3.5819044144472824E-2</v>
      </c>
      <c r="H238" s="703">
        <f t="shared" si="75"/>
        <v>4.8647753282737016E-2</v>
      </c>
      <c r="I238" s="704">
        <f t="shared" si="75"/>
        <v>4.4208089937176238E-2</v>
      </c>
      <c r="J238" s="928">
        <f t="shared" si="75"/>
        <v>2.8145341494219382E-2</v>
      </c>
      <c r="K238" s="928">
        <f t="shared" si="75"/>
        <v>3.0152204933070595E-2</v>
      </c>
      <c r="L238" s="928">
        <f t="shared" si="75"/>
        <v>3.6186931348221672E-2</v>
      </c>
      <c r="M238" s="929">
        <f t="shared" si="75"/>
        <v>3.7324449670128691E-2</v>
      </c>
      <c r="N238" s="928">
        <f t="shared" si="75"/>
        <v>9.7440297104174511E-2</v>
      </c>
      <c r="O238" s="928">
        <f t="shared" si="75"/>
        <v>0.10024260135772863</v>
      </c>
      <c r="P238" s="928">
        <f t="shared" si="75"/>
        <v>9.2090660747823128E-2</v>
      </c>
      <c r="Q238" s="929">
        <f t="shared" si="75"/>
        <v>3.9078195173788605E-2</v>
      </c>
      <c r="R238" s="928">
        <f t="shared" si="75"/>
        <v>3.7554969822513717E-2</v>
      </c>
      <c r="S238" s="928">
        <f t="shared" si="75"/>
        <v>3.4211038903546827E-2</v>
      </c>
      <c r="T238" s="928">
        <f t="shared" si="75"/>
        <v>3.7582427235025057E-2</v>
      </c>
      <c r="U238" s="929">
        <f t="shared" si="75"/>
        <v>4.7990984255922166E-2</v>
      </c>
      <c r="V238" s="928">
        <f t="shared" si="75"/>
        <v>5.1825207319244011E-2</v>
      </c>
      <c r="W238" s="928">
        <f>W231/W60</f>
        <v>5.4376442950301758E-2</v>
      </c>
      <c r="X238" s="928">
        <f>X231/X60</f>
        <v>6.3433727906058709E-2</v>
      </c>
    </row>
    <row r="239" spans="1:26" s="964" customFormat="1" outlineLevel="1">
      <c r="A239" s="965"/>
      <c r="B239" s="703"/>
      <c r="C239" s="703"/>
      <c r="D239" s="703"/>
      <c r="E239" s="704"/>
      <c r="F239" s="703"/>
      <c r="G239" s="703"/>
      <c r="H239" s="703"/>
      <c r="I239" s="704"/>
      <c r="J239" s="928"/>
      <c r="K239" s="928"/>
      <c r="L239" s="928"/>
      <c r="M239" s="929"/>
      <c r="N239" s="928"/>
      <c r="O239" s="928"/>
      <c r="P239" s="928"/>
      <c r="Q239" s="929"/>
      <c r="R239" s="928"/>
      <c r="S239" s="928"/>
      <c r="T239" s="928"/>
      <c r="U239" s="929"/>
      <c r="V239" s="928"/>
    </row>
    <row r="240" spans="1:26" s="376" customFormat="1" outlineLevel="1">
      <c r="A240" s="1384" t="s">
        <v>1283</v>
      </c>
      <c r="E240" s="110"/>
      <c r="F240" s="89"/>
      <c r="I240" s="829"/>
      <c r="J240" s="830"/>
      <c r="K240" s="830"/>
      <c r="L240" s="830"/>
      <c r="M240" s="831"/>
      <c r="N240" s="830"/>
      <c r="Q240" s="829"/>
      <c r="U240" s="829"/>
    </row>
    <row r="241" spans="1:26" outlineLevel="1">
      <c r="A241" s="925" t="s">
        <v>1284</v>
      </c>
      <c r="B241" s="89">
        <v>250.7216</v>
      </c>
      <c r="C241" s="89">
        <v>282.07490000000001</v>
      </c>
      <c r="D241" s="89">
        <v>291.75790000000001</v>
      </c>
      <c r="E241" s="110">
        <v>301808.40000000002</v>
      </c>
      <c r="F241" s="89">
        <v>209.7381</v>
      </c>
      <c r="G241" s="89">
        <v>329.35359999999997</v>
      </c>
      <c r="H241" s="89">
        <v>315.28969999999998</v>
      </c>
      <c r="I241" s="110">
        <v>311.43130000000002</v>
      </c>
      <c r="J241" s="939">
        <v>318.88069999999999</v>
      </c>
      <c r="K241" s="939">
        <v>369.2534</v>
      </c>
      <c r="L241" s="939">
        <v>341.82100000000003</v>
      </c>
      <c r="M241" s="940">
        <v>378.17200000000003</v>
      </c>
      <c r="N241" s="939">
        <v>455.90600000000001</v>
      </c>
      <c r="O241" s="941">
        <v>649.96600000000001</v>
      </c>
      <c r="P241" s="941">
        <v>621.72</v>
      </c>
      <c r="Q241" s="1049">
        <v>689.64700000000005</v>
      </c>
      <c r="R241" s="941">
        <v>743.18899999999996</v>
      </c>
      <c r="S241" s="941">
        <v>804.73900000000003</v>
      </c>
      <c r="T241" s="941">
        <v>749.09199999999998</v>
      </c>
      <c r="U241" s="1049">
        <v>821.15300000000002</v>
      </c>
      <c r="V241" s="941">
        <f>V33</f>
        <v>839.56100000000004</v>
      </c>
      <c r="W241" s="941">
        <f>W33</f>
        <v>985.62099999999998</v>
      </c>
      <c r="X241" s="941">
        <f>X33</f>
        <v>916.947</v>
      </c>
    </row>
    <row r="242" spans="1:26" outlineLevel="1">
      <c r="A242" s="925" t="s">
        <v>1462</v>
      </c>
      <c r="B242" s="89">
        <v>91.120800000000003</v>
      </c>
      <c r="C242" s="89">
        <v>150.10069999999999</v>
      </c>
      <c r="D242" s="89">
        <v>100.9161</v>
      </c>
      <c r="E242" s="110">
        <v>117344.8</v>
      </c>
      <c r="F242" s="89">
        <v>104.636</v>
      </c>
      <c r="G242" s="89">
        <v>138.529</v>
      </c>
      <c r="H242" s="89">
        <v>116.0317</v>
      </c>
      <c r="I242" s="110">
        <v>143.80930000000001</v>
      </c>
      <c r="J242" s="939">
        <v>158.25989999999999</v>
      </c>
      <c r="K242" s="939">
        <v>196.691</v>
      </c>
      <c r="L242" s="939">
        <v>151.67009999999999</v>
      </c>
      <c r="M242" s="940">
        <v>182.572</v>
      </c>
      <c r="N242" s="939">
        <v>214.21</v>
      </c>
      <c r="O242" s="941">
        <v>374.35129999999998</v>
      </c>
      <c r="P242" s="941">
        <v>342.30250000000001</v>
      </c>
      <c r="Q242" s="1049">
        <v>367.85</v>
      </c>
      <c r="R242" s="941">
        <v>305.12099999999998</v>
      </c>
      <c r="S242" s="941">
        <v>424.05399999999997</v>
      </c>
      <c r="T242" s="941">
        <v>350.24</v>
      </c>
      <c r="U242" s="1049">
        <v>402.20400000000001</v>
      </c>
      <c r="V242" s="941">
        <f>V37</f>
        <v>338.96600000000001</v>
      </c>
      <c r="W242" s="941">
        <f>W37</f>
        <v>454.58499999999998</v>
      </c>
      <c r="X242" s="941">
        <f>X37</f>
        <v>383.71699999999998</v>
      </c>
      <c r="Z242" s="2057">
        <f>X242/T242-1</f>
        <v>9.5583028780264812E-2</v>
      </c>
    </row>
    <row r="243" spans="1:26" s="893" customFormat="1" outlineLevel="1">
      <c r="A243" s="925" t="s">
        <v>1463</v>
      </c>
      <c r="B243" s="89"/>
      <c r="C243" s="89"/>
      <c r="D243" s="89"/>
      <c r="E243" s="110"/>
      <c r="F243" s="89"/>
      <c r="G243" s="89"/>
      <c r="H243" s="89"/>
      <c r="I243" s="110"/>
      <c r="J243" s="939"/>
      <c r="K243" s="939"/>
      <c r="L243" s="939"/>
      <c r="M243" s="940"/>
      <c r="N243" s="939"/>
      <c r="O243" s="941"/>
      <c r="P243" s="941"/>
      <c r="Q243" s="894">
        <v>129.84299999999999</v>
      </c>
      <c r="T243" s="893">
        <v>144.11000000000001</v>
      </c>
      <c r="U243" s="894">
        <v>190.18</v>
      </c>
      <c r="V243" s="893">
        <f>V41</f>
        <v>194.28200000000001</v>
      </c>
      <c r="W243" s="893">
        <f>W41</f>
        <v>253.387</v>
      </c>
      <c r="X243" s="893">
        <f>X41</f>
        <v>192.25399999999999</v>
      </c>
    </row>
    <row r="244" spans="1:26">
      <c r="B244" s="89"/>
      <c r="C244" s="89"/>
      <c r="D244" s="89"/>
      <c r="E244" s="110"/>
      <c r="F244" s="89"/>
      <c r="G244" s="89"/>
      <c r="H244" s="89"/>
      <c r="I244" s="110"/>
      <c r="J244" s="939"/>
      <c r="K244" s="939"/>
      <c r="L244" s="939"/>
      <c r="M244" s="940"/>
      <c r="N244" s="939"/>
      <c r="O244" s="941"/>
      <c r="P244" s="941"/>
      <c r="Q244" s="1049"/>
      <c r="W244" s="941"/>
      <c r="X244" s="941"/>
    </row>
    <row r="245" spans="1:26">
      <c r="A245" s="1384" t="s">
        <v>1285</v>
      </c>
    </row>
    <row r="246" spans="1:26" s="27" customFormat="1">
      <c r="A246" s="452" t="s">
        <v>1284</v>
      </c>
      <c r="B246" s="211">
        <v>6.4000000000000001E-2</v>
      </c>
      <c r="C246" s="211">
        <v>5.8000000000000003E-2</v>
      </c>
      <c r="D246" s="211">
        <v>6.2E-2</v>
      </c>
      <c r="E246" s="446">
        <v>0.06</v>
      </c>
      <c r="F246" s="211">
        <v>6.2E-2</v>
      </c>
      <c r="G246" s="211">
        <v>5.5E-2</v>
      </c>
      <c r="H246" s="211">
        <v>5.8000000000000003E-2</v>
      </c>
      <c r="I246" s="446">
        <v>5.5E-2</v>
      </c>
      <c r="J246" s="211">
        <v>7.0000000000000007E-2</v>
      </c>
      <c r="K246" s="211">
        <v>6.5000000000000002E-2</v>
      </c>
      <c r="L246" s="211">
        <v>6.9000000000000006E-2</v>
      </c>
      <c r="M246" s="446">
        <v>0.10100000000000001</v>
      </c>
      <c r="N246" s="211">
        <f>N222/N241</f>
        <v>7.2080648203796394E-2</v>
      </c>
      <c r="O246" s="211">
        <f>O222/O241</f>
        <v>7.0177516977811147E-2</v>
      </c>
      <c r="P246" s="211">
        <v>7.5999999999999998E-2</v>
      </c>
      <c r="Q246" s="446">
        <v>7.3999999999999996E-2</v>
      </c>
      <c r="R246" s="211">
        <f t="shared" ref="R246:W246" si="76">R222/R241</f>
        <v>7.8714835660915333E-2</v>
      </c>
      <c r="S246" s="211">
        <f t="shared" si="76"/>
        <v>6.7597071845654305E-2</v>
      </c>
      <c r="T246" s="211">
        <f t="shared" si="76"/>
        <v>7.5447341581541386E-2</v>
      </c>
      <c r="U246" s="446">
        <f t="shared" si="76"/>
        <v>7.3998390068598666E-2</v>
      </c>
      <c r="V246" s="211">
        <f t="shared" si="76"/>
        <v>7.4412699017700909E-2</v>
      </c>
      <c r="W246" s="211">
        <f t="shared" si="76"/>
        <v>6.5981751606347672E-2</v>
      </c>
      <c r="X246" s="211">
        <f>X222/X241</f>
        <v>7.1925640195125776E-2</v>
      </c>
      <c r="Y246" s="444" t="s">
        <v>1286</v>
      </c>
      <c r="Z246" s="733" t="s">
        <v>1287</v>
      </c>
    </row>
    <row r="247" spans="1:26" s="444" customFormat="1">
      <c r="A247" s="707" t="s">
        <v>1267</v>
      </c>
      <c r="B247" s="444">
        <v>0.121</v>
      </c>
      <c r="C247" s="444">
        <v>0.11899999999999999</v>
      </c>
      <c r="D247" s="444">
        <v>0.124</v>
      </c>
      <c r="E247" s="445">
        <v>0.13400000000000001</v>
      </c>
      <c r="F247" s="444">
        <v>0.157</v>
      </c>
      <c r="G247" s="444">
        <v>0.13300000000000001</v>
      </c>
      <c r="H247" s="444">
        <v>0.11600000000000001</v>
      </c>
      <c r="I247" s="445">
        <v>0.123</v>
      </c>
      <c r="J247" s="444">
        <v>0.17599999999999999</v>
      </c>
      <c r="K247" s="444">
        <v>0.13300000000000001</v>
      </c>
      <c r="L247" s="444">
        <v>0.183</v>
      </c>
      <c r="M247" s="445">
        <v>0.19400000000000001</v>
      </c>
      <c r="N247" s="444">
        <f>N225/N242</f>
        <v>0.20510246953923719</v>
      </c>
      <c r="O247" s="444">
        <f>O225/O242</f>
        <v>0.21707684733564439</v>
      </c>
      <c r="P247" s="444">
        <v>0.23100000000000001</v>
      </c>
      <c r="Q247" s="445">
        <v>0.22800000000000001</v>
      </c>
      <c r="R247" s="444">
        <f t="shared" ref="R247:W247" si="77">R225/R242</f>
        <v>0.22745074904709939</v>
      </c>
      <c r="S247" s="444">
        <f t="shared" si="77"/>
        <v>0.22129021303890542</v>
      </c>
      <c r="T247" s="444">
        <f t="shared" si="77"/>
        <v>0.24403266331658291</v>
      </c>
      <c r="U247" s="445">
        <f t="shared" si="77"/>
        <v>0.23731738122942586</v>
      </c>
      <c r="V247" s="444">
        <f t="shared" si="77"/>
        <v>0.22673660485122399</v>
      </c>
      <c r="W247" s="444">
        <f t="shared" si="77"/>
        <v>0.22300559851292939</v>
      </c>
      <c r="X247" s="444">
        <f>X225/X242</f>
        <v>0.22691202109888275</v>
      </c>
      <c r="Y247" s="444" t="s">
        <v>1288</v>
      </c>
      <c r="Z247" s="733" t="s">
        <v>1287</v>
      </c>
    </row>
    <row r="248" spans="1:26" s="444" customFormat="1">
      <c r="A248" s="707" t="s">
        <v>1872</v>
      </c>
      <c r="B248" s="444">
        <f>SUM(B222:B225)/SUM(B241:B242)</f>
        <v>8.0580115281193909E-2</v>
      </c>
      <c r="C248" s="444">
        <f>SUM(C222:C225)/SUM(C241:C242)</f>
        <v>8.0030200686942998E-2</v>
      </c>
      <c r="D248" s="444">
        <f>SUM(D222:D225)/SUM(D241:D242)</f>
        <v>7.8709056367368371E-2</v>
      </c>
      <c r="E248" s="445">
        <v>8.1000000000000003E-2</v>
      </c>
      <c r="F248" s="444">
        <f t="shared" ref="F248:P248" si="78">SUM(F222:F225)/SUM(F241:F242)</f>
        <v>0.1127933688519966</v>
      </c>
      <c r="G248" s="444">
        <f t="shared" si="78"/>
        <v>7.8897043657141938E-2</v>
      </c>
      <c r="H248" s="444">
        <f t="shared" si="78"/>
        <v>7.3389338185107761E-2</v>
      </c>
      <c r="I248" s="445">
        <f t="shared" si="78"/>
        <v>7.6054237226229476E-2</v>
      </c>
      <c r="J248" s="444">
        <f t="shared" si="78"/>
        <v>0.10581338949977023</v>
      </c>
      <c r="K248" s="444">
        <f t="shared" si="78"/>
        <v>0.10209825088292047</v>
      </c>
      <c r="L248" s="444">
        <f t="shared" si="78"/>
        <v>0.1051688112172238</v>
      </c>
      <c r="M248" s="445">
        <f t="shared" si="78"/>
        <v>0.13382142557086252</v>
      </c>
      <c r="N248" s="444">
        <f t="shared" si="78"/>
        <v>0.11602405711325682</v>
      </c>
      <c r="O248" s="444">
        <f t="shared" si="78"/>
        <v>0.12559300924362324</v>
      </c>
      <c r="P248" s="444">
        <f t="shared" si="78"/>
        <v>0.13297562591150805</v>
      </c>
      <c r="Q248" s="445">
        <f>(Q222+Q225+Q228)/(Q241+Q242+Q243)</f>
        <v>0.12327471490895614</v>
      </c>
      <c r="R248" s="444">
        <f t="shared" ref="R248:W248" si="79">SUM(R222:R225)/SUM(R241:R242)</f>
        <v>0.12345410386889662</v>
      </c>
      <c r="S248" s="444">
        <f t="shared" si="79"/>
        <v>0.12098750448714791</v>
      </c>
      <c r="T248" s="444">
        <f t="shared" si="79"/>
        <v>0.12961974625540121</v>
      </c>
      <c r="U248" s="445">
        <f t="shared" si="79"/>
        <v>0.12811405756925903</v>
      </c>
      <c r="V248" s="444">
        <f t="shared" si="79"/>
        <v>0.11842404257512268</v>
      </c>
      <c r="W248" s="444">
        <f t="shared" si="79"/>
        <v>0.11584836024232539</v>
      </c>
      <c r="X248" s="444">
        <f>SUM(X222:X225)/SUM(X241:X242)</f>
        <v>0.11790972989214048</v>
      </c>
    </row>
    <row r="249" spans="1:26" s="444" customFormat="1">
      <c r="A249" s="707"/>
      <c r="E249" s="445"/>
      <c r="I249" s="445"/>
      <c r="M249" s="445"/>
      <c r="Q249" s="445"/>
      <c r="U249" s="445"/>
    </row>
    <row r="250" spans="1:26" s="964" customFormat="1">
      <c r="A250" s="932"/>
      <c r="B250" s="703"/>
      <c r="C250" s="703"/>
      <c r="D250" s="703"/>
      <c r="E250" s="704"/>
      <c r="F250" s="703"/>
      <c r="G250" s="703"/>
      <c r="H250" s="703"/>
      <c r="I250" s="704"/>
      <c r="J250" s="928"/>
      <c r="K250" s="928"/>
      <c r="L250" s="928"/>
      <c r="M250" s="929"/>
      <c r="N250" s="911"/>
      <c r="O250" s="928"/>
      <c r="Q250" s="972"/>
      <c r="U250" s="972"/>
    </row>
    <row r="251" spans="1:26" s="900" customFormat="1" ht="11.25" customHeight="1">
      <c r="A251" s="1376" t="s">
        <v>1464</v>
      </c>
      <c r="B251" s="1377">
        <v>3</v>
      </c>
      <c r="C251" s="1377">
        <v>3.2</v>
      </c>
      <c r="D251" s="1377">
        <v>4.0999999999999996</v>
      </c>
      <c r="E251" s="1378">
        <v>5.5</v>
      </c>
      <c r="F251" s="1377">
        <v>7</v>
      </c>
      <c r="G251" s="1377">
        <v>8.5</v>
      </c>
      <c r="H251" s="1377">
        <v>12.5</v>
      </c>
      <c r="I251" s="1378">
        <v>15</v>
      </c>
      <c r="J251" s="1379">
        <v>18.5</v>
      </c>
      <c r="K251" s="1379">
        <v>23</v>
      </c>
      <c r="L251" s="1379">
        <v>27.5</v>
      </c>
      <c r="M251" s="1380">
        <v>33.5</v>
      </c>
      <c r="N251" s="1379">
        <v>71</v>
      </c>
      <c r="O251" s="1379">
        <v>90</v>
      </c>
      <c r="P251" s="1379">
        <v>101</v>
      </c>
      <c r="Q251" s="1380">
        <v>115</v>
      </c>
      <c r="U251" s="1972"/>
    </row>
    <row r="252" spans="1:26" s="1713" customFormat="1">
      <c r="A252" s="925" t="s">
        <v>1465</v>
      </c>
      <c r="B252" s="1489"/>
      <c r="C252" s="1489"/>
      <c r="D252" s="1489"/>
      <c r="E252" s="1490"/>
      <c r="F252" s="1489"/>
      <c r="G252" s="1489"/>
      <c r="H252" s="1489"/>
      <c r="I252" s="1490"/>
      <c r="J252" s="1673"/>
      <c r="K252" s="1673"/>
      <c r="M252" s="1714"/>
      <c r="P252" s="1713">
        <v>154</v>
      </c>
      <c r="Q252" s="1714"/>
      <c r="R252" s="1713">
        <v>167</v>
      </c>
      <c r="S252" s="1713">
        <v>204</v>
      </c>
      <c r="U252" s="1714"/>
    </row>
    <row r="253" spans="1:26" s="1713" customFormat="1">
      <c r="A253" s="942" t="s">
        <v>1466</v>
      </c>
      <c r="B253" s="1684"/>
      <c r="C253" s="1684"/>
      <c r="D253" s="1684"/>
      <c r="E253" s="1685"/>
      <c r="F253" s="1684"/>
      <c r="G253" s="1684"/>
      <c r="H253" s="1684"/>
      <c r="I253" s="1685"/>
      <c r="J253" s="1686"/>
      <c r="K253" s="1686"/>
      <c r="L253" s="1743"/>
      <c r="M253" s="1744"/>
      <c r="N253" s="1745"/>
      <c r="O253" s="1745"/>
      <c r="P253" s="1745">
        <v>87</v>
      </c>
      <c r="Q253" s="1744">
        <v>94</v>
      </c>
      <c r="U253" s="1714"/>
    </row>
    <row r="254" spans="1:26" s="1713" customFormat="1" ht="12.75" customHeight="1">
      <c r="A254" s="942" t="s">
        <v>1467</v>
      </c>
      <c r="B254" s="1489"/>
      <c r="C254" s="1489"/>
      <c r="D254" s="1489"/>
      <c r="E254" s="1490"/>
      <c r="F254" s="1489"/>
      <c r="G254" s="1489"/>
      <c r="H254" s="1489"/>
      <c r="I254" s="1490"/>
      <c r="J254" s="1673"/>
      <c r="K254" s="1673"/>
      <c r="L254" s="1713">
        <v>5.4</v>
      </c>
      <c r="M254" s="1714">
        <v>7</v>
      </c>
      <c r="N254" s="1713">
        <v>11</v>
      </c>
      <c r="O254" s="1713">
        <v>15</v>
      </c>
      <c r="P254" s="1713">
        <v>15</v>
      </c>
      <c r="Q254" s="1714">
        <v>17</v>
      </c>
      <c r="R254" s="1713">
        <v>18</v>
      </c>
      <c r="S254" s="1745">
        <v>21</v>
      </c>
      <c r="U254" s="1714"/>
    </row>
    <row r="255" spans="1:26" s="1470" customFormat="1">
      <c r="A255" s="702" t="s">
        <v>1911</v>
      </c>
      <c r="B255" s="1551">
        <v>0.19</v>
      </c>
      <c r="C255" s="1551">
        <v>0.28999999999999998</v>
      </c>
      <c r="D255" s="1551">
        <v>0.33</v>
      </c>
      <c r="E255" s="1554">
        <v>0.4</v>
      </c>
      <c r="F255" s="1551">
        <v>0.4</v>
      </c>
      <c r="G255" s="1551"/>
      <c r="H255" s="1551">
        <v>0.47</v>
      </c>
      <c r="I255" s="1554"/>
      <c r="J255" s="1693"/>
      <c r="K255" s="1551"/>
      <c r="L255" s="1551"/>
      <c r="M255" s="1554"/>
      <c r="N255" s="1551"/>
      <c r="O255" s="1551"/>
      <c r="P255" s="1551"/>
      <c r="Q255" s="1554"/>
      <c r="U255" s="1471"/>
    </row>
    <row r="256" spans="1:26" s="1468" customFormat="1">
      <c r="A256" s="1381" t="s">
        <v>1912</v>
      </c>
      <c r="B256" s="1472">
        <v>0.15</v>
      </c>
      <c r="C256" s="1472">
        <v>0.14000000000000001</v>
      </c>
      <c r="D256" s="1472"/>
      <c r="E256" s="1540">
        <v>0.2</v>
      </c>
      <c r="F256" s="1472">
        <v>0.38</v>
      </c>
      <c r="G256" s="1472">
        <v>0.43</v>
      </c>
      <c r="H256" s="1472">
        <v>0.54</v>
      </c>
      <c r="I256" s="1540"/>
      <c r="J256" s="1472">
        <v>0.7</v>
      </c>
      <c r="K256" s="1472"/>
      <c r="L256" s="1472"/>
      <c r="M256" s="1540"/>
      <c r="N256" s="1472"/>
      <c r="O256" s="1472"/>
      <c r="P256" s="1472"/>
      <c r="Q256" s="1540"/>
      <c r="U256" s="1469">
        <v>0.66700000000000004</v>
      </c>
    </row>
    <row r="257" spans="1:22">
      <c r="A257" s="942"/>
      <c r="B257" s="703"/>
      <c r="C257" s="703"/>
      <c r="D257" s="703"/>
      <c r="E257" s="704"/>
      <c r="F257" s="703"/>
      <c r="G257" s="703"/>
      <c r="H257" s="703"/>
      <c r="I257" s="704"/>
      <c r="J257" s="928"/>
      <c r="K257" s="928"/>
      <c r="L257" s="666"/>
      <c r="M257" s="929"/>
      <c r="N257" s="928"/>
      <c r="O257" s="885"/>
      <c r="P257" s="885"/>
      <c r="Q257" s="886"/>
    </row>
    <row r="258" spans="1:22" s="1742" customFormat="1">
      <c r="A258" s="1382" t="s">
        <v>1468</v>
      </c>
      <c r="B258" s="1746"/>
      <c r="C258" s="1746"/>
      <c r="D258" s="1746"/>
      <c r="E258" s="1747"/>
      <c r="F258" s="1746"/>
      <c r="G258" s="1746"/>
      <c r="H258" s="1746"/>
      <c r="I258" s="1747"/>
      <c r="J258" s="1748"/>
      <c r="K258" s="1748"/>
      <c r="L258" s="1749"/>
      <c r="M258" s="1750"/>
      <c r="N258" s="1748"/>
      <c r="O258" s="1748"/>
      <c r="P258" s="1748">
        <v>27</v>
      </c>
      <c r="Q258" s="1750"/>
      <c r="R258" s="1742">
        <v>31</v>
      </c>
      <c r="U258" s="1741">
        <v>37</v>
      </c>
    </row>
    <row r="259" spans="1:22" s="1673" customFormat="1">
      <c r="A259" s="925" t="s">
        <v>1289</v>
      </c>
      <c r="E259" s="1674"/>
      <c r="I259" s="1674"/>
      <c r="M259" s="1674"/>
      <c r="Q259" s="1674"/>
      <c r="U259" s="1674"/>
    </row>
    <row r="261" spans="1:22" s="1466" customFormat="1">
      <c r="A261" s="832" t="s">
        <v>1469</v>
      </c>
      <c r="E261" s="1478"/>
      <c r="I261" s="1478"/>
      <c r="M261" s="1478"/>
      <c r="Q261" s="1478"/>
      <c r="U261" s="1478"/>
    </row>
    <row r="262" spans="1:22" s="1470" customFormat="1">
      <c r="A262" s="731" t="s">
        <v>1470</v>
      </c>
      <c r="B262" s="1470">
        <v>0.15</v>
      </c>
      <c r="C262" s="1470">
        <v>0.13</v>
      </c>
      <c r="D262" s="1470">
        <v>0.16</v>
      </c>
      <c r="E262" s="1471"/>
      <c r="I262" s="1471"/>
      <c r="J262" s="1470">
        <v>0.43</v>
      </c>
      <c r="K262" s="1470">
        <v>0.44</v>
      </c>
      <c r="L262" s="1470">
        <v>0.49</v>
      </c>
      <c r="M262" s="1471">
        <v>0.52</v>
      </c>
      <c r="N262" s="1470">
        <v>0.56999999999999995</v>
      </c>
      <c r="O262" s="1470">
        <v>0.59</v>
      </c>
      <c r="P262" s="1470">
        <v>0.59</v>
      </c>
      <c r="Q262" s="1471">
        <v>0.62</v>
      </c>
      <c r="S262" s="1466"/>
      <c r="U262" s="1471"/>
    </row>
    <row r="263" spans="1:22" s="1470" customFormat="1">
      <c r="A263" s="731" t="s">
        <v>1909</v>
      </c>
      <c r="B263" s="1470">
        <v>0.27</v>
      </c>
      <c r="C263" s="1470">
        <v>0.25</v>
      </c>
      <c r="D263" s="1470">
        <v>0.34</v>
      </c>
      <c r="E263" s="1471">
        <v>0.34</v>
      </c>
      <c r="F263" s="1470">
        <v>0.38</v>
      </c>
      <c r="I263" s="1471">
        <v>0.61</v>
      </c>
      <c r="J263" s="1470">
        <v>0.74</v>
      </c>
      <c r="K263" s="1470">
        <v>0.73</v>
      </c>
      <c r="L263" s="1470">
        <v>0.76</v>
      </c>
      <c r="M263" s="1471">
        <v>0.74</v>
      </c>
      <c r="N263" s="1470">
        <v>0.77</v>
      </c>
      <c r="O263" s="1470">
        <v>0.78</v>
      </c>
      <c r="P263" s="1470">
        <v>0.79</v>
      </c>
      <c r="Q263" s="1471">
        <v>0.76</v>
      </c>
      <c r="S263" s="1466"/>
      <c r="U263" s="1471"/>
    </row>
    <row r="264" spans="1:22" s="1470" customFormat="1">
      <c r="A264" s="732" t="s">
        <v>1910</v>
      </c>
      <c r="E264" s="1471"/>
      <c r="I264" s="1471"/>
      <c r="M264" s="1471"/>
      <c r="N264" s="1470">
        <v>0.5</v>
      </c>
      <c r="O264" s="1470">
        <v>0.47</v>
      </c>
      <c r="P264" s="1470">
        <v>0.74</v>
      </c>
      <c r="Q264" s="1471">
        <v>0.6</v>
      </c>
      <c r="S264" s="1466"/>
      <c r="U264" s="1471"/>
    </row>
    <row r="265" spans="1:22" s="1466" customFormat="1">
      <c r="A265" s="832"/>
      <c r="E265" s="1478"/>
      <c r="I265" s="1478"/>
      <c r="M265" s="1478"/>
      <c r="Q265" s="1478"/>
      <c r="U265" s="1478"/>
    </row>
    <row r="266" spans="1:22" s="1751" customFormat="1">
      <c r="A266" s="832" t="s">
        <v>1290</v>
      </c>
      <c r="E266" s="1752"/>
      <c r="I266" s="1752"/>
      <c r="M266" s="1752"/>
      <c r="N266" s="1751">
        <v>0.158</v>
      </c>
      <c r="Q266" s="1752"/>
      <c r="S266" s="1466"/>
      <c r="U266" s="1752"/>
    </row>
    <row r="267" spans="1:22" s="1466" customFormat="1">
      <c r="A267" s="832" t="s">
        <v>1291</v>
      </c>
      <c r="E267" s="1478"/>
      <c r="I267" s="1478"/>
      <c r="M267" s="1478"/>
      <c r="Q267" s="1478"/>
      <c r="U267" s="1478"/>
    </row>
    <row r="268" spans="1:22" s="376" customFormat="1">
      <c r="A268" s="832"/>
      <c r="E268" s="829"/>
      <c r="I268" s="829"/>
      <c r="M268" s="829"/>
      <c r="Q268" s="829"/>
      <c r="U268" s="829"/>
    </row>
    <row r="269" spans="1:22" s="878" customFormat="1">
      <c r="A269" s="943"/>
      <c r="B269" s="870"/>
      <c r="C269" s="870"/>
      <c r="D269" s="870"/>
      <c r="E269" s="871"/>
      <c r="F269" s="870"/>
      <c r="G269" s="870"/>
      <c r="H269" s="870"/>
      <c r="I269" s="871"/>
      <c r="J269" s="944"/>
      <c r="K269" s="944"/>
      <c r="L269" s="944"/>
      <c r="M269" s="945"/>
      <c r="N269" s="944"/>
      <c r="O269" s="944"/>
      <c r="P269" s="944"/>
      <c r="Q269" s="945"/>
      <c r="U269" s="1967"/>
    </row>
    <row r="270" spans="1:22" s="878" customFormat="1">
      <c r="A270" s="875" t="s">
        <v>1292</v>
      </c>
      <c r="B270" s="870"/>
      <c r="C270" s="870"/>
      <c r="D270" s="870"/>
      <c r="E270" s="871"/>
      <c r="F270" s="870"/>
      <c r="G270" s="870"/>
      <c r="H270" s="870"/>
      <c r="I270" s="871"/>
      <c r="J270" s="872"/>
      <c r="K270" s="872"/>
      <c r="L270" s="872"/>
      <c r="M270" s="873"/>
      <c r="N270" s="872"/>
      <c r="O270" s="872"/>
      <c r="P270" s="872"/>
      <c r="Q270" s="873"/>
      <c r="U270" s="1967"/>
    </row>
    <row r="271" spans="1:22">
      <c r="A271" s="925" t="s">
        <v>1293</v>
      </c>
      <c r="B271" s="89">
        <f t="shared" ref="B271:V271" si="80">B272*B97</f>
        <v>1037.4196081199998</v>
      </c>
      <c r="C271" s="89">
        <f t="shared" si="80"/>
        <v>1464.44741247</v>
      </c>
      <c r="D271" s="89">
        <f t="shared" si="80"/>
        <v>1162.9667191999999</v>
      </c>
      <c r="E271" s="110">
        <f t="shared" si="80"/>
        <v>1087.4063698599998</v>
      </c>
      <c r="F271" s="89">
        <f t="shared" si="80"/>
        <v>920.61080928000001</v>
      </c>
      <c r="G271" s="89">
        <f t="shared" si="80"/>
        <v>825.22931712000002</v>
      </c>
      <c r="H271" s="89">
        <f t="shared" si="80"/>
        <v>574.26509249999992</v>
      </c>
      <c r="I271" s="110">
        <f t="shared" si="80"/>
        <v>712.29581279999991</v>
      </c>
      <c r="J271" s="734">
        <f t="shared" si="80"/>
        <v>753.55369334999989</v>
      </c>
      <c r="K271" s="734">
        <f t="shared" si="80"/>
        <v>619.34882549999998</v>
      </c>
      <c r="L271" s="734">
        <f t="shared" si="80"/>
        <v>982.41298840000002</v>
      </c>
      <c r="M271" s="110">
        <f t="shared" si="80"/>
        <v>1104.4981295999999</v>
      </c>
      <c r="N271" s="89">
        <f t="shared" si="80"/>
        <v>2700.9624308000002</v>
      </c>
      <c r="O271" s="89">
        <f t="shared" si="80"/>
        <v>3268.6638055499998</v>
      </c>
      <c r="P271" s="946">
        <f t="shared" si="80"/>
        <v>2906.8047162500002</v>
      </c>
      <c r="Q271" s="1050">
        <f t="shared" si="80"/>
        <v>3025.1409069000001</v>
      </c>
      <c r="R271" s="946">
        <f t="shared" si="80"/>
        <v>3527.8011780000002</v>
      </c>
      <c r="S271" s="89">
        <f t="shared" si="80"/>
        <v>3228.8990265000002</v>
      </c>
      <c r="T271" s="89">
        <f t="shared" si="80"/>
        <v>2875.22474895</v>
      </c>
      <c r="U271" s="110">
        <f t="shared" si="80"/>
        <v>0</v>
      </c>
      <c r="V271" s="89">
        <f t="shared" si="80"/>
        <v>0</v>
      </c>
    </row>
    <row r="272" spans="1:22" s="1673" customFormat="1">
      <c r="A272" s="925" t="s">
        <v>1471</v>
      </c>
      <c r="B272" s="1753">
        <v>27.08</v>
      </c>
      <c r="C272" s="1753">
        <v>35.130000000000003</v>
      </c>
      <c r="D272" s="1753">
        <v>27.83</v>
      </c>
      <c r="E272" s="1754">
        <v>25.99</v>
      </c>
      <c r="F272" s="1753">
        <v>21.96</v>
      </c>
      <c r="G272" s="1753">
        <v>19.68</v>
      </c>
      <c r="H272" s="1753">
        <v>13.75</v>
      </c>
      <c r="I272" s="1754">
        <v>17.16</v>
      </c>
      <c r="J272" s="1673">
        <v>18.09</v>
      </c>
      <c r="K272" s="1673">
        <v>14.86</v>
      </c>
      <c r="L272" s="1673">
        <v>23.6</v>
      </c>
      <c r="M272" s="1674">
        <v>22.2</v>
      </c>
      <c r="N272" s="1673">
        <v>34.6</v>
      </c>
      <c r="O272" s="1673">
        <v>33.549999999999997</v>
      </c>
      <c r="P272" s="1673">
        <v>28.75</v>
      </c>
      <c r="Q272" s="1674">
        <v>29.85</v>
      </c>
      <c r="R272" s="1673">
        <v>34.700000000000003</v>
      </c>
      <c r="S272" s="1673">
        <v>31.5</v>
      </c>
      <c r="T272" s="1673">
        <v>27.45</v>
      </c>
      <c r="U272" s="1674"/>
    </row>
    <row r="273" spans="1:22">
      <c r="B273" s="89"/>
      <c r="C273" s="89"/>
      <c r="D273" s="89"/>
      <c r="E273" s="110"/>
      <c r="F273" s="89"/>
      <c r="G273" s="89"/>
      <c r="H273" s="89"/>
      <c r="I273" s="110"/>
    </row>
    <row r="274" spans="1:22">
      <c r="A274" s="925" t="s">
        <v>1294</v>
      </c>
      <c r="B274" s="89">
        <f t="shared" ref="B274:T274" si="81">B271+B141-B133</f>
        <v>970.21235311999988</v>
      </c>
      <c r="C274" s="89">
        <f t="shared" si="81"/>
        <v>1392.71601147</v>
      </c>
      <c r="D274" s="89">
        <f t="shared" si="81"/>
        <v>1095.8332522000001</v>
      </c>
      <c r="E274" s="110">
        <f t="shared" si="81"/>
        <v>1017.3636068599999</v>
      </c>
      <c r="F274" s="89">
        <f t="shared" si="81"/>
        <v>778.62480928000002</v>
      </c>
      <c r="G274" s="89">
        <f t="shared" si="81"/>
        <v>697.02331712</v>
      </c>
      <c r="H274" s="89">
        <f t="shared" si="81"/>
        <v>467.73009249999996</v>
      </c>
      <c r="I274" s="110">
        <f t="shared" si="81"/>
        <v>627.84581279999986</v>
      </c>
      <c r="J274" s="89">
        <f t="shared" si="81"/>
        <v>748.86469334999981</v>
      </c>
      <c r="K274" s="89">
        <f t="shared" si="81"/>
        <v>624.80282549999993</v>
      </c>
      <c r="L274" s="89">
        <f t="shared" si="81"/>
        <v>1022.3809884000001</v>
      </c>
      <c r="M274" s="657">
        <f t="shared" si="81"/>
        <v>971.47812959999987</v>
      </c>
      <c r="N274" s="89">
        <f t="shared" si="81"/>
        <v>2524.4964307999999</v>
      </c>
      <c r="O274" s="89">
        <f t="shared" si="81"/>
        <v>2777.1568055499997</v>
      </c>
      <c r="P274" s="89">
        <f t="shared" si="81"/>
        <v>2466.2667162500002</v>
      </c>
      <c r="Q274" s="657">
        <f t="shared" si="81"/>
        <v>2610.6809069000001</v>
      </c>
      <c r="R274" s="638">
        <f t="shared" si="81"/>
        <v>3138.6361780000002</v>
      </c>
      <c r="S274" s="638">
        <f t="shared" si="81"/>
        <v>2873.6830265000003</v>
      </c>
      <c r="T274" s="638">
        <f t="shared" si="81"/>
        <v>2543.7977489499999</v>
      </c>
      <c r="U274" s="657"/>
      <c r="V274" s="638"/>
    </row>
    <row r="275" spans="1:22">
      <c r="A275" s="925" t="s">
        <v>1295</v>
      </c>
      <c r="B275" s="129"/>
      <c r="C275" s="129"/>
      <c r="D275" s="129"/>
      <c r="E275" s="697">
        <f t="shared" ref="E275:T275" si="82">E274/SUM(B60:E60)</f>
        <v>7.7596497649006668</v>
      </c>
      <c r="F275" s="129">
        <f t="shared" si="82"/>
        <v>5.6037217521975871</v>
      </c>
      <c r="G275" s="129">
        <f t="shared" si="82"/>
        <v>4.820016389028833</v>
      </c>
      <c r="H275" s="129">
        <f t="shared" si="82"/>
        <v>3.208796075084674</v>
      </c>
      <c r="I275" s="408">
        <f t="shared" si="82"/>
        <v>4.2717283166753974</v>
      </c>
      <c r="J275" s="637">
        <f t="shared" si="82"/>
        <v>4.6204539435203236</v>
      </c>
      <c r="K275" s="637">
        <f t="shared" si="82"/>
        <v>3.4744275144720818</v>
      </c>
      <c r="L275" s="637">
        <f t="shared" si="82"/>
        <v>5.1164841953548441</v>
      </c>
      <c r="M275" s="657">
        <f t="shared" si="82"/>
        <v>4.046577845164407</v>
      </c>
      <c r="N275" s="637">
        <f t="shared" si="82"/>
        <v>9.2236905439226593</v>
      </c>
      <c r="O275" s="637">
        <f t="shared" si="82"/>
        <v>7.7604126885503346</v>
      </c>
      <c r="P275" s="637">
        <f t="shared" si="82"/>
        <v>5.5392596168531609</v>
      </c>
      <c r="Q275" s="657">
        <f t="shared" si="82"/>
        <v>5.2464397960250002</v>
      </c>
      <c r="R275" s="638">
        <f t="shared" si="82"/>
        <v>5.6265202741341893</v>
      </c>
      <c r="S275" s="637">
        <f t="shared" si="82"/>
        <v>4.9188792251140434</v>
      </c>
      <c r="T275" s="637">
        <f t="shared" si="82"/>
        <v>4.2183601959272341</v>
      </c>
      <c r="U275" s="1008"/>
      <c r="V275" s="637"/>
    </row>
    <row r="276" spans="1:22">
      <c r="A276" s="925" t="s">
        <v>1296</v>
      </c>
      <c r="B276" s="129"/>
      <c r="C276" s="129"/>
      <c r="D276" s="129"/>
      <c r="E276" s="697">
        <f t="shared" ref="E276:T276" si="83">E271/SUM(B60:E60)</f>
        <v>8.2938808950306591</v>
      </c>
      <c r="F276" s="129">
        <f t="shared" si="83"/>
        <v>6.6255875176145276</v>
      </c>
      <c r="G276" s="129">
        <f t="shared" si="83"/>
        <v>5.7065793001881504</v>
      </c>
      <c r="H276" s="129">
        <f t="shared" si="83"/>
        <v>3.9396643586111302</v>
      </c>
      <c r="I276" s="408">
        <f t="shared" si="83"/>
        <v>4.8463080128183318</v>
      </c>
      <c r="J276" s="637">
        <f t="shared" si="83"/>
        <v>4.6493848154569468</v>
      </c>
      <c r="K276" s="637">
        <f t="shared" si="83"/>
        <v>3.4440987021003289</v>
      </c>
      <c r="L276" s="637">
        <f t="shared" si="83"/>
        <v>4.9164651783346107</v>
      </c>
      <c r="M276" s="657">
        <f t="shared" si="83"/>
        <v>4.6006570040904053</v>
      </c>
      <c r="N276" s="637">
        <f t="shared" si="83"/>
        <v>9.8684400296678447</v>
      </c>
      <c r="O276" s="637">
        <f t="shared" si="83"/>
        <v>9.1338667015497599</v>
      </c>
      <c r="P276" s="637">
        <f t="shared" si="83"/>
        <v>6.5287123540655037</v>
      </c>
      <c r="Q276" s="657">
        <f t="shared" si="83"/>
        <v>6.079341064086333</v>
      </c>
      <c r="R276" s="638">
        <f t="shared" si="83"/>
        <v>6.3241623830958957</v>
      </c>
      <c r="S276" s="637">
        <f t="shared" si="83"/>
        <v>5.5269019564715061</v>
      </c>
      <c r="T276" s="637">
        <f t="shared" si="83"/>
        <v>4.7679630349236364</v>
      </c>
      <c r="U276" s="1008"/>
      <c r="V276" s="637"/>
    </row>
    <row r="277" spans="1:22">
      <c r="B277" s="89"/>
      <c r="C277" s="89"/>
      <c r="D277" s="89"/>
      <c r="E277" s="110"/>
      <c r="F277" s="89"/>
      <c r="G277" s="89"/>
      <c r="H277" s="89"/>
      <c r="I277" s="110"/>
    </row>
    <row r="278" spans="1:22" s="950" customFormat="1" hidden="1">
      <c r="A278" s="947" t="s">
        <v>1297</v>
      </c>
      <c r="B278" s="948"/>
      <c r="C278" s="948"/>
      <c r="D278" s="948"/>
      <c r="E278" s="949"/>
      <c r="F278" s="948"/>
      <c r="G278" s="948"/>
      <c r="H278" s="948"/>
      <c r="I278" s="949"/>
      <c r="M278" s="951"/>
      <c r="Q278" s="951"/>
      <c r="U278" s="951"/>
    </row>
    <row r="279" spans="1:22" hidden="1">
      <c r="A279" s="925" t="s">
        <v>1298</v>
      </c>
      <c r="B279" s="89"/>
      <c r="C279" s="89"/>
      <c r="D279" s="89"/>
      <c r="E279" s="110"/>
      <c r="F279" s="89"/>
      <c r="G279" s="89"/>
      <c r="H279" s="89"/>
      <c r="I279" s="110"/>
    </row>
    <row r="280" spans="1:22" hidden="1">
      <c r="A280" s="925" t="s">
        <v>11</v>
      </c>
      <c r="B280" s="89"/>
      <c r="C280" s="89"/>
      <c r="D280" s="89"/>
      <c r="E280" s="110"/>
      <c r="F280" s="89"/>
      <c r="G280" s="89"/>
      <c r="H280" s="89"/>
      <c r="I280" s="110"/>
    </row>
    <row r="281" spans="1:22" hidden="1">
      <c r="A281" s="925" t="s">
        <v>1299</v>
      </c>
      <c r="B281" s="89"/>
      <c r="C281" s="89"/>
      <c r="D281" s="89"/>
      <c r="E281" s="110"/>
      <c r="F281" s="89"/>
      <c r="G281" s="89"/>
      <c r="H281" s="89"/>
      <c r="I281" s="110"/>
    </row>
  </sheetData>
  <phoneticPr fontId="11" type="noConversion"/>
  <pageMargins left="0.69930555555555596" right="0.69930555555555596" top="0.75" bottom="0.75" header="0.3" footer="0.3"/>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C3:AR153"/>
  <sheetViews>
    <sheetView workbookViewId="0"/>
  </sheetViews>
  <sheetFormatPr defaultColWidth="9" defaultRowHeight="15"/>
  <cols>
    <col min="1" max="28" width="9" style="952"/>
    <col min="29" max="29" width="35" style="952" customWidth="1"/>
    <col min="30" max="30" width="9" style="952" hidden="1" customWidth="1"/>
    <col min="31" max="31" width="0" style="952" hidden="1" customWidth="1"/>
    <col min="32" max="16384" width="9" style="952"/>
  </cols>
  <sheetData>
    <row r="3" spans="29:40" ht="15.5" thickBot="1">
      <c r="AC3" s="1045" t="s">
        <v>1300</v>
      </c>
      <c r="AD3" s="1044" t="s">
        <v>794</v>
      </c>
      <c r="AE3" s="1043" t="s">
        <v>804</v>
      </c>
      <c r="AF3" s="1043" t="s">
        <v>805</v>
      </c>
      <c r="AG3" s="1043" t="s">
        <v>806</v>
      </c>
      <c r="AH3" s="1043" t="s">
        <v>1301</v>
      </c>
      <c r="AI3" s="1043" t="s">
        <v>1302</v>
      </c>
      <c r="AJ3" s="1043" t="s">
        <v>1310</v>
      </c>
      <c r="AK3" s="1043" t="s">
        <v>1475</v>
      </c>
      <c r="AL3" s="1043" t="s">
        <v>1998</v>
      </c>
      <c r="AM3" s="1043" t="s">
        <v>2050</v>
      </c>
      <c r="AN3" s="1043" t="s">
        <v>2071</v>
      </c>
    </row>
    <row r="4" spans="29:40" ht="3.75" customHeight="1" thickTop="1">
      <c r="AC4" s="953"/>
      <c r="AD4" s="953"/>
      <c r="AE4" s="953"/>
      <c r="AF4" s="953"/>
      <c r="AG4" s="953"/>
    </row>
    <row r="5" spans="29:40">
      <c r="AC5" s="953" t="s">
        <v>1303</v>
      </c>
      <c r="AD5" s="953">
        <v>4.7275</v>
      </c>
      <c r="AE5" s="953">
        <f>MMYT!O204</f>
        <v>7.8349000000000002</v>
      </c>
      <c r="AF5" s="953">
        <f>MMYT!P204</f>
        <v>7.7229999999999999</v>
      </c>
      <c r="AG5" s="953">
        <f>MMYT!Q204</f>
        <v>8.4629999999999992</v>
      </c>
      <c r="AH5" s="953">
        <f>MMYT!R204</f>
        <v>9.3179999999999996</v>
      </c>
      <c r="AI5" s="953">
        <f>MMYT!S204</f>
        <v>9.1709999999999994</v>
      </c>
      <c r="AJ5" s="953">
        <f>MMYT!T204</f>
        <v>10.005000000000001</v>
      </c>
      <c r="AK5" s="953">
        <f>MMYT!U204</f>
        <v>10.103999999999999</v>
      </c>
      <c r="AL5" s="953">
        <f>MMYT!V204</f>
        <v>10.205</v>
      </c>
      <c r="AM5" s="953">
        <f>MMYT!W204</f>
        <v>10.609</v>
      </c>
      <c r="AN5" s="953">
        <f>MMYT!X204</f>
        <v>11.161</v>
      </c>
    </row>
    <row r="6" spans="29:40">
      <c r="AC6" s="1036" t="s">
        <v>1218</v>
      </c>
      <c r="AD6" s="1042"/>
      <c r="AE6" s="1034">
        <f>MMYT!O205</f>
        <v>0.65730301427815974</v>
      </c>
      <c r="AF6" s="1034">
        <f>MMYT!P205</f>
        <v>0.64600000000000002</v>
      </c>
      <c r="AG6" s="1034">
        <f>MMYT!Q205</f>
        <v>0.64900000000000002</v>
      </c>
      <c r="AH6" s="1034">
        <f>MMYT!R205</f>
        <v>0.55100000000000005</v>
      </c>
      <c r="AI6" s="1034">
        <f>MMYT!S205</f>
        <v>0.17053185107659319</v>
      </c>
      <c r="AJ6" s="1034">
        <f>MMYT!T205</f>
        <v>0.29548103068755682</v>
      </c>
      <c r="AK6" s="1034">
        <f>MMYT!U205</f>
        <v>0.19390287132222617</v>
      </c>
      <c r="AL6" s="1034">
        <f>MMYT!V205</f>
        <v>9.5192101309293786E-2</v>
      </c>
      <c r="AM6" s="1034">
        <f>MMYT!W205</f>
        <v>0.15679860429615089</v>
      </c>
      <c r="AN6" s="1034">
        <f>MMYT!X205</f>
        <v>0.11554222888555699</v>
      </c>
    </row>
    <row r="7" spans="29:40" ht="15.5" thickBot="1">
      <c r="AC7" s="1040" t="s">
        <v>1474</v>
      </c>
      <c r="AD7" s="1041"/>
      <c r="AE7" s="1038">
        <f>MMYT!O206</f>
        <v>0.222</v>
      </c>
      <c r="AF7" s="1038">
        <f>MMYT!P206</f>
        <v>0.15</v>
      </c>
      <c r="AG7" s="1038">
        <f>MMYT!Q206</f>
        <v>0.16</v>
      </c>
      <c r="AH7" s="1038">
        <f>MMYT!R206</f>
        <v>0.4</v>
      </c>
      <c r="AI7" s="1038">
        <f>MMYT!S206</f>
        <v>0.17053185107659319</v>
      </c>
      <c r="AJ7" s="1038">
        <f>MMYT!T206</f>
        <v>0.29548103068755682</v>
      </c>
      <c r="AK7" s="1038">
        <f>MMYT!U206</f>
        <v>0.19390287132222617</v>
      </c>
      <c r="AL7" s="1038">
        <f>MMYT!V206</f>
        <v>9.5192101309293786E-2</v>
      </c>
      <c r="AM7" s="1038">
        <f>MMYT!W206</f>
        <v>0.15679860429615089</v>
      </c>
      <c r="AN7" s="1038">
        <f>MMYT!X206</f>
        <v>0.11554222888555699</v>
      </c>
    </row>
    <row r="8" spans="29:40" ht="15.5" thickTop="1">
      <c r="AC8" s="954" t="s">
        <v>1304</v>
      </c>
      <c r="AD8" s="954">
        <v>2.3451</v>
      </c>
      <c r="AE8" s="954">
        <f>MMYT!O208</f>
        <v>5.7998000000000003</v>
      </c>
      <c r="AF8" s="954">
        <f>MMYT!P208</f>
        <v>5.6319999999999997</v>
      </c>
      <c r="AG8" s="954">
        <f>MMYT!Q208</f>
        <v>5.5919999999999996</v>
      </c>
      <c r="AH8" s="954">
        <f>MMYT!R208</f>
        <v>4.8869999999999996</v>
      </c>
      <c r="AI8" s="954">
        <f>MMYT!S208</f>
        <v>6.7460000000000004</v>
      </c>
      <c r="AJ8" s="954">
        <f>MMYT!T208</f>
        <v>6.7060000000000004</v>
      </c>
      <c r="AK8" s="954">
        <f>MMYT!U208</f>
        <v>7.0179999999999998</v>
      </c>
      <c r="AL8" s="954">
        <f>MMYT!V208</f>
        <v>6.141</v>
      </c>
      <c r="AM8" s="954">
        <f>MMYT!W208</f>
        <v>7.5579999999999998</v>
      </c>
      <c r="AN8" s="954">
        <f>MMYT!X208</f>
        <v>7.51</v>
      </c>
    </row>
    <row r="9" spans="29:40">
      <c r="AC9" s="1036" t="s">
        <v>1218</v>
      </c>
      <c r="AD9" s="1035"/>
      <c r="AE9" s="1034">
        <f>MMYT!O209</f>
        <v>1.4731567950194022</v>
      </c>
      <c r="AF9" s="1034">
        <f>MMYT!P209</f>
        <v>1.548</v>
      </c>
      <c r="AG9" s="1034">
        <f>MMYT!Q209</f>
        <v>1.319</v>
      </c>
      <c r="AH9" s="1034">
        <f>MMYT!R209</f>
        <v>0.37</v>
      </c>
      <c r="AI9" s="1034">
        <f>MMYT!S209</f>
        <v>0.1631435566743682</v>
      </c>
      <c r="AJ9" s="1034">
        <f>MMYT!T209</f>
        <v>0.19069602272727293</v>
      </c>
      <c r="AK9" s="1034">
        <f>MMYT!U209</f>
        <v>0.25500715307582267</v>
      </c>
      <c r="AL9" s="1034">
        <f>MMYT!V209</f>
        <v>0.25659914057704114</v>
      </c>
      <c r="AM9" s="1034">
        <f>MMYT!W209</f>
        <v>0.1203676252594128</v>
      </c>
      <c r="AN9" s="1034">
        <f>MMYT!X209</f>
        <v>0.11989263346257073</v>
      </c>
    </row>
    <row r="10" spans="29:40">
      <c r="AC10" s="1037" t="s">
        <v>1305</v>
      </c>
      <c r="AD10" s="1037">
        <v>1.8814</v>
      </c>
      <c r="AE10" s="1037">
        <f>MMYT!O210</f>
        <v>5.4973000000000001</v>
      </c>
      <c r="AF10" s="1037">
        <f>MMYT!P210</f>
        <v>5.3979999999999997</v>
      </c>
      <c r="AG10" s="1037">
        <f>MMYT!Q210</f>
        <v>5.3920000000000003</v>
      </c>
      <c r="AH10" s="1037">
        <f>MMYT!R210</f>
        <v>4.7119999999999997</v>
      </c>
      <c r="AI10" s="1037">
        <f>MMYT!S210</f>
        <v>6.4939999999999998</v>
      </c>
      <c r="AJ10" s="1037">
        <f>MMYT!T210</f>
        <v>6.5739999999999998</v>
      </c>
      <c r="AK10" s="1037">
        <f>MMYT!U210</f>
        <v>6.851</v>
      </c>
      <c r="AL10" s="1037">
        <f>MMYT!V210</f>
        <v>5.9930000000000003</v>
      </c>
      <c r="AM10" s="1037">
        <f>MMYT!W210</f>
        <v>7.38</v>
      </c>
      <c r="AN10" s="1037">
        <f>MMYT!X210</f>
        <v>7.3849999999999998</v>
      </c>
    </row>
    <row r="11" spans="29:40">
      <c r="AC11" s="1036" t="s">
        <v>1218</v>
      </c>
      <c r="AD11" s="1035"/>
      <c r="AE11" s="1034">
        <f>MMYT!O211</f>
        <v>1.9219999999999999</v>
      </c>
      <c r="AF11" s="1034">
        <f>MMYT!P211</f>
        <v>1.859</v>
      </c>
      <c r="AG11" s="1034">
        <f>MMYT!Q211</f>
        <v>1.663</v>
      </c>
      <c r="AH11" s="1034">
        <f>MMYT!R211</f>
        <v>1.327</v>
      </c>
      <c r="AI11" s="1034">
        <f>MMYT!S211</f>
        <v>0.18130718716460792</v>
      </c>
      <c r="AJ11" s="1034">
        <f>MMYT!T211</f>
        <v>0.21785846609855497</v>
      </c>
      <c r="AK11" s="1034">
        <f>MMYT!U211</f>
        <v>0.27058605341246289</v>
      </c>
      <c r="AL11" s="1034">
        <f>MMYT!V211</f>
        <v>0.27185908319185081</v>
      </c>
      <c r="AM11" s="1034">
        <f>MMYT!W211</f>
        <v>0.1364336310440406</v>
      </c>
      <c r="AN11" s="1034">
        <f>MMYT!X211</f>
        <v>0.12336477030727111</v>
      </c>
    </row>
    <row r="12" spans="29:40" ht="15.5" thickBot="1">
      <c r="AC12" s="1040" t="s">
        <v>1473</v>
      </c>
      <c r="AD12" s="1039"/>
      <c r="AE12" s="1038">
        <f>MMYT!O212</f>
        <v>0.36</v>
      </c>
      <c r="AF12" s="1038">
        <f>MMYT!P212</f>
        <v>0.28999999999999998</v>
      </c>
      <c r="AG12" s="1038">
        <f>MMYT!Q212</f>
        <v>0.28000000000000003</v>
      </c>
      <c r="AH12" s="1038">
        <f>MMYT!R212</f>
        <v>0.19</v>
      </c>
      <c r="AI12" s="1038">
        <f>MMYT!S212</f>
        <v>0.18130718716460792</v>
      </c>
      <c r="AJ12" s="1038">
        <f>MMYT!T212</f>
        <v>0.21785846609855497</v>
      </c>
      <c r="AK12" s="1038">
        <f>MMYT!U212</f>
        <v>0.27058605341246289</v>
      </c>
      <c r="AL12" s="1038">
        <f>MMYT!V212</f>
        <v>0.27185908319185081</v>
      </c>
      <c r="AM12" s="1038">
        <f>MMYT!W212</f>
        <v>0.1364336310440406</v>
      </c>
      <c r="AN12" s="1038">
        <f>MMYT!X212</f>
        <v>0.12336477030727111</v>
      </c>
    </row>
    <row r="13" spans="29:40" ht="15.5" thickTop="1">
      <c r="AC13" s="955" t="s">
        <v>1306</v>
      </c>
      <c r="AD13" s="955"/>
      <c r="AE13" s="1037">
        <f>MMYT!O213</f>
        <v>9.6709999999999994</v>
      </c>
      <c r="AF13" s="1037">
        <f>MMYT!P213</f>
        <v>8.6379999999999999</v>
      </c>
      <c r="AG13" s="1037">
        <f>MMYT!Q213</f>
        <v>10.247999999999999</v>
      </c>
      <c r="AH13" s="1037">
        <f>MMYT!R213</f>
        <v>11.013</v>
      </c>
      <c r="AI13" s="1037">
        <f>MMYT!S213</f>
        <v>14.894</v>
      </c>
      <c r="AJ13" s="1037">
        <f>MMYT!T213</f>
        <v>13.24</v>
      </c>
      <c r="AK13" s="1037">
        <f>MMYT!U213</f>
        <v>16.219000000000001</v>
      </c>
      <c r="AL13" s="1037">
        <f>MMYT!V213</f>
        <v>17.111000000000001</v>
      </c>
      <c r="AM13" s="1037">
        <f>MMYT!W213</f>
        <v>20.98</v>
      </c>
      <c r="AN13" s="1037">
        <f>MMYT!X213</f>
        <v>17.681999999999999</v>
      </c>
    </row>
    <row r="14" spans="29:40">
      <c r="AC14" s="1036" t="s">
        <v>1472</v>
      </c>
      <c r="AD14" s="1035"/>
      <c r="AE14" s="1034"/>
      <c r="AF14" s="1034">
        <f>MMYT!P215</f>
        <v>0.45</v>
      </c>
      <c r="AG14" s="1034">
        <f>MMYT!Q215</f>
        <v>0.34</v>
      </c>
      <c r="AH14" s="1034">
        <f>MMYT!R215</f>
        <v>0.55000000000000004</v>
      </c>
      <c r="AI14" s="1034">
        <f>MMYT!S215</f>
        <v>0.54006824526936215</v>
      </c>
      <c r="AJ14" s="1034">
        <f>MMYT!T215</f>
        <v>0.53276221347534158</v>
      </c>
      <c r="AK14" s="1034">
        <f>MMYT!U215</f>
        <v>0.58265027322404395</v>
      </c>
      <c r="AL14" s="1034">
        <f>MMYT!V215</f>
        <v>0.55370925270135296</v>
      </c>
      <c r="AM14" s="1034">
        <f>MMYT!W215</f>
        <v>0.40862092117631255</v>
      </c>
      <c r="AN14" s="1034">
        <f>MMYT!X215</f>
        <v>0.33549848942598182</v>
      </c>
    </row>
    <row r="15" spans="29:40">
      <c r="AC15" s="956"/>
      <c r="AD15" s="956"/>
      <c r="AE15" s="956"/>
      <c r="AF15" s="956"/>
    </row>
    <row r="16" spans="29:40">
      <c r="AC16" s="957"/>
      <c r="AD16" s="957"/>
      <c r="AE16" s="957"/>
      <c r="AF16" s="957"/>
    </row>
    <row r="17" spans="44:44">
      <c r="AR17" s="958"/>
    </row>
    <row r="153" s="1391" customFormat="1"/>
  </sheetData>
  <phoneticPr fontId="11" type="noConversion"/>
  <pageMargins left="0.69930555555555596" right="0.69930555555555596" top="0.75" bottom="0.75" header="0.3" footer="0.3"/>
  <pageSetup paperSize="9" orientation="portrait"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FF00"/>
  </sheetPr>
  <dimension ref="A1:T9"/>
  <sheetViews>
    <sheetView workbookViewId="0"/>
  </sheetViews>
  <sheetFormatPr defaultColWidth="9" defaultRowHeight="15"/>
  <cols>
    <col min="1" max="1" width="9" style="980"/>
    <col min="2" max="5" width="9.08203125" style="980" bestFit="1" customWidth="1"/>
    <col min="6" max="6" width="7.5" style="980" bestFit="1" customWidth="1"/>
    <col min="7" max="13" width="9.08203125" style="980" bestFit="1" customWidth="1"/>
    <col min="14" max="16384" width="9" style="980"/>
  </cols>
  <sheetData>
    <row r="1" spans="1:20" s="867" customFormat="1" ht="11.5">
      <c r="A1" s="869" t="s">
        <v>1186</v>
      </c>
      <c r="B1" s="870" t="s">
        <v>843</v>
      </c>
      <c r="C1" s="870" t="s">
        <v>843</v>
      </c>
      <c r="D1" s="870" t="s">
        <v>843</v>
      </c>
      <c r="E1" s="871" t="s">
        <v>843</v>
      </c>
      <c r="F1" s="870" t="s">
        <v>843</v>
      </c>
      <c r="G1" s="870" t="s">
        <v>843</v>
      </c>
      <c r="H1" s="870" t="s">
        <v>843</v>
      </c>
      <c r="I1" s="871" t="s">
        <v>843</v>
      </c>
      <c r="J1" s="872" t="s">
        <v>843</v>
      </c>
      <c r="K1" s="872" t="s">
        <v>843</v>
      </c>
      <c r="L1" s="872" t="s">
        <v>843</v>
      </c>
      <c r="M1" s="873" t="s">
        <v>843</v>
      </c>
      <c r="N1" s="872" t="s">
        <v>843</v>
      </c>
      <c r="O1" s="872" t="s">
        <v>843</v>
      </c>
      <c r="P1" s="872" t="s">
        <v>843</v>
      </c>
      <c r="Q1" s="872" t="s">
        <v>843</v>
      </c>
      <c r="R1" s="874" t="s">
        <v>843</v>
      </c>
      <c r="S1" s="874" t="s">
        <v>843</v>
      </c>
      <c r="T1" s="874" t="s">
        <v>843</v>
      </c>
    </row>
    <row r="2" spans="1:20" s="878" customFormat="1" ht="11.5">
      <c r="A2" s="875"/>
      <c r="B2" s="870" t="s">
        <v>1187</v>
      </c>
      <c r="C2" s="870" t="s">
        <v>878</v>
      </c>
      <c r="D2" s="870" t="s">
        <v>879</v>
      </c>
      <c r="E2" s="871" t="s">
        <v>880</v>
      </c>
      <c r="F2" s="870" t="s">
        <v>789</v>
      </c>
      <c r="G2" s="870" t="s">
        <v>790</v>
      </c>
      <c r="H2" s="870" t="s">
        <v>791</v>
      </c>
      <c r="I2" s="871" t="s">
        <v>792</v>
      </c>
      <c r="J2" s="872" t="s">
        <v>793</v>
      </c>
      <c r="K2" s="872" t="s">
        <v>794</v>
      </c>
      <c r="L2" s="872" t="s">
        <v>795</v>
      </c>
      <c r="M2" s="873" t="s">
        <v>796</v>
      </c>
      <c r="N2" s="872" t="s">
        <v>1188</v>
      </c>
      <c r="O2" s="876" t="s">
        <v>1189</v>
      </c>
      <c r="P2" s="876" t="s">
        <v>1190</v>
      </c>
      <c r="Q2" s="876" t="s">
        <v>1191</v>
      </c>
      <c r="R2" s="877" t="s">
        <v>1192</v>
      </c>
      <c r="S2" s="877" t="s">
        <v>1193</v>
      </c>
      <c r="T2" s="876" t="s">
        <v>1309</v>
      </c>
    </row>
    <row r="3" spans="1:20" s="878" customFormat="1" ht="11.5">
      <c r="A3" s="872" t="s">
        <v>1194</v>
      </c>
      <c r="B3" s="877" t="s">
        <v>1195</v>
      </c>
      <c r="C3" s="876" t="s">
        <v>1196</v>
      </c>
      <c r="D3" s="876" t="s">
        <v>1197</v>
      </c>
      <c r="E3" s="876" t="s">
        <v>1198</v>
      </c>
      <c r="F3" s="877" t="s">
        <v>1199</v>
      </c>
      <c r="G3" s="876" t="s">
        <v>1200</v>
      </c>
      <c r="H3" s="876" t="s">
        <v>1201</v>
      </c>
      <c r="I3" s="879" t="s">
        <v>1202</v>
      </c>
      <c r="J3" s="877" t="s">
        <v>1203</v>
      </c>
      <c r="K3" s="876" t="s">
        <v>1204</v>
      </c>
      <c r="L3" s="876" t="s">
        <v>1205</v>
      </c>
      <c r="M3" s="876" t="s">
        <v>1206</v>
      </c>
      <c r="N3" s="877" t="s">
        <v>1207</v>
      </c>
      <c r="O3" s="876" t="s">
        <v>1208</v>
      </c>
      <c r="P3" s="876" t="s">
        <v>1209</v>
      </c>
      <c r="Q3" s="876" t="s">
        <v>1210</v>
      </c>
      <c r="R3" s="877" t="s">
        <v>1211</v>
      </c>
      <c r="S3" s="876" t="s">
        <v>1212</v>
      </c>
      <c r="T3" s="876" t="s">
        <v>1318</v>
      </c>
    </row>
    <row r="4" spans="1:20" s="822" customFormat="1" ht="11.5">
      <c r="A4" s="938" t="s">
        <v>1476</v>
      </c>
      <c r="B4" s="823"/>
      <c r="C4" s="823"/>
      <c r="D4" s="823"/>
      <c r="E4" s="824"/>
      <c r="F4" s="825"/>
      <c r="G4" s="825"/>
      <c r="H4" s="825"/>
      <c r="I4" s="826">
        <v>0.89500000000000002</v>
      </c>
      <c r="J4" s="825">
        <v>0.98399999999999999</v>
      </c>
      <c r="K4" s="825">
        <v>1.1279999999999999</v>
      </c>
      <c r="L4" s="825">
        <v>1.1890000000000001</v>
      </c>
      <c r="M4" s="826">
        <v>1.327</v>
      </c>
      <c r="N4" s="825">
        <v>1.4390000000000001</v>
      </c>
      <c r="O4" s="822">
        <v>1.86</v>
      </c>
      <c r="P4" s="822">
        <v>2.0190000000000001</v>
      </c>
      <c r="Q4" s="822">
        <v>2.7890000000000001</v>
      </c>
      <c r="R4" s="827">
        <v>3.488</v>
      </c>
      <c r="S4" s="828">
        <f>H9</f>
        <v>6.1699999999999982</v>
      </c>
      <c r="T4" s="828">
        <f>K9</f>
        <v>9.9799999999999986</v>
      </c>
    </row>
    <row r="6" spans="1:20">
      <c r="B6" s="985">
        <v>43390</v>
      </c>
      <c r="C6" s="985">
        <v>43421</v>
      </c>
      <c r="D6" s="985">
        <v>43451</v>
      </c>
      <c r="E6" s="985">
        <v>43118</v>
      </c>
      <c r="F6" s="985">
        <v>43149</v>
      </c>
      <c r="G6" s="985">
        <v>43177</v>
      </c>
      <c r="H6" s="985">
        <v>43208</v>
      </c>
      <c r="I6" s="985">
        <v>43238</v>
      </c>
      <c r="J6" s="985">
        <v>43269</v>
      </c>
      <c r="K6" s="985">
        <v>43299</v>
      </c>
      <c r="L6" s="985">
        <v>43330</v>
      </c>
      <c r="M6" s="985">
        <v>43361</v>
      </c>
      <c r="N6" s="984"/>
      <c r="O6" s="984"/>
      <c r="P6" s="984"/>
    </row>
    <row r="7" spans="1:20">
      <c r="B7" s="982">
        <f>25000*30/1000000</f>
        <v>0.75</v>
      </c>
      <c r="C7" s="982">
        <f>30000*30/1000000</f>
        <v>0.9</v>
      </c>
      <c r="D7" s="982">
        <f>36000*30/1000000</f>
        <v>1.08</v>
      </c>
      <c r="E7" s="983">
        <f>(D7+F7)/2</f>
        <v>1.1233333333333335</v>
      </c>
      <c r="F7" s="983">
        <f>E9/3</f>
        <v>1.1666666666666667</v>
      </c>
      <c r="G7" s="983">
        <f>E9-F7-E7</f>
        <v>1.2099999999999995</v>
      </c>
      <c r="H7" s="983">
        <f>($M$7-$G$7)/6+G7</f>
        <v>1.6333333333333329</v>
      </c>
      <c r="I7" s="983">
        <f>($M$7-$G$7)/6+H7</f>
        <v>2.0566666666666662</v>
      </c>
      <c r="J7" s="983">
        <f>($M$7-$G$7)/6+I7</f>
        <v>2.4799999999999995</v>
      </c>
      <c r="K7" s="983">
        <f>($M$7-$G$7)/6+J7</f>
        <v>2.9033333333333329</v>
      </c>
      <c r="L7" s="983">
        <f>($M$7-$G$7)/6+K7</f>
        <v>3.3266666666666662</v>
      </c>
      <c r="M7" s="982">
        <v>3.75</v>
      </c>
    </row>
    <row r="8" spans="1:20">
      <c r="B8" s="982"/>
      <c r="C8" s="981">
        <f>C7/B7-1</f>
        <v>0.19999999999999996</v>
      </c>
      <c r="D8" s="981">
        <f>D7/C7-1</f>
        <v>0.19999999999999996</v>
      </c>
      <c r="E8" s="981">
        <f t="shared" ref="E8:M8" si="0">E7/D7-1</f>
        <v>4.0123456790123635E-2</v>
      </c>
      <c r="F8" s="981">
        <f t="shared" si="0"/>
        <v>3.8575667655786239E-2</v>
      </c>
      <c r="G8" s="981">
        <f t="shared" si="0"/>
        <v>3.71428571428567E-2</v>
      </c>
      <c r="H8" s="981">
        <f t="shared" si="0"/>
        <v>0.34986225895316814</v>
      </c>
      <c r="I8" s="981">
        <f t="shared" si="0"/>
        <v>0.25918367346938775</v>
      </c>
      <c r="J8" s="981">
        <f t="shared" si="0"/>
        <v>0.20583468395461924</v>
      </c>
      <c r="K8" s="981">
        <f t="shared" si="0"/>
        <v>0.17069892473118276</v>
      </c>
      <c r="L8" s="981">
        <f t="shared" si="0"/>
        <v>0.14580941446613083</v>
      </c>
      <c r="M8" s="981">
        <f t="shared" si="0"/>
        <v>0.12725450901803614</v>
      </c>
      <c r="N8" s="512"/>
      <c r="O8" s="512"/>
      <c r="P8" s="512"/>
    </row>
    <row r="9" spans="1:20">
      <c r="B9" s="3533">
        <f>SUM(B7:D7)</f>
        <v>2.73</v>
      </c>
      <c r="C9" s="3533"/>
      <c r="D9" s="3533"/>
      <c r="E9" s="3533">
        <v>3.5</v>
      </c>
      <c r="F9" s="3533"/>
      <c r="G9" s="3533"/>
      <c r="H9" s="3533">
        <f>SUM(H7:J7)</f>
        <v>6.1699999999999982</v>
      </c>
      <c r="I9" s="3533"/>
      <c r="J9" s="3533"/>
      <c r="K9" s="3533">
        <f>SUM(K7:M7)</f>
        <v>9.9799999999999986</v>
      </c>
      <c r="L9" s="3533"/>
      <c r="M9" s="3533"/>
      <c r="N9" s="3534"/>
      <c r="O9" s="3534"/>
      <c r="P9" s="3534"/>
    </row>
  </sheetData>
  <mergeCells count="5">
    <mergeCell ref="B9:D9"/>
    <mergeCell ref="E9:G9"/>
    <mergeCell ref="H9:J9"/>
    <mergeCell ref="K9:M9"/>
    <mergeCell ref="N9:P9"/>
  </mergeCells>
  <phoneticPr fontId="11" type="noConversion"/>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O185"/>
  <sheetViews>
    <sheetView workbookViewId="0"/>
  </sheetViews>
  <sheetFormatPr defaultColWidth="9" defaultRowHeight="11.5" outlineLevelCol="1"/>
  <cols>
    <col min="1" max="1" width="37.5" style="159" customWidth="1"/>
    <col min="2" max="2" width="10.25" style="137" hidden="1" customWidth="1" outlineLevel="1"/>
    <col min="3" max="4" width="10.25" style="133" hidden="1" customWidth="1" outlineLevel="1"/>
    <col min="5" max="5" width="10.75" style="136" hidden="1" customWidth="1" collapsed="1"/>
    <col min="6" max="6" width="10.75" style="159" customWidth="1"/>
    <col min="7" max="7" width="11.75" style="137" hidden="1" customWidth="1" outlineLevel="1"/>
    <col min="8" max="9" width="11.75" style="133" hidden="1" customWidth="1" outlineLevel="1"/>
    <col min="10" max="10" width="9.08203125" style="133" hidden="1" customWidth="1" outlineLevel="1"/>
    <col min="11" max="11" width="11.75" style="133" hidden="1" customWidth="1" outlineLevel="1"/>
    <col min="12" max="12" width="10.25" style="133" customWidth="1" collapsed="1"/>
    <col min="13" max="13" width="10.25" style="133" customWidth="1"/>
    <col min="14" max="14" width="9" style="133"/>
    <col min="15" max="15" width="9" style="136"/>
    <col min="16" max="16384" width="9" style="133"/>
  </cols>
  <sheetData>
    <row r="1" spans="1:15">
      <c r="A1" s="130"/>
      <c r="B1" s="15"/>
      <c r="C1" s="16"/>
      <c r="D1" s="16"/>
      <c r="E1" s="131"/>
      <c r="F1" s="130"/>
      <c r="G1" s="134"/>
      <c r="H1" s="132"/>
      <c r="I1" s="132"/>
      <c r="J1" s="132"/>
      <c r="K1" s="132"/>
      <c r="L1" s="16"/>
      <c r="M1" s="1"/>
    </row>
    <row r="2" spans="1:15">
      <c r="A2" s="66"/>
      <c r="B2" s="17"/>
      <c r="C2" s="1"/>
      <c r="D2" s="1"/>
      <c r="G2" s="137" t="s">
        <v>39</v>
      </c>
      <c r="L2" s="1"/>
      <c r="M2" s="1"/>
    </row>
    <row r="3" spans="1:15" s="138" customFormat="1">
      <c r="A3" s="95" t="s">
        <v>40</v>
      </c>
      <c r="B3" s="18" t="s">
        <v>41</v>
      </c>
      <c r="C3" s="5" t="s">
        <v>41</v>
      </c>
      <c r="D3" s="5" t="s">
        <v>41</v>
      </c>
      <c r="E3" s="96" t="s">
        <v>41</v>
      </c>
      <c r="F3" s="61" t="s">
        <v>41</v>
      </c>
      <c r="G3" s="18" t="s">
        <v>17</v>
      </c>
      <c r="H3" s="5" t="s">
        <v>17</v>
      </c>
      <c r="I3" s="5" t="s">
        <v>17</v>
      </c>
      <c r="J3" s="5" t="s">
        <v>17</v>
      </c>
      <c r="K3" s="5" t="s">
        <v>17</v>
      </c>
      <c r="L3" s="5" t="s">
        <v>17</v>
      </c>
      <c r="M3" s="208" t="s">
        <v>17</v>
      </c>
      <c r="N3" s="208" t="s">
        <v>17</v>
      </c>
      <c r="O3" s="510" t="s">
        <v>17</v>
      </c>
    </row>
    <row r="4" spans="1:15" s="138" customFormat="1">
      <c r="A4" s="61" t="s">
        <v>42</v>
      </c>
      <c r="B4" s="18">
        <v>2009</v>
      </c>
      <c r="C4" s="5">
        <v>2010</v>
      </c>
      <c r="D4" s="5">
        <v>2011</v>
      </c>
      <c r="E4" s="96">
        <v>2012</v>
      </c>
      <c r="F4" s="61">
        <v>2015</v>
      </c>
      <c r="G4" s="18">
        <v>2006</v>
      </c>
      <c r="H4" s="5">
        <v>2007</v>
      </c>
      <c r="I4" s="5">
        <v>2008</v>
      </c>
      <c r="J4" s="5">
        <v>2009</v>
      </c>
      <c r="K4" s="5">
        <v>2010</v>
      </c>
      <c r="L4" s="5">
        <v>2011</v>
      </c>
      <c r="M4" s="208">
        <v>2012</v>
      </c>
      <c r="N4" s="208">
        <v>2013</v>
      </c>
      <c r="O4" s="510">
        <v>2014</v>
      </c>
    </row>
    <row r="5" spans="1:15" hidden="1">
      <c r="A5" s="62" t="s">
        <v>43</v>
      </c>
      <c r="B5" s="139" t="s">
        <v>20</v>
      </c>
      <c r="C5" s="140" t="s">
        <v>20</v>
      </c>
      <c r="D5" s="140" t="s">
        <v>20</v>
      </c>
      <c r="E5" s="141" t="s">
        <v>20</v>
      </c>
      <c r="F5" s="449"/>
      <c r="G5" s="139" t="s">
        <v>20</v>
      </c>
      <c r="H5" s="140" t="s">
        <v>20</v>
      </c>
      <c r="I5" s="140" t="s">
        <v>20</v>
      </c>
      <c r="J5" s="140" t="s">
        <v>20</v>
      </c>
      <c r="K5" s="140" t="s">
        <v>20</v>
      </c>
      <c r="L5" s="140" t="s">
        <v>20</v>
      </c>
      <c r="M5" s="140"/>
    </row>
    <row r="6" spans="1:15" s="30" customFormat="1">
      <c r="A6" s="62" t="s">
        <v>44</v>
      </c>
      <c r="B6" s="139" t="s">
        <v>20</v>
      </c>
      <c r="C6" s="140" t="s">
        <v>20</v>
      </c>
      <c r="D6" s="140" t="s">
        <v>20</v>
      </c>
      <c r="E6" s="141" t="s">
        <v>20</v>
      </c>
      <c r="F6" s="449">
        <f>350000/6.4778</f>
        <v>54030.689431597144</v>
      </c>
      <c r="G6" s="47">
        <v>9780</v>
      </c>
      <c r="H6" s="30">
        <v>10791</v>
      </c>
      <c r="I6" s="30">
        <v>10149</v>
      </c>
      <c r="J6" s="30">
        <f>9942444/1000</f>
        <v>9942.4439999999995</v>
      </c>
      <c r="K6" s="30">
        <f>11370177/1000</f>
        <v>11370.177</v>
      </c>
      <c r="L6" s="81">
        <f>11340518/1000</f>
        <v>11340.518</v>
      </c>
      <c r="M6" s="81">
        <v>11249.743</v>
      </c>
      <c r="N6" s="30">
        <v>11462.923000000001</v>
      </c>
      <c r="O6" s="105">
        <v>12427.787</v>
      </c>
    </row>
    <row r="7" spans="1:15" s="27" customFormat="1" ht="23">
      <c r="A7" s="513" t="s">
        <v>675</v>
      </c>
      <c r="B7" s="514"/>
      <c r="C7" s="56"/>
      <c r="D7" s="56"/>
      <c r="E7" s="515"/>
      <c r="F7" s="516"/>
      <c r="G7" s="98"/>
      <c r="L7" s="59">
        <v>-0.02</v>
      </c>
      <c r="M7" s="27">
        <v>0</v>
      </c>
      <c r="N7" s="27">
        <v>0.02</v>
      </c>
      <c r="O7" s="97">
        <v>0.08</v>
      </c>
    </row>
    <row r="8" spans="1:15" s="473" customFormat="1">
      <c r="A8" s="464" t="s">
        <v>45</v>
      </c>
      <c r="B8" s="465" t="s">
        <v>20</v>
      </c>
      <c r="C8" s="466" t="s">
        <v>20</v>
      </c>
      <c r="D8" s="466" t="s">
        <v>20</v>
      </c>
      <c r="E8" s="467" t="s">
        <v>20</v>
      </c>
      <c r="F8" s="450">
        <f t="shared" ref="F8:O8" si="0">F18/F6</f>
        <v>3.2848368560000001E-2</v>
      </c>
      <c r="G8" s="471">
        <f t="shared" si="0"/>
        <v>0</v>
      </c>
      <c r="H8" s="472">
        <f t="shared" si="0"/>
        <v>7.9603373181354839E-2</v>
      </c>
      <c r="I8" s="472">
        <f t="shared" si="0"/>
        <v>8.5722731303576702E-2</v>
      </c>
      <c r="J8" s="472">
        <f t="shared" si="0"/>
        <v>7.4191818430156597E-2</v>
      </c>
      <c r="K8" s="472">
        <f t="shared" si="0"/>
        <v>6.6620510832856861E-2</v>
      </c>
      <c r="L8" s="211">
        <f t="shared" si="0"/>
        <v>6.7617634397300008E-2</v>
      </c>
      <c r="M8" s="211">
        <f t="shared" si="0"/>
        <v>6.922789258385724E-2</v>
      </c>
      <c r="N8" s="473">
        <f t="shared" si="0"/>
        <v>7.3890664710911866E-2</v>
      </c>
      <c r="O8" s="486">
        <f t="shared" si="0"/>
        <v>7.4993802195032794E-2</v>
      </c>
    </row>
    <row r="9" spans="1:15" s="473" customFormat="1">
      <c r="A9" s="464" t="s">
        <v>18</v>
      </c>
      <c r="B9" s="465"/>
      <c r="C9" s="466"/>
      <c r="D9" s="466"/>
      <c r="E9" s="467"/>
      <c r="F9" s="451">
        <f t="shared" ref="F9:O9" si="1">F22/F6</f>
        <v>2.2440320728E-2</v>
      </c>
      <c r="G9" s="115">
        <f t="shared" si="1"/>
        <v>-3.885480572597137E-3</v>
      </c>
      <c r="H9" s="82">
        <f t="shared" si="1"/>
        <v>-1.4549161338152164E-2</v>
      </c>
      <c r="I9" s="82">
        <f t="shared" si="1"/>
        <v>-1.6060695635037935E-2</v>
      </c>
      <c r="J9" s="82">
        <f t="shared" si="1"/>
        <v>-1.2843421597345682E-2</v>
      </c>
      <c r="K9" s="82">
        <f t="shared" si="1"/>
        <v>-1.216155210248706E-2</v>
      </c>
      <c r="L9" s="211">
        <f t="shared" si="1"/>
        <v>5.532630872769656E-2</v>
      </c>
      <c r="M9" s="211">
        <f t="shared" si="1"/>
        <v>5.6086259037206439E-2</v>
      </c>
      <c r="N9" s="473">
        <f t="shared" si="1"/>
        <v>6.0420889157154767E-2</v>
      </c>
      <c r="O9" s="486">
        <f t="shared" si="1"/>
        <v>6.0528314493964216E-2</v>
      </c>
    </row>
    <row r="10" spans="1:15" hidden="1">
      <c r="A10" s="63" t="s">
        <v>19</v>
      </c>
      <c r="B10" s="139" t="s">
        <v>20</v>
      </c>
      <c r="C10" s="140" t="s">
        <v>20</v>
      </c>
      <c r="D10" s="140" t="s">
        <v>20</v>
      </c>
      <c r="E10" s="141" t="s">
        <v>20</v>
      </c>
      <c r="F10" s="449"/>
      <c r="G10" s="139" t="s">
        <v>20</v>
      </c>
      <c r="H10" s="140" t="s">
        <v>20</v>
      </c>
      <c r="I10" s="27"/>
      <c r="J10" s="1"/>
      <c r="K10" s="27"/>
      <c r="L10" s="140" t="s">
        <v>20</v>
      </c>
      <c r="M10" s="140"/>
    </row>
    <row r="11" spans="1:15">
      <c r="A11" s="64"/>
      <c r="B11" s="21"/>
      <c r="C11" s="6"/>
      <c r="D11" s="6"/>
      <c r="L11" s="6"/>
      <c r="M11" s="6"/>
    </row>
    <row r="12" spans="1:15" s="414" customFormat="1">
      <c r="A12" s="410" t="s">
        <v>46</v>
      </c>
      <c r="B12" s="411"/>
      <c r="C12" s="412"/>
      <c r="D12" s="412"/>
      <c r="E12" s="413"/>
      <c r="F12" s="420"/>
      <c r="G12" s="415"/>
      <c r="L12" s="412"/>
      <c r="M12" s="412"/>
      <c r="O12" s="413"/>
    </row>
    <row r="13" spans="1:15" s="424" customFormat="1">
      <c r="A13" s="422" t="s">
        <v>47</v>
      </c>
      <c r="B13" s="423">
        <v>137.81073733866597</v>
      </c>
      <c r="C13" s="424">
        <v>193.64298075757577</v>
      </c>
      <c r="D13" s="424">
        <v>236</v>
      </c>
      <c r="E13" s="425">
        <v>273.27018399999997</v>
      </c>
      <c r="F13" s="442">
        <v>712.68700000000001</v>
      </c>
      <c r="G13" s="431" t="s">
        <v>20</v>
      </c>
      <c r="H13" s="424">
        <v>235</v>
      </c>
      <c r="I13" s="424">
        <v>239</v>
      </c>
      <c r="J13" s="424">
        <f>183658/1000</f>
        <v>183.65799999999999</v>
      </c>
      <c r="K13" s="424">
        <f>203821/1000</f>
        <v>203.821</v>
      </c>
      <c r="L13" s="424">
        <v>209.589</v>
      </c>
      <c r="M13" s="424">
        <v>225.654</v>
      </c>
      <c r="N13" s="424">
        <v>294.154</v>
      </c>
      <c r="O13" s="425">
        <v>349.87700000000001</v>
      </c>
    </row>
    <row r="14" spans="1:15" s="424" customFormat="1">
      <c r="A14" s="422" t="s">
        <v>48</v>
      </c>
      <c r="B14" s="423">
        <v>127.2182692392212</v>
      </c>
      <c r="C14" s="424">
        <v>182.86689075757579</v>
      </c>
      <c r="D14" s="424">
        <v>228</v>
      </c>
      <c r="E14" s="425">
        <v>271.309594</v>
      </c>
      <c r="F14" s="442">
        <v>687.56100000000004</v>
      </c>
      <c r="G14" s="431" t="s">
        <v>20</v>
      </c>
      <c r="H14" s="424">
        <v>375</v>
      </c>
      <c r="I14" s="424">
        <v>339</v>
      </c>
      <c r="J14" s="424">
        <f>269643/1000</f>
        <v>269.64299999999997</v>
      </c>
      <c r="K14" s="424">
        <f>274568/1000</f>
        <v>274.56799999999998</v>
      </c>
      <c r="L14" s="424">
        <v>265.16699999999997</v>
      </c>
      <c r="M14" s="424">
        <v>261.53800000000001</v>
      </c>
      <c r="N14" s="424">
        <v>249.69800000000001</v>
      </c>
      <c r="O14" s="425">
        <v>257.154</v>
      </c>
    </row>
    <row r="15" spans="1:15" s="424" customFormat="1">
      <c r="A15" s="422" t="s">
        <v>49</v>
      </c>
      <c r="B15" s="423">
        <v>25.764717619654551</v>
      </c>
      <c r="C15" s="424">
        <v>57.622346515151513</v>
      </c>
      <c r="D15" s="424">
        <v>85</v>
      </c>
      <c r="E15" s="425">
        <v>110.69816400000001</v>
      </c>
      <c r="F15" s="442">
        <v>257.48599999999999</v>
      </c>
      <c r="G15" s="431" t="s">
        <v>20</v>
      </c>
      <c r="H15" s="424">
        <v>105</v>
      </c>
      <c r="I15" s="424">
        <v>114</v>
      </c>
      <c r="J15" s="424">
        <f>117026/1000</f>
        <v>117.026</v>
      </c>
      <c r="K15" s="424">
        <f>115161/1000</f>
        <v>115.161</v>
      </c>
      <c r="L15" s="424">
        <f>120688/1000</f>
        <v>120.688</v>
      </c>
      <c r="M15" s="424">
        <v>130.09800000000001</v>
      </c>
      <c r="N15" s="424">
        <v>142.52199999999999</v>
      </c>
      <c r="O15" s="425">
        <v>150.07499999999999</v>
      </c>
    </row>
    <row r="16" spans="1:15" s="424" customFormat="1">
      <c r="A16" s="422" t="s">
        <v>50</v>
      </c>
      <c r="B16" s="423">
        <v>12.179568848063992</v>
      </c>
      <c r="C16" s="424">
        <v>19.645216212121216</v>
      </c>
      <c r="D16" s="424">
        <v>26</v>
      </c>
      <c r="E16" s="425">
        <v>32.06306</v>
      </c>
      <c r="F16" s="442">
        <v>73.055999999999997</v>
      </c>
      <c r="G16" s="431" t="s">
        <v>20</v>
      </c>
      <c r="H16" s="426" t="s">
        <v>20</v>
      </c>
      <c r="I16" s="426" t="s">
        <v>20</v>
      </c>
      <c r="J16" s="426" t="s">
        <v>20</v>
      </c>
      <c r="K16" s="426" t="s">
        <v>20</v>
      </c>
      <c r="L16" s="509" t="s">
        <v>20</v>
      </c>
      <c r="M16" s="509"/>
      <c r="O16" s="425"/>
    </row>
    <row r="17" spans="1:15" s="424" customFormat="1">
      <c r="A17" s="422" t="s">
        <v>51</v>
      </c>
      <c r="B17" s="423">
        <v>7.983793345932404</v>
      </c>
      <c r="C17" s="424">
        <v>10.876053787878789</v>
      </c>
      <c r="D17" s="424">
        <v>17</v>
      </c>
      <c r="E17" s="425">
        <v>20.383154000000001</v>
      </c>
      <c r="F17" s="442">
        <v>44.03</v>
      </c>
      <c r="G17" s="431" t="s">
        <v>20</v>
      </c>
      <c r="H17" s="427">
        <v>144</v>
      </c>
      <c r="I17" s="427">
        <v>178</v>
      </c>
      <c r="J17" s="427">
        <f>167321/1000</f>
        <v>167.321</v>
      </c>
      <c r="K17" s="427">
        <f>163937/1000</f>
        <v>163.93700000000001</v>
      </c>
      <c r="L17" s="424">
        <f>171375/1000</f>
        <v>171.375</v>
      </c>
      <c r="M17" s="424">
        <f>58.065+103.441</f>
        <v>161.506</v>
      </c>
      <c r="N17" s="424">
        <f>59.036+101.593</f>
        <v>160.62900000000002</v>
      </c>
      <c r="O17" s="425">
        <f>63.349+111.552</f>
        <v>174.90100000000001</v>
      </c>
    </row>
    <row r="18" spans="1:15" s="424" customFormat="1">
      <c r="A18" s="422" t="s">
        <v>52</v>
      </c>
      <c r="B18" s="423">
        <f>SUM(B13:B17)</f>
        <v>310.9570863915381</v>
      </c>
      <c r="C18" s="424">
        <f>SUM(C13:C17)</f>
        <v>464.65348803030304</v>
      </c>
      <c r="D18" s="424">
        <f>SUM(D13:D17)</f>
        <v>592</v>
      </c>
      <c r="E18" s="425">
        <v>707.72415599999999</v>
      </c>
      <c r="F18" s="442">
        <f>SUM(F13:F17)</f>
        <v>1774.82</v>
      </c>
      <c r="G18" s="428">
        <f t="shared" ref="G18:O18" si="2">SUM(G13:G17)</f>
        <v>0</v>
      </c>
      <c r="H18" s="427">
        <f t="shared" si="2"/>
        <v>859</v>
      </c>
      <c r="I18" s="427">
        <f t="shared" si="2"/>
        <v>870</v>
      </c>
      <c r="J18" s="427">
        <f t="shared" si="2"/>
        <v>737.64799999999991</v>
      </c>
      <c r="K18" s="427">
        <f t="shared" si="2"/>
        <v>757.48699999999997</v>
      </c>
      <c r="L18" s="424">
        <f t="shared" si="2"/>
        <v>766.81899999999996</v>
      </c>
      <c r="M18" s="424">
        <f t="shared" si="2"/>
        <v>778.79599999999994</v>
      </c>
      <c r="N18" s="424">
        <f t="shared" si="2"/>
        <v>847.00300000000004</v>
      </c>
      <c r="O18" s="425">
        <f t="shared" si="2"/>
        <v>932.00700000000006</v>
      </c>
    </row>
    <row r="19" spans="1:15" s="424" customFormat="1">
      <c r="A19" s="434" t="s">
        <v>53</v>
      </c>
      <c r="B19" s="423">
        <v>-19.712421512181542</v>
      </c>
      <c r="C19" s="424">
        <v>-28.102958181818185</v>
      </c>
      <c r="D19" s="424">
        <v>-36</v>
      </c>
      <c r="E19" s="425">
        <v>-40.192132999999998</v>
      </c>
      <c r="F19" s="442">
        <v>-92.528000000000006</v>
      </c>
      <c r="G19" s="428"/>
      <c r="H19" s="427"/>
      <c r="I19" s="427"/>
      <c r="J19" s="427"/>
      <c r="K19" s="427"/>
      <c r="O19" s="425"/>
    </row>
    <row r="20" spans="1:15" s="424" customFormat="1">
      <c r="A20" s="435" t="s">
        <v>54</v>
      </c>
      <c r="B20" s="423">
        <f>SUM(B18:B19)</f>
        <v>291.24466487935655</v>
      </c>
      <c r="C20" s="424">
        <f>SUM(C18:C19)</f>
        <v>436.55052984848487</v>
      </c>
      <c r="D20" s="424">
        <f>SUM(D18:D19)</f>
        <v>556</v>
      </c>
      <c r="E20" s="425">
        <v>667.53202299999998</v>
      </c>
      <c r="F20" s="442">
        <f>SUM(F18:F19)</f>
        <v>1682.2919999999999</v>
      </c>
      <c r="G20" s="428"/>
      <c r="H20" s="427"/>
      <c r="I20" s="427"/>
      <c r="J20" s="427"/>
      <c r="K20" s="427"/>
      <c r="L20" s="427">
        <f>L18+L19</f>
        <v>766.81899999999996</v>
      </c>
      <c r="M20" s="427">
        <f>M18+M19</f>
        <v>778.79599999999994</v>
      </c>
      <c r="N20" s="424">
        <f>N18+N19</f>
        <v>847.00300000000004</v>
      </c>
      <c r="O20" s="425">
        <f>O18+O19</f>
        <v>932.00700000000006</v>
      </c>
    </row>
    <row r="21" spans="1:15" s="424" customFormat="1">
      <c r="A21" s="422" t="s">
        <v>55</v>
      </c>
      <c r="B21" s="423">
        <v>-66.013679221787598</v>
      </c>
      <c r="C21" s="424">
        <v>-94.736566969696966</v>
      </c>
      <c r="D21" s="424">
        <v>-128</v>
      </c>
      <c r="E21" s="425">
        <v>-166.576956</v>
      </c>
      <c r="F21" s="442">
        <v>-469.82600000000002</v>
      </c>
      <c r="G21" s="428">
        <v>-38</v>
      </c>
      <c r="H21" s="427">
        <v>-157</v>
      </c>
      <c r="I21" s="427">
        <v>-163</v>
      </c>
      <c r="J21" s="427">
        <f>-127695/1000</f>
        <v>-127.69499999999999</v>
      </c>
      <c r="K21" s="427">
        <f>-138279/1000</f>
        <v>-138.279</v>
      </c>
      <c r="L21" s="424">
        <f>-139390/1000</f>
        <v>-139.38999999999999</v>
      </c>
      <c r="M21" s="424">
        <v>-147.84</v>
      </c>
      <c r="N21" s="424">
        <v>-154.40299999999999</v>
      </c>
      <c r="O21" s="425">
        <v>-179.774</v>
      </c>
    </row>
    <row r="22" spans="1:15" s="424" customFormat="1">
      <c r="A22" s="435" t="s">
        <v>19</v>
      </c>
      <c r="B22" s="423">
        <f>SUM(B20:B21)</f>
        <v>225.23098565756897</v>
      </c>
      <c r="C22" s="424">
        <f>SUM(C20:C21)</f>
        <v>341.81396287878789</v>
      </c>
      <c r="D22" s="424">
        <f>SUM(D20:D21)</f>
        <v>428</v>
      </c>
      <c r="E22" s="425">
        <v>500.95506699999999</v>
      </c>
      <c r="F22" s="442">
        <f>SUM(F20:F21)</f>
        <v>1212.4659999999999</v>
      </c>
      <c r="G22" s="436">
        <f t="shared" ref="G22:O22" si="3">SUM(G20:G21)</f>
        <v>-38</v>
      </c>
      <c r="H22" s="217">
        <f t="shared" si="3"/>
        <v>-157</v>
      </c>
      <c r="I22" s="217">
        <f t="shared" si="3"/>
        <v>-163</v>
      </c>
      <c r="J22" s="217">
        <f t="shared" si="3"/>
        <v>-127.69499999999999</v>
      </c>
      <c r="K22" s="217">
        <f t="shared" si="3"/>
        <v>-138.279</v>
      </c>
      <c r="L22" s="217">
        <f t="shared" si="3"/>
        <v>627.42899999999997</v>
      </c>
      <c r="M22" s="217">
        <f t="shared" si="3"/>
        <v>630.9559999999999</v>
      </c>
      <c r="N22" s="424">
        <f t="shared" si="3"/>
        <v>692.6</v>
      </c>
      <c r="O22" s="425">
        <f t="shared" si="3"/>
        <v>752.23300000000006</v>
      </c>
    </row>
    <row r="23" spans="1:15" s="211" customFormat="1">
      <c r="A23" s="67" t="s">
        <v>7</v>
      </c>
      <c r="B23" s="447">
        <f>B22/B20</f>
        <v>0.77333943868419808</v>
      </c>
      <c r="C23" s="211">
        <f>C22/C20</f>
        <v>0.78298831293922022</v>
      </c>
      <c r="D23" s="211">
        <f>D22/D20</f>
        <v>0.76978417266187049</v>
      </c>
      <c r="E23" s="446">
        <f>E22/E20</f>
        <v>0.75045847950278788</v>
      </c>
      <c r="F23" s="451">
        <f>F22/F20</f>
        <v>0.72072268072367929</v>
      </c>
      <c r="G23" s="447" t="e">
        <f t="shared" ref="G23:O23" si="4">G22/G20</f>
        <v>#DIV/0!</v>
      </c>
      <c r="H23" s="211" t="e">
        <f t="shared" si="4"/>
        <v>#DIV/0!</v>
      </c>
      <c r="I23" s="211" t="e">
        <f t="shared" si="4"/>
        <v>#DIV/0!</v>
      </c>
      <c r="J23" s="211" t="e">
        <f t="shared" si="4"/>
        <v>#DIV/0!</v>
      </c>
      <c r="K23" s="211" t="e">
        <f t="shared" si="4"/>
        <v>#DIV/0!</v>
      </c>
      <c r="L23" s="211">
        <f t="shared" si="4"/>
        <v>0.81822307480644063</v>
      </c>
      <c r="M23" s="211">
        <f t="shared" si="4"/>
        <v>0.8101685165306447</v>
      </c>
      <c r="N23" s="211">
        <f t="shared" si="4"/>
        <v>0.81770666691853511</v>
      </c>
      <c r="O23" s="446">
        <f t="shared" si="4"/>
        <v>0.80711089079803044</v>
      </c>
    </row>
    <row r="24" spans="1:15" s="424" customFormat="1">
      <c r="A24" s="422"/>
      <c r="B24" s="423"/>
      <c r="E24" s="425"/>
      <c r="F24" s="442"/>
      <c r="G24" s="423"/>
      <c r="O24" s="425"/>
    </row>
    <row r="25" spans="1:15" s="424" customFormat="1">
      <c r="A25" s="435" t="s">
        <v>56</v>
      </c>
      <c r="B25" s="423"/>
      <c r="E25" s="425"/>
      <c r="F25" s="442"/>
      <c r="G25" s="423"/>
      <c r="O25" s="425"/>
    </row>
    <row r="26" spans="1:15" s="424" customFormat="1">
      <c r="A26" s="437" t="s">
        <v>57</v>
      </c>
      <c r="B26" s="423">
        <v>-45.188377796334549</v>
      </c>
      <c r="C26" s="424">
        <v>-68.765606060606061</v>
      </c>
      <c r="D26" s="424">
        <v>-96</v>
      </c>
      <c r="E26" s="425">
        <v>-146.3708</v>
      </c>
      <c r="F26" s="442">
        <v>-508.92200000000003</v>
      </c>
      <c r="G26" s="431" t="s">
        <v>20</v>
      </c>
      <c r="H26" s="426" t="s">
        <v>20</v>
      </c>
      <c r="I26" s="426" t="s">
        <v>20</v>
      </c>
      <c r="J26" s="426" t="s">
        <v>20</v>
      </c>
      <c r="K26" s="426" t="s">
        <v>20</v>
      </c>
      <c r="L26" s="426" t="s">
        <v>20</v>
      </c>
      <c r="M26" s="426"/>
      <c r="O26" s="425"/>
    </row>
    <row r="27" spans="1:15" s="424" customFormat="1" ht="12.75" customHeight="1">
      <c r="A27" s="437" t="s">
        <v>58</v>
      </c>
      <c r="B27" s="423">
        <v>-50.585168109699815</v>
      </c>
      <c r="C27" s="424">
        <v>-68.680712272727277</v>
      </c>
      <c r="D27" s="424">
        <v>-99</v>
      </c>
      <c r="E27" s="425">
        <v>-157.94323800000001</v>
      </c>
      <c r="F27" s="442">
        <v>-476.70400000000001</v>
      </c>
      <c r="G27" s="423">
        <v>-89</v>
      </c>
      <c r="H27" s="424">
        <v>-302</v>
      </c>
      <c r="I27" s="424">
        <v>-310</v>
      </c>
      <c r="J27" s="424">
        <f>-225126/1000</f>
        <v>-225.126</v>
      </c>
      <c r="K27" s="424">
        <f>-232757/1000</f>
        <v>-232.75700000000001</v>
      </c>
      <c r="L27" s="424">
        <f>-241670/1000</f>
        <v>-241.67</v>
      </c>
      <c r="M27" s="424">
        <v>-252.99299999999999</v>
      </c>
      <c r="N27" s="424">
        <v>-292.47000000000003</v>
      </c>
      <c r="O27" s="425">
        <v>-334.47199999999998</v>
      </c>
    </row>
    <row r="28" spans="1:15" s="424" customFormat="1">
      <c r="A28" s="437" t="s">
        <v>59</v>
      </c>
      <c r="B28" s="423">
        <v>-28.757718982112248</v>
      </c>
      <c r="C28" s="424">
        <v>-44.651691818181817</v>
      </c>
      <c r="D28" s="424">
        <v>-64</v>
      </c>
      <c r="E28" s="425">
        <v>-91.569552000000002</v>
      </c>
      <c r="F28" s="442">
        <v>-168.02</v>
      </c>
      <c r="G28" s="423">
        <v>-112</v>
      </c>
      <c r="H28" s="424">
        <v>-301</v>
      </c>
      <c r="I28" s="424">
        <v>-272</v>
      </c>
      <c r="J28" s="424">
        <f>-256659/1000</f>
        <v>-256.65899999999999</v>
      </c>
      <c r="K28" s="424">
        <f>-244114/1000</f>
        <v>-244.114</v>
      </c>
      <c r="L28" s="424">
        <f>-270617/1000</f>
        <v>-270.61700000000002</v>
      </c>
      <c r="M28" s="424">
        <v>-260.25299999999999</v>
      </c>
      <c r="N28" s="424">
        <v>-280.41800000000001</v>
      </c>
      <c r="O28" s="425">
        <v>-278.202</v>
      </c>
    </row>
    <row r="29" spans="1:15" s="424" customFormat="1">
      <c r="A29" s="422" t="s">
        <v>60</v>
      </c>
      <c r="B29" s="431" t="s">
        <v>20</v>
      </c>
      <c r="C29" s="426" t="s">
        <v>20</v>
      </c>
      <c r="D29" s="426" t="s">
        <v>20</v>
      </c>
      <c r="E29" s="432" t="s">
        <v>20</v>
      </c>
      <c r="F29" s="453" t="s">
        <v>660</v>
      </c>
      <c r="G29" s="423">
        <v>-18</v>
      </c>
      <c r="H29" s="424">
        <v>-57</v>
      </c>
      <c r="I29" s="424">
        <v>-66</v>
      </c>
      <c r="J29" s="424">
        <v>-69.156000000000006</v>
      </c>
      <c r="K29" s="424">
        <f>-72891/1000</f>
        <v>-72.891000000000005</v>
      </c>
      <c r="L29" s="424">
        <f>-60540/1000</f>
        <v>-60.54</v>
      </c>
      <c r="M29" s="424">
        <v>-57.045999999999999</v>
      </c>
      <c r="N29" s="424">
        <v>-55.11</v>
      </c>
      <c r="O29" s="425">
        <v>-57.548999999999999</v>
      </c>
    </row>
    <row r="30" spans="1:15" s="424" customFormat="1" hidden="1">
      <c r="A30" s="422" t="s">
        <v>61</v>
      </c>
      <c r="B30" s="431"/>
      <c r="C30" s="426"/>
      <c r="D30" s="426"/>
      <c r="E30" s="432"/>
      <c r="F30" s="453"/>
      <c r="G30" s="423"/>
      <c r="O30" s="425"/>
    </row>
    <row r="31" spans="1:15" s="424" customFormat="1" hidden="1">
      <c r="A31" s="422" t="s">
        <v>62</v>
      </c>
      <c r="B31" s="431" t="s">
        <v>20</v>
      </c>
      <c r="C31" s="426" t="s">
        <v>20</v>
      </c>
      <c r="D31" s="426" t="s">
        <v>20</v>
      </c>
      <c r="E31" s="432" t="s">
        <v>20</v>
      </c>
      <c r="F31" s="453"/>
      <c r="G31" s="431" t="s">
        <v>20</v>
      </c>
      <c r="H31" s="426" t="s">
        <v>20</v>
      </c>
      <c r="I31" s="426" t="s">
        <v>20</v>
      </c>
      <c r="J31" s="426" t="s">
        <v>20</v>
      </c>
      <c r="K31" s="426" t="s">
        <v>20</v>
      </c>
      <c r="L31" s="426" t="s">
        <v>20</v>
      </c>
      <c r="M31" s="426"/>
      <c r="O31" s="425"/>
    </row>
    <row r="32" spans="1:15" s="424" customFormat="1">
      <c r="A32" s="422" t="s">
        <v>63</v>
      </c>
      <c r="B32" s="431" t="s">
        <v>20</v>
      </c>
      <c r="C32" s="426" t="s">
        <v>20</v>
      </c>
      <c r="D32" s="426" t="s">
        <v>20</v>
      </c>
      <c r="E32" s="432" t="s">
        <v>20</v>
      </c>
      <c r="F32" s="453" t="s">
        <v>660</v>
      </c>
      <c r="G32" s="431" t="s">
        <v>20</v>
      </c>
      <c r="H32" s="426" t="s">
        <v>20</v>
      </c>
      <c r="I32" s="426" t="s">
        <v>20</v>
      </c>
      <c r="J32" s="426" t="s">
        <v>20</v>
      </c>
      <c r="K32" s="426" t="s">
        <v>20</v>
      </c>
      <c r="L32" s="427">
        <f>-49.891</f>
        <v>-49.890999999999998</v>
      </c>
      <c r="M32" s="427">
        <f>-(321.172+1.417)</f>
        <v>-322.589</v>
      </c>
      <c r="N32" s="424">
        <v>-2.6360000000000001</v>
      </c>
      <c r="O32" s="425"/>
    </row>
    <row r="33" spans="1:15" s="424" customFormat="1" hidden="1">
      <c r="A33" s="422" t="s">
        <v>64</v>
      </c>
      <c r="B33" s="431" t="s">
        <v>20</v>
      </c>
      <c r="C33" s="426" t="s">
        <v>20</v>
      </c>
      <c r="D33" s="426" t="s">
        <v>20</v>
      </c>
      <c r="E33" s="432" t="s">
        <v>20</v>
      </c>
      <c r="F33" s="453"/>
      <c r="G33" s="431" t="s">
        <v>20</v>
      </c>
      <c r="H33" s="426" t="s">
        <v>20</v>
      </c>
      <c r="I33" s="424">
        <v>-297</v>
      </c>
      <c r="J33" s="424">
        <f>-331527/1000</f>
        <v>-331.52699999999999</v>
      </c>
      <c r="K33" s="424">
        <f>-81250/1000</f>
        <v>-81.25</v>
      </c>
      <c r="L33" s="424">
        <f>-49891/1000</f>
        <v>-49.890999999999998</v>
      </c>
      <c r="O33" s="425"/>
    </row>
    <row r="34" spans="1:15" s="424" customFormat="1">
      <c r="A34" s="437" t="s">
        <v>21</v>
      </c>
      <c r="B34" s="438">
        <v>19.122581198083768</v>
      </c>
      <c r="C34" s="424">
        <v>36.751736060606063</v>
      </c>
      <c r="D34" s="424">
        <v>54.464061549999997</v>
      </c>
      <c r="E34" s="425">
        <v>69.296049999999994</v>
      </c>
      <c r="F34" s="442">
        <v>99.2</v>
      </c>
      <c r="G34" s="431" t="s">
        <v>20</v>
      </c>
      <c r="H34" s="426" t="s">
        <v>20</v>
      </c>
      <c r="J34" s="439"/>
      <c r="L34" s="424">
        <v>8.5210000000000008</v>
      </c>
      <c r="M34" s="424">
        <v>7.5659999999999998</v>
      </c>
      <c r="N34" s="424">
        <v>12.913</v>
      </c>
      <c r="O34" s="425">
        <v>12.196999999999999</v>
      </c>
    </row>
    <row r="35" spans="1:15" s="424" customFormat="1">
      <c r="A35" s="440" t="s">
        <v>22</v>
      </c>
      <c r="B35" s="424">
        <f>SUM(B26:B33)</f>
        <v>-124.53126488814662</v>
      </c>
      <c r="C35" s="424">
        <f>SUM(C26:C33)</f>
        <v>-182.09801015151515</v>
      </c>
      <c r="D35" s="424">
        <f>SUM(D26:D33)</f>
        <v>-259</v>
      </c>
      <c r="E35" s="425">
        <v>-395.88359000000003</v>
      </c>
      <c r="F35" s="442">
        <f t="shared" ref="F35:O35" si="5">SUM(F26:F33)</f>
        <v>-1153.646</v>
      </c>
      <c r="G35" s="423">
        <f t="shared" si="5"/>
        <v>-219</v>
      </c>
      <c r="H35" s="424">
        <f t="shared" si="5"/>
        <v>-660</v>
      </c>
      <c r="I35" s="424">
        <f t="shared" si="5"/>
        <v>-945</v>
      </c>
      <c r="J35" s="424">
        <f t="shared" si="5"/>
        <v>-882.46800000000007</v>
      </c>
      <c r="K35" s="424">
        <f t="shared" si="5"/>
        <v>-631.01199999999994</v>
      </c>
      <c r="L35" s="424">
        <f t="shared" si="5"/>
        <v>-672.60899999999992</v>
      </c>
      <c r="M35" s="424">
        <f t="shared" si="5"/>
        <v>-892.88100000000009</v>
      </c>
      <c r="N35" s="424">
        <f t="shared" si="5"/>
        <v>-630.63400000000001</v>
      </c>
      <c r="O35" s="425">
        <f t="shared" si="5"/>
        <v>-670.22299999999996</v>
      </c>
    </row>
    <row r="36" spans="1:15" s="424" customFormat="1">
      <c r="A36" s="422" t="s">
        <v>65</v>
      </c>
      <c r="B36" s="424">
        <f>SUM(B34:B35)</f>
        <v>-105.40868369006286</v>
      </c>
      <c r="C36" s="424">
        <f>SUM(C34:C35)</f>
        <v>-145.34627409090911</v>
      </c>
      <c r="D36" s="424">
        <f>SUM(D34:D35)</f>
        <v>-204.53593845</v>
      </c>
      <c r="E36" s="425">
        <f>E35+E34</f>
        <v>-326.58754000000005</v>
      </c>
      <c r="F36" s="442">
        <f t="shared" ref="F36:O36" si="6">SUM(F34:F35)</f>
        <v>-1054.4459999999999</v>
      </c>
      <c r="G36" s="423">
        <f t="shared" si="6"/>
        <v>-219</v>
      </c>
      <c r="H36" s="424">
        <f t="shared" si="6"/>
        <v>-660</v>
      </c>
      <c r="I36" s="424">
        <f t="shared" si="6"/>
        <v>-945</v>
      </c>
      <c r="J36" s="424">
        <f t="shared" si="6"/>
        <v>-882.46800000000007</v>
      </c>
      <c r="K36" s="424">
        <f t="shared" si="6"/>
        <v>-631.01199999999994</v>
      </c>
      <c r="L36" s="424">
        <f t="shared" si="6"/>
        <v>-664.08799999999997</v>
      </c>
      <c r="M36" s="424">
        <f t="shared" si="6"/>
        <v>-885.31500000000005</v>
      </c>
      <c r="N36" s="424">
        <f t="shared" si="6"/>
        <v>-617.721</v>
      </c>
      <c r="O36" s="425">
        <f t="shared" si="6"/>
        <v>-658.02599999999995</v>
      </c>
    </row>
    <row r="37" spans="1:15">
      <c r="A37" s="17"/>
      <c r="B37" s="146"/>
      <c r="C37" s="146"/>
      <c r="D37" s="146"/>
      <c r="E37" s="147"/>
      <c r="F37" s="419"/>
      <c r="G37" s="145"/>
      <c r="H37" s="146"/>
      <c r="I37" s="146"/>
      <c r="J37" s="146"/>
      <c r="K37" s="146"/>
      <c r="L37" s="146"/>
      <c r="M37" s="146"/>
    </row>
    <row r="38" spans="1:15">
      <c r="A38" s="145" t="s">
        <v>23</v>
      </c>
      <c r="B38" s="145">
        <v>100.699720769422</v>
      </c>
      <c r="C38" s="146">
        <v>159.71595272727271</v>
      </c>
      <c r="D38" s="146">
        <v>169</v>
      </c>
      <c r="E38" s="147">
        <v>105.071477</v>
      </c>
      <c r="F38" s="419">
        <f t="shared" ref="F38:O38" si="7">F22+F35</f>
        <v>58.819999999999936</v>
      </c>
      <c r="G38" s="145">
        <f t="shared" si="7"/>
        <v>-257</v>
      </c>
      <c r="H38" s="146">
        <f t="shared" si="7"/>
        <v>-817</v>
      </c>
      <c r="I38" s="146">
        <f t="shared" si="7"/>
        <v>-1108</v>
      </c>
      <c r="J38" s="146">
        <f t="shared" si="7"/>
        <v>-1010.163</v>
      </c>
      <c r="K38" s="146">
        <f t="shared" si="7"/>
        <v>-769.29099999999994</v>
      </c>
      <c r="L38" s="374">
        <f t="shared" si="7"/>
        <v>-45.17999999999995</v>
      </c>
      <c r="M38" s="374">
        <f t="shared" si="7"/>
        <v>-261.92500000000018</v>
      </c>
      <c r="N38" s="374">
        <f t="shared" si="7"/>
        <v>61.966000000000008</v>
      </c>
      <c r="O38" s="552">
        <f t="shared" si="7"/>
        <v>82.010000000000105</v>
      </c>
    </row>
    <row r="39" spans="1:15" s="473" customFormat="1">
      <c r="A39" s="474" t="s">
        <v>66</v>
      </c>
      <c r="B39" s="475">
        <f>B38/B20</f>
        <v>0.34575644780011766</v>
      </c>
      <c r="C39" s="444">
        <f>C38/C20</f>
        <v>0.36585902846734808</v>
      </c>
      <c r="D39" s="444">
        <f>D38/D20</f>
        <v>0.3039568345323741</v>
      </c>
      <c r="E39" s="445">
        <f>E38/E20</f>
        <v>0.15740290110396696</v>
      </c>
      <c r="F39" s="451">
        <f>F38/F18</f>
        <v>3.3141388985925301E-2</v>
      </c>
      <c r="G39" s="465" t="e">
        <f t="shared" ref="G39:O39" si="8">G38/G18</f>
        <v>#DIV/0!</v>
      </c>
      <c r="H39" s="211">
        <f t="shared" si="8"/>
        <v>-0.95110593713620484</v>
      </c>
      <c r="I39" s="466">
        <f t="shared" si="8"/>
        <v>-1.2735632183908046</v>
      </c>
      <c r="J39" s="466">
        <f t="shared" si="8"/>
        <v>-1.3694377263952455</v>
      </c>
      <c r="K39" s="466">
        <f t="shared" si="8"/>
        <v>-1.0155831057166658</v>
      </c>
      <c r="L39" s="211">
        <f t="shared" si="8"/>
        <v>-5.8918727887545763E-2</v>
      </c>
      <c r="M39" s="211">
        <f t="shared" si="8"/>
        <v>-0.33632042280648616</v>
      </c>
      <c r="N39" s="473">
        <f t="shared" si="8"/>
        <v>7.3159126945241043E-2</v>
      </c>
      <c r="O39" s="486">
        <f t="shared" si="8"/>
        <v>8.7992901340869858E-2</v>
      </c>
    </row>
    <row r="40" spans="1:15" s="473" customFormat="1">
      <c r="A40" s="476" t="s">
        <v>67</v>
      </c>
      <c r="B40" s="23">
        <f>B38/B22</f>
        <v>0.44709532516330286</v>
      </c>
      <c r="C40" s="211">
        <f>C38/C22</f>
        <v>0.46725988424267578</v>
      </c>
      <c r="D40" s="211">
        <f>D38/D22</f>
        <v>0.39485981308411217</v>
      </c>
      <c r="E40" s="446">
        <f>E38/E22</f>
        <v>0.20974231806702137</v>
      </c>
      <c r="F40" s="451">
        <f>F38/F22</f>
        <v>4.8512700562324998E-2</v>
      </c>
      <c r="G40" s="465">
        <f t="shared" ref="G40:O40" si="9">G38/G22</f>
        <v>6.7631578947368425</v>
      </c>
      <c r="H40" s="211">
        <f t="shared" si="9"/>
        <v>5.2038216560509554</v>
      </c>
      <c r="I40" s="466">
        <f t="shared" si="9"/>
        <v>6.7975460122699385</v>
      </c>
      <c r="J40" s="466">
        <f t="shared" si="9"/>
        <v>7.9107482673558094</v>
      </c>
      <c r="K40" s="466">
        <f t="shared" si="9"/>
        <v>5.5633248721787112</v>
      </c>
      <c r="L40" s="211">
        <f t="shared" si="9"/>
        <v>-7.2008147535418274E-2</v>
      </c>
      <c r="M40" s="211">
        <f t="shared" si="9"/>
        <v>-0.41512403400554115</v>
      </c>
      <c r="N40" s="473">
        <f t="shared" si="9"/>
        <v>8.9468668784291092E-2</v>
      </c>
      <c r="O40" s="486">
        <f t="shared" si="9"/>
        <v>0.10902207161876719</v>
      </c>
    </row>
    <row r="41" spans="1:15">
      <c r="A41" s="65" t="s">
        <v>68</v>
      </c>
      <c r="B41" s="99">
        <f>B38+B34</f>
        <v>119.82230196750577</v>
      </c>
      <c r="C41" s="146">
        <f>C38+C34</f>
        <v>196.46768878787879</v>
      </c>
      <c r="D41" s="146">
        <f>D38+D34</f>
        <v>223.46406155</v>
      </c>
      <c r="E41" s="147">
        <f>E38+E34</f>
        <v>174.367527</v>
      </c>
      <c r="F41" s="419">
        <f>F38+F34</f>
        <v>158.01999999999992</v>
      </c>
      <c r="G41" s="145" t="e">
        <f t="shared" ref="G41:O41" si="10">G38+G34</f>
        <v>#VALUE!</v>
      </c>
      <c r="H41" s="146" t="e">
        <f t="shared" si="10"/>
        <v>#VALUE!</v>
      </c>
      <c r="I41" s="146">
        <f t="shared" si="10"/>
        <v>-1108</v>
      </c>
      <c r="J41" s="146">
        <f t="shared" si="10"/>
        <v>-1010.163</v>
      </c>
      <c r="K41" s="146">
        <f t="shared" si="10"/>
        <v>-769.29099999999994</v>
      </c>
      <c r="L41" s="146">
        <f t="shared" si="10"/>
        <v>-36.658999999999949</v>
      </c>
      <c r="M41" s="146">
        <f t="shared" si="10"/>
        <v>-254.35900000000018</v>
      </c>
      <c r="N41" s="133">
        <f t="shared" si="10"/>
        <v>74.879000000000005</v>
      </c>
      <c r="O41" s="136">
        <f t="shared" si="10"/>
        <v>94.207000000000107</v>
      </c>
    </row>
    <row r="42" spans="1:15" s="473" customFormat="1">
      <c r="A42" s="67" t="s">
        <v>69</v>
      </c>
      <c r="B42" s="23">
        <f>B41/B20</f>
        <v>0.41141458167874162</v>
      </c>
      <c r="C42" s="211">
        <f>C41/C20</f>
        <v>0.45004569999277638</v>
      </c>
      <c r="D42" s="211">
        <f>D41/D20</f>
        <v>0.40191377976618703</v>
      </c>
      <c r="E42" s="446">
        <f>E41/E20</f>
        <v>0.26121222801621308</v>
      </c>
      <c r="F42" s="451">
        <f>F41/F18</f>
        <v>8.9034380951307696E-2</v>
      </c>
      <c r="G42" s="465" t="e">
        <f t="shared" ref="G42:O42" si="11">G41/G18</f>
        <v>#VALUE!</v>
      </c>
      <c r="H42" s="211" t="e">
        <f t="shared" si="11"/>
        <v>#VALUE!</v>
      </c>
      <c r="I42" s="466">
        <f t="shared" si="11"/>
        <v>-1.2735632183908046</v>
      </c>
      <c r="J42" s="466">
        <f t="shared" si="11"/>
        <v>-1.3694377263952455</v>
      </c>
      <c r="K42" s="466">
        <f t="shared" si="11"/>
        <v>-1.0155831057166658</v>
      </c>
      <c r="L42" s="211">
        <f t="shared" si="11"/>
        <v>-4.780658799534173E-2</v>
      </c>
      <c r="M42" s="211">
        <f t="shared" si="11"/>
        <v>-0.32660542683835075</v>
      </c>
      <c r="N42" s="473">
        <f t="shared" si="11"/>
        <v>8.8404645556155056E-2</v>
      </c>
      <c r="O42" s="486">
        <f t="shared" si="11"/>
        <v>0.10107971292061121</v>
      </c>
    </row>
    <row r="43" spans="1:15" s="473" customFormat="1">
      <c r="A43" s="476" t="s">
        <v>70</v>
      </c>
      <c r="B43" s="23">
        <f>B41/B22</f>
        <v>0.53199741419983038</v>
      </c>
      <c r="C43" s="211">
        <f>C41/C22</f>
        <v>0.57477958809292129</v>
      </c>
      <c r="D43" s="211">
        <f>D41/D22</f>
        <v>0.52211229334112153</v>
      </c>
      <c r="E43" s="446">
        <f>E41/E22</f>
        <v>0.3480701932894113</v>
      </c>
      <c r="F43" s="451">
        <f>F41/F22</f>
        <v>0.13032942779426387</v>
      </c>
      <c r="G43" s="465" t="e">
        <f t="shared" ref="G43:O43" si="12">G41/G22</f>
        <v>#VALUE!</v>
      </c>
      <c r="H43" s="211" t="e">
        <f t="shared" si="12"/>
        <v>#VALUE!</v>
      </c>
      <c r="I43" s="466">
        <f t="shared" si="12"/>
        <v>6.7975460122699385</v>
      </c>
      <c r="J43" s="466">
        <f t="shared" si="12"/>
        <v>7.9107482673558094</v>
      </c>
      <c r="K43" s="466">
        <f t="shared" si="12"/>
        <v>5.5633248721787112</v>
      </c>
      <c r="L43" s="211">
        <f t="shared" si="12"/>
        <v>-5.8427328032335052E-2</v>
      </c>
      <c r="M43" s="211">
        <f t="shared" si="12"/>
        <v>-0.40313270655957029</v>
      </c>
      <c r="N43" s="473">
        <f t="shared" si="12"/>
        <v>0.10811290788333815</v>
      </c>
      <c r="O43" s="486">
        <f t="shared" si="12"/>
        <v>0.12523646263857088</v>
      </c>
    </row>
    <row r="44" spans="1:15">
      <c r="A44" s="66"/>
      <c r="B44" s="149"/>
      <c r="C44" s="150"/>
      <c r="D44" s="150"/>
      <c r="E44" s="153"/>
      <c r="F44" s="454"/>
      <c r="G44" s="145"/>
      <c r="H44" s="146"/>
      <c r="I44" s="146"/>
      <c r="J44" s="146"/>
      <c r="K44" s="146"/>
      <c r="L44" s="146"/>
      <c r="M44" s="146"/>
    </row>
    <row r="45" spans="1:15" s="424" customFormat="1" hidden="1">
      <c r="A45" s="422" t="s">
        <v>71</v>
      </c>
      <c r="B45" s="423">
        <v>2.5480115442652251</v>
      </c>
      <c r="C45" s="424">
        <v>5.6948280303030305</v>
      </c>
      <c r="D45" s="424">
        <v>17</v>
      </c>
      <c r="E45" s="425">
        <v>26.612729000000002</v>
      </c>
      <c r="F45" s="442">
        <v>68.814999999999998</v>
      </c>
      <c r="G45" s="423"/>
      <c r="O45" s="425"/>
    </row>
    <row r="46" spans="1:15" s="424" customFormat="1" hidden="1">
      <c r="A46" s="422" t="s">
        <v>72</v>
      </c>
      <c r="B46" s="431" t="s">
        <v>20</v>
      </c>
      <c r="C46" s="426" t="s">
        <v>20</v>
      </c>
      <c r="D46" s="426" t="s">
        <v>20</v>
      </c>
      <c r="E46" s="432" t="s">
        <v>20</v>
      </c>
      <c r="F46" s="455">
        <v>-46.686999999999998</v>
      </c>
      <c r="G46" s="423">
        <v>-9</v>
      </c>
      <c r="H46" s="424">
        <v>-83</v>
      </c>
      <c r="I46" s="424">
        <v>-63</v>
      </c>
      <c r="J46" s="424">
        <f>-57322/1000</f>
        <v>-57.322000000000003</v>
      </c>
      <c r="K46" s="424">
        <f>-44070/1000</f>
        <v>-44.07</v>
      </c>
      <c r="L46" s="424">
        <f>-40488/1000</f>
        <v>-40.488</v>
      </c>
      <c r="O46" s="425"/>
    </row>
    <row r="47" spans="1:15" s="424" customFormat="1" hidden="1">
      <c r="A47" s="422" t="s">
        <v>24</v>
      </c>
      <c r="B47" s="423">
        <v>8.9074378470238358</v>
      </c>
      <c r="C47" s="424">
        <v>15.019017575757577</v>
      </c>
      <c r="D47" s="424">
        <v>19</v>
      </c>
      <c r="E47" s="425">
        <v>20.912656999999999</v>
      </c>
      <c r="F47" s="442">
        <v>382.99700000000001</v>
      </c>
      <c r="G47" s="423"/>
      <c r="J47" s="424">
        <f>2115/1000</f>
        <v>2.1150000000000002</v>
      </c>
      <c r="K47" s="424">
        <f>18/1000</f>
        <v>1.7999999999999999E-2</v>
      </c>
      <c r="L47" s="424">
        <f>551/1000</f>
        <v>0.55100000000000005</v>
      </c>
      <c r="O47" s="425"/>
    </row>
    <row r="48" spans="1:15" s="424" customFormat="1" ht="23" hidden="1">
      <c r="A48" s="441" t="s">
        <v>25</v>
      </c>
      <c r="B48" s="423">
        <v>112.15517016071141</v>
      </c>
      <c r="C48" s="424">
        <v>180.42979833333331</v>
      </c>
      <c r="D48" s="424">
        <v>205</v>
      </c>
      <c r="E48" s="425">
        <v>152.59686300000001</v>
      </c>
      <c r="F48" s="442">
        <v>463.94799999999998</v>
      </c>
      <c r="G48" s="423">
        <v>-24</v>
      </c>
      <c r="H48" s="424">
        <v>-41</v>
      </c>
      <c r="I48" s="424">
        <v>-301</v>
      </c>
      <c r="J48" s="424">
        <v>-327.72199999999998</v>
      </c>
      <c r="K48" s="424">
        <f>-55856/1000</f>
        <v>-55.856000000000002</v>
      </c>
      <c r="L48" s="424">
        <f>-35226/1000</f>
        <v>-35.225999999999999</v>
      </c>
      <c r="O48" s="425"/>
    </row>
    <row r="49" spans="1:15" s="424" customFormat="1" hidden="1">
      <c r="A49" s="422" t="s">
        <v>73</v>
      </c>
      <c r="B49" s="423">
        <v>-19.288018429804129</v>
      </c>
      <c r="C49" s="424">
        <v>-31.063175909090909</v>
      </c>
      <c r="D49" s="424">
        <v>-42</v>
      </c>
      <c r="E49" s="425">
        <v>-47.274675999999999</v>
      </c>
      <c r="F49" s="442">
        <v>-72.584999999999994</v>
      </c>
      <c r="G49" s="423">
        <v>-1</v>
      </c>
      <c r="H49" s="424">
        <v>-43</v>
      </c>
      <c r="I49" s="424">
        <v>2</v>
      </c>
      <c r="J49" s="424">
        <f>-9233/1000</f>
        <v>-9.2330000000000005</v>
      </c>
      <c r="K49" s="424">
        <v>2.3809999999999998</v>
      </c>
      <c r="L49" s="424">
        <v>2.0510000000000002</v>
      </c>
      <c r="O49" s="425"/>
    </row>
    <row r="50" spans="1:15" s="424" customFormat="1" hidden="1">
      <c r="A50" s="422" t="s">
        <v>74</v>
      </c>
      <c r="B50" s="423">
        <v>4.815397090493561</v>
      </c>
      <c r="C50" s="424">
        <v>10.026059393939395</v>
      </c>
      <c r="D50" s="424">
        <v>9</v>
      </c>
      <c r="E50" s="425">
        <v>5.5124320000000004</v>
      </c>
      <c r="F50" s="453" t="s">
        <v>20</v>
      </c>
      <c r="G50" s="431" t="s">
        <v>20</v>
      </c>
      <c r="H50" s="426" t="s">
        <v>20</v>
      </c>
      <c r="I50" s="426" t="s">
        <v>20</v>
      </c>
      <c r="J50" s="426" t="s">
        <v>20</v>
      </c>
      <c r="K50" s="426" t="s">
        <v>20</v>
      </c>
      <c r="L50" s="426" t="s">
        <v>20</v>
      </c>
      <c r="M50" s="426"/>
      <c r="O50" s="425"/>
    </row>
    <row r="51" spans="1:15" s="424" customFormat="1" hidden="1">
      <c r="A51" s="422" t="s">
        <v>14</v>
      </c>
      <c r="B51" s="423"/>
      <c r="E51" s="425"/>
      <c r="F51" s="453" t="s">
        <v>20</v>
      </c>
      <c r="G51" s="431"/>
      <c r="H51" s="426"/>
      <c r="I51" s="426"/>
      <c r="J51" s="426"/>
      <c r="K51" s="426"/>
      <c r="L51" s="426"/>
      <c r="M51" s="426"/>
      <c r="O51" s="425"/>
    </row>
    <row r="52" spans="1:15" s="424" customFormat="1" hidden="1">
      <c r="A52" s="422" t="s">
        <v>75</v>
      </c>
      <c r="B52" s="423"/>
      <c r="E52" s="425"/>
      <c r="F52" s="453" t="s">
        <v>20</v>
      </c>
      <c r="G52" s="431"/>
      <c r="H52" s="426"/>
      <c r="I52" s="426"/>
      <c r="J52" s="426"/>
      <c r="K52" s="426"/>
      <c r="L52" s="426"/>
      <c r="M52" s="426"/>
      <c r="O52" s="425"/>
    </row>
    <row r="53" spans="1:15" s="424" customFormat="1" hidden="1">
      <c r="A53" s="422" t="s">
        <v>76</v>
      </c>
      <c r="B53" s="423">
        <v>-1.1423674533761115</v>
      </c>
      <c r="C53" s="424">
        <v>-0.59423621212121214</v>
      </c>
      <c r="D53" s="424">
        <v>-1</v>
      </c>
      <c r="E53" s="425">
        <v>3.8354279999999998</v>
      </c>
      <c r="F53" s="442">
        <v>16.716000000000001</v>
      </c>
      <c r="G53" s="431" t="s">
        <v>20</v>
      </c>
      <c r="H53" s="426" t="s">
        <v>20</v>
      </c>
      <c r="I53" s="426" t="s">
        <v>20</v>
      </c>
      <c r="J53" s="426" t="s">
        <v>20</v>
      </c>
      <c r="K53" s="426" t="s">
        <v>20</v>
      </c>
      <c r="L53" s="426" t="s">
        <v>20</v>
      </c>
      <c r="M53" s="426"/>
      <c r="O53" s="425"/>
    </row>
    <row r="54" spans="1:15" s="424" customFormat="1">
      <c r="A54" s="435" t="s">
        <v>77</v>
      </c>
      <c r="B54" s="423">
        <v>96.540181368024733</v>
      </c>
      <c r="C54" s="424">
        <v>158.7984456060606</v>
      </c>
      <c r="D54" s="424">
        <v>171</v>
      </c>
      <c r="E54" s="425">
        <v>114.670047</v>
      </c>
      <c r="F54" s="442">
        <v>387.11500000000001</v>
      </c>
      <c r="G54" s="423">
        <v>-25</v>
      </c>
      <c r="H54" s="424">
        <v>-85</v>
      </c>
      <c r="I54" s="424">
        <v>-299</v>
      </c>
      <c r="J54" s="424">
        <f ca="1">SUM(J48:J54)</f>
        <v>-2245862357.1442914</v>
      </c>
      <c r="K54" s="424">
        <f>K48-K49</f>
        <v>-58.237000000000002</v>
      </c>
      <c r="L54" s="424">
        <f>L48-L49</f>
        <v>-37.277000000000001</v>
      </c>
      <c r="M54" s="424">
        <v>-301.738</v>
      </c>
      <c r="N54" s="424">
        <v>165.08500000000001</v>
      </c>
      <c r="O54" s="425">
        <v>17.28</v>
      </c>
    </row>
    <row r="55" spans="1:15" hidden="1">
      <c r="A55" s="66" t="s">
        <v>78</v>
      </c>
      <c r="B55" s="139" t="s">
        <v>20</v>
      </c>
      <c r="C55" s="140" t="s">
        <v>20</v>
      </c>
      <c r="D55" s="140" t="s">
        <v>20</v>
      </c>
      <c r="E55" s="141" t="s">
        <v>20</v>
      </c>
      <c r="F55" s="449"/>
      <c r="G55" s="139"/>
      <c r="H55" s="140"/>
      <c r="I55" s="140"/>
      <c r="J55" s="140"/>
      <c r="K55" s="140"/>
      <c r="L55" s="140"/>
      <c r="M55" s="140"/>
    </row>
    <row r="56" spans="1:15" hidden="1">
      <c r="A56" s="66" t="s">
        <v>79</v>
      </c>
      <c r="B56" s="139" t="s">
        <v>20</v>
      </c>
      <c r="C56" s="140" t="s">
        <v>20</v>
      </c>
      <c r="D56" s="140" t="s">
        <v>20</v>
      </c>
      <c r="E56" s="141" t="s">
        <v>20</v>
      </c>
      <c r="F56" s="449"/>
      <c r="G56" s="139"/>
      <c r="H56" s="140"/>
      <c r="I56" s="140"/>
      <c r="J56" s="140"/>
      <c r="K56" s="140"/>
      <c r="L56" s="140"/>
      <c r="M56" s="140"/>
    </row>
    <row r="57" spans="1:15" s="473" customFormat="1">
      <c r="A57" s="67" t="s">
        <v>80</v>
      </c>
      <c r="B57" s="447">
        <f>B54/B20</f>
        <v>0.33147450583520549</v>
      </c>
      <c r="C57" s="211">
        <f>C54/C20</f>
        <v>0.36375730814294355</v>
      </c>
      <c r="D57" s="211">
        <f>D54/D20</f>
        <v>0.30755395683453235</v>
      </c>
      <c r="E57" s="446">
        <f>E54/E20</f>
        <v>0.17178209141885617</v>
      </c>
      <c r="F57" s="451">
        <f>F54/F20</f>
        <v>0.23011165719149829</v>
      </c>
      <c r="G57" s="465" t="e">
        <f t="shared" ref="G57:O57" si="13">G54/G20</f>
        <v>#DIV/0!</v>
      </c>
      <c r="H57" s="466" t="e">
        <f t="shared" si="13"/>
        <v>#DIV/0!</v>
      </c>
      <c r="I57" s="466" t="e">
        <f t="shared" si="13"/>
        <v>#DIV/0!</v>
      </c>
      <c r="J57" s="466" t="e">
        <f t="shared" ca="1" si="13"/>
        <v>#DIV/0!</v>
      </c>
      <c r="K57" s="466" t="e">
        <f t="shared" si="13"/>
        <v>#DIV/0!</v>
      </c>
      <c r="L57" s="466">
        <f t="shared" si="13"/>
        <v>-4.8612514817707966E-2</v>
      </c>
      <c r="M57" s="466">
        <f t="shared" si="13"/>
        <v>-0.38744164068639286</v>
      </c>
      <c r="N57" s="473">
        <f t="shared" si="13"/>
        <v>0.19490485866047699</v>
      </c>
      <c r="O57" s="486">
        <f t="shared" si="13"/>
        <v>1.8540633278505417E-2</v>
      </c>
    </row>
    <row r="58" spans="1:15" s="473" customFormat="1">
      <c r="A58" s="67" t="s">
        <v>81</v>
      </c>
      <c r="B58" s="465" t="s">
        <v>20</v>
      </c>
      <c r="C58" s="466" t="s">
        <v>20</v>
      </c>
      <c r="D58" s="466" t="s">
        <v>20</v>
      </c>
      <c r="E58" s="467" t="s">
        <v>20</v>
      </c>
      <c r="F58" s="451">
        <f>F54/F22</f>
        <v>0.31927905607250023</v>
      </c>
      <c r="G58" s="465">
        <f t="shared" ref="G58:O58" si="14">G54/G22</f>
        <v>0.65789473684210531</v>
      </c>
      <c r="H58" s="466">
        <f t="shared" si="14"/>
        <v>0.54140127388535031</v>
      </c>
      <c r="I58" s="466">
        <f t="shared" si="14"/>
        <v>1.834355828220859</v>
      </c>
      <c r="J58" s="466">
        <f t="shared" ca="1" si="14"/>
        <v>17587707.875361536</v>
      </c>
      <c r="K58" s="466">
        <f t="shared" si="14"/>
        <v>0.42115577925787723</v>
      </c>
      <c r="L58" s="466">
        <f t="shared" si="14"/>
        <v>-5.9412300037135678E-2</v>
      </c>
      <c r="M58" s="466">
        <f t="shared" si="14"/>
        <v>-0.47822352113301092</v>
      </c>
      <c r="N58" s="473">
        <f t="shared" si="14"/>
        <v>0.23835547213398789</v>
      </c>
      <c r="O58" s="486">
        <f t="shared" si="14"/>
        <v>2.2971605872116749E-2</v>
      </c>
    </row>
    <row r="59" spans="1:15" s="473" customFormat="1" hidden="1">
      <c r="A59" s="476" t="s">
        <v>82</v>
      </c>
      <c r="B59" s="23">
        <f>-B49/B48</f>
        <v>0.17197618622632907</v>
      </c>
      <c r="C59" s="2">
        <f>-C49/C48</f>
        <v>0.17216211621377275</v>
      </c>
      <c r="D59" s="2">
        <f>-D49/D48</f>
        <v>0.20487804878048779</v>
      </c>
      <c r="E59" s="480">
        <f>-E49/E48</f>
        <v>0.30980109990858723</v>
      </c>
      <c r="F59" s="67">
        <f>-F49/F48</f>
        <v>0.15645072292584514</v>
      </c>
      <c r="G59" s="465">
        <f t="shared" ref="G59:O59" si="15">-G49/G48</f>
        <v>-4.1666666666666664E-2</v>
      </c>
      <c r="H59" s="466">
        <f t="shared" si="15"/>
        <v>-1.0487804878048781</v>
      </c>
      <c r="I59" s="466">
        <f t="shared" si="15"/>
        <v>6.6445182724252493E-3</v>
      </c>
      <c r="J59" s="466">
        <f t="shared" si="15"/>
        <v>-2.8173268807098702E-2</v>
      </c>
      <c r="K59" s="466">
        <f t="shared" si="15"/>
        <v>4.2627470638785442E-2</v>
      </c>
      <c r="L59" s="466">
        <f t="shared" si="15"/>
        <v>5.8224039062056442E-2</v>
      </c>
      <c r="M59" s="466" t="e">
        <f t="shared" si="15"/>
        <v>#DIV/0!</v>
      </c>
      <c r="N59" s="473" t="e">
        <f t="shared" si="15"/>
        <v>#DIV/0!</v>
      </c>
      <c r="O59" s="486" t="e">
        <f t="shared" si="15"/>
        <v>#DIV/0!</v>
      </c>
    </row>
    <row r="60" spans="1:15">
      <c r="A60" s="66"/>
      <c r="B60" s="100"/>
      <c r="C60" s="10"/>
      <c r="D60" s="10"/>
      <c r="E60" s="101"/>
      <c r="F60" s="448"/>
      <c r="G60" s="149"/>
      <c r="H60" s="150"/>
      <c r="I60" s="150"/>
      <c r="J60" s="150"/>
      <c r="K60" s="150"/>
      <c r="L60" s="150"/>
      <c r="M60" s="150"/>
    </row>
    <row r="61" spans="1:15">
      <c r="A61" s="68" t="s">
        <v>83</v>
      </c>
      <c r="B61" s="145">
        <f>B54+B34</f>
        <v>115.6627625661085</v>
      </c>
      <c r="C61" s="146">
        <f>C54+C34</f>
        <v>195.55018166666667</v>
      </c>
      <c r="D61" s="146">
        <f>D54+D34</f>
        <v>225.46406155</v>
      </c>
      <c r="E61" s="147">
        <f>E54+E34</f>
        <v>183.96609699999999</v>
      </c>
      <c r="F61" s="419">
        <f>F54+F34</f>
        <v>486.315</v>
      </c>
      <c r="G61" s="145" t="e">
        <f t="shared" ref="G61:O61" si="16">G54+G34</f>
        <v>#VALUE!</v>
      </c>
      <c r="H61" s="146" t="e">
        <f t="shared" si="16"/>
        <v>#VALUE!</v>
      </c>
      <c r="I61" s="146">
        <f t="shared" si="16"/>
        <v>-299</v>
      </c>
      <c r="J61" s="146">
        <f t="shared" ca="1" si="16"/>
        <v>-2245862357.1442914</v>
      </c>
      <c r="K61" s="146">
        <f t="shared" si="16"/>
        <v>-58.237000000000002</v>
      </c>
      <c r="L61" s="146">
        <f t="shared" si="16"/>
        <v>-28.756</v>
      </c>
      <c r="M61" s="146">
        <f t="shared" si="16"/>
        <v>-294.17200000000003</v>
      </c>
      <c r="N61" s="133">
        <f t="shared" si="16"/>
        <v>177.99800000000002</v>
      </c>
      <c r="O61" s="136">
        <f t="shared" si="16"/>
        <v>29.477</v>
      </c>
    </row>
    <row r="62" spans="1:15" s="473" customFormat="1">
      <c r="A62" s="476" t="s">
        <v>84</v>
      </c>
      <c r="B62" s="23">
        <f>B61/B20</f>
        <v>0.39713263971382945</v>
      </c>
      <c r="C62" s="2">
        <f>C61/C20</f>
        <v>0.44794397966837185</v>
      </c>
      <c r="D62" s="2">
        <f>D61/D20</f>
        <v>0.40551090206834534</v>
      </c>
      <c r="E62" s="480">
        <f>E61/E20</f>
        <v>0.27559141833110229</v>
      </c>
      <c r="F62" s="67">
        <f>F61/F20</f>
        <v>0.2890788281701393</v>
      </c>
      <c r="G62" s="465" t="e">
        <f t="shared" ref="G62:O62" si="17">G61/G20</f>
        <v>#VALUE!</v>
      </c>
      <c r="H62" s="466" t="e">
        <f t="shared" si="17"/>
        <v>#VALUE!</v>
      </c>
      <c r="I62" s="466" t="e">
        <f t="shared" si="17"/>
        <v>#DIV/0!</v>
      </c>
      <c r="J62" s="466" t="e">
        <f t="shared" ca="1" si="17"/>
        <v>#DIV/0!</v>
      </c>
      <c r="K62" s="466" t="e">
        <f t="shared" si="17"/>
        <v>#DIV/0!</v>
      </c>
      <c r="L62" s="466">
        <f t="shared" si="17"/>
        <v>-3.7500374925503933E-2</v>
      </c>
      <c r="M62" s="466">
        <f t="shared" si="17"/>
        <v>-0.37772664471825745</v>
      </c>
      <c r="N62" s="473">
        <f t="shared" si="17"/>
        <v>0.21015037727139102</v>
      </c>
      <c r="O62" s="486">
        <f t="shared" si="17"/>
        <v>3.162744485824677E-2</v>
      </c>
    </row>
    <row r="63" spans="1:15" s="473" customFormat="1">
      <c r="A63" s="476" t="s">
        <v>662</v>
      </c>
      <c r="B63" s="23">
        <f>B61/B22</f>
        <v>0.51352953159809434</v>
      </c>
      <c r="C63" s="2">
        <f>C61/C22</f>
        <v>0.57209535859718974</v>
      </c>
      <c r="D63" s="2">
        <f>D61/D22</f>
        <v>0.52678519053738315</v>
      </c>
      <c r="E63" s="480">
        <f>E61/E22</f>
        <v>0.36723073408897167</v>
      </c>
      <c r="F63" s="67">
        <f>F61/F22</f>
        <v>0.40109578330443907</v>
      </c>
      <c r="G63" s="465" t="e">
        <f t="shared" ref="G63:O63" si="18">G61/G22</f>
        <v>#VALUE!</v>
      </c>
      <c r="H63" s="466" t="e">
        <f t="shared" si="18"/>
        <v>#VALUE!</v>
      </c>
      <c r="I63" s="466">
        <f t="shared" si="18"/>
        <v>1.834355828220859</v>
      </c>
      <c r="J63" s="466">
        <f t="shared" ca="1" si="18"/>
        <v>17587707.875361536</v>
      </c>
      <c r="K63" s="466">
        <f t="shared" si="18"/>
        <v>0.42115577925787723</v>
      </c>
      <c r="L63" s="466">
        <f t="shared" si="18"/>
        <v>-4.5831480534052463E-2</v>
      </c>
      <c r="M63" s="466">
        <f t="shared" si="18"/>
        <v>-0.46623219368704011</v>
      </c>
      <c r="N63" s="473">
        <f t="shared" si="18"/>
        <v>0.25699971123303494</v>
      </c>
      <c r="O63" s="486">
        <f t="shared" si="18"/>
        <v>3.9185996891920455E-2</v>
      </c>
    </row>
    <row r="64" spans="1:15" hidden="1">
      <c r="A64" s="67" t="s">
        <v>85</v>
      </c>
      <c r="B64" s="100"/>
      <c r="C64" s="10"/>
      <c r="D64" s="10"/>
      <c r="E64" s="101"/>
      <c r="F64" s="448"/>
      <c r="G64" s="149"/>
      <c r="H64" s="150"/>
      <c r="I64" s="150"/>
      <c r="J64" s="150"/>
      <c r="K64" s="150"/>
      <c r="L64" s="150"/>
      <c r="M64" s="150"/>
    </row>
    <row r="65" spans="1:15">
      <c r="A65" s="67"/>
      <c r="B65" s="100"/>
      <c r="C65" s="10"/>
      <c r="D65" s="10"/>
      <c r="E65" s="101"/>
      <c r="F65" s="448"/>
      <c r="G65" s="149"/>
      <c r="H65" s="150"/>
      <c r="I65" s="150"/>
      <c r="J65" s="150"/>
      <c r="K65" s="150"/>
      <c r="L65" s="150"/>
      <c r="M65" s="150"/>
    </row>
    <row r="66" spans="1:15">
      <c r="A66" s="62" t="s">
        <v>86</v>
      </c>
      <c r="B66" s="123">
        <f>4*35.250335</f>
        <v>141.00134</v>
      </c>
      <c r="C66" s="124">
        <f>4*37.577056</f>
        <v>150.308224</v>
      </c>
      <c r="D66" s="124">
        <f>4*38.030974</f>
        <v>152.123896</v>
      </c>
      <c r="E66" s="125">
        <f>4*36.090785</f>
        <v>144.36313999999999</v>
      </c>
      <c r="F66" s="559"/>
      <c r="G66" s="560"/>
      <c r="H66" s="561"/>
      <c r="I66" s="561"/>
      <c r="J66" s="561"/>
      <c r="K66" s="561"/>
      <c r="L66" s="509">
        <f>104.118983</f>
        <v>104.118983</v>
      </c>
      <c r="M66" s="509">
        <v>105.582736</v>
      </c>
      <c r="N66" s="424">
        <v>113.07267899999999</v>
      </c>
      <c r="O66" s="425">
        <v>114.34444000000001</v>
      </c>
    </row>
    <row r="67" spans="1:15">
      <c r="A67" s="65" t="s">
        <v>87</v>
      </c>
      <c r="C67" s="1"/>
      <c r="D67" s="1"/>
      <c r="E67" s="102"/>
      <c r="F67" s="66"/>
      <c r="G67" s="17"/>
      <c r="H67" s="1"/>
      <c r="I67" s="1"/>
      <c r="J67" s="84"/>
    </row>
    <row r="68" spans="1:15">
      <c r="A68" s="67" t="s">
        <v>88</v>
      </c>
      <c r="B68" s="103">
        <v>0.71846884298084746</v>
      </c>
      <c r="C68" s="7">
        <v>1.121919045245888</v>
      </c>
      <c r="D68" s="7">
        <v>1.1884315225081505</v>
      </c>
      <c r="E68" s="155">
        <v>0.83733130450044613</v>
      </c>
      <c r="F68" s="456">
        <v>1.28</v>
      </c>
      <c r="G68" s="149" t="s">
        <v>20</v>
      </c>
      <c r="H68" s="87">
        <v>-0.51</v>
      </c>
      <c r="I68" s="85">
        <v>-3.58</v>
      </c>
      <c r="J68" s="87">
        <v>-4.0999999999999996</v>
      </c>
      <c r="K68" s="85">
        <v>-0.57999999999999996</v>
      </c>
      <c r="L68" s="85">
        <v>-0.36</v>
      </c>
      <c r="M68" s="85">
        <v>-2.86</v>
      </c>
      <c r="N68" s="133">
        <v>1.53</v>
      </c>
      <c r="O68" s="136">
        <v>0.16</v>
      </c>
    </row>
    <row r="69" spans="1:15">
      <c r="A69" s="70" t="s">
        <v>89</v>
      </c>
      <c r="B69" s="103">
        <v>0.68467563051545988</v>
      </c>
      <c r="C69" s="7">
        <v>1.0564854096477156</v>
      </c>
      <c r="D69" s="7">
        <v>1.1242487643380727</v>
      </c>
      <c r="E69" s="155">
        <v>0.79945054685983263</v>
      </c>
      <c r="F69" s="456">
        <v>1.1000000000000001</v>
      </c>
      <c r="G69" s="149" t="s">
        <v>20</v>
      </c>
      <c r="H69" s="7">
        <v>-0.51</v>
      </c>
      <c r="I69" s="85">
        <v>-3.58</v>
      </c>
      <c r="J69" s="7">
        <v>-4.0999999999999996</v>
      </c>
      <c r="K69" s="85">
        <v>-0.57999999999999996</v>
      </c>
      <c r="L69" s="85">
        <v>-0.36</v>
      </c>
      <c r="M69" s="85">
        <v>-2.86</v>
      </c>
      <c r="N69" s="133">
        <v>1.46</v>
      </c>
      <c r="O69" s="136">
        <v>0.15</v>
      </c>
    </row>
    <row r="70" spans="1:15" s="473" customFormat="1" hidden="1">
      <c r="A70" s="70" t="s">
        <v>664</v>
      </c>
      <c r="B70" s="482"/>
      <c r="C70" s="483"/>
      <c r="D70" s="483"/>
      <c r="E70" s="480">
        <f>E69/C69-1</f>
        <v>-0.24329239234225786</v>
      </c>
      <c r="F70" s="67"/>
      <c r="G70" s="465"/>
      <c r="H70" s="483"/>
      <c r="I70" s="484"/>
      <c r="J70" s="483"/>
      <c r="K70" s="484"/>
      <c r="L70" s="484"/>
      <c r="M70" s="484">
        <f>M68/L68-1</f>
        <v>6.9444444444444446</v>
      </c>
      <c r="N70" s="473">
        <f>N68/M68-1</f>
        <v>-1.534965034965035</v>
      </c>
      <c r="O70" s="486">
        <f>O68/N68-1</f>
        <v>-0.89542483660130723</v>
      </c>
    </row>
    <row r="71" spans="1:15" hidden="1">
      <c r="A71" s="67" t="s">
        <v>90</v>
      </c>
      <c r="B71" s="103"/>
      <c r="C71" s="7"/>
      <c r="D71" s="7"/>
      <c r="E71" s="155"/>
      <c r="F71" s="456"/>
      <c r="G71" s="158"/>
      <c r="H71" s="156"/>
      <c r="I71" s="156"/>
      <c r="J71" s="7"/>
      <c r="K71" s="156"/>
      <c r="L71" s="7"/>
      <c r="M71" s="7"/>
    </row>
    <row r="72" spans="1:15">
      <c r="B72" s="21" t="s">
        <v>41</v>
      </c>
      <c r="C72" s="6" t="s">
        <v>41</v>
      </c>
      <c r="D72" s="6" t="s">
        <v>41</v>
      </c>
      <c r="E72" s="111" t="s">
        <v>41</v>
      </c>
      <c r="F72" s="64" t="s">
        <v>665</v>
      </c>
      <c r="G72" s="21" t="s">
        <v>17</v>
      </c>
      <c r="H72" s="6" t="s">
        <v>17</v>
      </c>
      <c r="I72" s="6" t="s">
        <v>17</v>
      </c>
      <c r="J72" s="6" t="s">
        <v>17</v>
      </c>
      <c r="K72" s="6" t="s">
        <v>17</v>
      </c>
      <c r="L72" s="6" t="s">
        <v>692</v>
      </c>
      <c r="M72" s="6" t="s">
        <v>692</v>
      </c>
      <c r="N72" s="549" t="s">
        <v>692</v>
      </c>
      <c r="O72" s="550" t="s">
        <v>692</v>
      </c>
    </row>
    <row r="73" spans="1:15" ht="12.75" customHeight="1">
      <c r="A73" s="64" t="s">
        <v>91</v>
      </c>
      <c r="B73" s="21">
        <v>2009</v>
      </c>
      <c r="C73" s="6">
        <v>2010</v>
      </c>
      <c r="D73" s="6">
        <v>2011</v>
      </c>
      <c r="E73" s="111">
        <v>2012</v>
      </c>
      <c r="F73" s="64">
        <v>2015</v>
      </c>
      <c r="G73" s="21">
        <v>2006</v>
      </c>
      <c r="H73" s="6">
        <v>2007</v>
      </c>
      <c r="I73" s="6">
        <v>2008</v>
      </c>
      <c r="J73" s="6">
        <v>2009</v>
      </c>
      <c r="K73" s="6">
        <v>2010</v>
      </c>
      <c r="L73" s="6">
        <v>2011</v>
      </c>
      <c r="M73" s="6">
        <v>2012</v>
      </c>
      <c r="N73" s="549">
        <v>2013</v>
      </c>
      <c r="O73" s="550">
        <v>2014</v>
      </c>
    </row>
    <row r="74" spans="1:15">
      <c r="A74" s="160" t="s">
        <v>92</v>
      </c>
    </row>
    <row r="75" spans="1:15" s="488" customFormat="1">
      <c r="A75" s="492" t="s">
        <v>487</v>
      </c>
      <c r="B75" s="475">
        <f>B13/B18</f>
        <v>0.4431824948512128</v>
      </c>
      <c r="C75" s="444">
        <f>C13/C18</f>
        <v>0.41674707227194446</v>
      </c>
      <c r="D75" s="444">
        <f>D13/D18</f>
        <v>0.39864864864864863</v>
      </c>
      <c r="E75" s="445">
        <f>E13/E18</f>
        <v>0.38612527449183176</v>
      </c>
      <c r="F75" s="450">
        <f>F13/F18</f>
        <v>0.40155452383903723</v>
      </c>
      <c r="G75" s="506" t="e">
        <f t="shared" ref="G75:O75" si="19">G13/G18</f>
        <v>#VALUE!</v>
      </c>
      <c r="H75" s="444">
        <f t="shared" si="19"/>
        <v>0.27357392316647267</v>
      </c>
      <c r="I75" s="444">
        <f t="shared" si="19"/>
        <v>0.27471264367816089</v>
      </c>
      <c r="J75" s="444">
        <f t="shared" si="19"/>
        <v>0.24897783224519013</v>
      </c>
      <c r="K75" s="444">
        <f t="shared" si="19"/>
        <v>0.26907524485568729</v>
      </c>
      <c r="L75" s="444">
        <f t="shared" si="19"/>
        <v>0.27332264849984156</v>
      </c>
      <c r="M75" s="444">
        <f t="shared" si="19"/>
        <v>0.28974725088469899</v>
      </c>
      <c r="N75" s="488">
        <f t="shared" si="19"/>
        <v>0.34728802613450011</v>
      </c>
      <c r="O75" s="507">
        <f t="shared" si="19"/>
        <v>0.37540168689720138</v>
      </c>
    </row>
    <row r="76" spans="1:15" s="488" customFormat="1">
      <c r="A76" s="492" t="s">
        <v>666</v>
      </c>
      <c r="B76" s="475">
        <f>B14/B18</f>
        <v>0.40911841153230949</v>
      </c>
      <c r="C76" s="444">
        <f>C14/C18</f>
        <v>0.39355540304402031</v>
      </c>
      <c r="D76" s="444">
        <f>D14/D18</f>
        <v>0.38513513513513514</v>
      </c>
      <c r="E76" s="445">
        <f>E14/E18</f>
        <v>0.38335500024956054</v>
      </c>
      <c r="F76" s="450">
        <f>F14/F18</f>
        <v>0.38739759524909573</v>
      </c>
      <c r="G76" s="506" t="e">
        <f t="shared" ref="G76:O76" si="20">G14/G18</f>
        <v>#VALUE!</v>
      </c>
      <c r="H76" s="444">
        <f t="shared" si="20"/>
        <v>0.43655413271245636</v>
      </c>
      <c r="I76" s="444">
        <f t="shared" si="20"/>
        <v>0.3896551724137931</v>
      </c>
      <c r="J76" s="444">
        <f t="shared" si="20"/>
        <v>0.36554427043793247</v>
      </c>
      <c r="K76" s="444">
        <f t="shared" si="20"/>
        <v>0.36247222724614414</v>
      </c>
      <c r="L76" s="444">
        <f t="shared" si="20"/>
        <v>0.3458012907870045</v>
      </c>
      <c r="M76" s="444">
        <f t="shared" si="20"/>
        <v>0.33582350191834581</v>
      </c>
      <c r="N76" s="488">
        <f t="shared" si="20"/>
        <v>0.29480178936792434</v>
      </c>
      <c r="O76" s="507">
        <f t="shared" si="20"/>
        <v>0.27591423669564713</v>
      </c>
    </row>
    <row r="77" spans="1:15" s="488" customFormat="1">
      <c r="A77" s="492" t="s">
        <v>667</v>
      </c>
      <c r="B77" s="475">
        <f>B15/B18</f>
        <v>8.2856184172028155E-2</v>
      </c>
      <c r="C77" s="444">
        <f>C15/C18</f>
        <v>0.12401143647800097</v>
      </c>
      <c r="D77" s="444">
        <f>D15/D18</f>
        <v>0.14358108108108109</v>
      </c>
      <c r="E77" s="445">
        <f>E15/E18</f>
        <v>0.15641427957702775</v>
      </c>
      <c r="F77" s="450">
        <f>F15/F18</f>
        <v>0.1450772472701457</v>
      </c>
      <c r="G77" s="506" t="e">
        <f t="shared" ref="G77:O77" si="21">G15/G18</f>
        <v>#VALUE!</v>
      </c>
      <c r="H77" s="444">
        <f t="shared" si="21"/>
        <v>0.12223515715948778</v>
      </c>
      <c r="I77" s="444">
        <f t="shared" si="21"/>
        <v>0.1310344827586207</v>
      </c>
      <c r="J77" s="444">
        <f t="shared" si="21"/>
        <v>0.15864748497928552</v>
      </c>
      <c r="K77" s="444">
        <f t="shared" si="21"/>
        <v>0.15203033187368234</v>
      </c>
      <c r="L77" s="444">
        <f t="shared" si="21"/>
        <v>0.15738785815166292</v>
      </c>
      <c r="M77" s="444">
        <f t="shared" si="21"/>
        <v>0.16705016461306943</v>
      </c>
      <c r="N77" s="488">
        <f t="shared" si="21"/>
        <v>0.16826622810072689</v>
      </c>
      <c r="O77" s="507">
        <f t="shared" si="21"/>
        <v>0.16102346870785303</v>
      </c>
    </row>
    <row r="78" spans="1:15" s="488" customFormat="1">
      <c r="A78" s="492" t="s">
        <v>668</v>
      </c>
      <c r="B78" s="475">
        <f>B16/B18</f>
        <v>3.9168005429302953E-2</v>
      </c>
      <c r="C78" s="444">
        <f>C16/C18</f>
        <v>4.2279282773489101E-2</v>
      </c>
      <c r="D78" s="444">
        <f>D16/D18</f>
        <v>4.3918918918918921E-2</v>
      </c>
      <c r="E78" s="445">
        <f>E16/E18</f>
        <v>4.5304458987549381E-2</v>
      </c>
      <c r="F78" s="450">
        <f>F16/F18</f>
        <v>4.1162484082892914E-2</v>
      </c>
      <c r="G78" s="506" t="e">
        <f t="shared" ref="G78:O78" si="22">G16/G18</f>
        <v>#VALUE!</v>
      </c>
      <c r="H78" s="488" t="e">
        <f t="shared" si="22"/>
        <v>#VALUE!</v>
      </c>
      <c r="I78" s="488" t="e">
        <f t="shared" si="22"/>
        <v>#VALUE!</v>
      </c>
      <c r="J78" s="488" t="e">
        <f t="shared" si="22"/>
        <v>#VALUE!</v>
      </c>
      <c r="K78" s="488" t="e">
        <f t="shared" si="22"/>
        <v>#VALUE!</v>
      </c>
      <c r="L78" s="444" t="e">
        <f t="shared" si="22"/>
        <v>#VALUE!</v>
      </c>
      <c r="M78" s="444">
        <f t="shared" si="22"/>
        <v>0</v>
      </c>
      <c r="N78" s="488">
        <f t="shared" si="22"/>
        <v>0</v>
      </c>
      <c r="O78" s="507">
        <f t="shared" si="22"/>
        <v>0</v>
      </c>
    </row>
    <row r="79" spans="1:15" s="488" customFormat="1">
      <c r="A79" s="508" t="s">
        <v>669</v>
      </c>
      <c r="B79" s="506"/>
      <c r="E79" s="507"/>
      <c r="F79" s="450">
        <f>F17/F18</f>
        <v>2.4808149558828502E-2</v>
      </c>
      <c r="G79" s="506" t="e">
        <f t="shared" ref="G79:O79" si="23">G17/G18</f>
        <v>#VALUE!</v>
      </c>
      <c r="H79" s="488">
        <f t="shared" si="23"/>
        <v>0.16763678696158324</v>
      </c>
      <c r="I79" s="488">
        <f t="shared" si="23"/>
        <v>0.2045977011494253</v>
      </c>
      <c r="J79" s="488">
        <f t="shared" si="23"/>
        <v>0.22683041233759194</v>
      </c>
      <c r="K79" s="488">
        <f t="shared" si="23"/>
        <v>0.21642219602448626</v>
      </c>
      <c r="L79" s="488">
        <f t="shared" si="23"/>
        <v>0.22348820256149105</v>
      </c>
      <c r="M79" s="488">
        <f t="shared" si="23"/>
        <v>0.2073790825838859</v>
      </c>
      <c r="N79" s="488">
        <f t="shared" si="23"/>
        <v>0.18964395639684867</v>
      </c>
      <c r="O79" s="507">
        <f t="shared" si="23"/>
        <v>0.1876606076992984</v>
      </c>
    </row>
    <row r="80" spans="1:15">
      <c r="A80" s="70" t="s">
        <v>93</v>
      </c>
      <c r="B80" s="103"/>
      <c r="C80" s="7"/>
      <c r="D80" s="7"/>
      <c r="E80" s="155"/>
      <c r="F80" s="456"/>
      <c r="G80" s="158"/>
      <c r="H80" s="7"/>
      <c r="I80" s="156"/>
      <c r="J80" s="7"/>
      <c r="K80" s="156"/>
      <c r="L80" s="7"/>
      <c r="M80" s="7"/>
    </row>
    <row r="81" spans="1:15" s="488" customFormat="1">
      <c r="A81" s="492" t="s">
        <v>670</v>
      </c>
      <c r="B81" s="470">
        <f>-B26/B20</f>
        <v>0.15515607063584533</v>
      </c>
      <c r="C81" s="469">
        <f>-C26/C20</f>
        <v>0.157520381625634</v>
      </c>
      <c r="D81" s="469">
        <f>-D26/D20</f>
        <v>0.17266187050359713</v>
      </c>
      <c r="E81" s="504">
        <f>-E26/E20</f>
        <v>0.21927157792698135</v>
      </c>
      <c r="F81" s="505">
        <f>-F26/F20</f>
        <v>0.3025170422257254</v>
      </c>
      <c r="G81" s="506" t="e">
        <f t="shared" ref="G81:O81" si="24">-G26/G20</f>
        <v>#VALUE!</v>
      </c>
      <c r="H81" s="488" t="e">
        <f t="shared" si="24"/>
        <v>#VALUE!</v>
      </c>
      <c r="I81" s="488" t="e">
        <f t="shared" si="24"/>
        <v>#VALUE!</v>
      </c>
      <c r="J81" s="488" t="e">
        <f t="shared" si="24"/>
        <v>#VALUE!</v>
      </c>
      <c r="K81" s="488" t="e">
        <f t="shared" si="24"/>
        <v>#VALUE!</v>
      </c>
      <c r="L81" s="488" t="e">
        <f t="shared" si="24"/>
        <v>#VALUE!</v>
      </c>
      <c r="M81" s="488">
        <f t="shared" si="24"/>
        <v>0</v>
      </c>
      <c r="N81" s="488">
        <f t="shared" si="24"/>
        <v>0</v>
      </c>
      <c r="O81" s="507">
        <f t="shared" si="24"/>
        <v>0</v>
      </c>
    </row>
    <row r="82" spans="1:15" s="488" customFormat="1">
      <c r="A82" s="492" t="s">
        <v>671</v>
      </c>
      <c r="B82" s="470">
        <f>-B27/B20</f>
        <v>0.17368616221915659</v>
      </c>
      <c r="C82" s="469">
        <f>-C27/C20</f>
        <v>0.15732591665062126</v>
      </c>
      <c r="D82" s="469">
        <f>-D27/D20</f>
        <v>0.17805755395683454</v>
      </c>
      <c r="E82" s="504">
        <f>-E27/E20</f>
        <v>0.2366077320008961</v>
      </c>
      <c r="F82" s="505">
        <f>-F27/F20</f>
        <v>0.2833657890544567</v>
      </c>
      <c r="G82" s="470" t="e">
        <f t="shared" ref="G82:O82" si="25">-G27/G20</f>
        <v>#DIV/0!</v>
      </c>
      <c r="H82" s="469" t="e">
        <f t="shared" si="25"/>
        <v>#DIV/0!</v>
      </c>
      <c r="I82" s="469" t="e">
        <f t="shared" si="25"/>
        <v>#DIV/0!</v>
      </c>
      <c r="J82" s="469" t="e">
        <f t="shared" si="25"/>
        <v>#DIV/0!</v>
      </c>
      <c r="K82" s="469" t="e">
        <f t="shared" si="25"/>
        <v>#DIV/0!</v>
      </c>
      <c r="L82" s="469">
        <f t="shared" si="25"/>
        <v>0.31515911838386895</v>
      </c>
      <c r="M82" s="469">
        <f t="shared" si="25"/>
        <v>0.32485143734687905</v>
      </c>
      <c r="N82" s="488">
        <f t="shared" si="25"/>
        <v>0.34529983955192606</v>
      </c>
      <c r="O82" s="507">
        <f t="shared" si="25"/>
        <v>0.35887284108381157</v>
      </c>
    </row>
    <row r="83" spans="1:15" s="488" customFormat="1">
      <c r="A83" s="492" t="s">
        <v>672</v>
      </c>
      <c r="B83" s="470">
        <f>-B28/B20</f>
        <v>9.874075802907728E-2</v>
      </c>
      <c r="C83" s="469">
        <f>-C28/C20</f>
        <v>0.10228298619561689</v>
      </c>
      <c r="D83" s="469">
        <f>-D28/D20</f>
        <v>0.11510791366906475</v>
      </c>
      <c r="E83" s="504">
        <f>-E28/E20</f>
        <v>0.13717626847094347</v>
      </c>
      <c r="F83" s="505">
        <f>-F28/F20</f>
        <v>9.9875645845073274E-2</v>
      </c>
      <c r="G83" s="470" t="e">
        <f t="shared" ref="G83:O83" si="26">-G28/G20</f>
        <v>#DIV/0!</v>
      </c>
      <c r="H83" s="469" t="e">
        <f t="shared" si="26"/>
        <v>#DIV/0!</v>
      </c>
      <c r="I83" s="469" t="e">
        <f t="shared" si="26"/>
        <v>#DIV/0!</v>
      </c>
      <c r="J83" s="469" t="e">
        <f t="shared" si="26"/>
        <v>#DIV/0!</v>
      </c>
      <c r="K83" s="469" t="e">
        <f t="shared" si="26"/>
        <v>#DIV/0!</v>
      </c>
      <c r="L83" s="469">
        <f t="shared" si="26"/>
        <v>0.35290857425285505</v>
      </c>
      <c r="M83" s="469">
        <f t="shared" si="26"/>
        <v>0.33417351912439203</v>
      </c>
      <c r="N83" s="488">
        <f t="shared" si="26"/>
        <v>0.33107084626618793</v>
      </c>
      <c r="O83" s="507">
        <f t="shared" si="26"/>
        <v>0.29849775806404888</v>
      </c>
    </row>
    <row r="84" spans="1:15" s="488" customFormat="1">
      <c r="A84" s="492" t="s">
        <v>673</v>
      </c>
      <c r="B84" s="475">
        <f>B34/B20</f>
        <v>6.5658133878623987E-2</v>
      </c>
      <c r="C84" s="444">
        <f>C34/C20</f>
        <v>8.4186671525428261E-2</v>
      </c>
      <c r="D84" s="444">
        <f>D34/D20</f>
        <v>9.7956945233812945E-2</v>
      </c>
      <c r="E84" s="445">
        <f>E34/E20</f>
        <v>0.10380932691224612</v>
      </c>
      <c r="F84" s="450">
        <f>F34/F20</f>
        <v>5.8967170978641049E-2</v>
      </c>
      <c r="G84" s="475" t="e">
        <f t="shared" ref="G84:O84" si="27">G34/G20</f>
        <v>#VALUE!</v>
      </c>
      <c r="H84" s="444" t="e">
        <f t="shared" si="27"/>
        <v>#VALUE!</v>
      </c>
      <c r="I84" s="444" t="e">
        <f t="shared" si="27"/>
        <v>#DIV/0!</v>
      </c>
      <c r="J84" s="444" t="e">
        <f t="shared" si="27"/>
        <v>#DIV/0!</v>
      </c>
      <c r="K84" s="444" t="e">
        <f t="shared" si="27"/>
        <v>#DIV/0!</v>
      </c>
      <c r="L84" s="444">
        <f t="shared" si="27"/>
        <v>1.1112139892204029E-2</v>
      </c>
      <c r="M84" s="444">
        <f t="shared" si="27"/>
        <v>9.71499596813543E-3</v>
      </c>
      <c r="N84" s="488">
        <f t="shared" si="27"/>
        <v>1.524551861091401E-2</v>
      </c>
      <c r="O84" s="507">
        <f t="shared" si="27"/>
        <v>1.3086811579741352E-2</v>
      </c>
    </row>
    <row r="85" spans="1:15" s="488" customFormat="1">
      <c r="A85" s="508" t="s">
        <v>674</v>
      </c>
      <c r="B85" s="470">
        <f>-B140/B20</f>
        <v>8.9272021551948716E-2</v>
      </c>
      <c r="C85" s="469">
        <f>-C140/C20</f>
        <v>5.7267139290099675E-2</v>
      </c>
      <c r="D85" s="469">
        <f>-D140/D20</f>
        <v>5.8633093525179862E-2</v>
      </c>
      <c r="E85" s="504">
        <f>-E140/E20</f>
        <v>0</v>
      </c>
      <c r="F85" s="505">
        <f>-F140/F18</f>
        <v>5.5504648260593648E-2</v>
      </c>
      <c r="G85" s="475" t="e">
        <f t="shared" ref="G85:O85" si="28">-G140/G18</f>
        <v>#DIV/0!</v>
      </c>
      <c r="H85" s="444">
        <f t="shared" si="28"/>
        <v>6.1699650756693827E-2</v>
      </c>
      <c r="I85" s="444">
        <f t="shared" si="28"/>
        <v>6.6900000000000001E-2</v>
      </c>
      <c r="J85" s="444">
        <f t="shared" si="28"/>
        <v>5.8170021473656817E-2</v>
      </c>
      <c r="K85" s="444">
        <f t="shared" si="28"/>
        <v>5.2819388319535518E-2</v>
      </c>
      <c r="L85" s="444">
        <f t="shared" si="28"/>
        <v>0</v>
      </c>
      <c r="M85" s="444">
        <f t="shared" si="28"/>
        <v>0</v>
      </c>
      <c r="N85" s="488">
        <f t="shared" si="28"/>
        <v>0</v>
      </c>
      <c r="O85" s="507">
        <f t="shared" si="28"/>
        <v>0</v>
      </c>
    </row>
    <row r="86" spans="1:15" hidden="1">
      <c r="A86" s="70" t="s">
        <v>97</v>
      </c>
      <c r="B86" s="103"/>
      <c r="C86" s="7"/>
      <c r="D86" s="7"/>
      <c r="E86" s="155"/>
      <c r="F86" s="456"/>
      <c r="G86" s="158"/>
      <c r="H86" s="7"/>
      <c r="I86" s="156"/>
      <c r="J86" s="7"/>
      <c r="K86" s="156"/>
      <c r="L86" s="7"/>
      <c r="M86" s="7"/>
    </row>
    <row r="87" spans="1:15" hidden="1">
      <c r="A87" s="63" t="s">
        <v>94</v>
      </c>
      <c r="B87" s="100">
        <v>0.13812246425749181</v>
      </c>
      <c r="C87" s="10">
        <v>0.13521948859946911</v>
      </c>
      <c r="D87" s="10">
        <v>0.14365862620291073</v>
      </c>
      <c r="E87" s="101">
        <v>0.14365862620291073</v>
      </c>
      <c r="F87" s="448"/>
      <c r="G87" s="98"/>
      <c r="H87" s="27"/>
      <c r="I87" s="27"/>
      <c r="J87" s="27"/>
      <c r="K87" s="27"/>
      <c r="L87" s="27"/>
      <c r="M87" s="27"/>
    </row>
    <row r="88" spans="1:15" hidden="1">
      <c r="A88" s="63" t="s">
        <v>95</v>
      </c>
      <c r="B88" s="100">
        <v>0.16419721052103078</v>
      </c>
      <c r="C88" s="10">
        <v>0.14580203841077308</v>
      </c>
      <c r="D88" s="10">
        <v>0.16477836539064999</v>
      </c>
      <c r="E88" s="101">
        <v>0.16477836539064999</v>
      </c>
      <c r="F88" s="448"/>
      <c r="G88" s="98"/>
      <c r="H88" s="27"/>
      <c r="I88" s="27"/>
      <c r="J88" s="27"/>
      <c r="K88" s="27"/>
      <c r="L88" s="27"/>
      <c r="M88" s="27"/>
    </row>
    <row r="89" spans="1:15" hidden="1">
      <c r="A89" s="63" t="s">
        <v>96</v>
      </c>
      <c r="B89" s="100">
        <v>5.9605182729948976E-2</v>
      </c>
      <c r="C89" s="10">
        <v>5.1921085936201719E-2</v>
      </c>
      <c r="D89" s="10">
        <v>5.866942622178322E-2</v>
      </c>
      <c r="E89" s="101">
        <v>5.866942622178322E-2</v>
      </c>
      <c r="F89" s="448"/>
      <c r="G89" s="98"/>
      <c r="H89" s="27"/>
      <c r="I89" s="27"/>
      <c r="J89" s="27"/>
      <c r="K89" s="27"/>
      <c r="L89" s="27"/>
      <c r="M89" s="27"/>
    </row>
    <row r="90" spans="1:15" hidden="1">
      <c r="A90" s="69"/>
      <c r="B90" s="100"/>
      <c r="C90" s="10"/>
      <c r="D90" s="10"/>
      <c r="E90" s="101"/>
      <c r="F90" s="448"/>
      <c r="G90" s="98"/>
      <c r="H90" s="27"/>
      <c r="I90" s="27"/>
      <c r="J90" s="27"/>
      <c r="K90" s="27"/>
      <c r="L90" s="27"/>
      <c r="M90" s="27"/>
    </row>
    <row r="91" spans="1:15">
      <c r="A91" s="69"/>
      <c r="B91" s="100"/>
      <c r="C91" s="10"/>
      <c r="D91" s="10"/>
      <c r="E91" s="101"/>
      <c r="F91" s="448"/>
      <c r="G91" s="98"/>
      <c r="H91" s="27"/>
      <c r="I91" s="27"/>
      <c r="J91" s="27"/>
      <c r="K91" s="27"/>
      <c r="L91" s="27"/>
      <c r="M91" s="27"/>
    </row>
    <row r="92" spans="1:15" s="163" customFormat="1">
      <c r="A92" s="161" t="s">
        <v>98</v>
      </c>
      <c r="B92" s="162"/>
      <c r="E92" s="164"/>
      <c r="F92" s="160"/>
      <c r="G92" s="162"/>
      <c r="O92" s="164"/>
    </row>
    <row r="93" spans="1:15">
      <c r="A93" s="66" t="s">
        <v>46</v>
      </c>
      <c r="B93" s="17"/>
      <c r="C93" s="1"/>
      <c r="D93" s="1"/>
      <c r="J93" s="1"/>
      <c r="L93" s="1"/>
      <c r="M93" s="1"/>
    </row>
    <row r="94" spans="1:15" s="473" customFormat="1">
      <c r="A94" s="476" t="s">
        <v>47</v>
      </c>
      <c r="B94" s="465" t="s">
        <v>20</v>
      </c>
      <c r="C94" s="211">
        <f t="shared" ref="C94:D101" si="29">C13/B13-1</f>
        <v>0.40513710685477022</v>
      </c>
      <c r="D94" s="211">
        <f t="shared" si="29"/>
        <v>0.2187376948893982</v>
      </c>
      <c r="E94" s="446">
        <f t="shared" ref="E94:E101" si="30">E13/C13-1</f>
        <v>0.41120624631424452</v>
      </c>
      <c r="F94" s="451">
        <v>0.442</v>
      </c>
      <c r="G94" s="465" t="s">
        <v>20</v>
      </c>
      <c r="H94" s="466" t="s">
        <v>20</v>
      </c>
      <c r="I94" s="211">
        <f t="shared" ref="I94:J96" si="31">I13/H13-1</f>
        <v>1.7021276595744705E-2</v>
      </c>
      <c r="J94" s="211">
        <f t="shared" si="31"/>
        <v>-0.23155648535564854</v>
      </c>
      <c r="K94" s="211">
        <f>K14/J13-1</f>
        <v>0.49499613411885135</v>
      </c>
      <c r="L94" s="211">
        <f>L13/K14-1</f>
        <v>-0.23665904256868964</v>
      </c>
      <c r="M94" s="211">
        <f>M13/L14-1</f>
        <v>-0.14901175485637341</v>
      </c>
      <c r="N94" s="473">
        <f>N13/M14-1</f>
        <v>0.12470845536786235</v>
      </c>
      <c r="O94" s="486">
        <f>O13/N14-1</f>
        <v>0.40120065038566599</v>
      </c>
    </row>
    <row r="95" spans="1:15" s="473" customFormat="1">
      <c r="A95" s="476" t="s">
        <v>48</v>
      </c>
      <c r="B95" s="465" t="s">
        <v>20</v>
      </c>
      <c r="C95" s="211">
        <f t="shared" si="29"/>
        <v>0.43742633704372236</v>
      </c>
      <c r="D95" s="211">
        <f t="shared" si="29"/>
        <v>0.24680853409519909</v>
      </c>
      <c r="E95" s="446">
        <f t="shared" si="30"/>
        <v>0.48364525079431431</v>
      </c>
      <c r="F95" s="451">
        <v>0.51</v>
      </c>
      <c r="G95" s="465" t="s">
        <v>20</v>
      </c>
      <c r="H95" s="466" t="s">
        <v>20</v>
      </c>
      <c r="I95" s="211">
        <f t="shared" si="31"/>
        <v>-9.5999999999999974E-2</v>
      </c>
      <c r="J95" s="211">
        <f t="shared" si="31"/>
        <v>-0.20459292035398235</v>
      </c>
      <c r="K95" s="211">
        <f>K13/J14-1</f>
        <v>-0.24410795014148334</v>
      </c>
      <c r="L95" s="211">
        <f>L14/K13-1</f>
        <v>0.30097978127867098</v>
      </c>
      <c r="M95" s="211">
        <f>M14/L13-1</f>
        <v>0.24786129043031835</v>
      </c>
      <c r="N95" s="473">
        <f>N14/M13-1</f>
        <v>0.10655250959433471</v>
      </c>
      <c r="O95" s="486">
        <f>O14/N13-1</f>
        <v>-0.12578445304160402</v>
      </c>
    </row>
    <row r="96" spans="1:15" s="473" customFormat="1">
      <c r="A96" s="476" t="s">
        <v>49</v>
      </c>
      <c r="B96" s="465" t="s">
        <v>20</v>
      </c>
      <c r="C96" s="211">
        <f t="shared" si="29"/>
        <v>1.2364827500067164</v>
      </c>
      <c r="D96" s="211">
        <f t="shared" si="29"/>
        <v>0.4751221555625067</v>
      </c>
      <c r="E96" s="446">
        <f t="shared" si="30"/>
        <v>0.92109781525284573</v>
      </c>
      <c r="F96" s="451">
        <v>0.57999999999999996</v>
      </c>
      <c r="G96" s="465" t="s">
        <v>20</v>
      </c>
      <c r="H96" s="466" t="s">
        <v>20</v>
      </c>
      <c r="I96" s="211">
        <f t="shared" si="31"/>
        <v>8.5714285714285632E-2</v>
      </c>
      <c r="J96" s="211">
        <f t="shared" si="31"/>
        <v>2.6543859649122759E-2</v>
      </c>
      <c r="K96" s="211">
        <f>K15/J15-1</f>
        <v>-1.5936629466956065E-2</v>
      </c>
      <c r="L96" s="211">
        <f>L15/K15-1</f>
        <v>4.7993678415435781E-2</v>
      </c>
      <c r="M96" s="211">
        <f>M15/L15-1</f>
        <v>7.7969640726501588E-2</v>
      </c>
      <c r="N96" s="473">
        <f>N15/M15-1</f>
        <v>9.5497240541745354E-2</v>
      </c>
      <c r="O96" s="486">
        <f>O15/N15-1</f>
        <v>5.2995327037229423E-2</v>
      </c>
    </row>
    <row r="97" spans="1:15" s="473" customFormat="1">
      <c r="A97" s="476" t="s">
        <v>50</v>
      </c>
      <c r="B97" s="465" t="s">
        <v>20</v>
      </c>
      <c r="C97" s="211">
        <f t="shared" si="29"/>
        <v>0.61296483128332824</v>
      </c>
      <c r="D97" s="211">
        <f t="shared" si="29"/>
        <v>0.32347741655079587</v>
      </c>
      <c r="E97" s="446">
        <f t="shared" si="30"/>
        <v>0.63210522367358313</v>
      </c>
      <c r="F97" s="451">
        <v>0.26700000000000002</v>
      </c>
      <c r="G97" s="465" t="s">
        <v>20</v>
      </c>
      <c r="H97" s="466" t="s">
        <v>20</v>
      </c>
      <c r="I97" s="211"/>
      <c r="J97" s="211"/>
      <c r="K97" s="211"/>
      <c r="L97" s="211"/>
      <c r="M97" s="211"/>
      <c r="O97" s="486"/>
    </row>
    <row r="98" spans="1:15" s="473" customFormat="1">
      <c r="A98" s="476" t="s">
        <v>51</v>
      </c>
      <c r="B98" s="465" t="s">
        <v>20</v>
      </c>
      <c r="C98" s="211">
        <f t="shared" si="29"/>
        <v>0.36226644611485814</v>
      </c>
      <c r="D98" s="211">
        <f t="shared" si="29"/>
        <v>0.56306692956467952</v>
      </c>
      <c r="E98" s="446">
        <f t="shared" si="30"/>
        <v>0.87413140809553047</v>
      </c>
      <c r="F98" s="451">
        <v>0.48299999999999998</v>
      </c>
      <c r="G98" s="465" t="s">
        <v>20</v>
      </c>
      <c r="H98" s="466" t="s">
        <v>20</v>
      </c>
      <c r="I98" s="211">
        <f t="shared" ref="I98:O98" si="32">I17/H17-1</f>
        <v>0.23611111111111116</v>
      </c>
      <c r="J98" s="211">
        <f t="shared" si="32"/>
        <v>-5.999438202247187E-2</v>
      </c>
      <c r="K98" s="211">
        <f t="shared" si="32"/>
        <v>-2.0224598227359336E-2</v>
      </c>
      <c r="L98" s="211">
        <f t="shared" si="32"/>
        <v>4.5371087673923505E-2</v>
      </c>
      <c r="M98" s="211">
        <f t="shared" si="32"/>
        <v>-5.7587162654996304E-2</v>
      </c>
      <c r="N98" s="473">
        <f t="shared" si="32"/>
        <v>-5.4301388183719546E-3</v>
      </c>
      <c r="O98" s="486">
        <f t="shared" si="32"/>
        <v>8.8850705663360952E-2</v>
      </c>
    </row>
    <row r="99" spans="1:15" s="473" customFormat="1">
      <c r="A99" s="476" t="s">
        <v>52</v>
      </c>
      <c r="B99" s="465" t="s">
        <v>20</v>
      </c>
      <c r="C99" s="211">
        <f t="shared" si="29"/>
        <v>0.49426885047810054</v>
      </c>
      <c r="D99" s="211">
        <f t="shared" si="29"/>
        <v>0.27406769829605127</v>
      </c>
      <c r="E99" s="446">
        <f t="shared" si="30"/>
        <v>0.52312244335039781</v>
      </c>
      <c r="F99" s="451">
        <v>0.47899999999999998</v>
      </c>
      <c r="G99" s="465" t="s">
        <v>20</v>
      </c>
      <c r="H99" s="466" t="s">
        <v>20</v>
      </c>
      <c r="I99" s="211"/>
      <c r="J99" s="211"/>
      <c r="K99" s="211"/>
      <c r="L99" s="211"/>
      <c r="M99" s="211"/>
      <c r="O99" s="486"/>
    </row>
    <row r="100" spans="1:15" s="473" customFormat="1">
      <c r="A100" s="476" t="s">
        <v>53</v>
      </c>
      <c r="B100" s="465" t="s">
        <v>20</v>
      </c>
      <c r="C100" s="211">
        <f t="shared" si="29"/>
        <v>0.4256471821309018</v>
      </c>
      <c r="D100" s="211">
        <f t="shared" si="29"/>
        <v>0.28100393442890215</v>
      </c>
      <c r="E100" s="446">
        <f t="shared" si="30"/>
        <v>0.43017445850249203</v>
      </c>
      <c r="F100" s="451">
        <v>0.40799999999999997</v>
      </c>
      <c r="G100" s="465" t="s">
        <v>20</v>
      </c>
      <c r="H100" s="466" t="s">
        <v>20</v>
      </c>
      <c r="I100" s="211"/>
      <c r="J100" s="211"/>
      <c r="K100" s="211"/>
      <c r="L100" s="211"/>
      <c r="M100" s="211"/>
      <c r="O100" s="486"/>
    </row>
    <row r="101" spans="1:15" s="473" customFormat="1">
      <c r="A101" s="476" t="s">
        <v>54</v>
      </c>
      <c r="B101" s="465" t="s">
        <v>20</v>
      </c>
      <c r="C101" s="211">
        <f t="shared" si="29"/>
        <v>0.49891339650571442</v>
      </c>
      <c r="D101" s="211">
        <f t="shared" si="29"/>
        <v>0.27362117781181694</v>
      </c>
      <c r="E101" s="446">
        <f t="shared" si="30"/>
        <v>0.52910597366972079</v>
      </c>
      <c r="F101" s="451">
        <v>0.48299999999999998</v>
      </c>
      <c r="G101" s="465" t="s">
        <v>20</v>
      </c>
      <c r="H101" s="466" t="s">
        <v>20</v>
      </c>
      <c r="I101" s="211">
        <f t="shared" ref="I101:O101" si="33">I18/H18-1</f>
        <v>1.2805587892898762E-2</v>
      </c>
      <c r="J101" s="211">
        <f t="shared" si="33"/>
        <v>-0.15212873563218399</v>
      </c>
      <c r="K101" s="211">
        <f t="shared" si="33"/>
        <v>2.6894941760839952E-2</v>
      </c>
      <c r="L101" s="211">
        <f t="shared" si="33"/>
        <v>1.2319683374104162E-2</v>
      </c>
      <c r="M101" s="211">
        <f t="shared" si="33"/>
        <v>1.5619070471649676E-2</v>
      </c>
      <c r="N101" s="473">
        <f t="shared" si="33"/>
        <v>8.7580059476422667E-2</v>
      </c>
      <c r="O101" s="486">
        <f t="shared" si="33"/>
        <v>0.10035855835221374</v>
      </c>
    </row>
    <row r="102" spans="1:15" s="473" customFormat="1">
      <c r="A102" s="476" t="s">
        <v>691</v>
      </c>
      <c r="B102" s="465"/>
      <c r="C102" s="211"/>
      <c r="D102" s="211"/>
      <c r="E102" s="446"/>
      <c r="F102" s="451"/>
      <c r="G102" s="465"/>
      <c r="H102" s="466"/>
      <c r="I102" s="211"/>
      <c r="J102" s="211"/>
      <c r="K102" s="211"/>
      <c r="L102" s="211">
        <v>-0.01</v>
      </c>
      <c r="M102" s="211">
        <v>0.03</v>
      </c>
      <c r="N102" s="473">
        <v>0.09</v>
      </c>
      <c r="O102" s="486">
        <v>0.1</v>
      </c>
    </row>
    <row r="103" spans="1:15" s="473" customFormat="1">
      <c r="A103" s="476" t="s">
        <v>27</v>
      </c>
      <c r="B103" s="465"/>
      <c r="C103" s="484"/>
      <c r="D103" s="484"/>
      <c r="E103" s="486"/>
      <c r="F103" s="489"/>
      <c r="G103" s="465" t="s">
        <v>20</v>
      </c>
      <c r="H103" s="466" t="s">
        <v>20</v>
      </c>
      <c r="J103" s="484"/>
      <c r="L103" s="484"/>
      <c r="M103" s="484"/>
      <c r="O103" s="486"/>
    </row>
    <row r="104" spans="1:15" s="473" customFormat="1">
      <c r="A104" s="490" t="s">
        <v>57</v>
      </c>
      <c r="B104" s="465" t="s">
        <v>20</v>
      </c>
      <c r="C104" s="211">
        <f t="shared" ref="C104:D106" si="34">C26/B26-1</f>
        <v>0.52175425217817795</v>
      </c>
      <c r="D104" s="211">
        <f t="shared" si="34"/>
        <v>0.39604673760006004</v>
      </c>
      <c r="E104" s="446">
        <f>E26/C26-1</f>
        <v>1.1285466439574048</v>
      </c>
      <c r="F104" s="451">
        <v>0.42</v>
      </c>
      <c r="G104" s="465" t="s">
        <v>20</v>
      </c>
      <c r="H104" s="466" t="s">
        <v>20</v>
      </c>
      <c r="I104" s="211"/>
      <c r="J104" s="491"/>
      <c r="K104" s="211"/>
      <c r="L104" s="211"/>
      <c r="M104" s="211"/>
      <c r="O104" s="486"/>
    </row>
    <row r="105" spans="1:15" s="473" customFormat="1">
      <c r="A105" s="490" t="s">
        <v>58</v>
      </c>
      <c r="B105" s="465" t="s">
        <v>20</v>
      </c>
      <c r="C105" s="211">
        <f t="shared" si="34"/>
        <v>0.35772430614019446</v>
      </c>
      <c r="D105" s="211">
        <f t="shared" si="34"/>
        <v>0.44145272703166683</v>
      </c>
      <c r="E105" s="446">
        <f>E27/C27-1</f>
        <v>1.2996738498112284</v>
      </c>
      <c r="F105" s="451">
        <v>0.39500000000000002</v>
      </c>
      <c r="G105" s="465" t="s">
        <v>20</v>
      </c>
      <c r="H105" s="211">
        <f t="shared" ref="H105:L106" si="35">H27/G27-1</f>
        <v>2.393258426966292</v>
      </c>
      <c r="I105" s="211">
        <f t="shared" si="35"/>
        <v>2.6490066225165476E-2</v>
      </c>
      <c r="J105" s="211">
        <f t="shared" si="35"/>
        <v>-0.27378709677419355</v>
      </c>
      <c r="K105" s="211">
        <f t="shared" si="35"/>
        <v>3.3896573474409886E-2</v>
      </c>
      <c r="L105" s="211">
        <f t="shared" si="35"/>
        <v>3.8293155522712397E-2</v>
      </c>
      <c r="M105" s="211">
        <f t="shared" ref="M105:O106" si="36">M27/L27-1</f>
        <v>4.6853146853146788E-2</v>
      </c>
      <c r="N105" s="473">
        <f t="shared" si="36"/>
        <v>0.15603989043175126</v>
      </c>
      <c r="O105" s="486">
        <f t="shared" si="36"/>
        <v>0.1436113105617669</v>
      </c>
    </row>
    <row r="106" spans="1:15" s="473" customFormat="1">
      <c r="A106" s="490" t="s">
        <v>28</v>
      </c>
      <c r="B106" s="465" t="s">
        <v>20</v>
      </c>
      <c r="C106" s="211">
        <f t="shared" si="34"/>
        <v>0.5526854492860116</v>
      </c>
      <c r="D106" s="211">
        <f t="shared" si="34"/>
        <v>0.43331635138491453</v>
      </c>
      <c r="E106" s="446">
        <f>E28/C28-1</f>
        <v>1.0507521276654876</v>
      </c>
      <c r="F106" s="451">
        <v>0.26300000000000001</v>
      </c>
      <c r="G106" s="465" t="s">
        <v>20</v>
      </c>
      <c r="H106" s="211">
        <f t="shared" si="35"/>
        <v>1.6875</v>
      </c>
      <c r="I106" s="211">
        <f t="shared" si="35"/>
        <v>-9.6345514950166078E-2</v>
      </c>
      <c r="J106" s="211">
        <f t="shared" si="35"/>
        <v>-5.640073529411771E-2</v>
      </c>
      <c r="K106" s="211">
        <f t="shared" si="35"/>
        <v>-4.8878083371321379E-2</v>
      </c>
      <c r="L106" s="211">
        <f t="shared" si="35"/>
        <v>0.10856812800576776</v>
      </c>
      <c r="M106" s="211">
        <f t="shared" si="36"/>
        <v>-3.8297667921823209E-2</v>
      </c>
      <c r="N106" s="473">
        <f t="shared" si="36"/>
        <v>7.7482296073436263E-2</v>
      </c>
      <c r="O106" s="486">
        <f t="shared" si="36"/>
        <v>-7.9024884279896845E-3</v>
      </c>
    </row>
    <row r="107" spans="1:15" s="473" customFormat="1">
      <c r="A107" s="490" t="s">
        <v>21</v>
      </c>
      <c r="B107" s="465" t="s">
        <v>20</v>
      </c>
      <c r="C107" s="211">
        <f>C34/B34-1</f>
        <v>0.92190247121496727</v>
      </c>
      <c r="D107" s="211">
        <f>D34/C34-1</f>
        <v>0.48194527355619687</v>
      </c>
      <c r="E107" s="446">
        <f>E34/C34-1</f>
        <v>0.88551773134543055</v>
      </c>
      <c r="F107" s="451">
        <v>0.29399999999999998</v>
      </c>
      <c r="G107" s="465" t="s">
        <v>20</v>
      </c>
      <c r="H107" s="211"/>
      <c r="I107" s="211"/>
      <c r="J107" s="491"/>
      <c r="K107" s="211"/>
      <c r="L107" s="551"/>
      <c r="M107" s="551">
        <f>M34/L34-1</f>
        <v>-0.11207604741227561</v>
      </c>
      <c r="N107" s="211">
        <f>N34/M34-1</f>
        <v>0.70671424795136151</v>
      </c>
      <c r="O107" s="211">
        <f>O34/N34-1</f>
        <v>-5.5447998141407995E-2</v>
      </c>
    </row>
    <row r="108" spans="1:15" s="473" customFormat="1">
      <c r="A108" s="492" t="s">
        <v>22</v>
      </c>
      <c r="B108" s="465" t="s">
        <v>20</v>
      </c>
      <c r="C108" s="211">
        <f>C35/B35-1</f>
        <v>0.46226740983539116</v>
      </c>
      <c r="D108" s="211">
        <f>D35/C35-1</f>
        <v>0.42231098398328637</v>
      </c>
      <c r="E108" s="446">
        <f>E35/C35-1</f>
        <v>1.1740138163541931</v>
      </c>
      <c r="F108" s="451">
        <v>0.38500000000000001</v>
      </c>
      <c r="G108" s="465" t="s">
        <v>20</v>
      </c>
      <c r="H108" s="211"/>
      <c r="I108" s="211"/>
      <c r="J108" s="493"/>
      <c r="K108" s="211"/>
      <c r="L108" s="211"/>
      <c r="M108" s="211">
        <f>M38/L38-1</f>
        <v>4.7973660911908027</v>
      </c>
      <c r="N108" s="473">
        <f>N38/M38-1</f>
        <v>-1.2365791734275078</v>
      </c>
      <c r="O108" s="486">
        <f>O38/N38-1</f>
        <v>0.32346770809799064</v>
      </c>
    </row>
    <row r="109" spans="1:15" s="473" customFormat="1">
      <c r="A109" s="476" t="s">
        <v>8</v>
      </c>
      <c r="B109" s="465" t="s">
        <v>20</v>
      </c>
      <c r="C109" s="211">
        <f>C38/B38-1</f>
        <v>0.58606152536394407</v>
      </c>
      <c r="D109" s="211">
        <f>D38/C38-1</f>
        <v>5.8128490699864699E-2</v>
      </c>
      <c r="E109" s="446">
        <f>E38/C38-1</f>
        <v>-0.34213536465316241</v>
      </c>
      <c r="F109" s="494" t="s">
        <v>663</v>
      </c>
      <c r="G109" s="465" t="s">
        <v>20</v>
      </c>
      <c r="H109" s="211">
        <f t="shared" ref="H109:O109" si="37">H38/G38-1</f>
        <v>2.1789883268482488</v>
      </c>
      <c r="I109" s="211">
        <f t="shared" si="37"/>
        <v>0.35618115055079569</v>
      </c>
      <c r="J109" s="211">
        <f t="shared" si="37"/>
        <v>-8.8300541516245445E-2</v>
      </c>
      <c r="K109" s="211">
        <f t="shared" si="37"/>
        <v>-0.23844864640657004</v>
      </c>
      <c r="L109" s="211">
        <f t="shared" si="37"/>
        <v>-0.94127059851213657</v>
      </c>
      <c r="M109" s="211">
        <f t="shared" si="37"/>
        <v>4.7973660911908027</v>
      </c>
      <c r="N109" s="473">
        <f t="shared" si="37"/>
        <v>-1.2365791734275078</v>
      </c>
      <c r="O109" s="486">
        <f t="shared" si="37"/>
        <v>0.32346770809799064</v>
      </c>
    </row>
    <row r="110" spans="1:15" s="473" customFormat="1" ht="12.75" customHeight="1">
      <c r="A110" s="476" t="s">
        <v>99</v>
      </c>
      <c r="B110" s="465" t="s">
        <v>20</v>
      </c>
      <c r="C110" s="211">
        <f>C54/B54-1</f>
        <v>0.64489483400387049</v>
      </c>
      <c r="D110" s="211">
        <f>D54/C54-1</f>
        <v>7.6836736955274931E-2</v>
      </c>
      <c r="E110" s="446">
        <f>E54/C54-1</f>
        <v>-0.27788936118135665</v>
      </c>
      <c r="F110" s="451">
        <v>9.3309999999999995</v>
      </c>
      <c r="G110" s="465" t="s">
        <v>20</v>
      </c>
      <c r="H110" s="211">
        <f t="shared" ref="H110:O110" si="38">H54/G54-1</f>
        <v>2.4</v>
      </c>
      <c r="I110" s="211">
        <f t="shared" si="38"/>
        <v>2.5176470588235293</v>
      </c>
      <c r="J110" s="211">
        <f t="shared" ca="1" si="38"/>
        <v>7511244.3416197039</v>
      </c>
      <c r="K110" s="211">
        <f t="shared" ca="1" si="38"/>
        <v>-0.99999997406920338</v>
      </c>
      <c r="L110" s="211">
        <f t="shared" si="38"/>
        <v>-0.35990864914058074</v>
      </c>
      <c r="M110" s="211">
        <f t="shared" si="38"/>
        <v>7.0944818520803707</v>
      </c>
      <c r="N110" s="473">
        <f t="shared" si="38"/>
        <v>-1.5471137211753243</v>
      </c>
      <c r="O110" s="486">
        <f t="shared" si="38"/>
        <v>-0.89532664990762334</v>
      </c>
    </row>
    <row r="111" spans="1:15" s="168" customFormat="1" ht="12.75" customHeight="1">
      <c r="A111" s="166"/>
      <c r="B111" s="167"/>
      <c r="E111" s="169"/>
      <c r="F111" s="166"/>
      <c r="G111" s="167"/>
      <c r="O111" s="169"/>
    </row>
    <row r="112" spans="1:15" s="168" customFormat="1" ht="15">
      <c r="A112" s="166"/>
      <c r="B112" s="167"/>
      <c r="E112" s="169"/>
      <c r="F112" s="166"/>
      <c r="G112" s="167"/>
      <c r="O112" s="169"/>
    </row>
    <row r="113" spans="1:15" s="138" customFormat="1">
      <c r="A113" s="95"/>
      <c r="B113" s="18" t="s">
        <v>41</v>
      </c>
      <c r="C113" s="5" t="s">
        <v>41</v>
      </c>
      <c r="D113" s="5" t="s">
        <v>41</v>
      </c>
      <c r="E113" s="96" t="s">
        <v>41</v>
      </c>
      <c r="F113" s="61" t="s">
        <v>41</v>
      </c>
      <c r="G113" s="18" t="s">
        <v>17</v>
      </c>
      <c r="H113" s="5" t="s">
        <v>17</v>
      </c>
      <c r="I113" s="5" t="s">
        <v>17</v>
      </c>
      <c r="J113" s="5" t="s">
        <v>17</v>
      </c>
      <c r="K113" s="5" t="s">
        <v>17</v>
      </c>
      <c r="L113" s="5" t="s">
        <v>17</v>
      </c>
      <c r="M113" s="208" t="s">
        <v>17</v>
      </c>
      <c r="N113" s="208" t="s">
        <v>17</v>
      </c>
      <c r="O113" s="510" t="s">
        <v>17</v>
      </c>
    </row>
    <row r="114" spans="1:15" s="138" customFormat="1">
      <c r="A114" s="61" t="s">
        <v>100</v>
      </c>
      <c r="B114" s="18">
        <v>2009</v>
      </c>
      <c r="C114" s="5">
        <v>2010</v>
      </c>
      <c r="D114" s="5">
        <v>2011</v>
      </c>
      <c r="E114" s="96">
        <v>2012</v>
      </c>
      <c r="F114" s="61">
        <v>2015</v>
      </c>
      <c r="G114" s="18">
        <v>2006</v>
      </c>
      <c r="H114" s="5">
        <v>2007</v>
      </c>
      <c r="I114" s="5">
        <v>2008</v>
      </c>
      <c r="J114" s="5">
        <v>2009</v>
      </c>
      <c r="K114" s="5">
        <v>2010</v>
      </c>
      <c r="L114" s="5">
        <v>2011</v>
      </c>
      <c r="M114" s="208">
        <v>2012</v>
      </c>
      <c r="N114" s="208">
        <v>2013</v>
      </c>
      <c r="O114" s="510">
        <v>2014</v>
      </c>
    </row>
    <row r="115" spans="1:15">
      <c r="A115" s="71" t="s">
        <v>0</v>
      </c>
      <c r="B115" s="45"/>
      <c r="C115" s="32"/>
      <c r="D115" s="32"/>
      <c r="J115" s="32"/>
      <c r="L115" s="32"/>
      <c r="M115" s="32"/>
    </row>
    <row r="116" spans="1:15" s="30" customFormat="1">
      <c r="A116" s="72" t="s">
        <v>1</v>
      </c>
      <c r="B116" s="104"/>
      <c r="C116" s="40"/>
      <c r="D116" s="40"/>
      <c r="E116" s="105"/>
      <c r="F116" s="77"/>
      <c r="G116" s="47"/>
      <c r="J116" s="40"/>
      <c r="L116" s="40"/>
      <c r="M116" s="40"/>
      <c r="O116" s="105"/>
    </row>
    <row r="117" spans="1:15" s="30" customFormat="1" hidden="1">
      <c r="A117" s="73" t="s">
        <v>2</v>
      </c>
      <c r="B117" s="39">
        <v>210</v>
      </c>
      <c r="C117" s="34">
        <v>326</v>
      </c>
      <c r="D117" s="34">
        <v>557</v>
      </c>
      <c r="E117" s="105">
        <v>549.19390699999997</v>
      </c>
      <c r="F117" s="77">
        <v>2966.3890000000001</v>
      </c>
      <c r="G117" s="47">
        <v>18</v>
      </c>
      <c r="H117" s="30">
        <v>25</v>
      </c>
      <c r="I117" s="30">
        <v>31</v>
      </c>
      <c r="J117" s="34">
        <f>88656/1000</f>
        <v>88.656000000000006</v>
      </c>
      <c r="K117" s="30">
        <f>97222/1000</f>
        <v>97.221999999999994</v>
      </c>
      <c r="L117" s="34">
        <f>136171/1000</f>
        <v>136.17099999999999</v>
      </c>
      <c r="M117" s="34">
        <v>130.262</v>
      </c>
      <c r="O117" s="105"/>
    </row>
    <row r="118" spans="1:15" s="30" customFormat="1" hidden="1">
      <c r="A118" s="73" t="s">
        <v>101</v>
      </c>
      <c r="B118" s="39">
        <v>17</v>
      </c>
      <c r="C118" s="34">
        <v>34</v>
      </c>
      <c r="D118" s="34">
        <v>34</v>
      </c>
      <c r="E118" s="105">
        <v>123.309189</v>
      </c>
      <c r="F118" s="77">
        <v>353.03399999999999</v>
      </c>
      <c r="G118" s="47">
        <v>7</v>
      </c>
      <c r="H118" s="30">
        <v>8</v>
      </c>
      <c r="I118" s="30">
        <v>0</v>
      </c>
      <c r="J118" s="34"/>
      <c r="L118" s="34"/>
      <c r="M118" s="34"/>
      <c r="O118" s="105"/>
    </row>
    <row r="119" spans="1:15" s="30" customFormat="1" hidden="1">
      <c r="A119" s="73" t="s">
        <v>3</v>
      </c>
      <c r="B119" s="39">
        <v>26</v>
      </c>
      <c r="C119" s="34">
        <v>179</v>
      </c>
      <c r="D119" s="34">
        <v>205</v>
      </c>
      <c r="E119" s="105">
        <v>226.10621599999999</v>
      </c>
      <c r="F119" s="77">
        <v>1271.386</v>
      </c>
      <c r="G119" s="47"/>
      <c r="L119" s="34"/>
      <c r="M119" s="34"/>
      <c r="O119" s="105"/>
    </row>
    <row r="120" spans="1:15" s="30" customFormat="1">
      <c r="A120" s="126" t="s">
        <v>29</v>
      </c>
      <c r="B120" s="47">
        <f>SUM(B117:B119)</f>
        <v>253</v>
      </c>
      <c r="C120" s="30">
        <f>SUM(C117:C119)</f>
        <v>539</v>
      </c>
      <c r="D120" s="30">
        <f>SUM(D117:D119)</f>
        <v>796</v>
      </c>
      <c r="E120" s="105">
        <f>SUM(E117:E119)</f>
        <v>898.60931199999993</v>
      </c>
      <c r="F120" s="77">
        <f>SUM(F117:F119)</f>
        <v>4590.8090000000002</v>
      </c>
      <c r="G120" s="35">
        <f t="shared" ref="G120:L120" si="39">SUM(G117:G119)</f>
        <v>25</v>
      </c>
      <c r="H120" s="42">
        <f t="shared" si="39"/>
        <v>33</v>
      </c>
      <c r="I120" s="42">
        <f t="shared" si="39"/>
        <v>31</v>
      </c>
      <c r="J120" s="42">
        <f t="shared" si="39"/>
        <v>88.656000000000006</v>
      </c>
      <c r="K120" s="42">
        <f t="shared" si="39"/>
        <v>97.221999999999994</v>
      </c>
      <c r="L120" s="42">
        <f t="shared" si="39"/>
        <v>136.17099999999999</v>
      </c>
      <c r="M120" s="42">
        <v>130.262</v>
      </c>
      <c r="N120" s="30">
        <v>117.38500000000001</v>
      </c>
      <c r="O120" s="105">
        <v>188.482</v>
      </c>
    </row>
    <row r="121" spans="1:15" s="30" customFormat="1" hidden="1">
      <c r="A121" s="74" t="s">
        <v>102</v>
      </c>
      <c r="B121" s="47">
        <v>19</v>
      </c>
      <c r="C121" s="30">
        <v>53</v>
      </c>
      <c r="D121" s="30">
        <v>89.957999999999998</v>
      </c>
      <c r="E121" s="105">
        <v>160.374425</v>
      </c>
      <c r="F121" s="77">
        <v>486.39499999999998</v>
      </c>
      <c r="G121" s="47">
        <v>10</v>
      </c>
      <c r="H121" s="30">
        <v>16</v>
      </c>
      <c r="I121" s="30">
        <v>17</v>
      </c>
      <c r="J121" s="30">
        <f>17399/1000</f>
        <v>17.399000000000001</v>
      </c>
      <c r="K121" s="30">
        <f>17425/1000</f>
        <v>17.425000000000001</v>
      </c>
      <c r="L121" s="30">
        <f>15917/1000</f>
        <v>15.917</v>
      </c>
      <c r="O121" s="105"/>
    </row>
    <row r="122" spans="1:15" s="30" customFormat="1">
      <c r="A122" s="75" t="s">
        <v>4</v>
      </c>
      <c r="B122" s="39">
        <v>609</v>
      </c>
      <c r="C122" s="34">
        <v>1230</v>
      </c>
      <c r="D122" s="34">
        <v>1551</v>
      </c>
      <c r="E122" s="106">
        <v>1226.8213209999999</v>
      </c>
      <c r="F122" s="72">
        <v>6267.6940000000004</v>
      </c>
      <c r="G122" s="47">
        <v>2061</v>
      </c>
      <c r="H122" s="30">
        <v>1925</v>
      </c>
      <c r="I122" s="30">
        <v>1590</v>
      </c>
      <c r="J122" s="30">
        <f>1294242/1000</f>
        <v>1294.242</v>
      </c>
      <c r="K122" s="30">
        <f>1216703/1000</f>
        <v>1216.703</v>
      </c>
      <c r="L122" s="34">
        <f>1145786/1000</f>
        <v>1145.7860000000001</v>
      </c>
      <c r="M122" s="34">
        <v>834.31399999999996</v>
      </c>
      <c r="N122" s="30">
        <v>1107.6859999999999</v>
      </c>
      <c r="O122" s="105">
        <v>1175.9690000000001</v>
      </c>
    </row>
    <row r="123" spans="1:15" s="30" customFormat="1">
      <c r="A123" s="72" t="s">
        <v>5</v>
      </c>
      <c r="B123" s="104"/>
      <c r="C123" s="40"/>
      <c r="D123" s="40"/>
      <c r="E123" s="105"/>
      <c r="F123" s="77"/>
      <c r="G123" s="47"/>
      <c r="L123" s="40"/>
      <c r="M123" s="40"/>
      <c r="O123" s="105"/>
    </row>
    <row r="124" spans="1:15" s="30" customFormat="1" hidden="1">
      <c r="A124" s="73" t="s">
        <v>103</v>
      </c>
      <c r="B124" s="47">
        <v>41</v>
      </c>
      <c r="C124" s="30">
        <v>90</v>
      </c>
      <c r="D124" s="30">
        <v>173.31800000000001</v>
      </c>
      <c r="E124" s="105">
        <v>227.10161500000001</v>
      </c>
      <c r="F124" s="77">
        <v>919.42100000000005</v>
      </c>
      <c r="G124" s="109" t="s">
        <v>20</v>
      </c>
      <c r="H124" s="89" t="s">
        <v>20</v>
      </c>
      <c r="I124" s="89" t="s">
        <v>20</v>
      </c>
      <c r="J124" s="89" t="s">
        <v>20</v>
      </c>
      <c r="K124" s="89" t="s">
        <v>20</v>
      </c>
      <c r="L124" s="89" t="s">
        <v>20</v>
      </c>
      <c r="M124" s="89"/>
      <c r="O124" s="105"/>
    </row>
    <row r="125" spans="1:15" s="30" customFormat="1" ht="12.75" customHeight="1">
      <c r="A125" s="73" t="s">
        <v>104</v>
      </c>
      <c r="B125" s="139" t="s">
        <v>20</v>
      </c>
      <c r="C125" s="140" t="s">
        <v>20</v>
      </c>
      <c r="D125" s="140" t="s">
        <v>20</v>
      </c>
      <c r="E125" s="141">
        <v>72.788338999999993</v>
      </c>
      <c r="F125" s="77">
        <v>1962.1189999999999</v>
      </c>
      <c r="G125" s="109">
        <v>0</v>
      </c>
      <c r="H125" s="30">
        <v>6</v>
      </c>
      <c r="I125" s="30">
        <v>6</v>
      </c>
      <c r="J125" s="30">
        <f>20994/1000</f>
        <v>20.994</v>
      </c>
      <c r="K125" s="30">
        <f>19808/1000</f>
        <v>19.808</v>
      </c>
      <c r="L125" s="30">
        <f>32183/1000</f>
        <v>32.183</v>
      </c>
      <c r="M125" s="30">
        <v>24.707999999999998</v>
      </c>
      <c r="N125" s="30">
        <v>13.5</v>
      </c>
      <c r="O125" s="105">
        <v>25.870999999999999</v>
      </c>
    </row>
    <row r="126" spans="1:15" s="30" customFormat="1">
      <c r="A126" s="73" t="s">
        <v>30</v>
      </c>
      <c r="B126" s="139" t="s">
        <v>20</v>
      </c>
      <c r="C126" s="140" t="s">
        <v>20</v>
      </c>
      <c r="D126" s="140" t="s">
        <v>20</v>
      </c>
      <c r="E126" s="141">
        <v>180</v>
      </c>
      <c r="F126" s="77">
        <v>2833.4630000000002</v>
      </c>
      <c r="G126" s="109">
        <v>0</v>
      </c>
      <c r="H126" s="30">
        <v>593</v>
      </c>
      <c r="I126" s="30">
        <v>587</v>
      </c>
      <c r="J126" s="30">
        <f>555582/1000</f>
        <v>555.58199999999999</v>
      </c>
      <c r="K126" s="30">
        <f>472213/1000</f>
        <v>472.21300000000002</v>
      </c>
      <c r="L126" s="30">
        <f>440030/1000</f>
        <v>440.03</v>
      </c>
      <c r="M126" s="30">
        <v>415.322</v>
      </c>
      <c r="N126" s="30">
        <v>429.75</v>
      </c>
      <c r="O126" s="105">
        <v>421.87900000000002</v>
      </c>
    </row>
    <row r="127" spans="1:15" s="30" customFormat="1">
      <c r="A127" s="127" t="s">
        <v>105</v>
      </c>
      <c r="B127" s="139" t="s">
        <v>20</v>
      </c>
      <c r="C127" s="140" t="s">
        <v>20</v>
      </c>
      <c r="D127" s="140" t="s">
        <v>20</v>
      </c>
      <c r="E127" s="141">
        <f>SUM(E125:E126)</f>
        <v>252.78833900000001</v>
      </c>
      <c r="F127" s="72">
        <f>SUM(F125:F126)</f>
        <v>4795.5820000000003</v>
      </c>
      <c r="G127" s="109">
        <f t="shared" ref="G127:O127" si="40">SUM(G125:G126)</f>
        <v>0</v>
      </c>
      <c r="H127" s="30">
        <f t="shared" si="40"/>
        <v>599</v>
      </c>
      <c r="I127" s="30">
        <f t="shared" si="40"/>
        <v>593</v>
      </c>
      <c r="J127" s="30">
        <f t="shared" si="40"/>
        <v>576.57600000000002</v>
      </c>
      <c r="K127" s="30">
        <f t="shared" si="40"/>
        <v>492.02100000000002</v>
      </c>
      <c r="L127" s="30">
        <f t="shared" si="40"/>
        <v>472.21299999999997</v>
      </c>
      <c r="M127" s="30">
        <f t="shared" si="40"/>
        <v>440.03</v>
      </c>
      <c r="N127" s="30">
        <f t="shared" si="40"/>
        <v>443.25</v>
      </c>
      <c r="O127" s="105">
        <f t="shared" si="40"/>
        <v>447.75</v>
      </c>
    </row>
    <row r="128" spans="1:15" s="30" customFormat="1">
      <c r="A128" s="72" t="s">
        <v>31</v>
      </c>
      <c r="B128" s="39">
        <v>171</v>
      </c>
      <c r="C128" s="34">
        <v>292</v>
      </c>
      <c r="D128" s="34">
        <v>416</v>
      </c>
      <c r="E128" s="105">
        <v>816.178134</v>
      </c>
      <c r="F128" s="77">
        <v>8514.8760000000002</v>
      </c>
      <c r="G128" s="47">
        <v>794</v>
      </c>
      <c r="H128" s="30">
        <v>1187</v>
      </c>
      <c r="I128" s="30">
        <v>1152</v>
      </c>
      <c r="J128" s="30">
        <f>1163739/1000</f>
        <v>1163.739</v>
      </c>
      <c r="K128" s="30">
        <f>1026850/1000</f>
        <v>1026.8499999999999</v>
      </c>
      <c r="L128" s="34">
        <f>985261/1000</f>
        <v>985.26099999999997</v>
      </c>
      <c r="M128" s="34">
        <v>976.97699999999998</v>
      </c>
      <c r="N128" s="30">
        <v>1065.9639999999999</v>
      </c>
      <c r="O128" s="105">
        <v>1104.8710000000001</v>
      </c>
    </row>
    <row r="129" spans="1:15" s="30" customFormat="1">
      <c r="A129" s="72" t="s">
        <v>106</v>
      </c>
      <c r="B129" s="39">
        <v>438</v>
      </c>
      <c r="C129" s="34">
        <v>938</v>
      </c>
      <c r="D129" s="34">
        <v>1135</v>
      </c>
      <c r="E129" s="105">
        <v>1056.946054</v>
      </c>
      <c r="F129" s="77">
        <v>9831.259</v>
      </c>
      <c r="G129" s="47">
        <v>1267</v>
      </c>
      <c r="H129" s="30">
        <v>738</v>
      </c>
      <c r="I129" s="30">
        <v>438</v>
      </c>
      <c r="J129" s="30">
        <f>130503/1000</f>
        <v>130.50299999999999</v>
      </c>
      <c r="K129" s="30">
        <f>189853/1000</f>
        <v>189.85300000000001</v>
      </c>
      <c r="L129" s="34">
        <f>160525/1000</f>
        <v>160.52500000000001</v>
      </c>
      <c r="M129" s="34">
        <v>-142.66300000000001</v>
      </c>
      <c r="N129" s="30">
        <v>41.722000000000001</v>
      </c>
      <c r="O129" s="105">
        <v>71.097999999999999</v>
      </c>
    </row>
    <row r="130" spans="1:15" s="30" customFormat="1">
      <c r="A130" s="72" t="s">
        <v>6</v>
      </c>
      <c r="B130" s="39">
        <f>SUM(B128:B129)</f>
        <v>609</v>
      </c>
      <c r="C130" s="34">
        <f>SUM(C128:C129)</f>
        <v>1230</v>
      </c>
      <c r="D130" s="34">
        <f>SUM(D128:D129)</f>
        <v>1551</v>
      </c>
      <c r="E130" s="106">
        <v>1873.124188</v>
      </c>
      <c r="F130" s="72">
        <v>18346.134999999998</v>
      </c>
      <c r="G130" s="39">
        <f t="shared" ref="G130:L130" si="41">SUM(G128:G129)</f>
        <v>2061</v>
      </c>
      <c r="H130" s="34">
        <f t="shared" si="41"/>
        <v>1925</v>
      </c>
      <c r="I130" s="34">
        <f t="shared" si="41"/>
        <v>1590</v>
      </c>
      <c r="J130" s="34">
        <f t="shared" si="41"/>
        <v>1294.242</v>
      </c>
      <c r="K130" s="34">
        <f t="shared" si="41"/>
        <v>1216.703</v>
      </c>
      <c r="L130" s="34">
        <f t="shared" si="41"/>
        <v>1145.7860000000001</v>
      </c>
      <c r="M130" s="34">
        <v>834.31399999999996</v>
      </c>
      <c r="N130" s="30">
        <v>1107.6859999999999</v>
      </c>
      <c r="O130" s="105">
        <v>1175.9690000000001</v>
      </c>
    </row>
    <row r="131" spans="1:15">
      <c r="A131" s="71"/>
      <c r="B131" s="107"/>
      <c r="C131" s="91"/>
      <c r="D131" s="91"/>
      <c r="E131" s="108"/>
      <c r="F131" s="457"/>
      <c r="L131" s="91"/>
      <c r="M131" s="91"/>
    </row>
    <row r="132" spans="1:15" s="473" customFormat="1">
      <c r="A132" s="495" t="s">
        <v>107</v>
      </c>
      <c r="B132" s="465" t="s">
        <v>20</v>
      </c>
      <c r="C132" s="466" t="s">
        <v>20</v>
      </c>
      <c r="D132" s="466" t="s">
        <v>20</v>
      </c>
      <c r="E132" s="467" t="s">
        <v>20</v>
      </c>
      <c r="F132" s="496">
        <f>F127/F122</f>
        <v>0.76512701481597534</v>
      </c>
      <c r="G132" s="502">
        <f t="shared" ref="G132:O132" si="42">G127/G122</f>
        <v>0</v>
      </c>
      <c r="H132" s="498">
        <f t="shared" si="42"/>
        <v>0.31116883116883115</v>
      </c>
      <c r="I132" s="498">
        <f t="shared" si="42"/>
        <v>0.37295597484276727</v>
      </c>
      <c r="J132" s="498">
        <f t="shared" si="42"/>
        <v>0.4454931921541721</v>
      </c>
      <c r="K132" s="498">
        <f t="shared" si="42"/>
        <v>0.40438874565115729</v>
      </c>
      <c r="L132" s="498">
        <f t="shared" si="42"/>
        <v>0.41213018835978094</v>
      </c>
      <c r="M132" s="498">
        <f t="shared" si="42"/>
        <v>0.52741533763067616</v>
      </c>
      <c r="N132" s="473">
        <f t="shared" si="42"/>
        <v>0.40015852868051055</v>
      </c>
      <c r="O132" s="486">
        <f t="shared" si="42"/>
        <v>0.38074983269116786</v>
      </c>
    </row>
    <row r="133" spans="1:15">
      <c r="A133" s="76"/>
      <c r="B133" s="45"/>
      <c r="C133" s="32"/>
      <c r="D133" s="32"/>
      <c r="L133" s="32"/>
      <c r="M133" s="32"/>
    </row>
    <row r="134" spans="1:15">
      <c r="A134" s="76"/>
      <c r="B134" s="45"/>
      <c r="C134" s="32"/>
      <c r="D134" s="32"/>
      <c r="L134" s="32"/>
      <c r="M134" s="32"/>
    </row>
    <row r="135" spans="1:15" s="138" customFormat="1">
      <c r="A135" s="95" t="s">
        <v>108</v>
      </c>
      <c r="B135" s="18" t="s">
        <v>41</v>
      </c>
      <c r="C135" s="5" t="s">
        <v>41</v>
      </c>
      <c r="D135" s="5" t="s">
        <v>41</v>
      </c>
      <c r="E135" s="96" t="s">
        <v>41</v>
      </c>
      <c r="F135" s="61" t="s">
        <v>41</v>
      </c>
      <c r="G135" s="18" t="s">
        <v>17</v>
      </c>
      <c r="H135" s="5" t="s">
        <v>17</v>
      </c>
      <c r="I135" s="5" t="s">
        <v>17</v>
      </c>
      <c r="J135" s="5" t="s">
        <v>17</v>
      </c>
      <c r="K135" s="5" t="s">
        <v>17</v>
      </c>
      <c r="L135" s="5" t="s">
        <v>17</v>
      </c>
      <c r="M135" s="208" t="s">
        <v>17</v>
      </c>
      <c r="N135" s="208" t="s">
        <v>17</v>
      </c>
      <c r="O135" s="510" t="s">
        <v>17</v>
      </c>
    </row>
    <row r="136" spans="1:15" s="138" customFormat="1">
      <c r="A136" s="61" t="s">
        <v>109</v>
      </c>
      <c r="B136" s="18">
        <v>2009</v>
      </c>
      <c r="C136" s="5">
        <v>2010</v>
      </c>
      <c r="D136" s="5">
        <v>2011</v>
      </c>
      <c r="E136" s="96">
        <v>2012</v>
      </c>
      <c r="F136" s="61">
        <v>2015</v>
      </c>
      <c r="G136" s="18">
        <v>2006</v>
      </c>
      <c r="H136" s="5">
        <v>2007</v>
      </c>
      <c r="I136" s="5">
        <v>2008</v>
      </c>
      <c r="J136" s="5">
        <v>2009</v>
      </c>
      <c r="K136" s="5">
        <v>2010</v>
      </c>
      <c r="L136" s="5">
        <v>2011</v>
      </c>
      <c r="M136" s="208">
        <v>2012</v>
      </c>
      <c r="N136" s="208">
        <v>2013</v>
      </c>
      <c r="O136" s="510">
        <v>2014</v>
      </c>
    </row>
    <row r="137" spans="1:15" s="424" customFormat="1">
      <c r="A137" s="442" t="s">
        <v>32</v>
      </c>
      <c r="B137" s="423">
        <v>151</v>
      </c>
      <c r="C137" s="424">
        <v>235</v>
      </c>
      <c r="D137" s="424">
        <v>288.82799999999997</v>
      </c>
      <c r="E137" s="425"/>
      <c r="F137" s="442">
        <f>3038.487/6.4778</f>
        <v>469.06156411127233</v>
      </c>
      <c r="G137" s="423">
        <v>39</v>
      </c>
      <c r="H137" s="424">
        <v>69</v>
      </c>
      <c r="I137" s="424">
        <v>76</v>
      </c>
      <c r="J137" s="424">
        <v>105.074</v>
      </c>
      <c r="K137" s="424">
        <v>98.608999999999995</v>
      </c>
      <c r="L137" s="424">
        <v>117.846</v>
      </c>
      <c r="M137" s="424">
        <v>107.059</v>
      </c>
      <c r="N137" s="424">
        <v>153.24299999999999</v>
      </c>
      <c r="O137" s="425">
        <v>149.499</v>
      </c>
    </row>
    <row r="138" spans="1:15" s="424" customFormat="1">
      <c r="A138" s="442" t="s">
        <v>33</v>
      </c>
      <c r="B138" s="423">
        <v>-112</v>
      </c>
      <c r="C138" s="424">
        <v>-370</v>
      </c>
      <c r="D138" s="424">
        <v>-55.664999999999999</v>
      </c>
      <c r="E138" s="425"/>
      <c r="F138" s="442">
        <f>-4422.021/6.4778</f>
        <v>-682.64240946000177</v>
      </c>
      <c r="G138" s="423">
        <v>-29</v>
      </c>
      <c r="H138" s="424">
        <v>-80</v>
      </c>
      <c r="I138" s="424">
        <v>-58</v>
      </c>
      <c r="J138" s="424">
        <v>-43.591000000000001</v>
      </c>
      <c r="K138" s="424">
        <v>-40.142000000000003</v>
      </c>
      <c r="L138" s="424">
        <v>-47.53</v>
      </c>
      <c r="M138" s="424">
        <v>-63.838000000000001</v>
      </c>
      <c r="N138" s="424">
        <v>-133.267</v>
      </c>
      <c r="O138" s="425">
        <v>-43.786999999999999</v>
      </c>
    </row>
    <row r="139" spans="1:15" s="424" customFormat="1">
      <c r="A139" s="442" t="s">
        <v>34</v>
      </c>
      <c r="B139" s="423">
        <v>14</v>
      </c>
      <c r="C139" s="424">
        <v>246</v>
      </c>
      <c r="D139" s="424">
        <v>-16.577999999999999</v>
      </c>
      <c r="E139" s="425"/>
      <c r="F139" s="442">
        <f>15233.586/6.4778</f>
        <v>2351.6604402729322</v>
      </c>
      <c r="G139" s="423">
        <v>-7</v>
      </c>
      <c r="H139" s="424">
        <v>13</v>
      </c>
      <c r="I139" s="424">
        <v>-8</v>
      </c>
      <c r="J139" s="424">
        <v>-6.3680000000000003</v>
      </c>
      <c r="K139" s="424">
        <v>-49.075000000000003</v>
      </c>
      <c r="L139" s="424">
        <v>-30.510999999999999</v>
      </c>
      <c r="M139" s="424">
        <v>-50.000999999999998</v>
      </c>
      <c r="N139" s="424">
        <v>-34.959000000000003</v>
      </c>
      <c r="O139" s="425">
        <v>-23.369</v>
      </c>
    </row>
    <row r="140" spans="1:15" s="424" customFormat="1" ht="23">
      <c r="A140" s="443" t="s">
        <v>110</v>
      </c>
      <c r="B140" s="423">
        <v>-26</v>
      </c>
      <c r="C140" s="424">
        <v>-25</v>
      </c>
      <c r="D140" s="424">
        <v>-32.6</v>
      </c>
      <c r="E140" s="425"/>
      <c r="F140" s="442">
        <f>-638.133/6.4778</f>
        <v>-98.510759825866813</v>
      </c>
      <c r="G140" s="423">
        <v>-28</v>
      </c>
      <c r="H140" s="424">
        <v>-53</v>
      </c>
      <c r="I140" s="424">
        <v>-58.203000000000003</v>
      </c>
      <c r="J140" s="424">
        <v>-42.908999999999999</v>
      </c>
      <c r="K140" s="424">
        <v>-40.01</v>
      </c>
      <c r="O140" s="425"/>
    </row>
    <row r="141" spans="1:15" s="414" customFormat="1" hidden="1">
      <c r="A141" s="418" t="s">
        <v>111</v>
      </c>
      <c r="B141" s="417" t="s">
        <v>20</v>
      </c>
      <c r="C141" s="416" t="s">
        <v>20</v>
      </c>
      <c r="D141" s="416">
        <v>-1.5</v>
      </c>
      <c r="E141" s="413"/>
      <c r="F141" s="458" t="s">
        <v>659</v>
      </c>
      <c r="G141" s="417" t="s">
        <v>20</v>
      </c>
      <c r="H141" s="416" t="s">
        <v>20</v>
      </c>
      <c r="I141" s="416" t="s">
        <v>20</v>
      </c>
      <c r="J141" s="416" t="s">
        <v>20</v>
      </c>
      <c r="K141" s="416" t="s">
        <v>20</v>
      </c>
      <c r="L141" s="416" t="s">
        <v>20</v>
      </c>
      <c r="M141" s="416"/>
      <c r="O141" s="413"/>
    </row>
    <row r="143" spans="1:15" s="138" customFormat="1">
      <c r="A143" s="95" t="s">
        <v>112</v>
      </c>
      <c r="B143" s="18" t="s">
        <v>41</v>
      </c>
      <c r="C143" s="5" t="s">
        <v>41</v>
      </c>
      <c r="D143" s="5" t="s">
        <v>41</v>
      </c>
      <c r="E143" s="96" t="s">
        <v>41</v>
      </c>
      <c r="F143" s="61" t="s">
        <v>41</v>
      </c>
      <c r="G143" s="18" t="s">
        <v>17</v>
      </c>
      <c r="H143" s="5" t="s">
        <v>17</v>
      </c>
      <c r="I143" s="5" t="s">
        <v>17</v>
      </c>
      <c r="J143" s="5" t="s">
        <v>17</v>
      </c>
      <c r="K143" s="5" t="s">
        <v>17</v>
      </c>
      <c r="L143" s="5" t="s">
        <v>17</v>
      </c>
      <c r="M143" s="208" t="s">
        <v>17</v>
      </c>
      <c r="N143" s="208" t="s">
        <v>17</v>
      </c>
      <c r="O143" s="510" t="s">
        <v>17</v>
      </c>
    </row>
    <row r="144" spans="1:15" s="138" customFormat="1">
      <c r="A144" s="174" t="s">
        <v>113</v>
      </c>
      <c r="B144" s="18">
        <v>2009</v>
      </c>
      <c r="C144" s="5">
        <v>2010</v>
      </c>
      <c r="D144" s="5">
        <v>2011</v>
      </c>
      <c r="E144" s="96">
        <v>2012</v>
      </c>
      <c r="F144" s="61">
        <v>2015</v>
      </c>
      <c r="G144" s="18">
        <v>2006</v>
      </c>
      <c r="H144" s="5">
        <v>2007</v>
      </c>
      <c r="I144" s="5">
        <v>2008</v>
      </c>
      <c r="J144" s="5">
        <v>2009</v>
      </c>
      <c r="K144" s="5">
        <v>2010</v>
      </c>
      <c r="L144" s="5">
        <v>2011</v>
      </c>
      <c r="M144" s="208">
        <v>2012</v>
      </c>
      <c r="N144" s="208">
        <v>2013</v>
      </c>
      <c r="O144" s="510">
        <v>2014</v>
      </c>
    </row>
    <row r="145" spans="1:15" hidden="1">
      <c r="A145" s="159" t="s">
        <v>114</v>
      </c>
      <c r="B145" s="109" t="s">
        <v>20</v>
      </c>
      <c r="C145" s="89" t="s">
        <v>20</v>
      </c>
      <c r="D145" s="89" t="s">
        <v>20</v>
      </c>
      <c r="E145" s="110" t="s">
        <v>20</v>
      </c>
      <c r="F145" s="459"/>
      <c r="G145" s="109" t="s">
        <v>20</v>
      </c>
      <c r="H145" s="89" t="s">
        <v>20</v>
      </c>
      <c r="I145" s="89" t="s">
        <v>20</v>
      </c>
      <c r="J145" s="89" t="s">
        <v>20</v>
      </c>
      <c r="K145" s="89" t="s">
        <v>20</v>
      </c>
      <c r="L145" s="89" t="s">
        <v>20</v>
      </c>
      <c r="M145" s="89"/>
    </row>
    <row r="146" spans="1:15" hidden="1">
      <c r="A146" s="159" t="s">
        <v>115</v>
      </c>
      <c r="B146" s="47">
        <v>8900000</v>
      </c>
      <c r="C146" s="30">
        <v>11900000</v>
      </c>
      <c r="D146" s="30">
        <v>15400000</v>
      </c>
      <c r="E146" s="105">
        <v>20400000</v>
      </c>
      <c r="F146" s="77"/>
      <c r="G146" s="109" t="s">
        <v>20</v>
      </c>
      <c r="H146" s="150" t="s">
        <v>20</v>
      </c>
      <c r="I146" s="150" t="s">
        <v>20</v>
      </c>
      <c r="J146" s="150" t="s">
        <v>20</v>
      </c>
      <c r="K146" s="150" t="s">
        <v>20</v>
      </c>
      <c r="L146" s="150" t="s">
        <v>20</v>
      </c>
      <c r="M146" s="150"/>
    </row>
    <row r="147" spans="1:15" hidden="1">
      <c r="A147" s="159" t="s">
        <v>116</v>
      </c>
      <c r="E147" s="105"/>
      <c r="F147" s="77"/>
      <c r="G147" s="47" t="s">
        <v>117</v>
      </c>
      <c r="H147" s="89" t="s">
        <v>20</v>
      </c>
      <c r="I147" s="89" t="s">
        <v>20</v>
      </c>
      <c r="J147" s="89" t="s">
        <v>20</v>
      </c>
      <c r="K147" s="89" t="s">
        <v>20</v>
      </c>
      <c r="L147" s="89" t="s">
        <v>20</v>
      </c>
      <c r="M147" s="89"/>
    </row>
    <row r="148" spans="1:15">
      <c r="A148" s="159" t="s">
        <v>118</v>
      </c>
      <c r="B148" s="47">
        <v>9800</v>
      </c>
      <c r="C148" s="30">
        <v>17000</v>
      </c>
      <c r="D148" s="30">
        <v>25000</v>
      </c>
      <c r="E148" s="105">
        <v>48800</v>
      </c>
      <c r="F148" s="77">
        <v>1000000</v>
      </c>
      <c r="G148" s="149" t="s">
        <v>20</v>
      </c>
      <c r="H148" s="150" t="s">
        <v>20</v>
      </c>
      <c r="I148" s="150" t="s">
        <v>20</v>
      </c>
      <c r="J148" s="150" t="s">
        <v>20</v>
      </c>
      <c r="K148" s="150" t="s">
        <v>20</v>
      </c>
      <c r="L148" s="150"/>
      <c r="M148" s="150"/>
    </row>
    <row r="149" spans="1:15" s="555" customFormat="1">
      <c r="A149" s="553" t="s">
        <v>693</v>
      </c>
      <c r="B149" s="554">
        <v>14141000</v>
      </c>
      <c r="C149" s="555">
        <v>18557000</v>
      </c>
      <c r="D149" s="555">
        <v>21412000</v>
      </c>
      <c r="E149" s="556">
        <v>27910000</v>
      </c>
      <c r="F149" s="553">
        <v>0.39700000000000002</v>
      </c>
      <c r="G149" s="557" t="s">
        <v>20</v>
      </c>
      <c r="H149" s="558" t="s">
        <v>20</v>
      </c>
      <c r="I149" s="558" t="s">
        <v>20</v>
      </c>
      <c r="J149" s="558" t="s">
        <v>20</v>
      </c>
      <c r="K149" s="558" t="s">
        <v>20</v>
      </c>
      <c r="L149" s="558">
        <v>-0.01</v>
      </c>
      <c r="M149" s="558">
        <v>0.03</v>
      </c>
      <c r="N149" s="555">
        <v>0.18</v>
      </c>
      <c r="O149" s="556">
        <v>0.17</v>
      </c>
    </row>
    <row r="150" spans="1:15" s="30" customFormat="1">
      <c r="A150" s="77" t="s">
        <v>120</v>
      </c>
      <c r="B150" s="47">
        <v>9962</v>
      </c>
      <c r="C150" s="30">
        <v>12626</v>
      </c>
      <c r="D150" s="30">
        <v>14705</v>
      </c>
      <c r="E150" s="105"/>
      <c r="F150" s="77">
        <v>30878</v>
      </c>
      <c r="G150" s="149" t="s">
        <v>20</v>
      </c>
      <c r="H150" s="30">
        <v>1590</v>
      </c>
      <c r="I150" s="30">
        <v>1500</v>
      </c>
      <c r="J150" s="30">
        <v>1400</v>
      </c>
      <c r="K150" s="30">
        <v>1400</v>
      </c>
      <c r="L150" s="89">
        <v>1329</v>
      </c>
      <c r="M150" s="89">
        <v>1328</v>
      </c>
      <c r="N150" s="30">
        <v>1300</v>
      </c>
      <c r="O150" s="105">
        <v>1530</v>
      </c>
    </row>
    <row r="151" spans="1:15" s="30" customFormat="1" hidden="1">
      <c r="A151" s="74" t="s">
        <v>121</v>
      </c>
      <c r="B151" s="47">
        <v>2125</v>
      </c>
      <c r="C151" s="30">
        <v>2740</v>
      </c>
      <c r="D151" s="30">
        <v>3767</v>
      </c>
      <c r="E151" s="105"/>
      <c r="F151" s="77"/>
      <c r="G151" s="149" t="s">
        <v>20</v>
      </c>
      <c r="H151" s="150" t="s">
        <v>20</v>
      </c>
      <c r="I151" s="150" t="s">
        <v>20</v>
      </c>
      <c r="J151" s="150" t="s">
        <v>20</v>
      </c>
      <c r="K151" s="150" t="s">
        <v>20</v>
      </c>
      <c r="L151" s="150" t="s">
        <v>20</v>
      </c>
      <c r="M151" s="150"/>
      <c r="O151" s="105"/>
    </row>
    <row r="152" spans="1:15" s="30" customFormat="1" hidden="1">
      <c r="A152" s="74" t="s">
        <v>122</v>
      </c>
      <c r="B152" s="47">
        <v>1509</v>
      </c>
      <c r="C152" s="30">
        <v>1692</v>
      </c>
      <c r="D152" s="30">
        <v>1874</v>
      </c>
      <c r="E152" s="105"/>
      <c r="F152" s="77"/>
      <c r="G152" s="149" t="s">
        <v>20</v>
      </c>
      <c r="H152" s="150" t="s">
        <v>20</v>
      </c>
      <c r="I152" s="150" t="s">
        <v>20</v>
      </c>
      <c r="J152" s="150" t="s">
        <v>20</v>
      </c>
      <c r="K152" s="150" t="s">
        <v>20</v>
      </c>
      <c r="L152" s="150" t="s">
        <v>20</v>
      </c>
      <c r="M152" s="150"/>
      <c r="O152" s="105"/>
    </row>
    <row r="153" spans="1:15" s="30" customFormat="1" hidden="1">
      <c r="A153" s="74" t="s">
        <v>123</v>
      </c>
      <c r="B153" s="47">
        <v>583</v>
      </c>
      <c r="C153" s="30">
        <v>686</v>
      </c>
      <c r="D153" s="30">
        <v>827</v>
      </c>
      <c r="E153" s="105"/>
      <c r="F153" s="77"/>
      <c r="G153" s="149" t="s">
        <v>20</v>
      </c>
      <c r="H153" s="150" t="s">
        <v>20</v>
      </c>
      <c r="I153" s="150" t="s">
        <v>20</v>
      </c>
      <c r="J153" s="150" t="s">
        <v>20</v>
      </c>
      <c r="K153" s="150" t="s">
        <v>20</v>
      </c>
      <c r="L153" s="150" t="s">
        <v>20</v>
      </c>
      <c r="M153" s="150"/>
      <c r="O153" s="105"/>
    </row>
    <row r="154" spans="1:15" s="30" customFormat="1" ht="0.75" customHeight="1">
      <c r="A154" s="74" t="s">
        <v>124</v>
      </c>
      <c r="B154" s="47">
        <v>5745</v>
      </c>
      <c r="C154" s="30">
        <v>7508</v>
      </c>
      <c r="D154" s="30">
        <v>8237</v>
      </c>
      <c r="E154" s="105"/>
      <c r="F154" s="77"/>
      <c r="G154" s="149" t="s">
        <v>20</v>
      </c>
      <c r="H154" s="150" t="s">
        <v>20</v>
      </c>
      <c r="I154" s="150" t="s">
        <v>20</v>
      </c>
      <c r="J154" s="150" t="s">
        <v>20</v>
      </c>
      <c r="K154" s="150" t="s">
        <v>20</v>
      </c>
      <c r="L154" s="150" t="s">
        <v>20</v>
      </c>
      <c r="M154" s="150"/>
      <c r="O154" s="105"/>
    </row>
    <row r="155" spans="1:15" s="488" customFormat="1">
      <c r="A155" s="566" t="s">
        <v>694</v>
      </c>
      <c r="B155" s="565" t="s">
        <v>20</v>
      </c>
      <c r="C155" s="469">
        <f t="shared" ref="C155:D159" si="43">C150/B150-1</f>
        <v>0.26741618148966073</v>
      </c>
      <c r="D155" s="469">
        <f t="shared" si="43"/>
        <v>0.16466022493267851</v>
      </c>
      <c r="E155" s="504"/>
      <c r="F155" s="505">
        <v>-0.04</v>
      </c>
      <c r="G155" s="506" t="s">
        <v>20</v>
      </c>
      <c r="H155" s="488" t="s">
        <v>20</v>
      </c>
      <c r="I155" s="488" t="s">
        <v>20</v>
      </c>
      <c r="J155" s="488" t="s">
        <v>20</v>
      </c>
      <c r="K155" s="488" t="s">
        <v>20</v>
      </c>
      <c r="M155" s="488">
        <f>M150/L150-1</f>
        <v>-7.5244544770503019E-4</v>
      </c>
      <c r="N155" s="488">
        <f>N150/M150-1</f>
        <v>-2.108433734939763E-2</v>
      </c>
      <c r="O155" s="507">
        <f>O150/N150-1</f>
        <v>0.17692307692307696</v>
      </c>
    </row>
    <row r="156" spans="1:15" hidden="1">
      <c r="A156" s="179" t="s">
        <v>121</v>
      </c>
      <c r="B156" s="109" t="s">
        <v>20</v>
      </c>
      <c r="C156" s="10">
        <f t="shared" si="43"/>
        <v>0.28941176470588226</v>
      </c>
      <c r="D156" s="10">
        <f t="shared" si="43"/>
        <v>0.37481751824817522</v>
      </c>
      <c r="E156" s="101"/>
      <c r="F156" s="448"/>
      <c r="G156" s="149" t="s">
        <v>20</v>
      </c>
      <c r="H156" s="150" t="s">
        <v>20</v>
      </c>
      <c r="I156" s="150" t="s">
        <v>20</v>
      </c>
      <c r="J156" s="150" t="s">
        <v>20</v>
      </c>
      <c r="K156" s="150" t="s">
        <v>20</v>
      </c>
      <c r="L156" s="150" t="s">
        <v>20</v>
      </c>
      <c r="M156" s="150"/>
    </row>
    <row r="157" spans="1:15" hidden="1">
      <c r="A157" s="179" t="s">
        <v>122</v>
      </c>
      <c r="B157" s="109" t="s">
        <v>20</v>
      </c>
      <c r="C157" s="10">
        <f t="shared" si="43"/>
        <v>0.12127236580516909</v>
      </c>
      <c r="D157" s="10">
        <f t="shared" si="43"/>
        <v>0.10756501182033107</v>
      </c>
      <c r="E157" s="101"/>
      <c r="F157" s="448"/>
      <c r="G157" s="149" t="s">
        <v>20</v>
      </c>
      <c r="H157" s="150" t="s">
        <v>20</v>
      </c>
      <c r="I157" s="150" t="s">
        <v>20</v>
      </c>
      <c r="J157" s="150" t="s">
        <v>20</v>
      </c>
      <c r="K157" s="150" t="s">
        <v>20</v>
      </c>
      <c r="L157" s="150" t="s">
        <v>20</v>
      </c>
      <c r="M157" s="150"/>
    </row>
    <row r="158" spans="1:15" hidden="1">
      <c r="A158" s="179" t="s">
        <v>123</v>
      </c>
      <c r="B158" s="109" t="s">
        <v>20</v>
      </c>
      <c r="C158" s="10">
        <f t="shared" si="43"/>
        <v>0.17667238421955411</v>
      </c>
      <c r="D158" s="10">
        <f t="shared" si="43"/>
        <v>0.20553935860058314</v>
      </c>
      <c r="E158" s="101"/>
      <c r="F158" s="448"/>
      <c r="G158" s="149" t="s">
        <v>20</v>
      </c>
      <c r="H158" s="150" t="s">
        <v>20</v>
      </c>
      <c r="I158" s="150" t="s">
        <v>20</v>
      </c>
      <c r="J158" s="150" t="s">
        <v>20</v>
      </c>
      <c r="K158" s="150" t="s">
        <v>20</v>
      </c>
      <c r="L158" s="150" t="s">
        <v>20</v>
      </c>
      <c r="M158" s="150"/>
    </row>
    <row r="159" spans="1:15" hidden="1">
      <c r="A159" s="179" t="s">
        <v>124</v>
      </c>
      <c r="B159" s="109" t="s">
        <v>20</v>
      </c>
      <c r="C159" s="10">
        <f t="shared" si="43"/>
        <v>0.30687554395126204</v>
      </c>
      <c r="D159" s="10">
        <f t="shared" si="43"/>
        <v>9.7096430474160833E-2</v>
      </c>
      <c r="E159" s="101"/>
      <c r="F159" s="448"/>
      <c r="G159" s="149" t="s">
        <v>20</v>
      </c>
      <c r="H159" s="150" t="s">
        <v>20</v>
      </c>
      <c r="I159" s="150" t="s">
        <v>20</v>
      </c>
      <c r="J159" s="150" t="s">
        <v>20</v>
      </c>
      <c r="K159" s="150" t="s">
        <v>20</v>
      </c>
      <c r="L159" s="150" t="s">
        <v>20</v>
      </c>
      <c r="M159" s="150"/>
    </row>
    <row r="160" spans="1:15" hidden="1">
      <c r="A160" s="159" t="s">
        <v>125</v>
      </c>
      <c r="B160" s="180"/>
      <c r="C160" s="27"/>
      <c r="D160" s="27"/>
      <c r="F160" s="460">
        <f>365/(F6*1000/((1826765.949+3150768.364)/2))/6.4778</f>
        <v>2.5954286060642855</v>
      </c>
      <c r="H160" s="143">
        <f>365/(H6/((60+61)/2))</f>
        <v>2.0463812436289501</v>
      </c>
      <c r="I160" s="143">
        <f>365/(I6/((58+60)/2))</f>
        <v>2.1218839294511773</v>
      </c>
      <c r="J160" s="143">
        <f>365/(J6*1000/((118659+92328)/2))</f>
        <v>3.8728030552648827</v>
      </c>
      <c r="K160" s="143">
        <f>365/(K6*1000/((54702+54708)/2))</f>
        <v>1.7561138230301956</v>
      </c>
      <c r="L160" s="143">
        <f>365/(L6*1000/((62377+54702)/2))</f>
        <v>1.8841218275920024</v>
      </c>
      <c r="M160" s="143"/>
    </row>
    <row r="161" spans="1:15" hidden="1">
      <c r="B161" s="180"/>
      <c r="C161" s="27"/>
      <c r="D161" s="27"/>
      <c r="F161" s="460">
        <f>365/(F18*1000/((1826765.949+3150768.364)/6.4778/2))</f>
        <v>79.012405176943318</v>
      </c>
      <c r="H161" s="143">
        <f>365/(H18/((60+61)/2))</f>
        <v>25.707217694994181</v>
      </c>
      <c r="I161" s="143">
        <f>365/(I18/((58+60)/2))</f>
        <v>24.75287356321839</v>
      </c>
      <c r="J161" s="143">
        <f>365/(J18*1000/((118659+92328)/2))</f>
        <v>52.199867009739073</v>
      </c>
      <c r="K161" s="143">
        <f>365/(K18*1000/((54702+54708)/2))</f>
        <v>26.359957332601088</v>
      </c>
      <c r="L161" s="143">
        <f>365/(L18*1000/((62377+54702)/2))</f>
        <v>27.864355864943359</v>
      </c>
      <c r="M161" s="143"/>
    </row>
    <row r="163" spans="1:15" s="138" customFormat="1">
      <c r="A163" s="176"/>
      <c r="B163" s="18" t="s">
        <v>41</v>
      </c>
      <c r="C163" s="5" t="s">
        <v>41</v>
      </c>
      <c r="D163" s="5" t="s">
        <v>41</v>
      </c>
      <c r="E163" s="96" t="s">
        <v>41</v>
      </c>
      <c r="F163" s="61" t="s">
        <v>41</v>
      </c>
      <c r="G163" s="18" t="s">
        <v>17</v>
      </c>
      <c r="H163" s="5" t="s">
        <v>17</v>
      </c>
      <c r="I163" s="5" t="s">
        <v>17</v>
      </c>
      <c r="J163" s="5" t="s">
        <v>17</v>
      </c>
      <c r="K163" s="5" t="s">
        <v>17</v>
      </c>
      <c r="L163" s="5" t="s">
        <v>17</v>
      </c>
      <c r="M163" s="208" t="s">
        <v>17</v>
      </c>
      <c r="N163" s="208" t="s">
        <v>17</v>
      </c>
      <c r="O163" s="510" t="s">
        <v>17</v>
      </c>
    </row>
    <row r="164" spans="1:15" s="138" customFormat="1">
      <c r="A164" s="61" t="s">
        <v>36</v>
      </c>
      <c r="B164" s="18">
        <v>2009</v>
      </c>
      <c r="C164" s="5">
        <v>2010</v>
      </c>
      <c r="D164" s="5">
        <v>2011</v>
      </c>
      <c r="E164" s="96">
        <v>2012</v>
      </c>
      <c r="F164" s="61">
        <v>2015</v>
      </c>
      <c r="G164" s="18">
        <v>2006</v>
      </c>
      <c r="H164" s="5">
        <v>2007</v>
      </c>
      <c r="I164" s="5">
        <v>2008</v>
      </c>
      <c r="J164" s="5">
        <v>2009</v>
      </c>
      <c r="K164" s="5">
        <v>2010</v>
      </c>
      <c r="L164" s="5">
        <v>2011</v>
      </c>
      <c r="M164" s="208">
        <v>2012</v>
      </c>
      <c r="N164" s="208">
        <v>2013</v>
      </c>
      <c r="O164" s="510">
        <v>2014</v>
      </c>
    </row>
    <row r="165" spans="1:15">
      <c r="A165" s="159" t="s">
        <v>126</v>
      </c>
      <c r="B165" s="137">
        <v>141</v>
      </c>
      <c r="C165" s="143">
        <v>150.308224</v>
      </c>
      <c r="D165" s="143">
        <v>143.56399999999999</v>
      </c>
      <c r="E165" s="151"/>
      <c r="F165" s="460">
        <f>49.370393*8</f>
        <v>394.963144</v>
      </c>
      <c r="H165" s="133">
        <v>81.599999999999994</v>
      </c>
      <c r="I165" s="133">
        <v>83.3</v>
      </c>
      <c r="J165" s="133">
        <v>84.073999999999998</v>
      </c>
      <c r="K165" s="133">
        <v>101.26900000000001</v>
      </c>
      <c r="L165" s="424">
        <f>L66</f>
        <v>104.118983</v>
      </c>
      <c r="M165" s="424">
        <f>M66</f>
        <v>105.582736</v>
      </c>
      <c r="N165" s="424">
        <f>N66</f>
        <v>113.07267899999999</v>
      </c>
      <c r="O165" s="425">
        <f>O66</f>
        <v>114.34444000000001</v>
      </c>
    </row>
    <row r="166" spans="1:15">
      <c r="A166" s="159" t="s">
        <v>127</v>
      </c>
      <c r="B166" s="109" t="s">
        <v>20</v>
      </c>
      <c r="C166" s="89" t="s">
        <v>20</v>
      </c>
      <c r="D166" s="89">
        <f>D183/D69</f>
        <v>20.191260795705784</v>
      </c>
      <c r="E166" s="155"/>
      <c r="F166" s="459">
        <f>F174/F69</f>
        <v>42.11818181818181</v>
      </c>
      <c r="G166" s="459" t="e">
        <f t="shared" ref="G166:O166" si="44">G174/G69</f>
        <v>#VALUE!</v>
      </c>
      <c r="H166" s="459">
        <f t="shared" si="44"/>
        <v>0</v>
      </c>
      <c r="I166" s="459">
        <f t="shared" si="44"/>
        <v>0</v>
      </c>
      <c r="J166" s="459">
        <f t="shared" si="44"/>
        <v>0</v>
      </c>
      <c r="K166" s="459">
        <f t="shared" si="44"/>
        <v>0</v>
      </c>
      <c r="L166" s="562">
        <f t="shared" si="44"/>
        <v>-10.444444444444445</v>
      </c>
      <c r="M166" s="563">
        <f t="shared" si="44"/>
        <v>-0.965034965034965</v>
      </c>
      <c r="N166" s="563">
        <f t="shared" si="44"/>
        <v>4.9178082191780819</v>
      </c>
      <c r="O166" s="564">
        <f t="shared" si="44"/>
        <v>54.866666666666674</v>
      </c>
    </row>
    <row r="167" spans="1:15">
      <c r="A167" s="159" t="s">
        <v>128</v>
      </c>
      <c r="B167" s="109" t="s">
        <v>20</v>
      </c>
      <c r="C167" s="89" t="s">
        <v>20</v>
      </c>
      <c r="D167" s="89" t="s">
        <v>20</v>
      </c>
      <c r="E167" s="110"/>
      <c r="F167" s="459" t="e">
        <f>F166/F70</f>
        <v>#DIV/0!</v>
      </c>
      <c r="G167" s="459" t="e">
        <f t="shared" ref="G167:O167" si="45">G166/G70</f>
        <v>#VALUE!</v>
      </c>
      <c r="H167" s="459" t="e">
        <f t="shared" si="45"/>
        <v>#DIV/0!</v>
      </c>
      <c r="I167" s="459" t="e">
        <f t="shared" si="45"/>
        <v>#DIV/0!</v>
      </c>
      <c r="J167" s="459" t="e">
        <f t="shared" si="45"/>
        <v>#DIV/0!</v>
      </c>
      <c r="K167" s="459" t="e">
        <f t="shared" si="45"/>
        <v>#DIV/0!</v>
      </c>
      <c r="L167" s="562" t="e">
        <f t="shared" si="45"/>
        <v>#DIV/0!</v>
      </c>
      <c r="M167" s="563">
        <f t="shared" si="45"/>
        <v>-0.13896503496503496</v>
      </c>
      <c r="N167" s="563">
        <f t="shared" si="45"/>
        <v>-3.2038568352731924</v>
      </c>
      <c r="O167" s="564">
        <f t="shared" si="45"/>
        <v>-61.274452554744535</v>
      </c>
    </row>
    <row r="168" spans="1:15">
      <c r="A168" s="159" t="s">
        <v>129</v>
      </c>
      <c r="B168" s="109" t="s">
        <v>20</v>
      </c>
      <c r="C168" s="89" t="s">
        <v>20</v>
      </c>
      <c r="D168" s="89" t="s">
        <v>20</v>
      </c>
      <c r="E168" s="110"/>
      <c r="F168" s="459">
        <f>F174/F68</f>
        <v>36.1953125</v>
      </c>
      <c r="G168" s="459" t="e">
        <f t="shared" ref="G168:O168" si="46">G174/G68</f>
        <v>#VALUE!</v>
      </c>
      <c r="H168" s="459">
        <f t="shared" si="46"/>
        <v>0</v>
      </c>
      <c r="I168" s="459">
        <f t="shared" si="46"/>
        <v>0</v>
      </c>
      <c r="J168" s="459">
        <f t="shared" si="46"/>
        <v>0</v>
      </c>
      <c r="K168" s="459">
        <f t="shared" si="46"/>
        <v>0</v>
      </c>
      <c r="L168" s="562">
        <f t="shared" si="46"/>
        <v>-10.444444444444445</v>
      </c>
      <c r="M168" s="563">
        <f t="shared" si="46"/>
        <v>-0.965034965034965</v>
      </c>
      <c r="N168" s="563">
        <f t="shared" si="46"/>
        <v>4.6928104575163392</v>
      </c>
      <c r="O168" s="564">
        <f t="shared" si="46"/>
        <v>51.4375</v>
      </c>
    </row>
    <row r="169" spans="1:15">
      <c r="A169" s="159" t="s">
        <v>130</v>
      </c>
      <c r="B169" s="109" t="s">
        <v>20</v>
      </c>
      <c r="C169" s="89" t="s">
        <v>20</v>
      </c>
      <c r="D169" s="89" t="s">
        <v>20</v>
      </c>
      <c r="E169" s="110"/>
      <c r="F169" s="459" t="e">
        <f>F168/F70</f>
        <v>#DIV/0!</v>
      </c>
      <c r="G169" s="459" t="e">
        <f t="shared" ref="G169:O169" si="47">G168/G70</f>
        <v>#VALUE!</v>
      </c>
      <c r="H169" s="459" t="e">
        <f t="shared" si="47"/>
        <v>#DIV/0!</v>
      </c>
      <c r="I169" s="459" t="e">
        <f t="shared" si="47"/>
        <v>#DIV/0!</v>
      </c>
      <c r="J169" s="459" t="e">
        <f t="shared" si="47"/>
        <v>#DIV/0!</v>
      </c>
      <c r="K169" s="459" t="e">
        <f t="shared" si="47"/>
        <v>#DIV/0!</v>
      </c>
      <c r="L169" s="562" t="e">
        <f t="shared" si="47"/>
        <v>#DIV/0!</v>
      </c>
      <c r="M169" s="563">
        <f t="shared" si="47"/>
        <v>-0.13896503496503496</v>
      </c>
      <c r="N169" s="563">
        <f t="shared" si="47"/>
        <v>-3.057275149999255</v>
      </c>
      <c r="O169" s="564">
        <f t="shared" si="47"/>
        <v>-57.444799270072991</v>
      </c>
    </row>
    <row r="170" spans="1:15">
      <c r="B170" s="21" t="s">
        <v>41</v>
      </c>
      <c r="C170" s="6" t="s">
        <v>41</v>
      </c>
      <c r="D170" s="6" t="s">
        <v>41</v>
      </c>
      <c r="E170" s="111" t="s">
        <v>41</v>
      </c>
      <c r="F170" s="64"/>
      <c r="G170" s="64"/>
      <c r="H170" s="64"/>
      <c r="I170" s="64"/>
      <c r="J170" s="64"/>
      <c r="K170" s="64"/>
      <c r="L170" s="21"/>
      <c r="M170" s="6"/>
      <c r="N170" s="6"/>
      <c r="O170" s="111"/>
    </row>
    <row r="171" spans="1:15" hidden="1">
      <c r="A171" s="159" t="s">
        <v>131</v>
      </c>
      <c r="B171" s="21" t="s">
        <v>37</v>
      </c>
      <c r="C171" s="6" t="s">
        <v>37</v>
      </c>
      <c r="D171" s="6" t="s">
        <v>37</v>
      </c>
      <c r="E171" s="111" t="s">
        <v>37</v>
      </c>
      <c r="F171" s="64"/>
      <c r="G171" s="64"/>
      <c r="H171" s="64"/>
      <c r="I171" s="64"/>
      <c r="J171" s="64"/>
      <c r="K171" s="64"/>
      <c r="L171" s="21"/>
      <c r="M171" s="6"/>
      <c r="N171" s="6"/>
      <c r="O171" s="111"/>
    </row>
    <row r="172" spans="1:15" hidden="1">
      <c r="B172" s="21"/>
      <c r="C172" s="6"/>
      <c r="D172" s="6">
        <v>40990</v>
      </c>
      <c r="E172" s="112">
        <v>41530</v>
      </c>
      <c r="F172" s="461"/>
      <c r="G172" s="461"/>
      <c r="H172" s="461"/>
      <c r="I172" s="461"/>
      <c r="J172" s="461"/>
      <c r="K172" s="461"/>
      <c r="L172" s="118"/>
      <c r="M172" s="93"/>
      <c r="N172" s="93"/>
      <c r="O172" s="112"/>
    </row>
    <row r="173" spans="1:15">
      <c r="A173" s="159" t="s">
        <v>132</v>
      </c>
      <c r="B173" s="109" t="s">
        <v>20</v>
      </c>
      <c r="C173" s="89" t="s">
        <v>20</v>
      </c>
      <c r="D173" s="89">
        <v>3259.6206200000001</v>
      </c>
      <c r="E173" s="105">
        <v>6470</v>
      </c>
      <c r="F173" s="459">
        <f t="shared" ref="F173:O173" si="48">F174*F165</f>
        <v>18298.642461519998</v>
      </c>
      <c r="G173" s="459">
        <f t="shared" si="48"/>
        <v>0</v>
      </c>
      <c r="H173" s="459">
        <f t="shared" si="48"/>
        <v>0</v>
      </c>
      <c r="I173" s="459">
        <f t="shared" si="48"/>
        <v>0</v>
      </c>
      <c r="J173" s="459">
        <f t="shared" si="48"/>
        <v>0</v>
      </c>
      <c r="K173" s="459">
        <f t="shared" si="48"/>
        <v>0</v>
      </c>
      <c r="L173" s="109">
        <f t="shared" si="48"/>
        <v>391.48737607999999</v>
      </c>
      <c r="M173" s="89">
        <f t="shared" si="48"/>
        <v>291.40835135999998</v>
      </c>
      <c r="N173" s="89">
        <f t="shared" si="48"/>
        <v>811.86183521999988</v>
      </c>
      <c r="O173" s="110">
        <f t="shared" si="48"/>
        <v>941.05474120000008</v>
      </c>
    </row>
    <row r="174" spans="1:15">
      <c r="A174" s="159" t="s">
        <v>658</v>
      </c>
      <c r="B174" s="109"/>
      <c r="C174" s="89"/>
      <c r="D174" s="89"/>
      <c r="E174" s="105"/>
      <c r="F174" s="77">
        <v>46.33</v>
      </c>
      <c r="G174" s="149"/>
      <c r="H174" s="150"/>
      <c r="I174" s="150"/>
      <c r="J174" s="150"/>
      <c r="K174" s="150"/>
      <c r="L174" s="143">
        <v>3.76</v>
      </c>
      <c r="M174" s="143">
        <v>2.76</v>
      </c>
      <c r="N174" s="133">
        <v>7.18</v>
      </c>
      <c r="O174" s="136">
        <v>8.23</v>
      </c>
    </row>
    <row r="175" spans="1:15">
      <c r="B175" s="109"/>
      <c r="C175" s="89"/>
      <c r="D175" s="89"/>
      <c r="E175" s="105"/>
      <c r="F175" s="77"/>
      <c r="G175" s="149"/>
      <c r="H175" s="150"/>
      <c r="I175" s="150"/>
      <c r="J175" s="150"/>
      <c r="K175" s="150"/>
      <c r="L175" s="143"/>
      <c r="M175" s="143"/>
    </row>
    <row r="176" spans="1:15">
      <c r="A176" s="159" t="s">
        <v>661</v>
      </c>
      <c r="B176" s="109"/>
      <c r="C176" s="89"/>
      <c r="D176" s="89"/>
      <c r="E176" s="105"/>
      <c r="F176" s="459">
        <f>F173+F127-F120</f>
        <v>18503.415461519995</v>
      </c>
      <c r="G176" s="149">
        <f t="shared" ref="G176:O176" si="49">G173+G127-G120</f>
        <v>-25</v>
      </c>
      <c r="H176" s="150">
        <f t="shared" si="49"/>
        <v>566</v>
      </c>
      <c r="I176" s="150">
        <f t="shared" si="49"/>
        <v>562</v>
      </c>
      <c r="J176" s="150">
        <f t="shared" si="49"/>
        <v>487.92</v>
      </c>
      <c r="K176" s="150">
        <f t="shared" si="49"/>
        <v>394.79900000000004</v>
      </c>
      <c r="L176" s="424">
        <f t="shared" si="49"/>
        <v>727.52937608000002</v>
      </c>
      <c r="M176" s="424">
        <f t="shared" si="49"/>
        <v>601.1763513599999</v>
      </c>
      <c r="N176" s="424">
        <f t="shared" si="49"/>
        <v>1137.7268352199999</v>
      </c>
      <c r="O176" s="425">
        <f t="shared" si="49"/>
        <v>1200.3227412000001</v>
      </c>
    </row>
    <row r="177" spans="1:15">
      <c r="A177" s="159" t="s">
        <v>133</v>
      </c>
      <c r="B177" s="109"/>
      <c r="C177" s="89"/>
      <c r="D177" s="89"/>
      <c r="E177" s="128">
        <f>E129/E20</f>
        <v>1.5833638201354125</v>
      </c>
      <c r="F177" s="462">
        <f>F176/F18</f>
        <v>10.425516650432154</v>
      </c>
      <c r="G177" s="149" t="e">
        <f t="shared" ref="G177:O177" si="50">G176/G18</f>
        <v>#DIV/0!</v>
      </c>
      <c r="H177" s="150">
        <f t="shared" si="50"/>
        <v>0.65890570430733408</v>
      </c>
      <c r="I177" s="150">
        <f t="shared" si="50"/>
        <v>0.64597701149425291</v>
      </c>
      <c r="J177" s="150">
        <f t="shared" si="50"/>
        <v>0.66145370149447991</v>
      </c>
      <c r="K177" s="150">
        <f t="shared" si="50"/>
        <v>0.52119574329328433</v>
      </c>
      <c r="L177" s="424">
        <f t="shared" si="50"/>
        <v>0.94876284505209185</v>
      </c>
      <c r="M177" s="424">
        <f t="shared" si="50"/>
        <v>0.77193045593454501</v>
      </c>
      <c r="N177" s="424">
        <f t="shared" si="50"/>
        <v>1.3432382591561067</v>
      </c>
      <c r="O177" s="425">
        <f t="shared" si="50"/>
        <v>1.2878902639143268</v>
      </c>
    </row>
    <row r="178" spans="1:15">
      <c r="A178" s="159" t="s">
        <v>134</v>
      </c>
      <c r="B178" s="109"/>
      <c r="C178" s="89"/>
      <c r="D178" s="89"/>
      <c r="E178" s="128">
        <f>E129/E54</f>
        <v>9.2172810742808888</v>
      </c>
      <c r="F178" s="462">
        <f>F176/F38</f>
        <v>314.57693746208798</v>
      </c>
      <c r="G178" s="149">
        <f t="shared" ref="G178:O178" si="51">G176/G38</f>
        <v>9.727626459143969E-2</v>
      </c>
      <c r="H178" s="150">
        <f t="shared" si="51"/>
        <v>-0.69277845777233782</v>
      </c>
      <c r="I178" s="150">
        <f t="shared" si="51"/>
        <v>-0.50722021660649819</v>
      </c>
      <c r="J178" s="150">
        <f t="shared" si="51"/>
        <v>-0.48301115760525776</v>
      </c>
      <c r="K178" s="150">
        <f t="shared" si="51"/>
        <v>-0.51319851655615378</v>
      </c>
      <c r="L178" s="424">
        <f t="shared" si="51"/>
        <v>-16.10290783709608</v>
      </c>
      <c r="M178" s="424">
        <f t="shared" si="51"/>
        <v>-2.295223256122934</v>
      </c>
      <c r="N178" s="424">
        <f t="shared" si="51"/>
        <v>18.360501488235478</v>
      </c>
      <c r="O178" s="425">
        <f t="shared" si="51"/>
        <v>14.636297295451756</v>
      </c>
    </row>
    <row r="179" spans="1:15">
      <c r="A179" s="159" t="s">
        <v>135</v>
      </c>
      <c r="B179" s="109"/>
      <c r="C179" s="89"/>
      <c r="D179" s="89"/>
      <c r="E179" s="128"/>
      <c r="F179" s="462">
        <f>F173/F18</f>
        <v>10.310139879830066</v>
      </c>
      <c r="G179" s="149" t="e">
        <f t="shared" ref="G179:O179" si="52">G173/G18</f>
        <v>#DIV/0!</v>
      </c>
      <c r="H179" s="150">
        <f t="shared" si="52"/>
        <v>0</v>
      </c>
      <c r="I179" s="150">
        <f t="shared" si="52"/>
        <v>0</v>
      </c>
      <c r="J179" s="150">
        <f t="shared" si="52"/>
        <v>0</v>
      </c>
      <c r="K179" s="150">
        <f t="shared" si="52"/>
        <v>0</v>
      </c>
      <c r="L179" s="424">
        <f t="shared" si="52"/>
        <v>0.51053426699129778</v>
      </c>
      <c r="M179" s="424">
        <f t="shared" si="52"/>
        <v>0.37417802782756976</v>
      </c>
      <c r="N179" s="424">
        <f t="shared" si="52"/>
        <v>0.95851116846103246</v>
      </c>
      <c r="O179" s="425">
        <f t="shared" si="52"/>
        <v>1.0097078039113441</v>
      </c>
    </row>
    <row r="180" spans="1:15">
      <c r="A180" s="159" t="s">
        <v>136</v>
      </c>
      <c r="B180" s="109"/>
      <c r="C180" s="89"/>
      <c r="D180" s="89"/>
      <c r="E180" s="128"/>
      <c r="F180" s="462">
        <f>F173/F38</f>
        <v>311.09558758109517</v>
      </c>
      <c r="G180" s="149">
        <f t="shared" ref="G180:O180" si="53">G173/G38</f>
        <v>0</v>
      </c>
      <c r="H180" s="150">
        <f t="shared" si="53"/>
        <v>0</v>
      </c>
      <c r="I180" s="150">
        <f t="shared" si="53"/>
        <v>0</v>
      </c>
      <c r="J180" s="150">
        <f t="shared" si="53"/>
        <v>0</v>
      </c>
      <c r="K180" s="150">
        <f t="shared" si="53"/>
        <v>0</v>
      </c>
      <c r="L180" s="424">
        <f t="shared" si="53"/>
        <v>-8.6650592315183808</v>
      </c>
      <c r="M180" s="424">
        <f t="shared" si="53"/>
        <v>-1.1125640979669744</v>
      </c>
      <c r="N180" s="424">
        <f t="shared" si="53"/>
        <v>13.101730549333501</v>
      </c>
      <c r="O180" s="425">
        <f t="shared" si="53"/>
        <v>11.474877956346774</v>
      </c>
    </row>
    <row r="181" spans="1:15" ht="18" customHeight="1">
      <c r="B181" s="109"/>
      <c r="C181" s="89"/>
      <c r="D181" s="89"/>
      <c r="E181" s="105"/>
      <c r="F181" s="77"/>
      <c r="G181" s="149"/>
      <c r="H181" s="150"/>
      <c r="I181" s="150"/>
      <c r="J181" s="150"/>
      <c r="K181" s="150"/>
      <c r="L181" s="143"/>
      <c r="M181" s="143"/>
    </row>
    <row r="182" spans="1:15" s="192" customFormat="1" hidden="1">
      <c r="A182" s="184" t="s">
        <v>137</v>
      </c>
      <c r="B182" s="185"/>
      <c r="C182" s="186"/>
      <c r="D182" s="186"/>
      <c r="E182" s="187"/>
      <c r="F182" s="463"/>
      <c r="G182" s="185"/>
      <c r="L182" s="186"/>
      <c r="M182" s="186"/>
      <c r="O182" s="193"/>
    </row>
    <row r="183" spans="1:15" hidden="1">
      <c r="A183" s="159" t="s">
        <v>138</v>
      </c>
      <c r="B183" s="109" t="s">
        <v>20</v>
      </c>
      <c r="C183" s="89" t="s">
        <v>20</v>
      </c>
      <c r="D183" s="89">
        <v>22.7</v>
      </c>
      <c r="E183" s="155"/>
      <c r="F183" s="456"/>
      <c r="G183" s="149" t="s">
        <v>20</v>
      </c>
      <c r="H183" s="150" t="s">
        <v>20</v>
      </c>
      <c r="I183" s="150" t="s">
        <v>20</v>
      </c>
      <c r="J183" s="150" t="s">
        <v>20</v>
      </c>
      <c r="K183" s="150" t="s">
        <v>20</v>
      </c>
      <c r="L183" s="133">
        <v>3.21</v>
      </c>
    </row>
    <row r="184" spans="1:15" hidden="1">
      <c r="A184" s="159" t="s">
        <v>11</v>
      </c>
      <c r="B184" s="109" t="s">
        <v>20</v>
      </c>
      <c r="C184" s="89" t="s">
        <v>20</v>
      </c>
      <c r="D184" s="89">
        <v>50.57</v>
      </c>
      <c r="E184" s="155"/>
      <c r="F184" s="456"/>
      <c r="G184" s="149" t="s">
        <v>20</v>
      </c>
      <c r="H184" s="150" t="s">
        <v>20</v>
      </c>
      <c r="I184" s="150" t="s">
        <v>20</v>
      </c>
      <c r="J184" s="150" t="s">
        <v>20</v>
      </c>
      <c r="K184" s="150" t="s">
        <v>20</v>
      </c>
      <c r="L184" s="133">
        <v>4.49</v>
      </c>
    </row>
    <row r="185" spans="1:15" hidden="1">
      <c r="A185" s="159" t="s">
        <v>139</v>
      </c>
      <c r="B185" s="109" t="s">
        <v>20</v>
      </c>
      <c r="C185" s="89" t="s">
        <v>20</v>
      </c>
      <c r="D185" s="89">
        <v>22.02</v>
      </c>
      <c r="E185" s="155"/>
      <c r="F185" s="456"/>
      <c r="G185" s="149" t="s">
        <v>20</v>
      </c>
      <c r="H185" s="150" t="s">
        <v>20</v>
      </c>
      <c r="I185" s="150" t="s">
        <v>20</v>
      </c>
      <c r="J185" s="150" t="s">
        <v>20</v>
      </c>
      <c r="K185" s="150" t="s">
        <v>20</v>
      </c>
      <c r="L185" s="133">
        <v>1.57</v>
      </c>
    </row>
  </sheetData>
  <phoneticPr fontId="11" type="noConversion"/>
  <pageMargins left="0.55118110236220474" right="0.55118110236220474" top="0.39370078740157483" bottom="0.98425196850393704" header="0.31496062992125984" footer="0.51181102362204722"/>
  <pageSetup paperSize="9" scale="30" orientation="landscape" cellComments="asDisplayed" r:id="rId1"/>
  <headerFooter alignWithMargins="0">
    <oddHeader>&amp;R第 &amp;P 页，共 &amp;N 页</oddHeader>
  </headerFooter>
  <rowBreaks count="3" manualBreakCount="3">
    <brk id="71" max="16383" man="1"/>
    <brk id="110" max="41" man="1"/>
    <brk id="142" max="41" man="1"/>
  </rowBreaks>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49"/>
  <sheetViews>
    <sheetView workbookViewId="0"/>
  </sheetViews>
  <sheetFormatPr defaultColWidth="9" defaultRowHeight="12.5"/>
  <cols>
    <col min="1" max="1" width="47.33203125" style="640" customWidth="1"/>
    <col min="2" max="13" width="10.58203125" style="640" customWidth="1"/>
    <col min="14" max="16384" width="9" style="640"/>
  </cols>
  <sheetData>
    <row r="1" spans="1:16" ht="13">
      <c r="A1" s="773" t="s">
        <v>957</v>
      </c>
      <c r="B1" s="737" t="s">
        <v>881</v>
      </c>
      <c r="C1" s="735" t="s">
        <v>882</v>
      </c>
      <c r="D1" s="735" t="s">
        <v>883</v>
      </c>
      <c r="E1" s="735" t="s">
        <v>884</v>
      </c>
      <c r="F1" s="737" t="s">
        <v>885</v>
      </c>
      <c r="G1" s="735" t="s">
        <v>886</v>
      </c>
      <c r="H1" s="735" t="s">
        <v>887</v>
      </c>
      <c r="I1" s="736" t="s">
        <v>888</v>
      </c>
      <c r="J1" s="737" t="s">
        <v>889</v>
      </c>
      <c r="K1" s="735" t="s">
        <v>899</v>
      </c>
      <c r="L1" s="735" t="s">
        <v>890</v>
      </c>
      <c r="M1" s="735" t="s">
        <v>891</v>
      </c>
    </row>
    <row r="2" spans="1:16" ht="13">
      <c r="A2" s="738" t="s">
        <v>877</v>
      </c>
      <c r="B2" s="766"/>
      <c r="C2" s="766"/>
      <c r="D2" s="766"/>
      <c r="E2" s="766"/>
      <c r="F2" s="766"/>
      <c r="G2" s="766"/>
      <c r="H2" s="766"/>
      <c r="I2" s="766"/>
      <c r="J2" s="766"/>
      <c r="K2" s="766"/>
      <c r="L2" s="766"/>
      <c r="M2" s="766"/>
      <c r="N2" s="766"/>
      <c r="O2" s="766"/>
      <c r="P2" s="766"/>
    </row>
    <row r="3" spans="1:16" ht="13">
      <c r="A3" s="739" t="s">
        <v>44</v>
      </c>
      <c r="B3" s="766">
        <v>810.96100000000001</v>
      </c>
      <c r="C3" s="766">
        <v>868.56200000000001</v>
      </c>
      <c r="D3" s="766">
        <v>941.07600000000002</v>
      </c>
      <c r="E3" s="766">
        <v>970.19500000000005</v>
      </c>
      <c r="F3" s="766">
        <v>661.40899999999999</v>
      </c>
      <c r="G3" s="766">
        <v>755.43299999999999</v>
      </c>
      <c r="H3" s="766">
        <v>844.86599999999999</v>
      </c>
      <c r="I3" s="766">
        <v>998.52599999999995</v>
      </c>
      <c r="J3" s="766">
        <v>1019.102</v>
      </c>
      <c r="K3" s="766">
        <v>1061.0260000000001</v>
      </c>
      <c r="L3" s="766"/>
      <c r="M3" s="766"/>
      <c r="N3" s="766"/>
      <c r="O3" s="766"/>
      <c r="P3" s="766"/>
    </row>
    <row r="4" spans="1:16" ht="13">
      <c r="A4" s="740" t="s">
        <v>892</v>
      </c>
      <c r="B4" s="778"/>
      <c r="C4" s="778"/>
      <c r="D4" s="778"/>
      <c r="E4" s="778"/>
      <c r="F4" s="676">
        <f t="shared" ref="F4:K4" si="0">(F3-B3)/B3</f>
        <v>-0.18441330717506763</v>
      </c>
      <c r="G4" s="676">
        <f t="shared" si="0"/>
        <v>-0.13024861783039093</v>
      </c>
      <c r="H4" s="676">
        <f t="shared" si="0"/>
        <v>-0.10223403848360817</v>
      </c>
      <c r="I4" s="676">
        <f t="shared" si="0"/>
        <v>2.9201346121140493E-2</v>
      </c>
      <c r="J4" s="676">
        <f t="shared" si="0"/>
        <v>0.54080455512398529</v>
      </c>
      <c r="K4" s="676">
        <f t="shared" si="0"/>
        <v>0.40452694017867907</v>
      </c>
      <c r="L4" s="676"/>
      <c r="M4" s="676"/>
      <c r="N4" s="766"/>
      <c r="O4" s="766"/>
      <c r="P4" s="766"/>
    </row>
    <row r="5" spans="1:16" ht="13">
      <c r="A5" s="741" t="s">
        <v>897</v>
      </c>
      <c r="B5" s="766">
        <v>96.777000000000001</v>
      </c>
      <c r="C5" s="766">
        <v>102.509</v>
      </c>
      <c r="D5" s="766">
        <v>108.367</v>
      </c>
      <c r="E5" s="766">
        <v>114.05800000000001</v>
      </c>
      <c r="F5" s="766">
        <v>95.114999999999995</v>
      </c>
      <c r="G5" s="766">
        <v>98.796999999999997</v>
      </c>
      <c r="H5" s="766">
        <v>106.08799999999999</v>
      </c>
      <c r="I5" s="766">
        <v>111.16200000000001</v>
      </c>
      <c r="J5" s="766">
        <v>124.999</v>
      </c>
      <c r="K5" s="766">
        <v>123.462</v>
      </c>
      <c r="L5" s="766"/>
      <c r="M5" s="766"/>
      <c r="N5" s="766"/>
      <c r="O5" s="766"/>
      <c r="P5" s="766"/>
    </row>
    <row r="6" spans="1:16" ht="13">
      <c r="A6" s="741" t="s">
        <v>898</v>
      </c>
      <c r="B6" s="767">
        <v>-29.248000000000001</v>
      </c>
      <c r="C6" s="767">
        <v>-27.61</v>
      </c>
      <c r="D6" s="767">
        <v>-34.680999999999997</v>
      </c>
      <c r="E6" s="767">
        <v>-62.673999999999999</v>
      </c>
      <c r="F6" s="767">
        <v>-33.494</v>
      </c>
      <c r="G6" s="767">
        <v>-33.752000000000002</v>
      </c>
      <c r="H6" s="767">
        <v>-26.15</v>
      </c>
      <c r="I6" s="767">
        <v>-33.279000000000003</v>
      </c>
      <c r="J6" s="767">
        <v>-31.14</v>
      </c>
      <c r="K6" s="767">
        <v>-35.087000000000003</v>
      </c>
      <c r="L6" s="767"/>
      <c r="M6" s="767"/>
      <c r="N6" s="766"/>
      <c r="O6" s="766"/>
      <c r="P6" s="766"/>
    </row>
    <row r="7" spans="1:16">
      <c r="A7" s="742" t="s">
        <v>19</v>
      </c>
      <c r="B7" s="766">
        <f t="shared" ref="B7:K7" si="1">B5+B6</f>
        <v>67.528999999999996</v>
      </c>
      <c r="C7" s="766">
        <f t="shared" si="1"/>
        <v>74.899000000000001</v>
      </c>
      <c r="D7" s="766">
        <f t="shared" si="1"/>
        <v>73.686000000000007</v>
      </c>
      <c r="E7" s="766">
        <f t="shared" si="1"/>
        <v>51.384000000000007</v>
      </c>
      <c r="F7" s="766">
        <f t="shared" si="1"/>
        <v>61.620999999999995</v>
      </c>
      <c r="G7" s="766">
        <f t="shared" si="1"/>
        <v>65.044999999999987</v>
      </c>
      <c r="H7" s="766">
        <f t="shared" si="1"/>
        <v>79.937999999999988</v>
      </c>
      <c r="I7" s="766">
        <f t="shared" si="1"/>
        <v>77.88300000000001</v>
      </c>
      <c r="J7" s="766">
        <f t="shared" si="1"/>
        <v>93.858999999999995</v>
      </c>
      <c r="K7" s="766">
        <f t="shared" si="1"/>
        <v>88.375</v>
      </c>
      <c r="L7" s="766"/>
      <c r="M7" s="766"/>
      <c r="N7" s="766"/>
      <c r="O7" s="766"/>
      <c r="P7" s="766"/>
    </row>
    <row r="8" spans="1:16">
      <c r="A8" s="742" t="s">
        <v>901</v>
      </c>
      <c r="B8" s="676">
        <f>B7/B5</f>
        <v>0.69777943106316576</v>
      </c>
      <c r="C8" s="676">
        <f t="shared" ref="C8:K8" si="2">C7/C5</f>
        <v>0.73065779590084778</v>
      </c>
      <c r="D8" s="676">
        <f t="shared" si="2"/>
        <v>0.67996714867072083</v>
      </c>
      <c r="E8" s="676">
        <f t="shared" si="2"/>
        <v>0.45050763646565783</v>
      </c>
      <c r="F8" s="676">
        <f t="shared" si="2"/>
        <v>0.64785785627924086</v>
      </c>
      <c r="G8" s="676">
        <f t="shared" si="2"/>
        <v>0.65837019342692582</v>
      </c>
      <c r="H8" s="676">
        <f t="shared" si="2"/>
        <v>0.75350652288666009</v>
      </c>
      <c r="I8" s="676">
        <f t="shared" si="2"/>
        <v>0.70062611324013602</v>
      </c>
      <c r="J8" s="676">
        <f t="shared" si="2"/>
        <v>0.75087800702405616</v>
      </c>
      <c r="K8" s="676">
        <f t="shared" si="2"/>
        <v>0.71580729293223821</v>
      </c>
      <c r="L8" s="766"/>
      <c r="M8" s="766"/>
      <c r="N8" s="766"/>
      <c r="O8" s="766"/>
      <c r="P8" s="766"/>
    </row>
    <row r="9" spans="1:16">
      <c r="A9" s="742"/>
      <c r="B9" s="766"/>
      <c r="C9" s="766"/>
      <c r="D9" s="766"/>
      <c r="E9" s="766"/>
      <c r="F9" s="766"/>
      <c r="G9" s="766"/>
      <c r="H9" s="766"/>
      <c r="I9" s="766"/>
      <c r="J9" s="766"/>
      <c r="K9" s="766"/>
      <c r="L9" s="766"/>
      <c r="M9" s="766"/>
      <c r="N9" s="766"/>
      <c r="O9" s="766"/>
      <c r="P9" s="766"/>
    </row>
    <row r="10" spans="1:16" ht="13">
      <c r="A10" s="741" t="s">
        <v>56</v>
      </c>
      <c r="B10" s="767"/>
      <c r="C10" s="767"/>
      <c r="D10" s="767"/>
      <c r="E10" s="767"/>
      <c r="F10" s="767"/>
      <c r="G10" s="767"/>
      <c r="H10" s="767"/>
      <c r="I10" s="767"/>
      <c r="J10" s="767"/>
      <c r="K10" s="766"/>
      <c r="L10" s="766"/>
      <c r="M10" s="766"/>
      <c r="N10" s="766"/>
      <c r="O10" s="766"/>
      <c r="P10" s="766"/>
    </row>
    <row r="11" spans="1:16">
      <c r="A11" s="743" t="s">
        <v>893</v>
      </c>
      <c r="B11" s="767">
        <v>-19.606000000000002</v>
      </c>
      <c r="C11" s="767">
        <v>-16.991</v>
      </c>
      <c r="D11" s="767">
        <v>-13.36</v>
      </c>
      <c r="E11" s="767">
        <v>-28.224</v>
      </c>
      <c r="F11" s="767">
        <v>-15.186</v>
      </c>
      <c r="G11" s="767">
        <v>-13.96</v>
      </c>
      <c r="H11" s="767">
        <v>-13.576000000000001</v>
      </c>
      <c r="I11" s="767">
        <v>-21.960999999999999</v>
      </c>
      <c r="J11" s="767">
        <v>-18.869</v>
      </c>
      <c r="K11" s="767">
        <v>-18.617999999999999</v>
      </c>
      <c r="L11" s="766"/>
      <c r="M11" s="766"/>
      <c r="N11" s="766"/>
      <c r="O11" s="766"/>
      <c r="P11" s="766"/>
    </row>
    <row r="12" spans="1:16">
      <c r="A12" s="743" t="s">
        <v>894</v>
      </c>
      <c r="B12" s="767">
        <v>-19.07</v>
      </c>
      <c r="C12" s="767">
        <v>-20.055</v>
      </c>
      <c r="D12" s="767">
        <v>-15.262</v>
      </c>
      <c r="E12" s="767">
        <v>-19.148</v>
      </c>
      <c r="F12" s="767">
        <v>-15.561</v>
      </c>
      <c r="G12" s="767">
        <v>-15.943</v>
      </c>
      <c r="H12" s="767">
        <v>-15.718</v>
      </c>
      <c r="I12" s="767">
        <v>-16.03</v>
      </c>
      <c r="J12" s="767">
        <v>-15.407999999999999</v>
      </c>
      <c r="K12" s="767">
        <v>-17.643999999999998</v>
      </c>
      <c r="L12" s="766"/>
      <c r="M12" s="766"/>
      <c r="N12" s="766"/>
      <c r="O12" s="766"/>
      <c r="P12" s="766"/>
    </row>
    <row r="13" spans="1:16">
      <c r="A13" s="743" t="s">
        <v>895</v>
      </c>
      <c r="B13" s="767">
        <v>-45.177999999999997</v>
      </c>
      <c r="C13" s="767">
        <v>-52.893000000000001</v>
      </c>
      <c r="D13" s="767">
        <v>-36.185000000000002</v>
      </c>
      <c r="E13" s="767">
        <v>-35.893000000000001</v>
      </c>
      <c r="F13" s="767">
        <v>-28.577000000000002</v>
      </c>
      <c r="G13" s="767">
        <v>-29.132999999999999</v>
      </c>
      <c r="H13" s="767">
        <v>-31.373999999999999</v>
      </c>
      <c r="I13" s="767">
        <v>-32.381999999999998</v>
      </c>
      <c r="J13" s="767">
        <v>-35.545999999999999</v>
      </c>
      <c r="K13" s="767">
        <v>-43.289000000000001</v>
      </c>
      <c r="L13" s="766"/>
      <c r="M13" s="766"/>
      <c r="N13" s="766"/>
      <c r="O13" s="766"/>
      <c r="P13" s="766"/>
    </row>
    <row r="14" spans="1:16">
      <c r="A14" s="743" t="s">
        <v>896</v>
      </c>
      <c r="B14" s="676">
        <f t="shared" ref="B14:K14" si="3">-B13/B3</f>
        <v>5.5709214129902665E-2</v>
      </c>
      <c r="C14" s="676">
        <f t="shared" si="3"/>
        <v>6.0897207107840315E-2</v>
      </c>
      <c r="D14" s="676">
        <f t="shared" si="3"/>
        <v>3.8450667108713858E-2</v>
      </c>
      <c r="E14" s="676">
        <f t="shared" si="3"/>
        <v>3.6995655512551601E-2</v>
      </c>
      <c r="F14" s="676">
        <f t="shared" si="3"/>
        <v>4.3206246059548634E-2</v>
      </c>
      <c r="G14" s="676">
        <f t="shared" si="3"/>
        <v>3.8564637764037311E-2</v>
      </c>
      <c r="H14" s="676">
        <f t="shared" si="3"/>
        <v>3.7134882928180325E-2</v>
      </c>
      <c r="I14" s="676">
        <f t="shared" si="3"/>
        <v>3.2429801527451466E-2</v>
      </c>
      <c r="J14" s="676">
        <f t="shared" si="3"/>
        <v>3.487972744632039E-2</v>
      </c>
      <c r="K14" s="676">
        <f t="shared" si="3"/>
        <v>4.0799188709795986E-2</v>
      </c>
      <c r="L14" s="766"/>
      <c r="M14" s="766"/>
      <c r="N14" s="766"/>
      <c r="O14" s="766"/>
      <c r="P14" s="766"/>
    </row>
    <row r="15" spans="1:16">
      <c r="A15" s="743"/>
      <c r="B15" s="767"/>
      <c r="C15" s="767"/>
      <c r="D15" s="767"/>
      <c r="E15" s="767"/>
      <c r="F15" s="767"/>
      <c r="G15" s="767"/>
      <c r="H15" s="767"/>
      <c r="I15" s="767"/>
      <c r="J15" s="767"/>
      <c r="K15" s="767"/>
      <c r="L15" s="766"/>
      <c r="M15" s="766"/>
      <c r="N15" s="766"/>
      <c r="O15" s="766"/>
      <c r="P15" s="766"/>
    </row>
    <row r="16" spans="1:16">
      <c r="A16" s="742" t="s">
        <v>848</v>
      </c>
      <c r="B16" s="767">
        <f>-1.267-2.367</f>
        <v>-3.6339999999999999</v>
      </c>
      <c r="C16" s="767">
        <f>-1.371-2.371</f>
        <v>-3.742</v>
      </c>
      <c r="D16" s="767">
        <f>-1.253-2.389</f>
        <v>-3.6419999999999995</v>
      </c>
      <c r="E16" s="767">
        <f>-1.261-2.16</f>
        <v>-3.4210000000000003</v>
      </c>
      <c r="F16" s="767">
        <f>-1.265-1.728</f>
        <v>-2.9929999999999999</v>
      </c>
      <c r="G16" s="767">
        <f>-1.255-1.918</f>
        <v>-3.173</v>
      </c>
      <c r="H16" s="767">
        <f>-1.45-2.06</f>
        <v>-3.51</v>
      </c>
      <c r="I16" s="767">
        <f>-1.111-2.129</f>
        <v>-3.24</v>
      </c>
      <c r="J16" s="767">
        <f>-1.343-1.517</f>
        <v>-2.86</v>
      </c>
      <c r="K16" s="767">
        <f>-1.362-2.039</f>
        <v>-3.4010000000000002</v>
      </c>
      <c r="L16" s="766"/>
      <c r="M16" s="766"/>
      <c r="N16" s="766"/>
      <c r="O16" s="766"/>
      <c r="P16" s="766"/>
    </row>
    <row r="17" spans="1:16">
      <c r="A17" s="743" t="s">
        <v>844</v>
      </c>
      <c r="B17" s="767">
        <v>-0.32100000000000001</v>
      </c>
      <c r="C17" s="767">
        <v>-0.374</v>
      </c>
      <c r="D17" s="767">
        <v>-0.374</v>
      </c>
      <c r="E17" s="767">
        <v>0.20799999999999999</v>
      </c>
      <c r="F17" s="767">
        <v>-0.05</v>
      </c>
      <c r="G17" s="767">
        <v>-0.05</v>
      </c>
      <c r="H17" s="767">
        <v>-0.05</v>
      </c>
      <c r="I17" s="767">
        <v>-0.42399999999999999</v>
      </c>
      <c r="J17" s="767">
        <v>-1.1759999999999999</v>
      </c>
      <c r="K17" s="767">
        <v>-0.93</v>
      </c>
      <c r="L17" s="766"/>
      <c r="M17" s="766"/>
      <c r="N17" s="766"/>
      <c r="O17" s="766"/>
      <c r="P17" s="766"/>
    </row>
    <row r="18" spans="1:16">
      <c r="A18" s="744" t="s">
        <v>22</v>
      </c>
      <c r="B18" s="767">
        <f t="shared" ref="B18:K18" si="4">B11+B12+B13+B16</f>
        <v>-87.488</v>
      </c>
      <c r="C18" s="767">
        <f t="shared" si="4"/>
        <v>-93.680999999999997</v>
      </c>
      <c r="D18" s="767">
        <f t="shared" si="4"/>
        <v>-68.448999999999998</v>
      </c>
      <c r="E18" s="767">
        <f t="shared" si="4"/>
        <v>-86.686000000000007</v>
      </c>
      <c r="F18" s="767">
        <f t="shared" si="4"/>
        <v>-62.317</v>
      </c>
      <c r="G18" s="767">
        <f t="shared" si="4"/>
        <v>-62.209000000000003</v>
      </c>
      <c r="H18" s="767">
        <f t="shared" si="4"/>
        <v>-64.177999999999997</v>
      </c>
      <c r="I18" s="767">
        <f t="shared" si="4"/>
        <v>-73.612999999999985</v>
      </c>
      <c r="J18" s="767">
        <f t="shared" si="4"/>
        <v>-72.683000000000007</v>
      </c>
      <c r="K18" s="767">
        <f t="shared" si="4"/>
        <v>-82.951999999999998</v>
      </c>
      <c r="L18" s="766"/>
      <c r="M18" s="766"/>
      <c r="N18" s="766"/>
      <c r="O18" s="766"/>
      <c r="P18" s="766"/>
    </row>
    <row r="19" spans="1:16">
      <c r="A19" s="742" t="s">
        <v>65</v>
      </c>
      <c r="B19" s="767">
        <f>B18-B17</f>
        <v>-87.167000000000002</v>
      </c>
      <c r="C19" s="767">
        <f t="shared" ref="C19:K19" si="5">C18-C17</f>
        <v>-93.307000000000002</v>
      </c>
      <c r="D19" s="767">
        <f t="shared" si="5"/>
        <v>-68.075000000000003</v>
      </c>
      <c r="E19" s="767">
        <f t="shared" si="5"/>
        <v>-86.894000000000005</v>
      </c>
      <c r="F19" s="767">
        <f t="shared" si="5"/>
        <v>-62.267000000000003</v>
      </c>
      <c r="G19" s="767">
        <f t="shared" si="5"/>
        <v>-62.159000000000006</v>
      </c>
      <c r="H19" s="767">
        <f t="shared" si="5"/>
        <v>-64.128</v>
      </c>
      <c r="I19" s="767">
        <f t="shared" si="5"/>
        <v>-73.188999999999979</v>
      </c>
      <c r="J19" s="767">
        <f t="shared" si="5"/>
        <v>-71.507000000000005</v>
      </c>
      <c r="K19" s="767">
        <f t="shared" si="5"/>
        <v>-82.021999999999991</v>
      </c>
      <c r="L19" s="767"/>
      <c r="M19" s="767"/>
      <c r="N19" s="766"/>
      <c r="O19" s="766"/>
      <c r="P19" s="766"/>
    </row>
    <row r="20" spans="1:16">
      <c r="A20" s="745"/>
      <c r="B20" s="767"/>
      <c r="C20" s="767"/>
      <c r="D20" s="767"/>
      <c r="E20" s="767"/>
      <c r="F20" s="767"/>
      <c r="G20" s="767"/>
      <c r="H20" s="767"/>
      <c r="I20" s="767"/>
      <c r="J20" s="767"/>
      <c r="K20" s="767"/>
      <c r="L20" s="766"/>
      <c r="M20" s="766"/>
      <c r="N20" s="766"/>
      <c r="O20" s="766"/>
      <c r="P20" s="766"/>
    </row>
    <row r="21" spans="1:16">
      <c r="A21" s="746" t="s">
        <v>959</v>
      </c>
      <c r="B21" s="767">
        <v>-16.324999999999999</v>
      </c>
      <c r="C21" s="767">
        <v>-15.04</v>
      </c>
      <c r="D21" s="767">
        <v>8.8789999999999996</v>
      </c>
      <c r="E21" s="767">
        <v>-31.881</v>
      </c>
      <c r="F21" s="767">
        <v>2.2970000000000002</v>
      </c>
      <c r="G21" s="767">
        <v>6.0090000000000003</v>
      </c>
      <c r="H21" s="767">
        <v>19.27</v>
      </c>
      <c r="I21" s="767">
        <v>7.51</v>
      </c>
      <c r="J21" s="767">
        <v>24.036000000000001</v>
      </c>
      <c r="K21" s="767">
        <v>8.8239999999999998</v>
      </c>
      <c r="L21" s="766"/>
      <c r="M21" s="766"/>
      <c r="N21" s="766"/>
      <c r="O21" s="766"/>
      <c r="P21" s="766"/>
    </row>
    <row r="22" spans="1:16" ht="13">
      <c r="A22" s="747" t="s">
        <v>958</v>
      </c>
      <c r="B22" s="676">
        <f t="shared" ref="B22:G22" si="6">B21/B5</f>
        <v>-0.16868677475019891</v>
      </c>
      <c r="C22" s="676">
        <f t="shared" si="6"/>
        <v>-0.14671882468856393</v>
      </c>
      <c r="D22" s="676">
        <f t="shared" si="6"/>
        <v>8.1934537266880131E-2</v>
      </c>
      <c r="E22" s="676">
        <f t="shared" si="6"/>
        <v>-0.27951568500236718</v>
      </c>
      <c r="F22" s="676">
        <f t="shared" si="6"/>
        <v>2.4149713504704833E-2</v>
      </c>
      <c r="G22" s="676">
        <f t="shared" si="6"/>
        <v>6.0821684868973762E-2</v>
      </c>
      <c r="H22" s="676">
        <f>H21/H5</f>
        <v>0.18164165598371165</v>
      </c>
      <c r="I22" s="676">
        <f>I21/I5</f>
        <v>6.7559057951458223E-2</v>
      </c>
      <c r="J22" s="676">
        <f>J21/J5</f>
        <v>0.19228953831630655</v>
      </c>
      <c r="K22" s="676">
        <f>K21/K5</f>
        <v>7.1471383907599093E-2</v>
      </c>
      <c r="L22" s="766"/>
      <c r="M22" s="766"/>
      <c r="N22" s="766"/>
      <c r="O22" s="766"/>
      <c r="P22" s="766"/>
    </row>
    <row r="23" spans="1:16">
      <c r="A23" s="747"/>
      <c r="B23" s="767"/>
      <c r="C23" s="767"/>
      <c r="D23" s="767"/>
      <c r="E23" s="767"/>
      <c r="F23" s="767"/>
      <c r="G23" s="767"/>
      <c r="H23" s="767"/>
      <c r="I23" s="767"/>
      <c r="J23" s="767"/>
      <c r="K23" s="767"/>
      <c r="L23" s="766"/>
      <c r="M23" s="766"/>
      <c r="N23" s="766"/>
      <c r="O23" s="766"/>
      <c r="P23" s="766"/>
    </row>
    <row r="24" spans="1:16">
      <c r="A24" s="742" t="s">
        <v>77</v>
      </c>
      <c r="B24" s="767">
        <v>-26.221</v>
      </c>
      <c r="C24" s="767">
        <v>-15.954000000000001</v>
      </c>
      <c r="D24" s="767">
        <v>-1.6519999999999999</v>
      </c>
      <c r="E24" s="767">
        <v>-41.448999999999998</v>
      </c>
      <c r="F24" s="767">
        <v>-0.73499999999999999</v>
      </c>
      <c r="G24" s="767">
        <v>0.17899999999999999</v>
      </c>
      <c r="H24" s="767">
        <v>14.353</v>
      </c>
      <c r="I24" s="767">
        <v>4</v>
      </c>
      <c r="J24" s="767">
        <v>15.394</v>
      </c>
      <c r="K24" s="767">
        <v>3.407</v>
      </c>
      <c r="L24" s="767"/>
      <c r="M24" s="767"/>
      <c r="N24" s="767"/>
      <c r="O24" s="767"/>
      <c r="P24" s="767"/>
    </row>
    <row r="25" spans="1:16" ht="13">
      <c r="A25" s="749" t="s">
        <v>912</v>
      </c>
      <c r="B25" s="676">
        <f t="shared" ref="B25:K25" si="7">B24/B5</f>
        <v>-0.27094247600152926</v>
      </c>
      <c r="C25" s="676">
        <f t="shared" si="7"/>
        <v>-0.15563511496551524</v>
      </c>
      <c r="D25" s="676">
        <f t="shared" si="7"/>
        <v>-1.5244493249790063E-2</v>
      </c>
      <c r="E25" s="676">
        <f t="shared" si="7"/>
        <v>-0.363402830139052</v>
      </c>
      <c r="F25" s="676">
        <f t="shared" si="7"/>
        <v>-7.7274877779530049E-3</v>
      </c>
      <c r="G25" s="676">
        <f t="shared" si="7"/>
        <v>1.8117959047339494E-3</v>
      </c>
      <c r="H25" s="676">
        <f t="shared" si="7"/>
        <v>0.13529334137697008</v>
      </c>
      <c r="I25" s="676">
        <f t="shared" si="7"/>
        <v>3.5983519548046995E-2</v>
      </c>
      <c r="J25" s="676">
        <f t="shared" si="7"/>
        <v>0.12315298522388179</v>
      </c>
      <c r="K25" s="676">
        <f t="shared" si="7"/>
        <v>2.7595535468403234E-2</v>
      </c>
      <c r="L25" s="767"/>
      <c r="M25" s="767"/>
      <c r="N25" s="767"/>
      <c r="O25" s="767"/>
      <c r="P25" s="767"/>
    </row>
    <row r="26" spans="1:16">
      <c r="A26" s="745"/>
      <c r="B26" s="767"/>
      <c r="C26" s="767"/>
      <c r="D26" s="767"/>
      <c r="E26" s="767"/>
      <c r="F26" s="767"/>
      <c r="G26" s="767"/>
      <c r="H26" s="767"/>
      <c r="I26" s="767"/>
      <c r="J26" s="767"/>
      <c r="K26" s="767"/>
      <c r="L26" s="767"/>
      <c r="M26" s="767"/>
      <c r="N26" s="767"/>
      <c r="O26" s="767"/>
      <c r="P26" s="767"/>
    </row>
    <row r="27" spans="1:16" ht="13">
      <c r="A27" s="751" t="s">
        <v>847</v>
      </c>
      <c r="B27" s="767">
        <v>-12.265000000000001</v>
      </c>
      <c r="C27" s="767">
        <v>-10.999000000000001</v>
      </c>
      <c r="D27" s="767">
        <v>12.637</v>
      </c>
      <c r="E27" s="767">
        <v>28.44</v>
      </c>
      <c r="F27" s="767">
        <v>5.34</v>
      </c>
      <c r="G27" s="767">
        <v>9.2319999999999993</v>
      </c>
      <c r="H27" s="767">
        <v>22.831</v>
      </c>
      <c r="I27" s="767">
        <v>11.173</v>
      </c>
      <c r="J27" s="767">
        <v>28.157</v>
      </c>
      <c r="K27" s="767">
        <v>13.07</v>
      </c>
      <c r="L27" s="766"/>
      <c r="M27" s="766"/>
      <c r="N27" s="766"/>
      <c r="O27" s="766"/>
      <c r="P27" s="766"/>
    </row>
    <row r="28" spans="1:16" ht="13">
      <c r="A28" s="749" t="s">
        <v>846</v>
      </c>
      <c r="B28" s="766"/>
      <c r="C28" s="766"/>
      <c r="D28" s="766"/>
      <c r="E28" s="766"/>
      <c r="F28" s="766"/>
      <c r="G28" s="766"/>
      <c r="H28" s="766"/>
      <c r="I28" s="766"/>
      <c r="J28" s="766"/>
      <c r="K28" s="766"/>
      <c r="L28" s="766"/>
      <c r="M28" s="766"/>
      <c r="N28" s="766"/>
      <c r="O28" s="766"/>
      <c r="P28" s="766"/>
    </row>
    <row r="29" spans="1:16" ht="13">
      <c r="A29" s="749"/>
      <c r="B29" s="766"/>
      <c r="C29" s="766"/>
      <c r="D29" s="766"/>
      <c r="E29" s="766"/>
      <c r="F29" s="766"/>
      <c r="G29" s="766"/>
      <c r="H29" s="766"/>
      <c r="I29" s="766"/>
      <c r="J29" s="766"/>
      <c r="K29" s="766"/>
      <c r="L29" s="766"/>
      <c r="M29" s="766"/>
      <c r="N29" s="766"/>
      <c r="O29" s="766"/>
      <c r="P29" s="766"/>
    </row>
    <row r="30" spans="1:16" ht="13">
      <c r="A30" s="754" t="s">
        <v>98</v>
      </c>
      <c r="B30" s="766"/>
      <c r="C30" s="766"/>
      <c r="D30" s="766"/>
      <c r="E30" s="766"/>
      <c r="F30" s="766"/>
      <c r="G30" s="766"/>
      <c r="H30" s="766"/>
      <c r="I30" s="766"/>
      <c r="J30" s="766"/>
      <c r="K30" s="766"/>
      <c r="L30" s="766"/>
      <c r="M30" s="766"/>
      <c r="N30" s="766"/>
      <c r="O30" s="766"/>
      <c r="P30" s="766"/>
    </row>
    <row r="31" spans="1:16">
      <c r="A31" s="748" t="s">
        <v>52</v>
      </c>
      <c r="B31" s="778" t="s">
        <v>913</v>
      </c>
      <c r="C31" s="778" t="s">
        <v>913</v>
      </c>
      <c r="D31" s="778" t="s">
        <v>913</v>
      </c>
      <c r="E31" s="778" t="s">
        <v>914</v>
      </c>
      <c r="F31" s="676">
        <f t="shared" ref="F31:K31" si="8">(F5-B5)/B5</f>
        <v>-1.7173501968442979E-2</v>
      </c>
      <c r="G31" s="676">
        <f t="shared" si="8"/>
        <v>-3.6211454603986025E-2</v>
      </c>
      <c r="H31" s="676">
        <f t="shared" si="8"/>
        <v>-2.1030387479583364E-2</v>
      </c>
      <c r="I31" s="676">
        <f t="shared" si="8"/>
        <v>-2.5390590752073512E-2</v>
      </c>
      <c r="J31" s="676">
        <f t="shared" si="8"/>
        <v>0.31418808810387427</v>
      </c>
      <c r="K31" s="676">
        <f t="shared" si="8"/>
        <v>0.2496533295545412</v>
      </c>
      <c r="L31" s="676"/>
      <c r="M31" s="676"/>
      <c r="N31" s="676"/>
      <c r="O31" s="766"/>
      <c r="P31" s="766"/>
    </row>
    <row r="32" spans="1:16">
      <c r="A32" s="755" t="s">
        <v>902</v>
      </c>
      <c r="B32" s="778" t="s">
        <v>913</v>
      </c>
      <c r="C32" s="778" t="s">
        <v>913</v>
      </c>
      <c r="D32" s="778" t="s">
        <v>913</v>
      </c>
      <c r="E32" s="778" t="s">
        <v>914</v>
      </c>
      <c r="F32" s="676">
        <f t="shared" ref="F32:K32" si="9">(F6-B6)/B6</f>
        <v>0.14517231947483583</v>
      </c>
      <c r="G32" s="676">
        <f t="shared" si="9"/>
        <v>0.22245563201738511</v>
      </c>
      <c r="H32" s="676">
        <f t="shared" si="9"/>
        <v>-0.24598483319396786</v>
      </c>
      <c r="I32" s="676">
        <f t="shared" si="9"/>
        <v>-0.46901426428822152</v>
      </c>
      <c r="J32" s="676">
        <f t="shared" si="9"/>
        <v>-7.0281244401982426E-2</v>
      </c>
      <c r="K32" s="676">
        <f t="shared" si="9"/>
        <v>3.9553211661531189E-2</v>
      </c>
      <c r="L32" s="676"/>
      <c r="M32" s="676"/>
      <c r="N32" s="676"/>
      <c r="O32" s="766"/>
      <c r="P32" s="766"/>
    </row>
    <row r="33" spans="1:16">
      <c r="A33" s="748" t="s">
        <v>27</v>
      </c>
      <c r="B33" s="778" t="s">
        <v>913</v>
      </c>
      <c r="C33" s="778" t="s">
        <v>913</v>
      </c>
      <c r="D33" s="778" t="s">
        <v>913</v>
      </c>
      <c r="E33" s="778" t="s">
        <v>914</v>
      </c>
      <c r="F33" s="676"/>
      <c r="G33" s="676"/>
      <c r="H33" s="676"/>
      <c r="I33" s="676"/>
      <c r="J33" s="676"/>
      <c r="K33" s="676"/>
      <c r="L33" s="676"/>
      <c r="M33" s="676"/>
      <c r="N33" s="676"/>
      <c r="O33" s="766"/>
      <c r="P33" s="766"/>
    </row>
    <row r="34" spans="1:16">
      <c r="A34" s="743" t="s">
        <v>893</v>
      </c>
      <c r="B34" s="778" t="s">
        <v>913</v>
      </c>
      <c r="C34" s="778" t="s">
        <v>913</v>
      </c>
      <c r="D34" s="778" t="s">
        <v>913</v>
      </c>
      <c r="E34" s="778" t="s">
        <v>914</v>
      </c>
      <c r="F34" s="676">
        <f t="shared" ref="F34:K34" si="10">(F11-B11)/B11</f>
        <v>-0.22544119147199843</v>
      </c>
      <c r="G34" s="676">
        <f t="shared" si="10"/>
        <v>-0.17838855864869629</v>
      </c>
      <c r="H34" s="676">
        <f t="shared" si="10"/>
        <v>1.6167664670658763E-2</v>
      </c>
      <c r="I34" s="676">
        <f t="shared" si="10"/>
        <v>-0.22190334467120187</v>
      </c>
      <c r="J34" s="676">
        <f t="shared" si="10"/>
        <v>0.24252601079942052</v>
      </c>
      <c r="K34" s="676">
        <f t="shared" si="10"/>
        <v>0.33366762177650411</v>
      </c>
      <c r="L34" s="676"/>
      <c r="M34" s="676"/>
      <c r="N34" s="676"/>
      <c r="O34" s="766"/>
      <c r="P34" s="766"/>
    </row>
    <row r="35" spans="1:16">
      <c r="A35" s="743" t="s">
        <v>894</v>
      </c>
      <c r="B35" s="778" t="s">
        <v>913</v>
      </c>
      <c r="C35" s="778" t="s">
        <v>913</v>
      </c>
      <c r="D35" s="778" t="s">
        <v>913</v>
      </c>
      <c r="E35" s="778" t="s">
        <v>914</v>
      </c>
      <c r="F35" s="676">
        <f t="shared" ref="F35:K35" si="11">(F12-B12)/B12</f>
        <v>-0.18400629260618775</v>
      </c>
      <c r="G35" s="676">
        <f t="shared" si="11"/>
        <v>-0.20503615058588881</v>
      </c>
      <c r="H35" s="676">
        <f t="shared" si="11"/>
        <v>2.9878128685624394E-2</v>
      </c>
      <c r="I35" s="676">
        <f t="shared" si="11"/>
        <v>-0.16283684980154578</v>
      </c>
      <c r="J35" s="676">
        <f t="shared" si="11"/>
        <v>-9.8322729901677564E-3</v>
      </c>
      <c r="K35" s="676">
        <f t="shared" si="11"/>
        <v>0.10669259236028343</v>
      </c>
      <c r="L35" s="676"/>
      <c r="M35" s="676"/>
      <c r="N35" s="676"/>
      <c r="O35" s="766"/>
      <c r="P35" s="766"/>
    </row>
    <row r="36" spans="1:16">
      <c r="A36" s="743" t="s">
        <v>895</v>
      </c>
      <c r="B36" s="778" t="s">
        <v>913</v>
      </c>
      <c r="C36" s="778" t="s">
        <v>913</v>
      </c>
      <c r="D36" s="778" t="s">
        <v>913</v>
      </c>
      <c r="E36" s="778" t="s">
        <v>914</v>
      </c>
      <c r="F36" s="676">
        <f t="shared" ref="F36:K36" si="12">(F13-B13)/B13</f>
        <v>-0.36745761211208988</v>
      </c>
      <c r="G36" s="676">
        <f t="shared" si="12"/>
        <v>-0.44920877998979075</v>
      </c>
      <c r="H36" s="676">
        <f t="shared" si="12"/>
        <v>-0.13295564460411782</v>
      </c>
      <c r="I36" s="676">
        <f t="shared" si="12"/>
        <v>-9.781851614520945E-2</v>
      </c>
      <c r="J36" s="676">
        <f t="shared" si="12"/>
        <v>0.24386744584805953</v>
      </c>
      <c r="K36" s="676">
        <f t="shared" si="12"/>
        <v>0.48590944976487155</v>
      </c>
      <c r="L36" s="676"/>
      <c r="M36" s="676"/>
      <c r="N36" s="676"/>
      <c r="O36" s="766"/>
      <c r="P36" s="766"/>
    </row>
    <row r="37" spans="1:16">
      <c r="A37" s="742" t="s">
        <v>848</v>
      </c>
      <c r="B37" s="778" t="s">
        <v>913</v>
      </c>
      <c r="C37" s="778" t="s">
        <v>913</v>
      </c>
      <c r="D37" s="778" t="s">
        <v>913</v>
      </c>
      <c r="E37" s="778" t="s">
        <v>914</v>
      </c>
      <c r="F37" s="676">
        <f t="shared" ref="F37:K38" si="13">(F16-B16)/B16</f>
        <v>-0.17638965327462852</v>
      </c>
      <c r="G37" s="676">
        <f t="shared" si="13"/>
        <v>-0.15205772314270441</v>
      </c>
      <c r="H37" s="676">
        <f t="shared" si="13"/>
        <v>-3.6243822075782452E-2</v>
      </c>
      <c r="I37" s="676">
        <f t="shared" si="13"/>
        <v>-5.2908506284712081E-2</v>
      </c>
      <c r="J37" s="676">
        <f t="shared" si="13"/>
        <v>-4.4437019712662881E-2</v>
      </c>
      <c r="K37" s="676">
        <f t="shared" si="13"/>
        <v>7.1856287425149767E-2</v>
      </c>
      <c r="L37" s="676"/>
      <c r="M37" s="676"/>
      <c r="N37" s="676"/>
      <c r="O37" s="766"/>
      <c r="P37" s="766"/>
    </row>
    <row r="38" spans="1:16">
      <c r="A38" s="743" t="s">
        <v>900</v>
      </c>
      <c r="B38" s="778" t="s">
        <v>913</v>
      </c>
      <c r="C38" s="778" t="s">
        <v>913</v>
      </c>
      <c r="D38" s="778" t="s">
        <v>913</v>
      </c>
      <c r="E38" s="778" t="s">
        <v>914</v>
      </c>
      <c r="F38" s="676">
        <f t="shared" si="13"/>
        <v>-0.84423676012461069</v>
      </c>
      <c r="G38" s="676">
        <f t="shared" si="13"/>
        <v>-0.86631016042780751</v>
      </c>
      <c r="H38" s="676">
        <f t="shared" si="13"/>
        <v>-0.86631016042780751</v>
      </c>
      <c r="I38" s="676">
        <f t="shared" si="13"/>
        <v>-3.0384615384615388</v>
      </c>
      <c r="J38" s="676">
        <f t="shared" si="13"/>
        <v>22.519999999999996</v>
      </c>
      <c r="K38" s="676">
        <f t="shared" si="13"/>
        <v>17.599999999999998</v>
      </c>
      <c r="L38" s="676"/>
      <c r="M38" s="676"/>
      <c r="N38" s="676"/>
      <c r="O38" s="766"/>
      <c r="P38" s="766"/>
    </row>
    <row r="39" spans="1:16">
      <c r="A39" s="748" t="s">
        <v>845</v>
      </c>
      <c r="B39" s="778" t="s">
        <v>913</v>
      </c>
      <c r="C39" s="778" t="s">
        <v>913</v>
      </c>
      <c r="D39" s="778" t="s">
        <v>913</v>
      </c>
      <c r="E39" s="778" t="s">
        <v>914</v>
      </c>
      <c r="F39" s="676">
        <f t="shared" ref="F39:K39" si="14">(F21-B21)/B21</f>
        <v>-1.1407044410413476</v>
      </c>
      <c r="G39" s="676">
        <f t="shared" si="14"/>
        <v>-1.3995345744680852</v>
      </c>
      <c r="H39" s="676">
        <f t="shared" si="14"/>
        <v>1.1702894470097984</v>
      </c>
      <c r="I39" s="676">
        <f t="shared" si="14"/>
        <v>-1.2355635017722153</v>
      </c>
      <c r="J39" s="676">
        <f t="shared" si="14"/>
        <v>9.4640835872877656</v>
      </c>
      <c r="K39" s="676">
        <f t="shared" si="14"/>
        <v>0.46846397071060064</v>
      </c>
      <c r="L39" s="676"/>
      <c r="M39" s="676"/>
      <c r="N39" s="676"/>
      <c r="O39" s="766"/>
      <c r="P39" s="766"/>
    </row>
    <row r="40" spans="1:16">
      <c r="A40" s="748" t="s">
        <v>849</v>
      </c>
      <c r="B40" s="778" t="s">
        <v>913</v>
      </c>
      <c r="C40" s="778" t="s">
        <v>913</v>
      </c>
      <c r="D40" s="778" t="s">
        <v>913</v>
      </c>
      <c r="E40" s="778" t="s">
        <v>914</v>
      </c>
      <c r="F40" s="676">
        <f t="shared" ref="F40:K40" si="15">(F24-B24)/B24</f>
        <v>-0.97196903245490263</v>
      </c>
      <c r="G40" s="676">
        <f t="shared" si="15"/>
        <v>-1.0112197568008021</v>
      </c>
      <c r="H40" s="676">
        <f t="shared" si="15"/>
        <v>-9.6882566585956411</v>
      </c>
      <c r="I40" s="676">
        <f t="shared" si="15"/>
        <v>-1.0965041376149003</v>
      </c>
      <c r="J40" s="676">
        <f t="shared" si="15"/>
        <v>-21.944217687074833</v>
      </c>
      <c r="K40" s="676">
        <f t="shared" si="15"/>
        <v>18.033519553072626</v>
      </c>
      <c r="L40" s="676"/>
      <c r="M40" s="676"/>
      <c r="N40" s="676"/>
      <c r="O40" s="766"/>
      <c r="P40" s="766"/>
    </row>
    <row r="41" spans="1:16">
      <c r="A41" s="756"/>
      <c r="B41" s="766"/>
      <c r="C41" s="766"/>
      <c r="D41" s="766"/>
      <c r="E41" s="766"/>
      <c r="F41" s="766"/>
      <c r="G41" s="766"/>
      <c r="H41" s="766"/>
      <c r="I41" s="766"/>
      <c r="J41" s="766"/>
      <c r="K41" s="766"/>
      <c r="L41" s="766"/>
      <c r="M41" s="766"/>
      <c r="N41" s="766"/>
      <c r="O41" s="766"/>
      <c r="P41" s="766"/>
    </row>
    <row r="42" spans="1:16">
      <c r="A42" s="756"/>
      <c r="B42" s="766"/>
      <c r="C42" s="766"/>
      <c r="D42" s="766"/>
      <c r="E42" s="766"/>
      <c r="F42" s="766"/>
      <c r="G42" s="766"/>
      <c r="H42" s="766"/>
      <c r="I42" s="766"/>
      <c r="J42" s="766"/>
      <c r="K42" s="766"/>
      <c r="L42" s="766"/>
      <c r="M42" s="766"/>
      <c r="N42" s="766"/>
      <c r="O42" s="766"/>
      <c r="P42" s="766"/>
    </row>
    <row r="43" spans="1:16">
      <c r="B43" s="766"/>
      <c r="C43" s="766"/>
      <c r="D43" s="766"/>
      <c r="E43" s="766"/>
      <c r="F43" s="766"/>
      <c r="G43" s="766"/>
      <c r="H43" s="766"/>
      <c r="I43" s="766"/>
      <c r="J43" s="766"/>
      <c r="K43" s="766"/>
      <c r="L43" s="766"/>
      <c r="M43" s="766"/>
      <c r="N43" s="766"/>
      <c r="O43" s="766"/>
      <c r="P43" s="766"/>
    </row>
    <row r="44" spans="1:16">
      <c r="B44" s="766"/>
      <c r="C44" s="766"/>
      <c r="D44" s="766"/>
      <c r="E44" s="766"/>
      <c r="F44" s="766"/>
      <c r="G44" s="766"/>
      <c r="H44" s="766"/>
      <c r="I44" s="766"/>
      <c r="J44" s="766"/>
      <c r="K44" s="766"/>
      <c r="L44" s="766"/>
      <c r="M44" s="766"/>
      <c r="N44" s="766"/>
      <c r="O44" s="766"/>
      <c r="P44" s="766"/>
    </row>
    <row r="45" spans="1:16">
      <c r="B45" s="766"/>
      <c r="C45" s="766"/>
      <c r="D45" s="766"/>
      <c r="E45" s="766"/>
      <c r="F45" s="766"/>
      <c r="G45" s="766"/>
      <c r="H45" s="766"/>
      <c r="I45" s="766"/>
      <c r="J45" s="766"/>
      <c r="K45" s="766"/>
      <c r="L45" s="766"/>
      <c r="M45" s="766"/>
      <c r="N45" s="766"/>
      <c r="O45" s="766"/>
      <c r="P45" s="766"/>
    </row>
    <row r="46" spans="1:16">
      <c r="B46" s="766"/>
      <c r="C46" s="766"/>
      <c r="D46" s="766"/>
      <c r="E46" s="766"/>
      <c r="F46" s="766"/>
      <c r="G46" s="766"/>
      <c r="H46" s="766"/>
      <c r="I46" s="766"/>
      <c r="J46" s="766"/>
      <c r="K46" s="766"/>
      <c r="L46" s="766"/>
      <c r="M46" s="766"/>
      <c r="N46" s="766"/>
      <c r="O46" s="766"/>
      <c r="P46" s="766"/>
    </row>
    <row r="47" spans="1:16">
      <c r="B47" s="766"/>
      <c r="C47" s="766"/>
      <c r="D47" s="766"/>
      <c r="E47" s="766"/>
      <c r="F47" s="766"/>
      <c r="G47" s="766"/>
      <c r="H47" s="766"/>
      <c r="I47" s="766"/>
      <c r="J47" s="766"/>
      <c r="K47" s="766"/>
      <c r="L47" s="766"/>
      <c r="M47" s="766"/>
      <c r="N47" s="766"/>
      <c r="O47" s="766"/>
      <c r="P47" s="766"/>
    </row>
    <row r="48" spans="1:16">
      <c r="B48" s="766"/>
      <c r="C48" s="766"/>
      <c r="D48" s="766"/>
      <c r="E48" s="766"/>
      <c r="F48" s="766"/>
      <c r="G48" s="766"/>
      <c r="H48" s="766"/>
      <c r="I48" s="766"/>
      <c r="J48" s="766"/>
      <c r="K48" s="766"/>
      <c r="L48" s="766"/>
      <c r="M48" s="766"/>
      <c r="N48" s="766"/>
      <c r="O48" s="766"/>
      <c r="P48" s="766"/>
    </row>
    <row r="49" spans="2:16">
      <c r="B49" s="766"/>
      <c r="C49" s="766"/>
      <c r="D49" s="766"/>
      <c r="E49" s="766"/>
      <c r="F49" s="766"/>
      <c r="G49" s="766"/>
      <c r="H49" s="766"/>
      <c r="I49" s="766"/>
      <c r="J49" s="766"/>
      <c r="K49" s="766"/>
      <c r="L49" s="766"/>
      <c r="M49" s="766"/>
      <c r="N49" s="766"/>
      <c r="O49" s="766"/>
      <c r="P49" s="766"/>
    </row>
  </sheetData>
  <phoneticPr fontId="11" type="noConversion"/>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136"/>
  <sheetViews>
    <sheetView workbookViewId="0"/>
  </sheetViews>
  <sheetFormatPr defaultColWidth="9" defaultRowHeight="12.5"/>
  <cols>
    <col min="1" max="1" width="47.08203125" style="640" customWidth="1"/>
    <col min="2" max="9" width="12.58203125" style="640" customWidth="1"/>
    <col min="10" max="16384" width="9" style="640"/>
  </cols>
  <sheetData>
    <row r="1" spans="1:9" ht="13">
      <c r="A1" s="773" t="s">
        <v>966</v>
      </c>
      <c r="B1" s="3535" t="s">
        <v>962</v>
      </c>
      <c r="C1" s="3535"/>
      <c r="D1" s="3535" t="s">
        <v>963</v>
      </c>
      <c r="E1" s="3535"/>
      <c r="F1" s="799"/>
    </row>
    <row r="2" spans="1:9" ht="13">
      <c r="B2" s="772">
        <v>2015</v>
      </c>
      <c r="C2" s="772">
        <v>2016</v>
      </c>
      <c r="D2" s="800">
        <v>42522</v>
      </c>
      <c r="E2" s="800">
        <v>42887</v>
      </c>
      <c r="F2" s="797" t="s">
        <v>964</v>
      </c>
      <c r="G2" s="797" t="s">
        <v>950</v>
      </c>
      <c r="H2" s="797" t="s">
        <v>951</v>
      </c>
      <c r="I2" s="772" t="s">
        <v>952</v>
      </c>
    </row>
    <row r="3" spans="1:9" ht="13">
      <c r="A3" s="779"/>
      <c r="B3" s="780"/>
      <c r="C3" s="780"/>
      <c r="D3" s="780"/>
      <c r="E3" s="781"/>
      <c r="F3" s="781"/>
      <c r="G3" s="781"/>
      <c r="H3" s="781"/>
    </row>
    <row r="4" spans="1:9" ht="13">
      <c r="A4" s="782" t="s">
        <v>947</v>
      </c>
      <c r="B4" s="784"/>
      <c r="C4" s="784"/>
      <c r="D4" s="784"/>
      <c r="E4" s="785"/>
      <c r="F4" s="785"/>
      <c r="G4" s="785"/>
      <c r="H4" s="785"/>
      <c r="I4" s="786"/>
    </row>
    <row r="5" spans="1:9">
      <c r="A5" s="783" t="s">
        <v>919</v>
      </c>
      <c r="B5" s="788"/>
      <c r="C5" s="789">
        <v>9750</v>
      </c>
      <c r="D5" s="789"/>
      <c r="E5" s="790"/>
      <c r="F5" s="790"/>
      <c r="G5" s="790"/>
      <c r="H5" s="790"/>
      <c r="I5" s="791">
        <v>13090</v>
      </c>
    </row>
    <row r="6" spans="1:9">
      <c r="A6" s="783" t="s">
        <v>921</v>
      </c>
      <c r="B6" s="788"/>
      <c r="C6" s="789">
        <v>2970</v>
      </c>
      <c r="D6" s="789"/>
      <c r="E6" s="790"/>
      <c r="F6" s="790"/>
      <c r="G6" s="790"/>
      <c r="H6" s="790"/>
      <c r="I6" s="792"/>
    </row>
    <row r="7" spans="1:9">
      <c r="A7" s="783" t="s">
        <v>923</v>
      </c>
      <c r="B7" s="788"/>
      <c r="C7" s="793">
        <v>0.31</v>
      </c>
      <c r="D7" s="793"/>
      <c r="E7" s="790"/>
      <c r="F7" s="790"/>
      <c r="G7" s="790"/>
      <c r="H7" s="790"/>
      <c r="I7" s="794">
        <v>0.36</v>
      </c>
    </row>
    <row r="8" spans="1:9">
      <c r="A8" s="783"/>
      <c r="B8" s="788"/>
      <c r="C8" s="788"/>
      <c r="D8" s="788"/>
      <c r="E8" s="790"/>
      <c r="F8" s="790"/>
      <c r="G8" s="790"/>
      <c r="H8" s="790"/>
      <c r="I8" s="792"/>
    </row>
    <row r="9" spans="1:9">
      <c r="A9" s="783" t="s">
        <v>967</v>
      </c>
      <c r="B9" s="787">
        <v>0.153</v>
      </c>
      <c r="C9" s="788"/>
      <c r="D9" s="788"/>
      <c r="E9" s="790"/>
      <c r="F9" s="790"/>
      <c r="G9" s="790"/>
      <c r="H9" s="790"/>
      <c r="I9" s="792"/>
    </row>
    <row r="10" spans="1:9">
      <c r="A10" s="783" t="s">
        <v>920</v>
      </c>
      <c r="B10" s="788"/>
      <c r="C10" s="793">
        <v>0.55000000000000004</v>
      </c>
      <c r="D10" s="793"/>
      <c r="E10" s="790"/>
      <c r="F10" s="790"/>
      <c r="G10" s="790"/>
      <c r="H10" s="790"/>
      <c r="I10" s="792"/>
    </row>
    <row r="11" spans="1:9">
      <c r="A11" s="783"/>
      <c r="B11" s="788"/>
      <c r="C11" s="788"/>
      <c r="D11" s="788"/>
      <c r="E11" s="790"/>
      <c r="F11" s="790"/>
      <c r="G11" s="790"/>
      <c r="H11" s="790"/>
      <c r="I11" s="792"/>
    </row>
    <row r="12" spans="1:9">
      <c r="A12" s="783" t="s">
        <v>922</v>
      </c>
      <c r="B12" s="788"/>
      <c r="C12" s="793">
        <v>0.11</v>
      </c>
      <c r="D12" s="793"/>
      <c r="E12" s="790"/>
      <c r="F12" s="790"/>
      <c r="G12" s="790"/>
      <c r="H12" s="790"/>
      <c r="I12" s="792"/>
    </row>
    <row r="13" spans="1:9">
      <c r="A13" s="783"/>
      <c r="B13" s="788"/>
      <c r="C13" s="793"/>
      <c r="D13" s="793"/>
      <c r="E13" s="793"/>
      <c r="F13" s="793"/>
      <c r="G13" s="793"/>
      <c r="H13" s="793"/>
      <c r="I13" s="792"/>
    </row>
    <row r="14" spans="1:9">
      <c r="A14" s="795" t="s">
        <v>948</v>
      </c>
      <c r="B14" s="788"/>
      <c r="C14" s="793"/>
      <c r="D14" s="793"/>
      <c r="E14" s="793"/>
      <c r="F14" s="793"/>
      <c r="G14" s="793"/>
      <c r="H14" s="793"/>
      <c r="I14" s="792"/>
    </row>
    <row r="15" spans="1:9">
      <c r="A15" s="783" t="s">
        <v>949</v>
      </c>
      <c r="B15" s="789">
        <v>6020</v>
      </c>
      <c r="C15" s="789">
        <v>6180</v>
      </c>
      <c r="D15" s="789"/>
      <c r="E15" s="789"/>
      <c r="F15" s="789">
        <v>6410</v>
      </c>
      <c r="G15" s="789">
        <v>6670</v>
      </c>
      <c r="H15" s="789">
        <v>6980</v>
      </c>
      <c r="I15" s="791">
        <v>7370</v>
      </c>
    </row>
    <row r="16" spans="1:9" ht="13">
      <c r="A16" s="796" t="s">
        <v>960</v>
      </c>
      <c r="B16" s="787">
        <v>-0.21</v>
      </c>
      <c r="C16" s="787">
        <v>0.03</v>
      </c>
      <c r="D16" s="787"/>
      <c r="E16" s="787"/>
      <c r="F16" s="787">
        <v>0.04</v>
      </c>
      <c r="G16" s="787">
        <v>0.04</v>
      </c>
      <c r="H16" s="787">
        <v>0.05</v>
      </c>
      <c r="I16" s="798">
        <v>0.05</v>
      </c>
    </row>
    <row r="17" spans="1:10">
      <c r="A17" s="783" t="s">
        <v>955</v>
      </c>
      <c r="B17" s="789">
        <v>1740</v>
      </c>
      <c r="C17" s="789">
        <v>1950</v>
      </c>
      <c r="D17" s="789"/>
      <c r="E17" s="789"/>
      <c r="F17" s="789">
        <v>2170</v>
      </c>
      <c r="G17" s="789">
        <v>2390</v>
      </c>
      <c r="H17" s="789">
        <v>2640</v>
      </c>
      <c r="I17" s="791">
        <v>2950</v>
      </c>
    </row>
    <row r="18" spans="1:10" ht="13">
      <c r="A18" s="796" t="s">
        <v>961</v>
      </c>
      <c r="B18" s="787">
        <v>-0.12</v>
      </c>
      <c r="C18" s="787">
        <v>0.12</v>
      </c>
      <c r="D18" s="787"/>
      <c r="E18" s="787"/>
      <c r="F18" s="787">
        <v>0.11</v>
      </c>
      <c r="G18" s="787">
        <v>0.1</v>
      </c>
      <c r="H18" s="787">
        <v>0.1</v>
      </c>
      <c r="I18" s="798">
        <v>0.12</v>
      </c>
    </row>
    <row r="19" spans="1:10">
      <c r="A19" s="783"/>
      <c r="B19" s="788"/>
      <c r="C19" s="793"/>
      <c r="D19" s="793"/>
      <c r="E19" s="793"/>
      <c r="F19" s="793"/>
      <c r="G19" s="793"/>
      <c r="H19" s="793"/>
      <c r="I19" s="792"/>
    </row>
    <row r="20" spans="1:10">
      <c r="A20" s="783" t="s">
        <v>956</v>
      </c>
      <c r="B20" s="787">
        <v>0.59</v>
      </c>
      <c r="C20" s="793"/>
      <c r="D20" s="793"/>
      <c r="E20" s="793"/>
      <c r="F20" s="793">
        <v>0.57999999999999996</v>
      </c>
      <c r="G20" s="793"/>
      <c r="H20" s="793"/>
      <c r="I20" s="798">
        <v>0.56999999999999995</v>
      </c>
    </row>
    <row r="21" spans="1:10">
      <c r="A21" s="783"/>
      <c r="B21" s="788"/>
      <c r="C21" s="793"/>
      <c r="D21" s="793"/>
      <c r="E21" s="793"/>
      <c r="F21" s="793"/>
      <c r="G21" s="793"/>
      <c r="H21" s="793"/>
      <c r="I21" s="792"/>
    </row>
    <row r="22" spans="1:10">
      <c r="A22" s="783" t="s">
        <v>953</v>
      </c>
      <c r="B22" s="788"/>
      <c r="C22" s="793"/>
      <c r="D22" s="793"/>
      <c r="E22" s="793"/>
      <c r="F22" s="793"/>
      <c r="G22" s="793"/>
      <c r="H22" s="793"/>
      <c r="I22" s="792"/>
    </row>
    <row r="23" spans="1:10">
      <c r="A23" s="783" t="s">
        <v>917</v>
      </c>
      <c r="B23" s="787">
        <v>0.09</v>
      </c>
      <c r="C23" s="787"/>
      <c r="D23" s="787"/>
      <c r="E23" s="787"/>
      <c r="F23" s="787"/>
      <c r="G23" s="787"/>
      <c r="H23" s="787"/>
      <c r="I23" s="787">
        <v>0.09</v>
      </c>
    </row>
    <row r="24" spans="1:10">
      <c r="A24" s="783" t="s">
        <v>916</v>
      </c>
      <c r="B24" s="787">
        <v>0.31</v>
      </c>
      <c r="C24" s="787"/>
      <c r="D24" s="787"/>
      <c r="E24" s="787"/>
      <c r="F24" s="787"/>
      <c r="G24" s="787"/>
      <c r="H24" s="787"/>
      <c r="I24" s="787">
        <v>0.28000000000000003</v>
      </c>
    </row>
    <row r="25" spans="1:10">
      <c r="A25" s="783" t="s">
        <v>954</v>
      </c>
      <c r="B25" s="787">
        <v>7.0000000000000007E-2</v>
      </c>
      <c r="C25" s="787"/>
      <c r="D25" s="787"/>
      <c r="E25" s="787"/>
      <c r="F25" s="787"/>
      <c r="G25" s="787"/>
      <c r="H25" s="787"/>
      <c r="I25" s="787">
        <v>7.0000000000000007E-2</v>
      </c>
    </row>
    <row r="26" spans="1:10">
      <c r="A26" s="783" t="s">
        <v>926</v>
      </c>
      <c r="B26" s="787">
        <v>0.13</v>
      </c>
      <c r="C26" s="787"/>
      <c r="D26" s="787"/>
      <c r="E26" s="787"/>
      <c r="F26" s="787"/>
      <c r="G26" s="787"/>
      <c r="H26" s="787"/>
      <c r="I26" s="787">
        <v>0.13</v>
      </c>
    </row>
    <row r="27" spans="1:10">
      <c r="A27" s="783" t="s">
        <v>927</v>
      </c>
      <c r="B27" s="787">
        <v>0.4</v>
      </c>
      <c r="C27" s="787"/>
      <c r="D27" s="787"/>
      <c r="E27" s="787"/>
      <c r="F27" s="787"/>
      <c r="G27" s="787"/>
      <c r="H27" s="787"/>
      <c r="I27" s="787">
        <v>0.43</v>
      </c>
    </row>
    <row r="28" spans="1:10">
      <c r="A28" s="783"/>
      <c r="B28" s="788"/>
      <c r="C28" s="793"/>
      <c r="D28" s="793"/>
      <c r="E28" s="793"/>
      <c r="F28" s="793"/>
      <c r="G28" s="793"/>
      <c r="H28" s="793"/>
      <c r="I28" s="792"/>
    </row>
    <row r="29" spans="1:10" ht="13">
      <c r="A29" s="738" t="s">
        <v>877</v>
      </c>
    </row>
    <row r="30" spans="1:10" ht="13">
      <c r="A30" s="739" t="s">
        <v>968</v>
      </c>
      <c r="B30" s="774">
        <v>3581.8850000000002</v>
      </c>
      <c r="C30" s="774">
        <v>3260.3069999999998</v>
      </c>
      <c r="D30" s="774">
        <v>1422.1759999999999</v>
      </c>
      <c r="E30" s="774">
        <v>2080.1280000000002</v>
      </c>
      <c r="F30" s="774"/>
      <c r="G30" s="774"/>
      <c r="H30" s="774"/>
    </row>
    <row r="31" spans="1:10" ht="12.75" customHeight="1">
      <c r="A31" s="740" t="s">
        <v>903</v>
      </c>
      <c r="B31" s="676"/>
      <c r="C31" s="676">
        <f>(C30-B30)/B30</f>
        <v>-8.9778985087461044E-2</v>
      </c>
      <c r="D31" s="676"/>
      <c r="E31" s="676">
        <f>(E30-D30)/D30</f>
        <v>0.46263753571991106</v>
      </c>
      <c r="F31" s="676"/>
      <c r="G31" s="676"/>
      <c r="H31" s="676"/>
    </row>
    <row r="32" spans="1:10" ht="13">
      <c r="A32" s="741" t="s">
        <v>897</v>
      </c>
      <c r="B32" s="774">
        <f>B33+B34</f>
        <v>425.53800000000001</v>
      </c>
      <c r="C32" s="774">
        <f>C33+C34</f>
        <v>407.33500000000004</v>
      </c>
      <c r="D32" s="774">
        <f>D33+D34</f>
        <v>193.91200000000001</v>
      </c>
      <c r="E32" s="774">
        <v>248.46100000000001</v>
      </c>
      <c r="F32" s="774"/>
      <c r="G32" s="774"/>
      <c r="H32" s="774"/>
      <c r="J32" s="777"/>
    </row>
    <row r="33" spans="1:8" ht="13">
      <c r="A33" s="741" t="s">
        <v>904</v>
      </c>
      <c r="B33" s="774">
        <v>219.81700000000001</v>
      </c>
      <c r="C33" s="774">
        <v>201.89400000000001</v>
      </c>
      <c r="D33" s="774">
        <v>92.149000000000001</v>
      </c>
      <c r="E33" s="774">
        <v>116.65300000000001</v>
      </c>
      <c r="F33" s="774"/>
      <c r="G33" s="774"/>
      <c r="H33" s="774"/>
    </row>
    <row r="34" spans="1:8" ht="13">
      <c r="A34" s="741" t="s">
        <v>905</v>
      </c>
      <c r="B34" s="774">
        <v>205.721</v>
      </c>
      <c r="C34" s="774">
        <v>205.441</v>
      </c>
      <c r="D34" s="774">
        <v>101.76300000000001</v>
      </c>
      <c r="E34" s="774">
        <v>131.80799999999999</v>
      </c>
      <c r="F34" s="774"/>
      <c r="G34" s="774"/>
      <c r="H34" s="774"/>
    </row>
    <row r="35" spans="1:8" ht="13">
      <c r="A35" s="741" t="s">
        <v>898</v>
      </c>
      <c r="B35" s="774">
        <v>154.21299999999999</v>
      </c>
      <c r="C35" s="774">
        <v>126.675</v>
      </c>
      <c r="D35" s="774">
        <v>67.245999999999995</v>
      </c>
      <c r="E35" s="774">
        <v>66.227000000000004</v>
      </c>
      <c r="F35" s="774"/>
      <c r="G35" s="774"/>
      <c r="H35" s="774"/>
    </row>
    <row r="36" spans="1:8">
      <c r="A36" s="742" t="s">
        <v>906</v>
      </c>
      <c r="B36" s="767">
        <v>-20.021000000000001</v>
      </c>
      <c r="C36" s="767">
        <v>-5.5549999999999997</v>
      </c>
      <c r="D36" s="767">
        <v>-0.222</v>
      </c>
      <c r="E36" s="775">
        <v>-9.8420000000000005</v>
      </c>
      <c r="F36" s="775"/>
      <c r="G36" s="775"/>
      <c r="H36" s="775"/>
    </row>
    <row r="37" spans="1:8">
      <c r="A37" s="742"/>
      <c r="B37" s="767"/>
      <c r="C37" s="767"/>
      <c r="D37" s="767"/>
      <c r="E37" s="775"/>
      <c r="F37" s="775"/>
      <c r="G37" s="775"/>
      <c r="H37" s="775"/>
    </row>
    <row r="38" spans="1:8">
      <c r="A38" s="742" t="s">
        <v>933</v>
      </c>
      <c r="B38" s="676"/>
      <c r="C38" s="727">
        <v>9.5000000000000001E-2</v>
      </c>
      <c r="D38" s="727"/>
      <c r="E38" s="727">
        <v>9.6000000000000002E-2</v>
      </c>
      <c r="F38" s="727"/>
      <c r="G38" s="727"/>
      <c r="H38" s="727"/>
    </row>
    <row r="39" spans="1:8" ht="13">
      <c r="A39" s="741"/>
      <c r="B39" s="774"/>
      <c r="C39" s="774"/>
      <c r="D39" s="774"/>
    </row>
    <row r="40" spans="1:8">
      <c r="A40" s="742" t="s">
        <v>19</v>
      </c>
      <c r="B40" s="774">
        <v>267.49799999999999</v>
      </c>
      <c r="C40" s="774">
        <v>284.48700000000002</v>
      </c>
      <c r="D40" s="774">
        <v>126.666</v>
      </c>
      <c r="E40" s="774">
        <v>182.23400000000001</v>
      </c>
      <c r="F40" s="774"/>
      <c r="G40" s="774"/>
      <c r="H40" s="774"/>
    </row>
    <row r="41" spans="1:8">
      <c r="A41" s="742" t="s">
        <v>910</v>
      </c>
      <c r="B41" s="676">
        <f>B40/B32</f>
        <v>0.62861131085825472</v>
      </c>
      <c r="C41" s="676">
        <f>C40/C32</f>
        <v>0.69841039930278515</v>
      </c>
      <c r="D41" s="676">
        <f>D40/D32</f>
        <v>0.65321382895333957</v>
      </c>
      <c r="E41" s="676">
        <f>E40/E32</f>
        <v>0.73345112512627741</v>
      </c>
      <c r="F41" s="676"/>
      <c r="G41" s="676"/>
      <c r="H41" s="676"/>
    </row>
    <row r="42" spans="1:8">
      <c r="A42" s="742"/>
    </row>
    <row r="43" spans="1:8" ht="13">
      <c r="A43" s="741" t="s">
        <v>56</v>
      </c>
      <c r="B43" s="767"/>
      <c r="C43" s="767"/>
      <c r="D43" s="767"/>
      <c r="E43" s="767"/>
      <c r="F43" s="767"/>
      <c r="G43" s="767"/>
      <c r="H43" s="767"/>
    </row>
    <row r="44" spans="1:8">
      <c r="A44" s="743" t="s">
        <v>893</v>
      </c>
      <c r="B44" s="767">
        <v>-78.180999999999997</v>
      </c>
      <c r="C44" s="767">
        <v>-64.683000000000007</v>
      </c>
      <c r="D44" s="767">
        <v>-29.146000000000001</v>
      </c>
      <c r="E44" s="767">
        <v>-37.487000000000002</v>
      </c>
      <c r="F44" s="767"/>
      <c r="G44" s="767"/>
      <c r="H44" s="767"/>
    </row>
    <row r="45" spans="1:8">
      <c r="A45" s="743" t="s">
        <v>894</v>
      </c>
      <c r="B45" s="767">
        <v>-73.534999999999997</v>
      </c>
      <c r="C45" s="767">
        <v>-63.250999999999998</v>
      </c>
      <c r="D45" s="767">
        <v>-31.503</v>
      </c>
      <c r="E45" s="767">
        <v>-33.052</v>
      </c>
      <c r="F45" s="767"/>
      <c r="G45" s="767"/>
      <c r="H45" s="767"/>
    </row>
    <row r="46" spans="1:8">
      <c r="A46" s="743" t="s">
        <v>895</v>
      </c>
      <c r="B46" s="767">
        <v>-170.149</v>
      </c>
      <c r="C46" s="767">
        <v>-121.46599999999999</v>
      </c>
      <c r="D46" s="767">
        <v>-57.71</v>
      </c>
      <c r="E46" s="767">
        <v>-78.834999999999994</v>
      </c>
      <c r="F46" s="767"/>
      <c r="G46" s="767"/>
      <c r="H46" s="767"/>
    </row>
    <row r="47" spans="1:8">
      <c r="A47" s="743" t="s">
        <v>896</v>
      </c>
      <c r="B47" s="676">
        <f>-B46/B30</f>
        <v>4.7502641765439148E-2</v>
      </c>
      <c r="C47" s="676">
        <f>-C46/C30</f>
        <v>3.7256000738580757E-2</v>
      </c>
      <c r="D47" s="676">
        <f>-D46/D30</f>
        <v>4.0578662556533092E-2</v>
      </c>
      <c r="E47" s="676">
        <f>-E46/E30</f>
        <v>3.7899110054765851E-2</v>
      </c>
      <c r="F47" s="676"/>
      <c r="G47" s="676"/>
      <c r="H47" s="676"/>
    </row>
    <row r="48" spans="1:8">
      <c r="A48" s="743"/>
    </row>
    <row r="49" spans="1:8">
      <c r="A49" s="742" t="s">
        <v>848</v>
      </c>
      <c r="B49" s="775">
        <v>-5.5119999999999996</v>
      </c>
      <c r="C49" s="775">
        <v>-5.0890000000000004</v>
      </c>
      <c r="D49" s="775">
        <v>-2.528</v>
      </c>
      <c r="E49" s="775">
        <v>-2.7050000000000001</v>
      </c>
    </row>
    <row r="50" spans="1:8">
      <c r="A50" s="743" t="s">
        <v>844</v>
      </c>
      <c r="B50" s="775">
        <v>0.86099999999999999</v>
      </c>
      <c r="C50" s="775">
        <v>0.57399999999999995</v>
      </c>
      <c r="D50" s="775">
        <v>0.1</v>
      </c>
      <c r="E50" s="775">
        <v>2.1059999999999999</v>
      </c>
    </row>
    <row r="51" spans="1:8">
      <c r="A51" s="744" t="s">
        <v>22</v>
      </c>
      <c r="B51" s="767">
        <f>B44+B45+B46+B49</f>
        <v>-327.37700000000001</v>
      </c>
      <c r="C51" s="767">
        <f>C44+C45+C46+C49</f>
        <v>-254.48899999999998</v>
      </c>
      <c r="D51" s="767">
        <f>D44+D45+D46+D49</f>
        <v>-120.88700000000001</v>
      </c>
      <c r="E51" s="767">
        <f>E44+E45+E46+E49</f>
        <v>-152.07900000000001</v>
      </c>
      <c r="F51" s="767"/>
      <c r="G51" s="767"/>
      <c r="H51" s="767"/>
    </row>
    <row r="52" spans="1:8">
      <c r="A52" s="742" t="s">
        <v>65</v>
      </c>
      <c r="B52" s="767">
        <f>B51+B50</f>
        <v>-326.51600000000002</v>
      </c>
      <c r="C52" s="767">
        <f>C51+C50</f>
        <v>-253.91499999999996</v>
      </c>
      <c r="D52" s="767">
        <f>D51+D50</f>
        <v>-120.78700000000002</v>
      </c>
      <c r="E52" s="767">
        <f>E51+E50</f>
        <v>-149.97300000000001</v>
      </c>
    </row>
    <row r="53" spans="1:8">
      <c r="A53" s="745"/>
    </row>
    <row r="54" spans="1:8">
      <c r="A54" s="746" t="s">
        <v>23</v>
      </c>
      <c r="B54" s="775">
        <v>-54.366999999999997</v>
      </c>
      <c r="C54" s="775">
        <v>35.087000000000003</v>
      </c>
      <c r="D54" s="775">
        <v>8.3070000000000004</v>
      </c>
      <c r="E54" s="640">
        <v>32.86</v>
      </c>
    </row>
    <row r="55" spans="1:8" ht="13">
      <c r="A55" s="747" t="s">
        <v>908</v>
      </c>
      <c r="B55" s="676">
        <f>B54/B32</f>
        <v>-0.12776062302309077</v>
      </c>
      <c r="C55" s="676">
        <f>C54/C32</f>
        <v>8.6137945425755216E-2</v>
      </c>
      <c r="D55" s="676">
        <f>D54/D32</f>
        <v>4.2839019761541315E-2</v>
      </c>
      <c r="E55" s="676">
        <f>E54/E32</f>
        <v>0.13225415658795545</v>
      </c>
      <c r="F55" s="676"/>
      <c r="G55" s="676"/>
      <c r="H55" s="676"/>
    </row>
    <row r="56" spans="1:8">
      <c r="A56" s="747"/>
    </row>
    <row r="57" spans="1:8">
      <c r="A57" s="742" t="s">
        <v>77</v>
      </c>
      <c r="B57" s="767">
        <v>-85.275999999999996</v>
      </c>
      <c r="C57" s="767">
        <v>17.797000000000001</v>
      </c>
      <c r="D57" s="767">
        <v>-0.55600000000000005</v>
      </c>
      <c r="E57" s="767">
        <v>18.800999999999998</v>
      </c>
      <c r="F57" s="767"/>
      <c r="G57" s="767"/>
      <c r="H57" s="767"/>
    </row>
    <row r="58" spans="1:8" ht="13">
      <c r="A58" s="749" t="s">
        <v>909</v>
      </c>
      <c r="B58" s="676">
        <f>B57/B32</f>
        <v>-0.20039573434099892</v>
      </c>
      <c r="C58" s="676">
        <f>C57/C32</f>
        <v>4.3691310592018855E-2</v>
      </c>
      <c r="D58" s="676">
        <f>D57/D32</f>
        <v>-2.8672800033004665E-3</v>
      </c>
      <c r="E58" s="676">
        <f>E57/E32</f>
        <v>7.5669823433053868E-2</v>
      </c>
      <c r="F58" s="676"/>
      <c r="G58" s="676"/>
      <c r="H58" s="676"/>
    </row>
    <row r="59" spans="1:8">
      <c r="A59" s="745"/>
      <c r="B59" s="775"/>
      <c r="C59" s="775"/>
      <c r="D59" s="775"/>
      <c r="E59" s="775"/>
      <c r="F59" s="775"/>
      <c r="G59" s="775"/>
      <c r="H59" s="775"/>
    </row>
    <row r="60" spans="1:8" ht="13">
      <c r="A60" s="751" t="s">
        <v>755</v>
      </c>
      <c r="B60" s="775">
        <v>-39.067</v>
      </c>
      <c r="C60" s="775">
        <v>48.585000000000001</v>
      </c>
      <c r="D60" s="775">
        <v>14.581</v>
      </c>
      <c r="E60" s="775">
        <v>41.226999999999997</v>
      </c>
      <c r="F60" s="775"/>
      <c r="G60" s="775"/>
      <c r="H60" s="775"/>
    </row>
    <row r="61" spans="1:8" ht="13">
      <c r="A61" s="749" t="s">
        <v>780</v>
      </c>
      <c r="B61" s="676">
        <f>B60/B32</f>
        <v>-9.1806137172238442E-2</v>
      </c>
      <c r="C61" s="676">
        <f>C60/C32</f>
        <v>0.11927528938097634</v>
      </c>
      <c r="D61" s="676">
        <f>D60/D32</f>
        <v>7.5193902388712403E-2</v>
      </c>
      <c r="E61" s="676">
        <f>E60/E32</f>
        <v>0.16592946176663539</v>
      </c>
      <c r="F61" s="676"/>
      <c r="G61" s="676"/>
      <c r="H61" s="676"/>
    </row>
    <row r="62" spans="1:8">
      <c r="A62" s="750"/>
    </row>
    <row r="63" spans="1:8" ht="13">
      <c r="A63" s="752" t="s">
        <v>911</v>
      </c>
      <c r="B63" s="726">
        <v>57078</v>
      </c>
      <c r="C63" s="726">
        <v>58609</v>
      </c>
      <c r="D63" s="726">
        <v>58518</v>
      </c>
      <c r="E63" s="726">
        <v>58609</v>
      </c>
      <c r="F63" s="726"/>
      <c r="G63" s="726"/>
      <c r="H63" s="726"/>
    </row>
    <row r="64" spans="1:8" ht="13">
      <c r="A64" s="753" t="s">
        <v>87</v>
      </c>
    </row>
    <row r="65" spans="1:8" ht="13">
      <c r="A65" s="749" t="s">
        <v>850</v>
      </c>
      <c r="B65" s="776">
        <v>-1.49</v>
      </c>
      <c r="C65" s="776">
        <v>0.3</v>
      </c>
      <c r="D65" s="776">
        <v>-0.01</v>
      </c>
      <c r="E65" s="776">
        <v>0.32</v>
      </c>
      <c r="F65" s="776"/>
      <c r="G65" s="776"/>
      <c r="H65" s="776"/>
    </row>
    <row r="66" spans="1:8" ht="13">
      <c r="A66" s="749" t="s">
        <v>89</v>
      </c>
      <c r="B66" s="776">
        <v>-1.49</v>
      </c>
      <c r="C66" s="776">
        <v>0.3</v>
      </c>
      <c r="D66" s="776">
        <v>-0.01</v>
      </c>
      <c r="E66" s="776">
        <v>0.32</v>
      </c>
      <c r="F66" s="776"/>
      <c r="G66" s="776"/>
      <c r="H66" s="776"/>
    </row>
    <row r="67" spans="1:8" ht="13">
      <c r="A67" s="749"/>
    </row>
    <row r="68" spans="1:8">
      <c r="A68" s="756"/>
    </row>
    <row r="69" spans="1:8">
      <c r="A69" s="756"/>
    </row>
    <row r="70" spans="1:8">
      <c r="A70" s="757"/>
    </row>
    <row r="71" spans="1:8" ht="13">
      <c r="A71" s="758" t="s">
        <v>100</v>
      </c>
    </row>
    <row r="72" spans="1:8">
      <c r="A72" s="759" t="s">
        <v>0</v>
      </c>
    </row>
    <row r="73" spans="1:8">
      <c r="A73" s="760" t="s">
        <v>1</v>
      </c>
    </row>
    <row r="74" spans="1:8">
      <c r="A74" s="761" t="s">
        <v>2</v>
      </c>
      <c r="B74" s="774">
        <v>102.116</v>
      </c>
      <c r="C74" s="774">
        <v>75.968000000000004</v>
      </c>
      <c r="D74" s="774"/>
      <c r="E74" s="774">
        <v>92.106999999999999</v>
      </c>
      <c r="F74" s="774"/>
      <c r="G74" s="774"/>
      <c r="H74" s="774"/>
    </row>
    <row r="75" spans="1:8">
      <c r="A75" s="761" t="s">
        <v>101</v>
      </c>
      <c r="B75" s="774">
        <v>19.074999999999999</v>
      </c>
      <c r="C75" s="774">
        <v>33.197000000000003</v>
      </c>
      <c r="D75" s="774"/>
      <c r="E75" s="774">
        <v>39.186</v>
      </c>
      <c r="F75" s="774"/>
      <c r="G75" s="774"/>
      <c r="H75" s="774"/>
    </row>
    <row r="76" spans="1:8">
      <c r="A76" s="761" t="s">
        <v>3</v>
      </c>
      <c r="B76" s="774">
        <v>40.012999999999998</v>
      </c>
      <c r="C76" s="774">
        <v>0</v>
      </c>
      <c r="D76" s="774"/>
      <c r="E76" s="774">
        <v>0.23799999999999999</v>
      </c>
      <c r="F76" s="774"/>
      <c r="G76" s="774"/>
      <c r="H76" s="774"/>
    </row>
    <row r="77" spans="1:8" ht="12.75" customHeight="1">
      <c r="A77" s="768" t="s">
        <v>852</v>
      </c>
      <c r="B77" s="774">
        <f>B76+B75+B74</f>
        <v>161.20400000000001</v>
      </c>
      <c r="C77" s="774">
        <f>C76+C75+C74</f>
        <v>109.16500000000001</v>
      </c>
      <c r="D77" s="774"/>
      <c r="E77" s="774">
        <f>E76+E75+E74</f>
        <v>131.53100000000001</v>
      </c>
      <c r="F77" s="774"/>
      <c r="G77" s="774"/>
      <c r="H77" s="774"/>
    </row>
    <row r="78" spans="1:8">
      <c r="A78" s="769" t="s">
        <v>102</v>
      </c>
      <c r="B78" s="774">
        <v>34.433999999999997</v>
      </c>
      <c r="C78" s="774">
        <v>27.184000000000001</v>
      </c>
      <c r="D78" s="774"/>
      <c r="E78" s="774">
        <v>26.425000000000001</v>
      </c>
      <c r="F78" s="774"/>
      <c r="G78" s="774"/>
      <c r="H78" s="774"/>
    </row>
    <row r="79" spans="1:8">
      <c r="A79" s="761" t="s">
        <v>4</v>
      </c>
      <c r="B79" s="774">
        <v>252.57</v>
      </c>
      <c r="C79" s="774">
        <v>353.71</v>
      </c>
      <c r="D79" s="774"/>
      <c r="E79" s="774">
        <v>418.16300000000001</v>
      </c>
      <c r="F79" s="774"/>
      <c r="G79" s="774"/>
      <c r="H79" s="774"/>
    </row>
    <row r="80" spans="1:8">
      <c r="A80" s="761" t="s">
        <v>5</v>
      </c>
      <c r="B80" s="774"/>
      <c r="C80" s="774"/>
      <c r="D80" s="774"/>
      <c r="E80" s="774"/>
      <c r="F80" s="774"/>
      <c r="G80" s="774"/>
      <c r="H80" s="774"/>
    </row>
    <row r="81" spans="1:8">
      <c r="A81" s="761" t="s">
        <v>103</v>
      </c>
      <c r="B81" s="774"/>
      <c r="C81" s="774"/>
      <c r="D81" s="774"/>
      <c r="E81" s="774"/>
      <c r="F81" s="774"/>
      <c r="G81" s="774"/>
      <c r="H81" s="774"/>
    </row>
    <row r="82" spans="1:8">
      <c r="A82" s="770" t="s">
        <v>104</v>
      </c>
      <c r="B82" s="774">
        <v>2.0190000000000001</v>
      </c>
      <c r="C82" s="774">
        <v>7.1790000000000003</v>
      </c>
      <c r="D82" s="774"/>
      <c r="E82" s="774">
        <v>13.882</v>
      </c>
      <c r="F82" s="774"/>
      <c r="G82" s="774"/>
      <c r="H82" s="774"/>
    </row>
    <row r="83" spans="1:8">
      <c r="A83" s="770" t="s">
        <v>30</v>
      </c>
      <c r="B83" s="774">
        <v>0</v>
      </c>
      <c r="C83" s="774">
        <v>0</v>
      </c>
      <c r="D83" s="774"/>
      <c r="E83" s="774">
        <v>0</v>
      </c>
      <c r="F83" s="774"/>
      <c r="G83" s="774"/>
      <c r="H83" s="774"/>
    </row>
    <row r="84" spans="1:8" ht="13">
      <c r="A84" s="771" t="s">
        <v>105</v>
      </c>
      <c r="B84" s="774">
        <f>B82+B83</f>
        <v>2.0190000000000001</v>
      </c>
      <c r="C84" s="774">
        <f>C82+C83</f>
        <v>7.1790000000000003</v>
      </c>
      <c r="D84" s="774"/>
      <c r="E84" s="774">
        <f>E82+E83</f>
        <v>13.882</v>
      </c>
      <c r="F84" s="774"/>
      <c r="G84" s="774"/>
      <c r="H84" s="774"/>
    </row>
    <row r="85" spans="1:8">
      <c r="A85" s="760" t="s">
        <v>31</v>
      </c>
      <c r="B85" s="774">
        <v>431.34800000000001</v>
      </c>
      <c r="C85" s="774">
        <v>435.97300000000001</v>
      </c>
      <c r="D85" s="774"/>
      <c r="E85" s="774">
        <v>479.35</v>
      </c>
      <c r="F85" s="774"/>
      <c r="G85" s="774"/>
      <c r="H85" s="774"/>
    </row>
    <row r="86" spans="1:8">
      <c r="A86" s="760" t="s">
        <v>106</v>
      </c>
      <c r="B86" s="774">
        <v>-83.132999999999996</v>
      </c>
      <c r="C86" s="774">
        <v>-82.263000000000005</v>
      </c>
      <c r="D86" s="774"/>
      <c r="E86" s="774">
        <v>-61.186999999999998</v>
      </c>
      <c r="F86" s="774"/>
      <c r="G86" s="774"/>
      <c r="H86" s="774"/>
    </row>
    <row r="87" spans="1:8">
      <c r="A87" s="760" t="s">
        <v>851</v>
      </c>
      <c r="B87" s="774">
        <f>B85+B86</f>
        <v>348.21500000000003</v>
      </c>
      <c r="C87" s="774">
        <f>C85+C86</f>
        <v>353.71000000000004</v>
      </c>
      <c r="D87" s="774"/>
      <c r="E87" s="774">
        <v>418.16300000000001</v>
      </c>
      <c r="F87" s="774"/>
      <c r="G87" s="774"/>
      <c r="H87" s="774"/>
    </row>
    <row r="88" spans="1:8">
      <c r="A88" s="759"/>
      <c r="B88" s="774"/>
      <c r="C88" s="774"/>
      <c r="D88" s="774"/>
      <c r="E88" s="774"/>
      <c r="F88" s="774"/>
      <c r="G88" s="774"/>
      <c r="H88" s="774"/>
    </row>
    <row r="89" spans="1:8">
      <c r="A89" s="762" t="s">
        <v>107</v>
      </c>
      <c r="B89" s="676">
        <f>B84/B79</f>
        <v>7.9938234944767796E-3</v>
      </c>
      <c r="C89" s="676">
        <f>C84/C79</f>
        <v>2.0296287919482063E-2</v>
      </c>
      <c r="D89" s="676"/>
      <c r="E89" s="676">
        <f>E84/E79</f>
        <v>3.3197580847659884E-2</v>
      </c>
      <c r="F89" s="676"/>
      <c r="G89" s="676"/>
      <c r="H89" s="676"/>
    </row>
    <row r="90" spans="1:8" ht="13">
      <c r="A90" s="763"/>
    </row>
    <row r="91" spans="1:8" ht="13">
      <c r="A91" s="763"/>
    </row>
    <row r="92" spans="1:8">
      <c r="A92" s="757" t="s">
        <v>108</v>
      </c>
    </row>
    <row r="93" spans="1:8" ht="13.5">
      <c r="A93" s="758" t="s">
        <v>907</v>
      </c>
    </row>
    <row r="94" spans="1:8">
      <c r="A94" s="764" t="s">
        <v>32</v>
      </c>
      <c r="B94" s="775">
        <v>-24.248999999999999</v>
      </c>
      <c r="C94" s="767">
        <v>-43.292000000000002</v>
      </c>
      <c r="D94" s="767">
        <v>-47.652000000000001</v>
      </c>
      <c r="E94" s="767">
        <v>25.280999999999999</v>
      </c>
      <c r="F94" s="767"/>
      <c r="G94" s="767"/>
      <c r="H94" s="767"/>
    </row>
    <row r="95" spans="1:8">
      <c r="A95" s="764" t="s">
        <v>33</v>
      </c>
      <c r="B95" s="775">
        <v>-80.986000000000004</v>
      </c>
      <c r="C95" s="767">
        <v>14.38</v>
      </c>
      <c r="D95" s="767">
        <v>31.997</v>
      </c>
      <c r="E95" s="767">
        <v>-15.99</v>
      </c>
      <c r="F95" s="767"/>
      <c r="G95" s="767"/>
      <c r="H95" s="767"/>
    </row>
    <row r="96" spans="1:8">
      <c r="A96" s="764" t="s">
        <v>34</v>
      </c>
      <c r="B96" s="775">
        <v>198.79300000000001</v>
      </c>
      <c r="C96" s="767">
        <v>5.1420000000000003</v>
      </c>
      <c r="D96" s="767">
        <v>1</v>
      </c>
      <c r="E96" s="767">
        <v>66.760000000000005</v>
      </c>
      <c r="F96" s="767"/>
      <c r="G96" s="767"/>
      <c r="H96" s="767"/>
    </row>
    <row r="97" spans="1:8">
      <c r="A97" s="756"/>
    </row>
    <row r="98" spans="1:8">
      <c r="A98" s="765"/>
    </row>
    <row r="99" spans="1:8" ht="13">
      <c r="A99" s="758" t="s">
        <v>915</v>
      </c>
    </row>
    <row r="100" spans="1:8">
      <c r="A100" s="756" t="s">
        <v>965</v>
      </c>
      <c r="B100" s="766">
        <f>B101+B102+B103</f>
        <v>7.7050000000000001</v>
      </c>
      <c r="C100" s="766">
        <f>C101+C102+C103</f>
        <v>7.2119999999999997</v>
      </c>
      <c r="D100" s="766">
        <f>D101+D102+D103</f>
        <v>3.3380000000000001</v>
      </c>
      <c r="E100" s="766">
        <f>E101+E102+E103</f>
        <v>4.3389999999999995</v>
      </c>
      <c r="F100" s="766"/>
      <c r="G100" s="766"/>
      <c r="H100" s="766"/>
    </row>
    <row r="101" spans="1:8">
      <c r="A101" s="756" t="s">
        <v>916</v>
      </c>
      <c r="B101" s="766">
        <v>3.62</v>
      </c>
      <c r="C101" s="766">
        <v>2.9239999999999999</v>
      </c>
      <c r="D101" s="766">
        <v>1.375</v>
      </c>
      <c r="E101" s="766">
        <v>1.784</v>
      </c>
      <c r="F101" s="766"/>
      <c r="G101" s="766"/>
      <c r="H101" s="766"/>
    </row>
    <row r="102" spans="1:8">
      <c r="A102" s="756" t="s">
        <v>917</v>
      </c>
      <c r="B102" s="766">
        <v>1.7869999999999999</v>
      </c>
      <c r="C102" s="766">
        <v>1.798</v>
      </c>
      <c r="D102" s="766">
        <v>0.83299999999999996</v>
      </c>
      <c r="E102" s="766">
        <v>1.069</v>
      </c>
      <c r="F102" s="766"/>
      <c r="G102" s="766"/>
      <c r="H102" s="766"/>
    </row>
    <row r="103" spans="1:8">
      <c r="A103" s="756" t="s">
        <v>918</v>
      </c>
      <c r="B103" s="766">
        <v>2.298</v>
      </c>
      <c r="C103" s="766">
        <v>2.4900000000000002</v>
      </c>
      <c r="D103" s="766">
        <v>1.1299999999999999</v>
      </c>
      <c r="E103" s="766">
        <v>1.486</v>
      </c>
      <c r="F103" s="766"/>
      <c r="G103" s="766"/>
      <c r="H103" s="766"/>
    </row>
    <row r="104" spans="1:8">
      <c r="A104" s="756"/>
      <c r="B104" s="766"/>
      <c r="C104" s="766"/>
      <c r="D104" s="766"/>
      <c r="E104" s="766"/>
      <c r="F104" s="766"/>
      <c r="G104" s="766"/>
      <c r="H104" s="766"/>
    </row>
    <row r="105" spans="1:8">
      <c r="A105" s="756" t="s">
        <v>940</v>
      </c>
      <c r="B105" s="766"/>
      <c r="C105" s="766"/>
      <c r="D105" s="766"/>
      <c r="E105" s="766"/>
      <c r="F105" s="766"/>
      <c r="G105" s="766"/>
      <c r="H105" s="766"/>
    </row>
    <row r="106" spans="1:8">
      <c r="A106" s="756" t="s">
        <v>941</v>
      </c>
      <c r="B106" s="766">
        <v>4.3849999999999998</v>
      </c>
      <c r="C106" s="766">
        <v>4.25</v>
      </c>
      <c r="D106" s="766">
        <v>1.9359999999999999</v>
      </c>
      <c r="E106" s="766">
        <v>2.57</v>
      </c>
      <c r="F106" s="766"/>
      <c r="G106" s="766"/>
      <c r="H106" s="766"/>
    </row>
    <row r="107" spans="1:8">
      <c r="A107" s="756" t="s">
        <v>942</v>
      </c>
      <c r="B107" s="766">
        <v>3.32</v>
      </c>
      <c r="C107" s="766">
        <f>2.963-C108-C109-C110-C111</f>
        <v>2.3500000000000005</v>
      </c>
      <c r="D107" s="766">
        <v>1.4019999999999999</v>
      </c>
      <c r="E107" s="766">
        <f>1.769-E108-E109-E110-E111</f>
        <v>1.3698999999999997</v>
      </c>
      <c r="F107" s="766"/>
      <c r="G107" s="766"/>
      <c r="H107" s="766"/>
    </row>
    <row r="108" spans="1:8">
      <c r="A108" s="756" t="s">
        <v>934</v>
      </c>
      <c r="B108" s="766"/>
      <c r="C108" s="766">
        <v>0.27500000000000002</v>
      </c>
      <c r="D108" s="766"/>
      <c r="E108" s="766">
        <v>0.185</v>
      </c>
      <c r="F108" s="766"/>
      <c r="G108" s="766"/>
      <c r="H108" s="766"/>
    </row>
    <row r="109" spans="1:8">
      <c r="A109" s="756" t="s">
        <v>935</v>
      </c>
      <c r="B109" s="766"/>
      <c r="C109" s="766">
        <v>0.3</v>
      </c>
      <c r="D109" s="766"/>
      <c r="E109" s="766">
        <v>0.185</v>
      </c>
      <c r="F109" s="766"/>
      <c r="G109" s="766"/>
      <c r="H109" s="766"/>
    </row>
    <row r="110" spans="1:8">
      <c r="A110" s="756" t="s">
        <v>936</v>
      </c>
      <c r="B110" s="766"/>
      <c r="C110" s="766">
        <v>1.2E-2</v>
      </c>
      <c r="D110" s="766"/>
      <c r="E110" s="766">
        <v>5.1000000000000004E-3</v>
      </c>
      <c r="F110" s="766"/>
      <c r="G110" s="766"/>
      <c r="H110" s="766"/>
    </row>
    <row r="111" spans="1:8">
      <c r="A111" s="756" t="s">
        <v>937</v>
      </c>
      <c r="B111" s="766"/>
      <c r="C111" s="766">
        <v>2.5999999999999999E-2</v>
      </c>
      <c r="D111" s="766"/>
      <c r="E111" s="766">
        <v>2.4E-2</v>
      </c>
      <c r="F111" s="766"/>
      <c r="G111" s="766"/>
      <c r="H111" s="766"/>
    </row>
    <row r="112" spans="1:8">
      <c r="A112" s="756"/>
      <c r="B112" s="766"/>
      <c r="C112" s="766"/>
      <c r="D112" s="766"/>
      <c r="E112" s="766"/>
      <c r="F112" s="766"/>
      <c r="G112" s="766"/>
      <c r="H112" s="766"/>
    </row>
    <row r="113" spans="1:8">
      <c r="A113" s="756" t="s">
        <v>938</v>
      </c>
      <c r="B113" s="676">
        <f>B101/B100</f>
        <v>0.4698247890979883</v>
      </c>
      <c r="C113" s="676">
        <f>C101/C100</f>
        <v>0.40543538546866337</v>
      </c>
      <c r="D113" s="676">
        <f>D101/D100</f>
        <v>0.41192330736968241</v>
      </c>
      <c r="E113" s="676">
        <f>E101/E100</f>
        <v>0.41115464392717221</v>
      </c>
      <c r="F113" s="676"/>
      <c r="G113" s="676"/>
      <c r="H113" s="676"/>
    </row>
    <row r="114" spans="1:8">
      <c r="A114" s="756" t="s">
        <v>939</v>
      </c>
      <c r="B114" s="676">
        <f>B102/B100</f>
        <v>0.23192731992212848</v>
      </c>
      <c r="C114" s="676">
        <f>C102/C100</f>
        <v>0.24930671103716032</v>
      </c>
      <c r="D114" s="676">
        <f>D102/D100</f>
        <v>0.24955062911923306</v>
      </c>
      <c r="E114" s="676">
        <f>E102/E100</f>
        <v>0.24637013136667438</v>
      </c>
      <c r="F114" s="676"/>
      <c r="G114" s="676"/>
      <c r="H114" s="676"/>
    </row>
    <row r="115" spans="1:8">
      <c r="A115" s="756"/>
    </row>
    <row r="116" spans="1:8">
      <c r="A116" s="756" t="s">
        <v>924</v>
      </c>
      <c r="E116" s="725">
        <v>0.27</v>
      </c>
      <c r="F116" s="725"/>
      <c r="G116" s="725"/>
      <c r="H116" s="725"/>
    </row>
    <row r="117" spans="1:8">
      <c r="A117" s="756" t="s">
        <v>916</v>
      </c>
      <c r="E117" s="725">
        <v>0.24</v>
      </c>
      <c r="F117" s="725"/>
      <c r="G117" s="725"/>
      <c r="H117" s="725"/>
    </row>
    <row r="118" spans="1:8">
      <c r="A118" s="756" t="s">
        <v>917</v>
      </c>
      <c r="E118" s="725">
        <v>0.37</v>
      </c>
      <c r="F118" s="725"/>
      <c r="G118" s="725"/>
      <c r="H118" s="725"/>
    </row>
    <row r="119" spans="1:8">
      <c r="A119" s="756" t="s">
        <v>925</v>
      </c>
      <c r="E119" s="725">
        <v>0.37</v>
      </c>
      <c r="F119" s="725"/>
      <c r="G119" s="725"/>
      <c r="H119" s="725"/>
    </row>
    <row r="120" spans="1:8">
      <c r="A120" s="756" t="s">
        <v>926</v>
      </c>
      <c r="E120" s="725">
        <v>0.25</v>
      </c>
      <c r="F120" s="725"/>
      <c r="G120" s="725"/>
      <c r="H120" s="725"/>
    </row>
    <row r="121" spans="1:8">
      <c r="A121" s="756" t="s">
        <v>927</v>
      </c>
      <c r="E121" s="725">
        <v>0.2</v>
      </c>
      <c r="F121" s="725"/>
      <c r="G121" s="725"/>
      <c r="H121" s="725"/>
    </row>
    <row r="122" spans="1:8">
      <c r="A122" s="756"/>
    </row>
    <row r="123" spans="1:8">
      <c r="A123" s="756" t="s">
        <v>928</v>
      </c>
      <c r="E123" s="640">
        <v>33</v>
      </c>
    </row>
    <row r="124" spans="1:8">
      <c r="A124" s="756" t="s">
        <v>929</v>
      </c>
      <c r="E124" s="725">
        <v>0.55000000000000004</v>
      </c>
      <c r="F124" s="725"/>
      <c r="G124" s="725"/>
      <c r="H124" s="725"/>
    </row>
    <row r="125" spans="1:8">
      <c r="A125" s="756" t="s">
        <v>930</v>
      </c>
      <c r="E125" s="725">
        <v>0.27</v>
      </c>
      <c r="F125" s="725"/>
      <c r="G125" s="725"/>
      <c r="H125" s="725"/>
    </row>
    <row r="126" spans="1:8">
      <c r="A126" s="756"/>
    </row>
    <row r="127" spans="1:8">
      <c r="A127" s="756" t="s">
        <v>931</v>
      </c>
      <c r="C127" s="640">
        <v>2.5</v>
      </c>
      <c r="E127" s="640">
        <v>4</v>
      </c>
    </row>
    <row r="128" spans="1:8">
      <c r="A128" s="756" t="s">
        <v>932</v>
      </c>
      <c r="B128" s="640">
        <f>7.9-1.9</f>
        <v>6</v>
      </c>
      <c r="C128" s="640">
        <f>9-1.1</f>
        <v>7.9</v>
      </c>
      <c r="E128" s="640">
        <v>9</v>
      </c>
    </row>
    <row r="129" spans="1:8">
      <c r="A129" s="756"/>
    </row>
    <row r="130" spans="1:8">
      <c r="A130" s="756" t="s">
        <v>946</v>
      </c>
      <c r="E130" s="724">
        <v>300000</v>
      </c>
      <c r="F130" s="724"/>
      <c r="G130" s="724"/>
      <c r="H130" s="724"/>
    </row>
    <row r="131" spans="1:8">
      <c r="A131" s="756" t="s">
        <v>943</v>
      </c>
      <c r="E131" s="640">
        <v>250</v>
      </c>
    </row>
    <row r="132" spans="1:8">
      <c r="A132" s="756" t="s">
        <v>944</v>
      </c>
      <c r="E132" s="640">
        <v>900</v>
      </c>
    </row>
    <row r="133" spans="1:8">
      <c r="A133" s="756" t="s">
        <v>945</v>
      </c>
      <c r="E133" s="640">
        <v>250</v>
      </c>
    </row>
    <row r="134" spans="1:8">
      <c r="A134" s="756"/>
    </row>
    <row r="135" spans="1:8">
      <c r="A135" s="756"/>
    </row>
    <row r="136" spans="1:8">
      <c r="A136" s="756"/>
    </row>
  </sheetData>
  <mergeCells count="2">
    <mergeCell ref="B1:C1"/>
    <mergeCell ref="D1:E1"/>
  </mergeCells>
  <phoneticPr fontId="11" type="noConversion"/>
  <pageMargins left="0.7" right="0.7" top="0.75" bottom="0.75" header="0.3" footer="0.3"/>
  <pageSetup paperSize="9" orientation="portrait"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9"/>
  <sheetViews>
    <sheetView workbookViewId="0"/>
  </sheetViews>
  <sheetFormatPr defaultRowHeight="15"/>
  <sheetData>
    <row r="1" spans="1:2">
      <c r="A1" s="511"/>
    </row>
    <row r="2" spans="1:2">
      <c r="A2" s="511"/>
    </row>
    <row r="4" spans="1:2">
      <c r="A4" s="511"/>
    </row>
    <row r="5" spans="1:2">
      <c r="A5" s="511"/>
    </row>
    <row r="9" spans="1:2">
      <c r="B9" s="511"/>
    </row>
  </sheetData>
  <phoneticPr fontId="11"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pageSetUpPr autoPageBreaks="0"/>
  </sheetPr>
  <dimension ref="A1:AN217"/>
  <sheetViews>
    <sheetView workbookViewId="0"/>
  </sheetViews>
  <sheetFormatPr defaultColWidth="9" defaultRowHeight="12.5" outlineLevelRow="1"/>
  <cols>
    <col min="1" max="1" width="53.25" style="756" customWidth="1"/>
    <col min="2" max="3" width="13.58203125" style="844" customWidth="1"/>
    <col min="4" max="4" width="12" style="844" customWidth="1"/>
    <col min="5" max="5" width="13.25" style="844" customWidth="1"/>
    <col min="6" max="7" width="13.58203125" style="844" customWidth="1"/>
    <col min="8" max="8" width="12" style="844" customWidth="1"/>
    <col min="9" max="9" width="13.25" style="844" customWidth="1"/>
    <col min="10" max="10" width="12" style="844" customWidth="1"/>
    <col min="11" max="12" width="12.25" style="844" customWidth="1"/>
    <col min="13" max="13" width="13.25" style="844" customWidth="1"/>
    <col min="14" max="14" width="12" style="844" customWidth="1"/>
    <col min="15" max="15" width="12.25" style="844" customWidth="1"/>
    <col min="16" max="16" width="12.25" style="852" customWidth="1"/>
    <col min="17" max="19" width="12.75" style="844" customWidth="1"/>
    <col min="20" max="20" width="12.25" style="844" customWidth="1"/>
    <col min="21" max="21" width="12.75" style="844" customWidth="1"/>
    <col min="22" max="23" width="12.33203125" style="844" customWidth="1"/>
    <col min="24" max="24" width="12.33203125" style="852" customWidth="1"/>
    <col min="25" max="25" width="12.33203125" style="844" customWidth="1"/>
    <col min="26" max="27" width="12.33203125" style="1061" customWidth="1"/>
    <col min="28" max="28" width="12.33203125" style="1067" customWidth="1"/>
    <col min="29" max="32" width="12.33203125" style="1061" customWidth="1"/>
    <col min="33" max="33" width="2.08203125" style="844" customWidth="1"/>
    <col min="34" max="40" width="12.33203125" style="1061" customWidth="1"/>
    <col min="41" max="41" width="2.33203125" style="844" customWidth="1"/>
    <col min="42" max="16384" width="9" style="844"/>
  </cols>
  <sheetData>
    <row r="1" spans="1:40" ht="13">
      <c r="A1" s="1058" t="s">
        <v>2061</v>
      </c>
      <c r="M1" s="1059" t="s">
        <v>1478</v>
      </c>
      <c r="N1" s="1059" t="s">
        <v>1478</v>
      </c>
      <c r="O1" s="1059" t="s">
        <v>1478</v>
      </c>
      <c r="P1" s="1060" t="s">
        <v>1478</v>
      </c>
      <c r="Q1" s="1059" t="s">
        <v>1479</v>
      </c>
      <c r="R1" s="1059" t="s">
        <v>1479</v>
      </c>
      <c r="S1" s="1059" t="s">
        <v>1479</v>
      </c>
      <c r="T1" s="1059" t="s">
        <v>1479</v>
      </c>
    </row>
    <row r="2" spans="1:40" ht="13">
      <c r="A2" s="2044"/>
      <c r="B2" s="1062" t="s">
        <v>2023</v>
      </c>
      <c r="C2" s="1062" t="s">
        <v>2024</v>
      </c>
      <c r="D2" s="1062" t="s">
        <v>2025</v>
      </c>
      <c r="E2" s="1062" t="s">
        <v>2026</v>
      </c>
      <c r="F2" s="1062" t="s">
        <v>829</v>
      </c>
      <c r="G2" s="1062" t="s">
        <v>830</v>
      </c>
      <c r="H2" s="1062" t="s">
        <v>831</v>
      </c>
      <c r="I2" s="1062" t="s">
        <v>2027</v>
      </c>
      <c r="J2" s="1062" t="s">
        <v>698</v>
      </c>
      <c r="K2" s="1062" t="s">
        <v>699</v>
      </c>
      <c r="L2" s="1062" t="s">
        <v>700</v>
      </c>
      <c r="M2" s="1062" t="s">
        <v>2028</v>
      </c>
      <c r="N2" s="1062" t="s">
        <v>743</v>
      </c>
      <c r="O2" s="1062" t="s">
        <v>760</v>
      </c>
      <c r="P2" s="1062" t="s">
        <v>747</v>
      </c>
      <c r="Q2" s="1062" t="s">
        <v>2028</v>
      </c>
      <c r="R2" s="1062" t="s">
        <v>743</v>
      </c>
      <c r="S2" s="1062" t="s">
        <v>760</v>
      </c>
      <c r="T2" s="1062" t="s">
        <v>747</v>
      </c>
      <c r="U2" s="1062" t="s">
        <v>2029</v>
      </c>
      <c r="V2" s="1062" t="s">
        <v>772</v>
      </c>
      <c r="W2" s="1062" t="s">
        <v>773</v>
      </c>
      <c r="X2" s="2030" t="s">
        <v>774</v>
      </c>
      <c r="Y2" s="1062" t="s">
        <v>2030</v>
      </c>
      <c r="Z2" s="1062" t="s">
        <v>1177</v>
      </c>
      <c r="AA2" s="1062" t="s">
        <v>1178</v>
      </c>
      <c r="AB2" s="2030" t="s">
        <v>1179</v>
      </c>
      <c r="AC2" s="1062" t="s">
        <v>2031</v>
      </c>
      <c r="AD2" s="1062" t="s">
        <v>2032</v>
      </c>
      <c r="AE2" s="1062" t="s">
        <v>2033</v>
      </c>
      <c r="AF2" s="1062" t="s">
        <v>2034</v>
      </c>
      <c r="AH2" s="1062">
        <v>2013</v>
      </c>
      <c r="AI2" s="1062">
        <v>2014</v>
      </c>
      <c r="AJ2" s="1062">
        <v>2015</v>
      </c>
      <c r="AK2" s="1062">
        <v>2016</v>
      </c>
      <c r="AL2" s="1062">
        <v>2017</v>
      </c>
      <c r="AM2" s="1062">
        <v>2018</v>
      </c>
      <c r="AN2" s="1062" t="s">
        <v>1480</v>
      </c>
    </row>
    <row r="3" spans="1:40" ht="13">
      <c r="A3" s="1058"/>
      <c r="B3" s="860"/>
      <c r="C3" s="860"/>
      <c r="D3" s="860"/>
      <c r="E3" s="860"/>
      <c r="F3" s="860"/>
      <c r="G3" s="860"/>
      <c r="H3" s="860"/>
      <c r="I3" s="860"/>
      <c r="J3" s="860"/>
      <c r="K3" s="860"/>
      <c r="L3" s="860"/>
      <c r="M3" s="860"/>
      <c r="N3" s="860"/>
      <c r="O3" s="860"/>
      <c r="P3" s="1063"/>
      <c r="Q3" s="866"/>
      <c r="R3" s="866"/>
      <c r="S3" s="866"/>
      <c r="T3" s="866"/>
      <c r="U3" s="866"/>
      <c r="V3" s="860"/>
      <c r="W3" s="860"/>
      <c r="X3" s="1063"/>
      <c r="Y3" s="860"/>
      <c r="Z3" s="861"/>
      <c r="AA3" s="861"/>
      <c r="AB3" s="1066"/>
      <c r="AC3" s="861"/>
      <c r="AD3" s="861"/>
      <c r="AE3" s="861"/>
      <c r="AF3" s="861"/>
      <c r="AH3" s="861"/>
      <c r="AI3" s="861"/>
      <c r="AJ3" s="861"/>
      <c r="AK3" s="861"/>
      <c r="AL3" s="861"/>
      <c r="AM3" s="861"/>
      <c r="AN3" s="861"/>
    </row>
    <row r="4" spans="1:40" ht="13">
      <c r="A4" s="1064" t="s">
        <v>1481</v>
      </c>
      <c r="B4" s="1065"/>
      <c r="C4" s="1065"/>
      <c r="D4" s="1065"/>
      <c r="E4" s="1065"/>
      <c r="F4" s="1065"/>
      <c r="G4" s="1065"/>
      <c r="H4" s="1065"/>
      <c r="I4" s="1065"/>
      <c r="J4" s="1065"/>
      <c r="K4" s="1065"/>
      <c r="L4" s="1065"/>
      <c r="M4" s="1065"/>
      <c r="N4" s="1065"/>
      <c r="O4" s="1065"/>
      <c r="P4" s="1025"/>
      <c r="Q4" s="1065"/>
      <c r="R4" s="1065"/>
      <c r="S4" s="1065"/>
      <c r="T4" s="1065"/>
      <c r="U4" s="1065"/>
      <c r="V4" s="1065"/>
      <c r="W4" s="1065"/>
      <c r="X4" s="1025"/>
      <c r="Y4" s="1065"/>
      <c r="Z4" s="1065"/>
      <c r="AA4" s="1065"/>
      <c r="AB4" s="1025"/>
      <c r="AC4" s="1065"/>
      <c r="AD4" s="1065"/>
      <c r="AE4" s="1065"/>
      <c r="AF4" s="1065"/>
      <c r="AH4" s="1065"/>
      <c r="AI4" s="1065"/>
      <c r="AJ4" s="1065"/>
      <c r="AK4" s="1065"/>
      <c r="AL4" s="1065"/>
      <c r="AM4" s="1065"/>
      <c r="AN4" s="1065"/>
    </row>
    <row r="5" spans="1:40" ht="13">
      <c r="A5" s="1058" t="s">
        <v>1482</v>
      </c>
      <c r="B5" s="959"/>
      <c r="C5" s="959"/>
      <c r="D5" s="959"/>
      <c r="E5" s="959"/>
      <c r="F5" s="959"/>
      <c r="G5" s="959"/>
      <c r="H5" s="959"/>
      <c r="I5" s="959"/>
      <c r="J5" s="959"/>
      <c r="K5" s="959"/>
      <c r="L5" s="959"/>
      <c r="M5" s="959"/>
      <c r="N5" s="959"/>
      <c r="O5" s="959"/>
      <c r="P5" s="971"/>
      <c r="Q5" s="959"/>
      <c r="R5" s="959"/>
      <c r="S5" s="959"/>
      <c r="T5" s="959"/>
      <c r="U5" s="959"/>
      <c r="V5" s="959"/>
      <c r="W5" s="859"/>
      <c r="X5" s="971"/>
      <c r="Y5" s="959"/>
      <c r="Z5" s="959"/>
      <c r="AA5" s="959"/>
      <c r="AB5" s="971"/>
      <c r="AC5" s="959"/>
      <c r="AD5" s="959"/>
      <c r="AE5" s="959"/>
      <c r="AF5" s="959"/>
      <c r="AH5" s="959"/>
      <c r="AI5" s="959"/>
      <c r="AJ5" s="959"/>
      <c r="AK5" s="959"/>
      <c r="AL5" s="959"/>
      <c r="AM5" s="959"/>
      <c r="AN5" s="959"/>
    </row>
    <row r="6" spans="1:40" ht="13">
      <c r="A6" s="1058"/>
      <c r="B6" s="861"/>
      <c r="C6" s="861"/>
      <c r="D6" s="861"/>
      <c r="E6" s="861"/>
      <c r="F6" s="861"/>
      <c r="G6" s="861"/>
      <c r="H6" s="861"/>
      <c r="I6" s="861"/>
      <c r="J6" s="861"/>
      <c r="K6" s="861"/>
      <c r="L6" s="861"/>
      <c r="M6" s="861"/>
      <c r="N6" s="861"/>
      <c r="O6" s="861"/>
      <c r="P6" s="1066"/>
      <c r="Q6" s="861"/>
      <c r="R6" s="861"/>
      <c r="S6" s="861"/>
      <c r="T6" s="861"/>
      <c r="U6" s="861"/>
      <c r="V6" s="861"/>
      <c r="W6" s="860"/>
      <c r="X6" s="1066"/>
      <c r="Y6" s="861"/>
      <c r="Z6" s="861"/>
      <c r="AA6" s="861"/>
      <c r="AB6" s="1066"/>
      <c r="AC6" s="861"/>
      <c r="AD6" s="861"/>
      <c r="AE6" s="861"/>
      <c r="AF6" s="861"/>
      <c r="AH6" s="861"/>
      <c r="AI6" s="861"/>
      <c r="AJ6" s="861"/>
      <c r="AK6" s="861"/>
      <c r="AL6" s="861"/>
      <c r="AM6" s="861"/>
      <c r="AN6" s="861"/>
    </row>
    <row r="7" spans="1:40" ht="13">
      <c r="A7" s="741" t="s">
        <v>1483</v>
      </c>
      <c r="B7" s="1061"/>
      <c r="C7" s="1061"/>
      <c r="D7" s="1061"/>
      <c r="E7" s="1061"/>
      <c r="F7" s="1061"/>
      <c r="G7" s="1061"/>
      <c r="H7" s="1061"/>
      <c r="I7" s="1061"/>
      <c r="J7" s="1061"/>
      <c r="K7" s="1061"/>
      <c r="L7" s="1061"/>
      <c r="M7" s="1061"/>
      <c r="N7" s="1061"/>
      <c r="O7" s="1061"/>
      <c r="P7" s="1067"/>
      <c r="Q7" s="1061"/>
      <c r="R7" s="1061"/>
      <c r="S7" s="1061"/>
      <c r="T7" s="1061"/>
      <c r="U7" s="1061"/>
      <c r="V7" s="1061"/>
      <c r="X7" s="1067"/>
      <c r="Y7" s="1061"/>
    </row>
    <row r="8" spans="1:40">
      <c r="A8" s="2016" t="s">
        <v>2039</v>
      </c>
      <c r="B8" s="1068">
        <v>374.714</v>
      </c>
      <c r="C8" s="1068">
        <v>690.19100000000003</v>
      </c>
      <c r="D8" s="1068">
        <v>474.85399999999998</v>
      </c>
      <c r="E8" s="1068">
        <v>554.08900000000006</v>
      </c>
      <c r="F8" s="1068">
        <v>696.74400000000003</v>
      </c>
      <c r="G8" s="1068">
        <v>1285.951</v>
      </c>
      <c r="H8" s="1068">
        <v>896.03899999999999</v>
      </c>
      <c r="I8" s="1068">
        <v>1201.3720000000001</v>
      </c>
      <c r="J8" s="1068">
        <v>1466.4670000000001</v>
      </c>
      <c r="K8" s="1068">
        <v>2886.5909999999999</v>
      </c>
      <c r="L8" s="1068">
        <v>1804.4490000000001</v>
      </c>
      <c r="M8" s="1068">
        <v>1914.856</v>
      </c>
      <c r="N8" s="1068">
        <v>2213.3240000000001</v>
      </c>
      <c r="O8" s="1068">
        <v>3850.23</v>
      </c>
      <c r="P8" s="1069">
        <v>1948.1179999999999</v>
      </c>
      <c r="Q8" s="1068"/>
      <c r="R8" s="1068"/>
      <c r="S8" s="1068"/>
      <c r="T8" s="1068"/>
      <c r="U8" s="1068"/>
      <c r="V8" s="1068"/>
      <c r="W8" s="1068"/>
      <c r="X8" s="1069"/>
      <c r="Y8" s="1068"/>
      <c r="Z8" s="1068"/>
      <c r="AA8" s="1068"/>
      <c r="AB8" s="1069"/>
      <c r="AC8" s="861"/>
      <c r="AD8" s="861"/>
      <c r="AE8" s="861"/>
      <c r="AF8" s="861"/>
      <c r="AH8" s="861"/>
      <c r="AI8" s="861"/>
      <c r="AJ8" s="861"/>
      <c r="AK8" s="861"/>
      <c r="AL8" s="861"/>
      <c r="AM8" s="861"/>
      <c r="AN8" s="861"/>
    </row>
    <row r="9" spans="1:40">
      <c r="A9" s="2016" t="s">
        <v>2038</v>
      </c>
      <c r="B9" s="1068">
        <v>10.220000000000001</v>
      </c>
      <c r="C9" s="1068">
        <v>15.919</v>
      </c>
      <c r="D9" s="1068">
        <v>7.2809999999999997</v>
      </c>
      <c r="E9" s="1068">
        <v>22.795000000000002</v>
      </c>
      <c r="F9" s="1068">
        <v>16.518999999999998</v>
      </c>
      <c r="G9" s="1068">
        <v>25.2</v>
      </c>
      <c r="H9" s="1068">
        <v>28.61</v>
      </c>
      <c r="I9" s="1068">
        <v>40.406999999999996</v>
      </c>
      <c r="J9" s="1068">
        <v>34.582999999999998</v>
      </c>
      <c r="K9" s="1068">
        <v>66.974000000000004</v>
      </c>
      <c r="L9" s="1068">
        <v>52.198</v>
      </c>
      <c r="M9" s="1068">
        <v>62.302999999999997</v>
      </c>
      <c r="N9" s="1068">
        <v>67.063000000000002</v>
      </c>
      <c r="O9" s="1068">
        <v>67.397999999999996</v>
      </c>
      <c r="P9" s="1069">
        <v>56.585000000000001</v>
      </c>
      <c r="Q9" s="1068"/>
      <c r="R9" s="1068"/>
      <c r="S9" s="1068"/>
      <c r="T9" s="1068"/>
      <c r="U9" s="1068"/>
      <c r="V9" s="1068"/>
      <c r="W9" s="1068"/>
      <c r="X9" s="1069"/>
      <c r="Y9" s="1068"/>
      <c r="Z9" s="1068"/>
      <c r="AA9" s="1068"/>
      <c r="AB9" s="1069"/>
      <c r="AC9" s="861"/>
      <c r="AD9" s="861"/>
      <c r="AE9" s="861"/>
      <c r="AF9" s="861"/>
      <c r="AH9" s="861"/>
      <c r="AI9" s="861"/>
      <c r="AJ9" s="861"/>
      <c r="AK9" s="861"/>
      <c r="AL9" s="861"/>
      <c r="AM9" s="861"/>
      <c r="AN9" s="861"/>
    </row>
    <row r="10" spans="1:40" s="1114" customFormat="1">
      <c r="A10" s="2016" t="s">
        <v>2037</v>
      </c>
      <c r="B10" s="1068">
        <f>SUM(B8,B9)</f>
        <v>384.93400000000003</v>
      </c>
      <c r="C10" s="1068">
        <f>SUM(C8,C9)</f>
        <v>706.11</v>
      </c>
      <c r="D10" s="1068">
        <f>SUM(D8,D9)</f>
        <v>482.13499999999999</v>
      </c>
      <c r="E10" s="1068">
        <f>SUM(E8,E9)</f>
        <v>576.88400000000001</v>
      </c>
      <c r="F10" s="1068">
        <f>SUM(F8,F9)</f>
        <v>713.26300000000003</v>
      </c>
      <c r="G10" s="1068">
        <f t="shared" ref="G10:P10" si="0">SUM(G8,G9)</f>
        <v>1311.1510000000001</v>
      </c>
      <c r="H10" s="1068">
        <f t="shared" si="0"/>
        <v>924.649</v>
      </c>
      <c r="I10" s="1068">
        <f t="shared" si="0"/>
        <v>1241.779</v>
      </c>
      <c r="J10" s="1068">
        <f t="shared" si="0"/>
        <v>1501.0500000000002</v>
      </c>
      <c r="K10" s="1068">
        <f t="shared" si="0"/>
        <v>2953.5650000000001</v>
      </c>
      <c r="L10" s="1068">
        <f t="shared" si="0"/>
        <v>1856.6470000000002</v>
      </c>
      <c r="M10" s="1068">
        <f t="shared" si="0"/>
        <v>1977.1590000000001</v>
      </c>
      <c r="N10" s="1068">
        <f t="shared" si="0"/>
        <v>2280.3870000000002</v>
      </c>
      <c r="O10" s="1068">
        <f t="shared" si="0"/>
        <v>3917.6280000000002</v>
      </c>
      <c r="P10" s="1069">
        <f t="shared" si="0"/>
        <v>2004.703</v>
      </c>
      <c r="Q10" s="1068">
        <v>2015.941</v>
      </c>
      <c r="R10" s="1068">
        <v>2346.3409999999999</v>
      </c>
      <c r="S10" s="1068">
        <v>3936.9780000000001</v>
      </c>
      <c r="T10" s="1068">
        <v>1847.8879999999999</v>
      </c>
      <c r="U10" s="1068">
        <v>355.94799999999998</v>
      </c>
      <c r="V10" s="1068">
        <v>339.30399999999997</v>
      </c>
      <c r="W10" s="1068">
        <v>604.04700000000003</v>
      </c>
      <c r="X10" s="1069">
        <v>290.05399999999997</v>
      </c>
      <c r="Y10" s="1068">
        <v>402.67899999999997</v>
      </c>
      <c r="Z10" s="1068">
        <v>437.60899999999998</v>
      </c>
      <c r="AA10" s="1068">
        <v>632.72299999999996</v>
      </c>
      <c r="AB10" s="1069">
        <v>357.61900000000003</v>
      </c>
      <c r="AC10" s="1068">
        <v>365.89299999999997</v>
      </c>
      <c r="AD10" s="1068">
        <v>429.48200000000003</v>
      </c>
      <c r="AE10" s="1068">
        <v>747.12199999999996</v>
      </c>
      <c r="AF10" s="1068">
        <v>344.32499999999999</v>
      </c>
      <c r="AH10" s="1068"/>
      <c r="AI10" s="1068"/>
      <c r="AJ10" s="1068"/>
      <c r="AK10" s="1068"/>
      <c r="AL10" s="1068"/>
      <c r="AM10" s="1068"/>
      <c r="AN10" s="1068"/>
    </row>
    <row r="11" spans="1:40" s="1114" customFormat="1">
      <c r="A11" s="2016" t="s">
        <v>2040</v>
      </c>
      <c r="B11" s="1068">
        <v>4.8099999999999996</v>
      </c>
      <c r="C11" s="1068">
        <v>5.33</v>
      </c>
      <c r="D11" s="1068">
        <v>6.9809999999999999</v>
      </c>
      <c r="E11" s="1068">
        <v>5.4550000000000001</v>
      </c>
      <c r="F11" s="1068">
        <v>6.827</v>
      </c>
      <c r="G11" s="1068">
        <v>7.6210000000000004</v>
      </c>
      <c r="H11" s="1068">
        <v>8.8520000000000003</v>
      </c>
      <c r="I11" s="1068">
        <v>11.195</v>
      </c>
      <c r="J11" s="1068">
        <v>24.661000000000001</v>
      </c>
      <c r="K11" s="1068">
        <v>44.591999999999999</v>
      </c>
      <c r="L11" s="1068">
        <v>47.295999999999999</v>
      </c>
      <c r="M11" s="1068">
        <v>67.948999999999998</v>
      </c>
      <c r="N11" s="1068">
        <v>85.656999999999996</v>
      </c>
      <c r="O11" s="1068">
        <v>130.04499999999999</v>
      </c>
      <c r="P11" s="1069">
        <v>101.952</v>
      </c>
      <c r="Q11" s="1068">
        <v>68.587999999999994</v>
      </c>
      <c r="R11" s="1068">
        <v>91.272999999999996</v>
      </c>
      <c r="S11" s="1068">
        <v>135.73400000000001</v>
      </c>
      <c r="T11" s="1068">
        <v>105.505</v>
      </c>
      <c r="U11" s="1068">
        <v>100.093</v>
      </c>
      <c r="V11" s="1068">
        <v>120.78400000000001</v>
      </c>
      <c r="W11" s="1068">
        <v>202.03800000000001</v>
      </c>
      <c r="X11" s="1069">
        <v>179.83199999999999</v>
      </c>
      <c r="Y11" s="1068">
        <v>77.853999999999999</v>
      </c>
      <c r="Z11" s="1068">
        <v>87.641000000000005</v>
      </c>
      <c r="AA11" s="1068">
        <v>130.40799999999999</v>
      </c>
      <c r="AB11" s="1069">
        <v>113.616</v>
      </c>
      <c r="AC11" s="1068">
        <v>90.963999999999999</v>
      </c>
      <c r="AD11" s="1068">
        <v>90.847999999999999</v>
      </c>
      <c r="AE11" s="1068">
        <v>105.395</v>
      </c>
      <c r="AF11" s="1068">
        <v>106.958</v>
      </c>
      <c r="AH11" s="1068"/>
      <c r="AI11" s="1068"/>
      <c r="AJ11" s="1068"/>
      <c r="AK11" s="1068"/>
      <c r="AL11" s="1068"/>
      <c r="AM11" s="1068"/>
      <c r="AN11" s="1068"/>
    </row>
    <row r="12" spans="1:40" ht="13">
      <c r="A12" s="741" t="s">
        <v>1485</v>
      </c>
      <c r="B12" s="860">
        <f>SUM(B10,B11)</f>
        <v>389.74400000000003</v>
      </c>
      <c r="C12" s="860">
        <f>SUM(C10,C11)</f>
        <v>711.44</v>
      </c>
      <c r="D12" s="860">
        <f>SUM(D10,D11)</f>
        <v>489.11599999999999</v>
      </c>
      <c r="E12" s="860">
        <f>SUM(E10,E11)</f>
        <v>582.33900000000006</v>
      </c>
      <c r="F12" s="860">
        <f>SUM(F10,F11)</f>
        <v>720.09</v>
      </c>
      <c r="G12" s="860">
        <f t="shared" ref="G12:AB12" si="1">SUM(G10,G11)</f>
        <v>1318.7720000000002</v>
      </c>
      <c r="H12" s="860">
        <f t="shared" si="1"/>
        <v>933.50099999999998</v>
      </c>
      <c r="I12" s="860">
        <f t="shared" si="1"/>
        <v>1252.9739999999999</v>
      </c>
      <c r="J12" s="860">
        <f t="shared" si="1"/>
        <v>1525.7110000000002</v>
      </c>
      <c r="K12" s="860">
        <f t="shared" si="1"/>
        <v>2998.1570000000002</v>
      </c>
      <c r="L12" s="860">
        <f t="shared" si="1"/>
        <v>1903.9430000000002</v>
      </c>
      <c r="M12" s="860">
        <f t="shared" si="1"/>
        <v>2045.1080000000002</v>
      </c>
      <c r="N12" s="860">
        <f t="shared" si="1"/>
        <v>2366.0440000000003</v>
      </c>
      <c r="O12" s="860">
        <f t="shared" si="1"/>
        <v>4047.6730000000002</v>
      </c>
      <c r="P12" s="1063">
        <f t="shared" si="1"/>
        <v>2106.6549999999997</v>
      </c>
      <c r="Q12" s="860">
        <f t="shared" si="1"/>
        <v>2084.529</v>
      </c>
      <c r="R12" s="860">
        <f t="shared" si="1"/>
        <v>2437.614</v>
      </c>
      <c r="S12" s="860">
        <f t="shared" si="1"/>
        <v>4072.712</v>
      </c>
      <c r="T12" s="860">
        <f t="shared" si="1"/>
        <v>1953.393</v>
      </c>
      <c r="U12" s="860">
        <f t="shared" si="1"/>
        <v>456.041</v>
      </c>
      <c r="V12" s="860">
        <f t="shared" si="1"/>
        <v>460.08799999999997</v>
      </c>
      <c r="W12" s="860">
        <f t="shared" si="1"/>
        <v>806.08500000000004</v>
      </c>
      <c r="X12" s="1063">
        <f t="shared" si="1"/>
        <v>469.88599999999997</v>
      </c>
      <c r="Y12" s="860">
        <f t="shared" si="1"/>
        <v>480.53299999999996</v>
      </c>
      <c r="Z12" s="860">
        <f t="shared" si="1"/>
        <v>525.25</v>
      </c>
      <c r="AA12" s="860">
        <f t="shared" si="1"/>
        <v>763.13099999999997</v>
      </c>
      <c r="AB12" s="1063">
        <f t="shared" si="1"/>
        <v>471.23500000000001</v>
      </c>
      <c r="AC12" s="860">
        <f>SUM(AC10,AC11)</f>
        <v>456.85699999999997</v>
      </c>
      <c r="AD12" s="860">
        <f>SUM(AD10,AD11)</f>
        <v>520.33000000000004</v>
      </c>
      <c r="AE12" s="860">
        <f>SUM(AE10,AE11)</f>
        <v>852.51699999999994</v>
      </c>
      <c r="AF12" s="860">
        <f>SUM(AF10,AF11)</f>
        <v>451.28300000000002</v>
      </c>
      <c r="AH12" s="861"/>
      <c r="AI12" s="861"/>
      <c r="AJ12" s="861"/>
      <c r="AK12" s="861"/>
      <c r="AL12" s="861"/>
      <c r="AM12" s="861"/>
      <c r="AN12" s="861"/>
    </row>
    <row r="13" spans="1:40" ht="13.5" customHeight="1">
      <c r="A13" s="742" t="s">
        <v>1160</v>
      </c>
      <c r="B13" s="1070">
        <v>-2.3929999999999998</v>
      </c>
      <c r="C13" s="1070">
        <v>-4.8305309999999997</v>
      </c>
      <c r="D13" s="1070">
        <v>-2.706</v>
      </c>
      <c r="E13" s="1070">
        <v>-4.1669999999999998</v>
      </c>
      <c r="F13" s="1070">
        <v>-3.7290000000000001</v>
      </c>
      <c r="G13" s="1070">
        <v>-7.0679999999999996</v>
      </c>
      <c r="H13" s="1070">
        <v>-4.8029999999999999</v>
      </c>
      <c r="I13" s="1070">
        <v>-4.7469999999999999</v>
      </c>
      <c r="J13" s="1070">
        <v>-7.4790000000000001</v>
      </c>
      <c r="K13" s="1070">
        <v>-14.563000000000001</v>
      </c>
      <c r="L13" s="1070">
        <v>-8.7370000000000001</v>
      </c>
      <c r="M13" s="1070">
        <v>-13.552</v>
      </c>
      <c r="N13" s="1070">
        <v>-3.7549999999999999</v>
      </c>
      <c r="O13" s="1070">
        <v>0</v>
      </c>
      <c r="P13" s="1071">
        <v>0</v>
      </c>
      <c r="Q13" s="1070">
        <v>-13.552</v>
      </c>
      <c r="R13" s="1070">
        <v>-3.7549999999999999</v>
      </c>
      <c r="S13" s="1070">
        <v>0</v>
      </c>
      <c r="T13" s="1070"/>
      <c r="U13" s="1070">
        <v>0</v>
      </c>
      <c r="V13" s="1070">
        <v>0</v>
      </c>
      <c r="W13" s="1070">
        <v>0</v>
      </c>
      <c r="X13" s="1071">
        <v>0</v>
      </c>
      <c r="Y13" s="1070">
        <v>0</v>
      </c>
      <c r="Z13" s="1070">
        <v>0</v>
      </c>
      <c r="AA13" s="1070">
        <v>0</v>
      </c>
      <c r="AB13" s="1071">
        <v>0</v>
      </c>
      <c r="AC13" s="1070">
        <v>0</v>
      </c>
      <c r="AD13" s="1070">
        <v>0</v>
      </c>
      <c r="AE13" s="2062">
        <v>0</v>
      </c>
      <c r="AF13" s="861"/>
      <c r="AH13" s="861"/>
      <c r="AI13" s="861"/>
      <c r="AJ13" s="861"/>
      <c r="AK13" s="861"/>
      <c r="AL13" s="861"/>
      <c r="AM13" s="861"/>
      <c r="AN13" s="861"/>
    </row>
    <row r="14" spans="1:40" ht="13">
      <c r="A14" s="1072" t="s">
        <v>1161</v>
      </c>
      <c r="B14" s="1073">
        <f t="shared" ref="B14:AB14" si="2">B12+B13</f>
        <v>387.35100000000006</v>
      </c>
      <c r="C14" s="1073">
        <f t="shared" si="2"/>
        <v>706.6094690000001</v>
      </c>
      <c r="D14" s="1073">
        <f t="shared" si="2"/>
        <v>486.40999999999997</v>
      </c>
      <c r="E14" s="1073">
        <f t="shared" si="2"/>
        <v>578.17200000000003</v>
      </c>
      <c r="F14" s="1073">
        <f t="shared" si="2"/>
        <v>716.36099999999999</v>
      </c>
      <c r="G14" s="1073">
        <f t="shared" si="2"/>
        <v>1311.7040000000002</v>
      </c>
      <c r="H14" s="1073">
        <f t="shared" si="2"/>
        <v>928.69799999999998</v>
      </c>
      <c r="I14" s="1073">
        <f t="shared" si="2"/>
        <v>1248.2269999999999</v>
      </c>
      <c r="J14" s="1073">
        <f t="shared" si="2"/>
        <v>1518.2320000000002</v>
      </c>
      <c r="K14" s="1073">
        <f t="shared" si="2"/>
        <v>2983.5940000000001</v>
      </c>
      <c r="L14" s="1073">
        <f t="shared" si="2"/>
        <v>1895.2060000000001</v>
      </c>
      <c r="M14" s="1073">
        <f t="shared" si="2"/>
        <v>2031.5560000000003</v>
      </c>
      <c r="N14" s="1073">
        <f t="shared" si="2"/>
        <v>2362.2890000000002</v>
      </c>
      <c r="O14" s="1073">
        <f t="shared" si="2"/>
        <v>4047.6730000000002</v>
      </c>
      <c r="P14" s="1074">
        <f t="shared" si="2"/>
        <v>2106.6549999999997</v>
      </c>
      <c r="Q14" s="1073">
        <f t="shared" si="2"/>
        <v>2070.9769999999999</v>
      </c>
      <c r="R14" s="1073">
        <f t="shared" si="2"/>
        <v>2433.8589999999999</v>
      </c>
      <c r="S14" s="1073">
        <f t="shared" si="2"/>
        <v>4072.712</v>
      </c>
      <c r="T14" s="1073">
        <f t="shared" si="2"/>
        <v>1953.393</v>
      </c>
      <c r="U14" s="1073">
        <f t="shared" si="2"/>
        <v>456.041</v>
      </c>
      <c r="V14" s="1073">
        <f t="shared" si="2"/>
        <v>460.08799999999997</v>
      </c>
      <c r="W14" s="1073">
        <f t="shared" si="2"/>
        <v>806.08500000000004</v>
      </c>
      <c r="X14" s="1074">
        <f t="shared" si="2"/>
        <v>469.88599999999997</v>
      </c>
      <c r="Y14" s="1073">
        <f t="shared" si="2"/>
        <v>480.53299999999996</v>
      </c>
      <c r="Z14" s="1073">
        <f t="shared" si="2"/>
        <v>525.25</v>
      </c>
      <c r="AA14" s="1073">
        <f t="shared" si="2"/>
        <v>763.13099999999997</v>
      </c>
      <c r="AB14" s="1074">
        <f t="shared" si="2"/>
        <v>471.23500000000001</v>
      </c>
      <c r="AC14" s="1073">
        <f>AC12+AC13</f>
        <v>456.85699999999997</v>
      </c>
      <c r="AD14" s="1073">
        <f>AD12+AD13</f>
        <v>520.33000000000004</v>
      </c>
      <c r="AE14" s="1073">
        <f>AE12+AE13</f>
        <v>852.51699999999994</v>
      </c>
      <c r="AF14" s="1073">
        <f>AF12+AF13</f>
        <v>451.28300000000002</v>
      </c>
      <c r="AH14" s="861"/>
      <c r="AI14" s="861"/>
      <c r="AJ14" s="861"/>
      <c r="AK14" s="861"/>
      <c r="AL14" s="861"/>
      <c r="AM14" s="861"/>
      <c r="AN14" s="861"/>
    </row>
    <row r="15" spans="1:40" s="1114" customFormat="1">
      <c r="A15" s="742" t="s">
        <v>1162</v>
      </c>
      <c r="B15" s="1070">
        <v>-356.88</v>
      </c>
      <c r="C15" s="1070">
        <v>-660.86699999999996</v>
      </c>
      <c r="D15" s="1070">
        <v>-469.02699999999999</v>
      </c>
      <c r="E15" s="1070">
        <v>-535.87900000000002</v>
      </c>
      <c r="F15" s="1070">
        <v>-674.31899999999996</v>
      </c>
      <c r="G15" s="1070">
        <v>-1231.473</v>
      </c>
      <c r="H15" s="1070">
        <v>-867.12900000000002</v>
      </c>
      <c r="I15" s="1070">
        <v>-1197.241</v>
      </c>
      <c r="J15" s="1070">
        <v>-1446.4749999999999</v>
      </c>
      <c r="K15" s="1070">
        <v>-2815.402</v>
      </c>
      <c r="L15" s="1070">
        <v>-1815.557</v>
      </c>
      <c r="M15" s="1070">
        <v>-1944.787</v>
      </c>
      <c r="N15" s="1070">
        <v>-2241.6410000000001</v>
      </c>
      <c r="O15" s="1070">
        <v>-3812.1239999999998</v>
      </c>
      <c r="P15" s="1071">
        <v>-1922.752</v>
      </c>
      <c r="Q15" s="1070">
        <v>-1979.6869999999999</v>
      </c>
      <c r="R15" s="1070">
        <v>-2305.6060000000002</v>
      </c>
      <c r="S15" s="1070">
        <v>-3827.529</v>
      </c>
      <c r="T15" s="1070">
        <v>-1778.914</v>
      </c>
      <c r="U15" s="1070">
        <v>-204.73699999999999</v>
      </c>
      <c r="V15" s="1070">
        <v>-219.53</v>
      </c>
      <c r="W15" s="1070">
        <v>-365.20600000000002</v>
      </c>
      <c r="X15" s="1071">
        <v>-234.733</v>
      </c>
      <c r="Y15" s="1070">
        <v>-217.90700000000001</v>
      </c>
      <c r="Z15" s="1070">
        <v>-274.47500000000002</v>
      </c>
      <c r="AA15" s="1070">
        <v>-371.62200000000001</v>
      </c>
      <c r="AB15" s="1071">
        <v>-201.018</v>
      </c>
      <c r="AC15" s="1070">
        <v>-206.01900000000001</v>
      </c>
      <c r="AD15" s="1068">
        <v>-287.33</v>
      </c>
      <c r="AE15" s="1068">
        <v>-472.04</v>
      </c>
      <c r="AF15" s="1068">
        <v>-234.62299999999999</v>
      </c>
      <c r="AH15" s="1068"/>
      <c r="AI15" s="1068"/>
      <c r="AJ15" s="1068"/>
      <c r="AK15" s="1068"/>
      <c r="AL15" s="1068"/>
      <c r="AM15" s="1068"/>
      <c r="AN15" s="1068"/>
    </row>
    <row r="16" spans="1:40">
      <c r="A16" s="742"/>
      <c r="B16" s="860"/>
      <c r="C16" s="860"/>
      <c r="D16" s="860"/>
      <c r="E16" s="860"/>
      <c r="F16" s="860"/>
      <c r="G16" s="860"/>
      <c r="H16" s="860"/>
      <c r="I16" s="860"/>
      <c r="J16" s="860"/>
      <c r="K16" s="860"/>
      <c r="L16" s="860"/>
      <c r="M16" s="860"/>
      <c r="N16" s="860"/>
      <c r="O16" s="860"/>
      <c r="P16" s="1063"/>
      <c r="Q16" s="860"/>
      <c r="R16" s="860"/>
      <c r="S16" s="860"/>
      <c r="T16" s="860"/>
      <c r="U16" s="860"/>
      <c r="V16" s="860"/>
      <c r="W16" s="860"/>
      <c r="X16" s="1063"/>
      <c r="Y16" s="860"/>
      <c r="Z16" s="860"/>
      <c r="AA16" s="860"/>
      <c r="AB16" s="1063"/>
      <c r="AC16" s="860"/>
      <c r="AD16" s="861"/>
      <c r="AE16" s="861"/>
      <c r="AF16" s="861"/>
      <c r="AH16" s="861"/>
      <c r="AI16" s="861"/>
      <c r="AJ16" s="861"/>
      <c r="AK16" s="861"/>
      <c r="AL16" s="861"/>
      <c r="AM16" s="861"/>
      <c r="AN16" s="861"/>
    </row>
    <row r="17" spans="1:40" ht="13">
      <c r="A17" s="1072" t="s">
        <v>19</v>
      </c>
      <c r="B17" s="1073">
        <f t="shared" ref="B17:AB17" si="3">B14+B15</f>
        <v>30.47100000000006</v>
      </c>
      <c r="C17" s="1073">
        <f t="shared" si="3"/>
        <v>45.742469000000142</v>
      </c>
      <c r="D17" s="1073">
        <f t="shared" si="3"/>
        <v>17.382999999999981</v>
      </c>
      <c r="E17" s="1073">
        <f t="shared" si="3"/>
        <v>42.293000000000006</v>
      </c>
      <c r="F17" s="1073">
        <f t="shared" si="3"/>
        <v>42.04200000000003</v>
      </c>
      <c r="G17" s="1073">
        <f t="shared" si="3"/>
        <v>80.231000000000222</v>
      </c>
      <c r="H17" s="1073">
        <f t="shared" si="3"/>
        <v>61.56899999999996</v>
      </c>
      <c r="I17" s="1073">
        <f t="shared" si="3"/>
        <v>50.985999999999876</v>
      </c>
      <c r="J17" s="1073">
        <f t="shared" si="3"/>
        <v>71.757000000000289</v>
      </c>
      <c r="K17" s="1073">
        <f t="shared" si="3"/>
        <v>168.19200000000001</v>
      </c>
      <c r="L17" s="1073">
        <f t="shared" si="3"/>
        <v>79.649000000000115</v>
      </c>
      <c r="M17" s="1073">
        <f t="shared" si="3"/>
        <v>86.769000000000233</v>
      </c>
      <c r="N17" s="1073">
        <f t="shared" si="3"/>
        <v>120.64800000000014</v>
      </c>
      <c r="O17" s="1073">
        <f t="shared" si="3"/>
        <v>235.54900000000043</v>
      </c>
      <c r="P17" s="1074">
        <f t="shared" si="3"/>
        <v>183.90299999999979</v>
      </c>
      <c r="Q17" s="1073">
        <f t="shared" si="3"/>
        <v>91.289999999999964</v>
      </c>
      <c r="R17" s="1073">
        <f t="shared" si="3"/>
        <v>128.2529999999997</v>
      </c>
      <c r="S17" s="1073">
        <f t="shared" si="3"/>
        <v>245.18299999999999</v>
      </c>
      <c r="T17" s="1073">
        <f t="shared" si="3"/>
        <v>174.47900000000004</v>
      </c>
      <c r="U17" s="1073">
        <f t="shared" si="3"/>
        <v>251.304</v>
      </c>
      <c r="V17" s="1073">
        <f t="shared" si="3"/>
        <v>240.55799999999996</v>
      </c>
      <c r="W17" s="1073">
        <f t="shared" si="3"/>
        <v>440.87900000000002</v>
      </c>
      <c r="X17" s="1074">
        <f t="shared" si="3"/>
        <v>235.15299999999996</v>
      </c>
      <c r="Y17" s="1073">
        <f t="shared" si="3"/>
        <v>262.62599999999998</v>
      </c>
      <c r="Z17" s="1073">
        <f t="shared" si="3"/>
        <v>250.77499999999998</v>
      </c>
      <c r="AA17" s="1073">
        <f t="shared" si="3"/>
        <v>391.50899999999996</v>
      </c>
      <c r="AB17" s="1074">
        <f t="shared" si="3"/>
        <v>270.21699999999998</v>
      </c>
      <c r="AC17" s="1073">
        <f>AC14+AC15</f>
        <v>250.83799999999997</v>
      </c>
      <c r="AD17" s="1073">
        <f>AD14+AD15</f>
        <v>233.00000000000006</v>
      </c>
      <c r="AE17" s="1073">
        <f>AE14+AE15</f>
        <v>380.47699999999992</v>
      </c>
      <c r="AF17" s="1073">
        <f>AF14+AF15</f>
        <v>216.66000000000003</v>
      </c>
      <c r="AH17" s="861"/>
      <c r="AI17" s="861"/>
      <c r="AJ17" s="861"/>
      <c r="AK17" s="861"/>
      <c r="AL17" s="861"/>
      <c r="AM17" s="861"/>
      <c r="AN17" s="861"/>
    </row>
    <row r="18" spans="1:40">
      <c r="A18" s="742"/>
      <c r="B18" s="860"/>
      <c r="C18" s="860"/>
      <c r="D18" s="860"/>
      <c r="E18" s="860"/>
      <c r="F18" s="860"/>
      <c r="G18" s="860"/>
      <c r="H18" s="860"/>
      <c r="I18" s="860"/>
      <c r="J18" s="860"/>
      <c r="K18" s="860"/>
      <c r="L18" s="860"/>
      <c r="M18" s="860"/>
      <c r="N18" s="860"/>
      <c r="O18" s="860"/>
      <c r="P18" s="1063"/>
      <c r="Q18" s="860"/>
      <c r="R18" s="860"/>
      <c r="S18" s="860"/>
      <c r="T18" s="860"/>
      <c r="U18" s="860"/>
      <c r="V18" s="860"/>
      <c r="W18" s="860"/>
      <c r="X18" s="1063"/>
      <c r="Y18" s="860"/>
      <c r="Z18" s="860"/>
      <c r="AA18" s="860"/>
      <c r="AB18" s="1063"/>
      <c r="AC18" s="860"/>
      <c r="AD18" s="861"/>
      <c r="AE18" s="861"/>
      <c r="AF18" s="861"/>
      <c r="AH18" s="861"/>
      <c r="AI18" s="861"/>
      <c r="AJ18" s="861"/>
      <c r="AK18" s="861"/>
      <c r="AL18" s="861"/>
      <c r="AM18" s="861"/>
      <c r="AN18" s="861"/>
    </row>
    <row r="19" spans="1:40" ht="13">
      <c r="A19" s="741" t="s">
        <v>1486</v>
      </c>
      <c r="Z19" s="844"/>
      <c r="AA19" s="844"/>
      <c r="AB19" s="852"/>
      <c r="AC19" s="844"/>
    </row>
    <row r="20" spans="1:40" s="1114" customFormat="1">
      <c r="A20" s="743" t="s">
        <v>1487</v>
      </c>
      <c r="B20" s="1070">
        <v>-7.6189999999999998</v>
      </c>
      <c r="C20" s="1070">
        <v>-9.2997999999999994</v>
      </c>
      <c r="D20" s="1070">
        <v>-13.993499999999999</v>
      </c>
      <c r="E20" s="1070">
        <v>-16.975999999999999</v>
      </c>
      <c r="F20" s="1070">
        <v>-21.475999999999999</v>
      </c>
      <c r="G20" s="1070">
        <v>-27.71</v>
      </c>
      <c r="H20" s="1070">
        <v>-38.716999999999999</v>
      </c>
      <c r="I20" s="1070">
        <v>-43.508000000000003</v>
      </c>
      <c r="J20" s="1070">
        <v>-61.530999999999999</v>
      </c>
      <c r="K20" s="1070">
        <v>-87.15</v>
      </c>
      <c r="L20" s="1070">
        <v>-106.011</v>
      </c>
      <c r="M20" s="1070">
        <v>-121.98699999999999</v>
      </c>
      <c r="N20" s="1070">
        <v>-141.25899999999999</v>
      </c>
      <c r="O20" s="1070">
        <v>-168.03299999999999</v>
      </c>
      <c r="P20" s="1071">
        <v>-170.12299999999999</v>
      </c>
      <c r="Q20" s="1070">
        <v>-121.98699999999999</v>
      </c>
      <c r="R20" s="1070">
        <v>-141.25899999999999</v>
      </c>
      <c r="S20" s="1070">
        <v>-168.03299999999999</v>
      </c>
      <c r="T20" s="1070">
        <v>-170.12299999999999</v>
      </c>
      <c r="U20" s="1070">
        <v>-159.40299999999999</v>
      </c>
      <c r="V20" s="1070">
        <v>-146.59800000000001</v>
      </c>
      <c r="W20" s="1070">
        <v>-123.974</v>
      </c>
      <c r="X20" s="1071">
        <v>-111.151</v>
      </c>
      <c r="Y20" s="1070">
        <v>-84.054000000000002</v>
      </c>
      <c r="Z20" s="1070">
        <v>-77.043999999999997</v>
      </c>
      <c r="AA20" s="1070">
        <v>-78.27</v>
      </c>
      <c r="AB20" s="1071">
        <v>-75.853999999999999</v>
      </c>
      <c r="AC20" s="1070">
        <v>-80.016000000000005</v>
      </c>
      <c r="AD20" s="1070">
        <v>-80.197000000000003</v>
      </c>
      <c r="AE20" s="1070">
        <v>-64.31</v>
      </c>
      <c r="AF20" s="2042">
        <v>-79.037999999999997</v>
      </c>
      <c r="AH20" s="2042"/>
      <c r="AI20" s="2042"/>
      <c r="AJ20" s="2042"/>
      <c r="AK20" s="2042"/>
      <c r="AL20" s="2042"/>
      <c r="AM20" s="2042"/>
      <c r="AN20" s="2042"/>
    </row>
    <row r="21" spans="1:40" s="1114" customFormat="1">
      <c r="A21" s="743" t="s">
        <v>1488</v>
      </c>
      <c r="B21" s="1070">
        <v>-19.251000000000001</v>
      </c>
      <c r="C21" s="1070">
        <v>-39.432000000000002</v>
      </c>
      <c r="D21" s="1070">
        <v>-38.381</v>
      </c>
      <c r="E21" s="1070">
        <v>-73.478999999999999</v>
      </c>
      <c r="F21" s="1070">
        <v>-96.914000000000001</v>
      </c>
      <c r="G21" s="1070">
        <v>-120.705</v>
      </c>
      <c r="H21" s="1070">
        <v>-143.09100000000001</v>
      </c>
      <c r="I21" s="1070">
        <v>-189.65100000000001</v>
      </c>
      <c r="J21" s="1070">
        <v>-231.69</v>
      </c>
      <c r="K21" s="1070">
        <v>-337.99400000000003</v>
      </c>
      <c r="L21" s="1070">
        <v>-394.81900000000002</v>
      </c>
      <c r="M21" s="1070">
        <v>-384.41899999999998</v>
      </c>
      <c r="N21" s="1070">
        <v>-623.29600000000005</v>
      </c>
      <c r="O21" s="1070">
        <v>-499.89600000000002</v>
      </c>
      <c r="P21" s="1071">
        <v>-400.81299999999999</v>
      </c>
      <c r="Q21" s="1070">
        <v>-384.59</v>
      </c>
      <c r="R21" s="1070">
        <v>-620.87099999999998</v>
      </c>
      <c r="S21" s="1070">
        <v>-496.84100000000001</v>
      </c>
      <c r="T21" s="1070">
        <v>-398.09500000000003</v>
      </c>
      <c r="U21" s="1070">
        <v>-253.756</v>
      </c>
      <c r="V21" s="1070">
        <v>-221.88800000000001</v>
      </c>
      <c r="W21" s="1070">
        <v>-224.80799999999999</v>
      </c>
      <c r="X21" s="1071">
        <v>-193.696</v>
      </c>
      <c r="Y21" s="1070">
        <v>-185.83099999999999</v>
      </c>
      <c r="Z21" s="1070">
        <v>-173.63800000000001</v>
      </c>
      <c r="AA21" s="1070">
        <v>-209.56299999999999</v>
      </c>
      <c r="AB21" s="1071">
        <v>-209.09399999999999</v>
      </c>
      <c r="AC21" s="1070">
        <v>-218.82</v>
      </c>
      <c r="AD21" s="1070">
        <v>-224.58199999999999</v>
      </c>
      <c r="AE21" s="1070">
        <v>-239.97300000000001</v>
      </c>
      <c r="AF21" s="2042">
        <v>-239.898</v>
      </c>
      <c r="AH21" s="2042"/>
      <c r="AI21" s="2042"/>
      <c r="AJ21" s="2042"/>
      <c r="AK21" s="2042"/>
      <c r="AL21" s="2042"/>
      <c r="AM21" s="2042"/>
      <c r="AN21" s="2042"/>
    </row>
    <row r="22" spans="1:40" s="1114" customFormat="1">
      <c r="A22" s="743" t="s">
        <v>1489</v>
      </c>
      <c r="B22" s="1070">
        <v>-14.773999999999999</v>
      </c>
      <c r="C22" s="1070">
        <v>-17.027000000000001</v>
      </c>
      <c r="D22" s="1070">
        <v>-24.614999999999998</v>
      </c>
      <c r="E22" s="1070">
        <v>-19.736999999999998</v>
      </c>
      <c r="F22" s="1070">
        <v>-41.901000000000003</v>
      </c>
      <c r="G22" s="1070">
        <v>-46.112000000000002</v>
      </c>
      <c r="H22" s="1070">
        <v>-59.237000000000002</v>
      </c>
      <c r="I22" s="1070">
        <v>-62.015999999999998</v>
      </c>
      <c r="J22" s="1070">
        <v>-72.938000000000002</v>
      </c>
      <c r="K22" s="1070">
        <v>-103.899</v>
      </c>
      <c r="L22" s="1070">
        <v>-146.589</v>
      </c>
      <c r="M22" s="1070">
        <v>-143.83000000000001</v>
      </c>
      <c r="N22" s="1070">
        <v>-141.46299999999999</v>
      </c>
      <c r="O22" s="1070">
        <v>-167.99700000000001</v>
      </c>
      <c r="P22" s="1071">
        <v>-205.5</v>
      </c>
      <c r="Q22" s="1070">
        <v>-143.83000000000001</v>
      </c>
      <c r="R22" s="1070">
        <v>-141.46299999999999</v>
      </c>
      <c r="S22" s="1070">
        <v>-167.99700000000001</v>
      </c>
      <c r="T22" s="1070">
        <v>-205.5</v>
      </c>
      <c r="U22" s="1070">
        <v>-151.333</v>
      </c>
      <c r="V22" s="1070">
        <v>-166.09800000000001</v>
      </c>
      <c r="W22" s="1070">
        <v>-165.874</v>
      </c>
      <c r="X22" s="1071">
        <v>-154.49299999999999</v>
      </c>
      <c r="Y22" s="1070">
        <v>-114.60899999999999</v>
      </c>
      <c r="Z22" s="1070">
        <v>-129.31700000000001</v>
      </c>
      <c r="AA22" s="1070">
        <v>-122.93600000000001</v>
      </c>
      <c r="AB22" s="1071">
        <v>-120.51</v>
      </c>
      <c r="AC22" s="1070">
        <v>-135.072</v>
      </c>
      <c r="AD22" s="1070">
        <v>-134.38900000000001</v>
      </c>
      <c r="AE22" s="1070">
        <v>-138.45599999999999</v>
      </c>
      <c r="AF22" s="2042">
        <v>-341.48700000000002</v>
      </c>
      <c r="AH22" s="2042"/>
      <c r="AI22" s="2042"/>
      <c r="AJ22" s="2042"/>
      <c r="AK22" s="2042"/>
      <c r="AL22" s="2042"/>
      <c r="AM22" s="2042"/>
      <c r="AN22" s="2042"/>
    </row>
    <row r="23" spans="1:40" s="1114" customFormat="1">
      <c r="A23" s="1075" t="s">
        <v>1490</v>
      </c>
      <c r="B23" s="1076">
        <v>0.56499999999999995</v>
      </c>
      <c r="C23" s="1076">
        <v>0.49199999999999999</v>
      </c>
      <c r="D23" s="1076">
        <v>0.42699999999999999</v>
      </c>
      <c r="E23" s="1076">
        <v>1.3740000000000001</v>
      </c>
      <c r="F23" s="1076">
        <v>1.1379999999999999</v>
      </c>
      <c r="G23" s="1076">
        <v>1.3919999999999999</v>
      </c>
      <c r="H23" s="1076">
        <v>2.996</v>
      </c>
      <c r="I23" s="1076">
        <v>1.357</v>
      </c>
      <c r="J23" s="1076">
        <v>2.319</v>
      </c>
      <c r="K23" s="1076">
        <v>2.1619999999999999</v>
      </c>
      <c r="L23" s="1076">
        <v>6.3360000000000003</v>
      </c>
      <c r="M23" s="1076">
        <v>2.1840000000000002</v>
      </c>
      <c r="N23" s="1076">
        <v>5.4509999999999996</v>
      </c>
      <c r="O23" s="1076">
        <v>3.6179999999999999</v>
      </c>
      <c r="P23" s="1077">
        <v>11.07</v>
      </c>
      <c r="Q23" s="1076">
        <v>2.1840000000000002</v>
      </c>
      <c r="R23" s="1076">
        <v>5.4509999999999996</v>
      </c>
      <c r="S23" s="1076">
        <v>3.6179999999999999</v>
      </c>
      <c r="T23" s="1076">
        <v>11.07</v>
      </c>
      <c r="U23" s="1076">
        <v>5.2329999999999997</v>
      </c>
      <c r="V23" s="1076">
        <v>5.4210000000000003</v>
      </c>
      <c r="W23" s="1076">
        <v>7.7569999999999997</v>
      </c>
      <c r="X23" s="1077">
        <v>3.3479999999999999</v>
      </c>
      <c r="Y23" s="1076">
        <v>0.73499999999999999</v>
      </c>
      <c r="Z23" s="1076">
        <v>8.0779999999999994</v>
      </c>
      <c r="AA23" s="1076">
        <v>15.656000000000001</v>
      </c>
      <c r="AB23" s="1077">
        <v>32.130000000000003</v>
      </c>
      <c r="AC23" s="1076">
        <v>2.5430000000000001</v>
      </c>
      <c r="AD23" s="1070">
        <v>6.9249999999999998</v>
      </c>
      <c r="AE23" s="1070">
        <v>5.4059999999999997</v>
      </c>
      <c r="AF23" s="1068">
        <v>9.5449999999999999</v>
      </c>
      <c r="AH23" s="1068"/>
      <c r="AI23" s="1068"/>
      <c r="AJ23" s="1068"/>
      <c r="AK23" s="1068"/>
      <c r="AL23" s="1068"/>
      <c r="AM23" s="1068"/>
      <c r="AN23" s="1068"/>
    </row>
    <row r="24" spans="1:40">
      <c r="A24" s="1078" t="s">
        <v>1491</v>
      </c>
      <c r="B24" s="860">
        <f t="shared" ref="B24:AB24" si="4">SUM(B20,B21,B22,B23)</f>
        <v>-41.079000000000001</v>
      </c>
      <c r="C24" s="860">
        <f t="shared" si="4"/>
        <v>-65.266800000000003</v>
      </c>
      <c r="D24" s="860">
        <f t="shared" si="4"/>
        <v>-76.562499999999986</v>
      </c>
      <c r="E24" s="860">
        <f t="shared" si="4"/>
        <v>-108.818</v>
      </c>
      <c r="F24" s="860">
        <f t="shared" si="4"/>
        <v>-159.15299999999999</v>
      </c>
      <c r="G24" s="860">
        <f t="shared" si="4"/>
        <v>-193.13499999999999</v>
      </c>
      <c r="H24" s="860">
        <f t="shared" si="4"/>
        <v>-238.04899999999998</v>
      </c>
      <c r="I24" s="860">
        <f t="shared" si="4"/>
        <v>-293.81799999999998</v>
      </c>
      <c r="J24" s="860">
        <f t="shared" si="4"/>
        <v>-363.84</v>
      </c>
      <c r="K24" s="860">
        <f t="shared" si="4"/>
        <v>-526.88099999999997</v>
      </c>
      <c r="L24" s="860">
        <f t="shared" si="4"/>
        <v>-641.08300000000008</v>
      </c>
      <c r="M24" s="860">
        <f t="shared" si="4"/>
        <v>-648.05200000000002</v>
      </c>
      <c r="N24" s="860">
        <f t="shared" si="4"/>
        <v>-900.56700000000001</v>
      </c>
      <c r="O24" s="860">
        <f t="shared" si="4"/>
        <v>-832.30799999999988</v>
      </c>
      <c r="P24" s="1063">
        <f t="shared" si="4"/>
        <v>-765.36599999999987</v>
      </c>
      <c r="Q24" s="860">
        <f t="shared" si="4"/>
        <v>-648.22300000000007</v>
      </c>
      <c r="R24" s="860">
        <f t="shared" si="4"/>
        <v>-898.14199999999994</v>
      </c>
      <c r="S24" s="860">
        <f t="shared" si="4"/>
        <v>-829.25300000000004</v>
      </c>
      <c r="T24" s="860">
        <f t="shared" si="4"/>
        <v>-762.64800000000002</v>
      </c>
      <c r="U24" s="860">
        <f t="shared" si="4"/>
        <v>-559.25900000000001</v>
      </c>
      <c r="V24" s="860">
        <f t="shared" si="4"/>
        <v>-529.16300000000001</v>
      </c>
      <c r="W24" s="860">
        <f t="shared" si="4"/>
        <v>-506.89899999999994</v>
      </c>
      <c r="X24" s="1063">
        <f t="shared" si="4"/>
        <v>-455.99199999999996</v>
      </c>
      <c r="Y24" s="860">
        <f t="shared" si="4"/>
        <v>-383.75899999999996</v>
      </c>
      <c r="Z24" s="860">
        <f t="shared" si="4"/>
        <v>-371.92100000000005</v>
      </c>
      <c r="AA24" s="860">
        <f t="shared" si="4"/>
        <v>-395.113</v>
      </c>
      <c r="AB24" s="1063">
        <f t="shared" si="4"/>
        <v>-373.32799999999997</v>
      </c>
      <c r="AC24" s="860">
        <f>SUM(AC20,AC21,AC22,AC23)</f>
        <v>-431.36500000000001</v>
      </c>
      <c r="AD24" s="2045">
        <f>SUM(AD20,AD21,AD22,AD23)</f>
        <v>-432.24299999999999</v>
      </c>
      <c r="AE24" s="2045">
        <f>SUM(AE20,AE21,AE22,AE23)</f>
        <v>-437.33300000000003</v>
      </c>
      <c r="AF24" s="2045">
        <f>SUM(AF20,AF21,AF22,AF23)</f>
        <v>-650.87800000000004</v>
      </c>
      <c r="AH24" s="864"/>
      <c r="AI24" s="864"/>
      <c r="AJ24" s="864"/>
      <c r="AK24" s="864"/>
      <c r="AL24" s="864"/>
      <c r="AM24" s="864"/>
      <c r="AN24" s="864"/>
    </row>
    <row r="25" spans="1:40">
      <c r="A25" s="1078"/>
      <c r="B25" s="865"/>
      <c r="C25" s="865"/>
      <c r="D25" s="865"/>
      <c r="E25" s="865"/>
      <c r="F25" s="865"/>
      <c r="G25" s="865"/>
      <c r="H25" s="865"/>
      <c r="I25" s="865"/>
      <c r="J25" s="865"/>
      <c r="K25" s="865"/>
      <c r="L25" s="865"/>
      <c r="M25" s="865"/>
      <c r="N25" s="865"/>
      <c r="O25" s="865"/>
      <c r="P25" s="1079"/>
      <c r="Q25" s="865"/>
      <c r="R25" s="865"/>
      <c r="S25" s="865"/>
      <c r="T25" s="865"/>
      <c r="U25" s="865"/>
      <c r="V25" s="865"/>
      <c r="W25" s="865"/>
      <c r="X25" s="1079"/>
      <c r="Y25" s="865"/>
      <c r="Z25" s="865"/>
      <c r="AA25" s="865"/>
      <c r="AB25" s="1079"/>
      <c r="AC25" s="865"/>
      <c r="AD25" s="864"/>
      <c r="AE25" s="864"/>
      <c r="AF25" s="864"/>
      <c r="AH25" s="864"/>
      <c r="AI25" s="864"/>
      <c r="AJ25" s="864"/>
      <c r="AK25" s="864"/>
      <c r="AL25" s="864"/>
      <c r="AM25" s="864"/>
      <c r="AN25" s="864"/>
    </row>
    <row r="26" spans="1:40" ht="13">
      <c r="A26" s="741" t="s">
        <v>1492</v>
      </c>
      <c r="B26" s="865"/>
      <c r="C26" s="865"/>
      <c r="D26" s="865"/>
      <c r="E26" s="865"/>
      <c r="F26" s="865"/>
      <c r="G26" s="865"/>
      <c r="H26" s="865"/>
      <c r="I26" s="865"/>
      <c r="J26" s="865"/>
      <c r="K26" s="865"/>
      <c r="L26" s="865"/>
      <c r="M26" s="865"/>
      <c r="N26" s="865"/>
      <c r="O26" s="865"/>
      <c r="P26" s="1079"/>
      <c r="Q26" s="865"/>
      <c r="R26" s="865"/>
      <c r="S26" s="865"/>
      <c r="T26" s="865"/>
      <c r="U26" s="865"/>
      <c r="V26" s="865"/>
      <c r="W26" s="865"/>
      <c r="X26" s="1079"/>
      <c r="Y26" s="865"/>
      <c r="Z26" s="865"/>
      <c r="AA26" s="865"/>
      <c r="AB26" s="1079"/>
      <c r="AC26" s="865"/>
      <c r="AD26" s="864"/>
      <c r="AE26" s="864"/>
      <c r="AF26" s="864"/>
      <c r="AH26" s="864"/>
      <c r="AI26" s="864"/>
      <c r="AJ26" s="864"/>
      <c r="AK26" s="864"/>
      <c r="AL26" s="864"/>
      <c r="AM26" s="864"/>
      <c r="AN26" s="864"/>
    </row>
    <row r="27" spans="1:40" s="1114" customFormat="1">
      <c r="A27" s="743" t="s">
        <v>1493</v>
      </c>
      <c r="B27" s="1070"/>
      <c r="C27" s="1070"/>
      <c r="D27" s="1070"/>
      <c r="E27" s="1070"/>
      <c r="F27" s="1070">
        <v>0.65500000000000003</v>
      </c>
      <c r="G27" s="1070">
        <v>6.6000000000000003E-2</v>
      </c>
      <c r="H27" s="1070">
        <v>7.8E-2</v>
      </c>
      <c r="I27" s="1070">
        <v>0.16500000000000001</v>
      </c>
      <c r="J27" s="1070">
        <v>0.19600000000000001</v>
      </c>
      <c r="K27" s="1070">
        <v>0.21299999999999999</v>
      </c>
      <c r="L27" s="1070">
        <v>0.21099999999999999</v>
      </c>
      <c r="M27" s="1070">
        <v>0.23799999999999999</v>
      </c>
      <c r="N27" s="1070">
        <v>0.182</v>
      </c>
      <c r="O27" s="1070">
        <v>0.19500000000000001</v>
      </c>
      <c r="P27" s="1071">
        <v>0.27600000000000002</v>
      </c>
      <c r="Q27" s="1070">
        <v>0.23799999999999999</v>
      </c>
      <c r="R27" s="1070">
        <v>0.182</v>
      </c>
      <c r="S27" s="1070">
        <v>0.19500000000000001</v>
      </c>
      <c r="T27" s="1070">
        <v>0.27600000000000002</v>
      </c>
      <c r="U27" s="1070">
        <v>0.32100000000000001</v>
      </c>
      <c r="V27" s="1070">
        <v>0.29599999999999999</v>
      </c>
      <c r="W27" s="1070">
        <v>0.22800000000000001</v>
      </c>
      <c r="X27" s="1071">
        <v>0.23</v>
      </c>
      <c r="Y27" s="1070">
        <v>0.22700000000000001</v>
      </c>
      <c r="Z27" s="1070">
        <v>0.25</v>
      </c>
      <c r="AA27" s="1070">
        <v>0.61399999999999999</v>
      </c>
      <c r="AB27" s="1071">
        <v>0.39200000000000002</v>
      </c>
      <c r="AC27" s="1070">
        <v>1.869</v>
      </c>
      <c r="AD27" s="1068">
        <v>1.827</v>
      </c>
      <c r="AE27" s="1068">
        <v>5.1999999999999998E-2</v>
      </c>
      <c r="AF27" s="1068">
        <v>0.25800000000000001</v>
      </c>
      <c r="AH27" s="1068"/>
      <c r="AI27" s="1068"/>
      <c r="AJ27" s="1068"/>
      <c r="AK27" s="1068"/>
      <c r="AL27" s="1068"/>
      <c r="AM27" s="1068"/>
      <c r="AN27" s="1068"/>
    </row>
    <row r="28" spans="1:40" s="1114" customFormat="1">
      <c r="A28" s="743" t="s">
        <v>1487</v>
      </c>
      <c r="B28" s="1070"/>
      <c r="C28" s="1070"/>
      <c r="D28" s="1070"/>
      <c r="E28" s="1070"/>
      <c r="F28" s="1070">
        <v>1.232</v>
      </c>
      <c r="G28" s="1070">
        <v>0.26500000000000001</v>
      </c>
      <c r="H28" s="1070">
        <v>0.47299999999999998</v>
      </c>
      <c r="I28" s="1070">
        <v>0.70499999999999996</v>
      </c>
      <c r="J28" s="1070">
        <v>0.86599999999999999</v>
      </c>
      <c r="K28" s="1070">
        <v>0.83799999999999997</v>
      </c>
      <c r="L28" s="1070">
        <v>1.129</v>
      </c>
      <c r="M28" s="1070">
        <v>1.3169999999999999</v>
      </c>
      <c r="N28" s="1070">
        <v>1.2889999999999999</v>
      </c>
      <c r="O28" s="1070">
        <v>1.387</v>
      </c>
      <c r="P28" s="1071">
        <v>1.7090000000000001</v>
      </c>
      <c r="Q28" s="1070">
        <v>1.3169999999999999</v>
      </c>
      <c r="R28" s="1070">
        <v>1.2889999999999999</v>
      </c>
      <c r="S28" s="1070">
        <v>1.387</v>
      </c>
      <c r="T28" s="1070">
        <v>1.7090000000000001</v>
      </c>
      <c r="U28" s="1070">
        <v>1.7829999999999999</v>
      </c>
      <c r="V28" s="1070">
        <v>1.752</v>
      </c>
      <c r="W28" s="1070">
        <v>2.0049999999999999</v>
      </c>
      <c r="X28" s="1071">
        <v>1.3240000000000001</v>
      </c>
      <c r="Y28" s="1070">
        <v>1.26</v>
      </c>
      <c r="Z28" s="1070">
        <v>1.901</v>
      </c>
      <c r="AA28" s="1070">
        <v>3.79</v>
      </c>
      <c r="AB28" s="1071">
        <v>2.173</v>
      </c>
      <c r="AC28" s="1070">
        <v>5.0410000000000004</v>
      </c>
      <c r="AD28" s="1068">
        <v>4.1120000000000001</v>
      </c>
      <c r="AE28" s="1068">
        <v>2.0649999999999999</v>
      </c>
      <c r="AF28" s="1068">
        <v>0.83899999999999997</v>
      </c>
      <c r="AH28" s="1068"/>
      <c r="AI28" s="1068"/>
      <c r="AJ28" s="1068"/>
      <c r="AK28" s="1068"/>
      <c r="AL28" s="1068"/>
      <c r="AM28" s="1068"/>
      <c r="AN28" s="1068"/>
    </row>
    <row r="29" spans="1:40" s="1114" customFormat="1">
      <c r="A29" s="743" t="s">
        <v>1488</v>
      </c>
      <c r="B29" s="1070"/>
      <c r="C29" s="1070"/>
      <c r="D29" s="1070"/>
      <c r="E29" s="1070"/>
      <c r="F29" s="1070">
        <v>0.68100000000000005</v>
      </c>
      <c r="G29" s="1070">
        <v>4.1000000000000002E-2</v>
      </c>
      <c r="H29" s="1070">
        <v>0.13300000000000001</v>
      </c>
      <c r="I29" s="1070">
        <v>0.23</v>
      </c>
      <c r="J29" s="1070">
        <v>0.29799999999999999</v>
      </c>
      <c r="K29" s="1070">
        <v>0.30499999999999999</v>
      </c>
      <c r="L29" s="1070">
        <v>0.30199999999999999</v>
      </c>
      <c r="M29" s="1070">
        <v>0.32300000000000001</v>
      </c>
      <c r="N29" s="1070">
        <v>0.32800000000000001</v>
      </c>
      <c r="O29" s="1070">
        <v>0.32</v>
      </c>
      <c r="P29" s="1071">
        <v>0.41899999999999998</v>
      </c>
      <c r="Q29" s="1070">
        <v>0.32300000000000001</v>
      </c>
      <c r="R29" s="1070">
        <v>0.32800000000000001</v>
      </c>
      <c r="S29" s="1070">
        <v>0.32</v>
      </c>
      <c r="T29" s="1070">
        <v>0.41899999999999998</v>
      </c>
      <c r="U29" s="1070">
        <v>0.47699999999999998</v>
      </c>
      <c r="V29" s="1070">
        <v>0.42699999999999999</v>
      </c>
      <c r="W29" s="1070">
        <v>0.54500000000000004</v>
      </c>
      <c r="X29" s="1071">
        <v>0.20100000000000001</v>
      </c>
      <c r="Y29" s="1070">
        <v>0.185</v>
      </c>
      <c r="Z29" s="1070">
        <v>0.23100000000000001</v>
      </c>
      <c r="AA29" s="1070">
        <v>0.55600000000000005</v>
      </c>
      <c r="AB29" s="1071">
        <v>0.33300000000000002</v>
      </c>
      <c r="AC29" s="1070">
        <v>1.4159999999999999</v>
      </c>
      <c r="AD29" s="1068">
        <v>1.5189999999999999</v>
      </c>
      <c r="AE29" s="1068">
        <v>0.11899999999999999</v>
      </c>
      <c r="AF29" s="1068">
        <v>0.26700000000000002</v>
      </c>
      <c r="AH29" s="1068"/>
      <c r="AI29" s="1068"/>
      <c r="AJ29" s="1068"/>
      <c r="AK29" s="1068"/>
      <c r="AL29" s="1068"/>
      <c r="AM29" s="1068"/>
      <c r="AN29" s="1068"/>
    </row>
    <row r="30" spans="1:40" s="1114" customFormat="1">
      <c r="A30" s="1075" t="s">
        <v>1489</v>
      </c>
      <c r="B30" s="1076"/>
      <c r="C30" s="1076"/>
      <c r="D30" s="1076"/>
      <c r="E30" s="1076"/>
      <c r="F30" s="1076">
        <v>16.417000000000002</v>
      </c>
      <c r="G30" s="1076">
        <v>8.8420000000000005</v>
      </c>
      <c r="H30" s="1076">
        <v>10.282999999999999</v>
      </c>
      <c r="I30" s="1076">
        <v>11.772</v>
      </c>
      <c r="J30" s="1076">
        <v>10.441000000000001</v>
      </c>
      <c r="K30" s="1076">
        <v>16.634</v>
      </c>
      <c r="L30" s="1076">
        <v>20.838999999999999</v>
      </c>
      <c r="M30" s="1076">
        <v>19.64</v>
      </c>
      <c r="N30" s="1076">
        <v>21.532</v>
      </c>
      <c r="O30" s="1076">
        <v>19.606999999999999</v>
      </c>
      <c r="P30" s="1077">
        <v>23.657</v>
      </c>
      <c r="Q30" s="1076">
        <v>19.64</v>
      </c>
      <c r="R30" s="1076">
        <v>21.532</v>
      </c>
      <c r="S30" s="1076">
        <v>19.606999999999999</v>
      </c>
      <c r="T30" s="1076">
        <v>23.657</v>
      </c>
      <c r="U30" s="1076">
        <v>23.138999999999999</v>
      </c>
      <c r="V30" s="1076">
        <v>20.407</v>
      </c>
      <c r="W30" s="1076">
        <v>28.451000000000001</v>
      </c>
      <c r="X30" s="1077">
        <v>17.088999999999999</v>
      </c>
      <c r="Y30" s="1076">
        <v>10.709</v>
      </c>
      <c r="Z30" s="1076">
        <v>22.484999999999999</v>
      </c>
      <c r="AA30" s="1076">
        <v>14.731</v>
      </c>
      <c r="AB30" s="1077">
        <v>8.9009999999999998</v>
      </c>
      <c r="AC30" s="1076">
        <v>14.835000000000001</v>
      </c>
      <c r="AD30" s="1068">
        <v>8.7230000000000008</v>
      </c>
      <c r="AE30" s="1068">
        <v>13.294</v>
      </c>
      <c r="AF30" s="1068">
        <v>5.5</v>
      </c>
      <c r="AH30" s="1068"/>
      <c r="AI30" s="1068"/>
      <c r="AJ30" s="1068"/>
      <c r="AK30" s="1068"/>
      <c r="AL30" s="1068"/>
      <c r="AM30" s="1068"/>
      <c r="AN30" s="1068"/>
    </row>
    <row r="31" spans="1:40">
      <c r="A31" s="745" t="s">
        <v>1494</v>
      </c>
      <c r="B31" s="1080">
        <f t="shared" ref="B31:AB31" si="5">SUM(B27,B28,B29,B30)</f>
        <v>0</v>
      </c>
      <c r="C31" s="1080">
        <f t="shared" si="5"/>
        <v>0</v>
      </c>
      <c r="D31" s="1080">
        <f t="shared" si="5"/>
        <v>0</v>
      </c>
      <c r="E31" s="1080">
        <f t="shared" si="5"/>
        <v>0</v>
      </c>
      <c r="F31" s="1080">
        <f t="shared" si="5"/>
        <v>18.985000000000003</v>
      </c>
      <c r="G31" s="1080">
        <f t="shared" si="5"/>
        <v>9.2140000000000004</v>
      </c>
      <c r="H31" s="1080">
        <f t="shared" si="5"/>
        <v>10.966999999999999</v>
      </c>
      <c r="I31" s="1080">
        <f t="shared" si="5"/>
        <v>12.872</v>
      </c>
      <c r="J31" s="1080">
        <f t="shared" si="5"/>
        <v>11.801</v>
      </c>
      <c r="K31" s="1080">
        <f t="shared" si="5"/>
        <v>17.990000000000002</v>
      </c>
      <c r="L31" s="1080">
        <f t="shared" si="5"/>
        <v>22.480999999999998</v>
      </c>
      <c r="M31" s="1080">
        <f t="shared" si="5"/>
        <v>21.518000000000001</v>
      </c>
      <c r="N31" s="1080">
        <f t="shared" si="5"/>
        <v>23.331</v>
      </c>
      <c r="O31" s="1080">
        <f t="shared" si="5"/>
        <v>21.509</v>
      </c>
      <c r="P31" s="1081">
        <f t="shared" si="5"/>
        <v>26.061</v>
      </c>
      <c r="Q31" s="1080">
        <f t="shared" si="5"/>
        <v>21.518000000000001</v>
      </c>
      <c r="R31" s="1080">
        <f t="shared" si="5"/>
        <v>23.331</v>
      </c>
      <c r="S31" s="1080">
        <f t="shared" si="5"/>
        <v>21.509</v>
      </c>
      <c r="T31" s="1080">
        <f t="shared" si="5"/>
        <v>26.061</v>
      </c>
      <c r="U31" s="1080">
        <f t="shared" si="5"/>
        <v>25.72</v>
      </c>
      <c r="V31" s="1080">
        <f t="shared" si="5"/>
        <v>22.882000000000001</v>
      </c>
      <c r="W31" s="1080">
        <f t="shared" si="5"/>
        <v>31.228999999999999</v>
      </c>
      <c r="X31" s="1081">
        <f t="shared" si="5"/>
        <v>18.843999999999998</v>
      </c>
      <c r="Y31" s="1080">
        <f t="shared" si="5"/>
        <v>12.381</v>
      </c>
      <c r="Z31" s="1080">
        <f t="shared" si="5"/>
        <v>24.866999999999997</v>
      </c>
      <c r="AA31" s="1080">
        <f t="shared" si="5"/>
        <v>19.690999999999999</v>
      </c>
      <c r="AB31" s="1081">
        <f t="shared" si="5"/>
        <v>11.798999999999999</v>
      </c>
      <c r="AC31" s="1080">
        <f>SUM(AC27,AC28,AC29,AC30)</f>
        <v>23.161000000000001</v>
      </c>
      <c r="AD31" s="2046">
        <f>SUM(AD27,AD28,AD29,AD30)</f>
        <v>16.181000000000001</v>
      </c>
      <c r="AE31" s="2046">
        <f>SUM(AE27,AE28,AE29,AE30)</f>
        <v>15.530000000000001</v>
      </c>
      <c r="AF31" s="2046">
        <f>SUM(AF27,AF28,AF29,AF30)</f>
        <v>6.8639999999999999</v>
      </c>
    </row>
    <row r="32" spans="1:40">
      <c r="A32" s="745"/>
      <c r="Z32" s="844"/>
      <c r="AA32" s="844"/>
      <c r="AB32" s="852"/>
      <c r="AC32" s="844"/>
    </row>
    <row r="33" spans="1:40" ht="13">
      <c r="A33" s="741" t="s">
        <v>1495</v>
      </c>
      <c r="Z33" s="844"/>
      <c r="AA33" s="844"/>
      <c r="AB33" s="852"/>
      <c r="AC33" s="844"/>
    </row>
    <row r="34" spans="1:40">
      <c r="A34" s="743" t="s">
        <v>1487</v>
      </c>
      <c r="B34" s="860">
        <f t="shared" ref="B34:AB36" si="6">B20+B28</f>
        <v>-7.6189999999999998</v>
      </c>
      <c r="C34" s="860">
        <f t="shared" si="6"/>
        <v>-9.2997999999999994</v>
      </c>
      <c r="D34" s="860">
        <f t="shared" si="6"/>
        <v>-13.993499999999999</v>
      </c>
      <c r="E34" s="860">
        <f t="shared" si="6"/>
        <v>-16.975999999999999</v>
      </c>
      <c r="F34" s="860">
        <f t="shared" si="6"/>
        <v>-20.244</v>
      </c>
      <c r="G34" s="860">
        <f t="shared" si="6"/>
        <v>-27.445</v>
      </c>
      <c r="H34" s="860">
        <f t="shared" si="6"/>
        <v>-38.244</v>
      </c>
      <c r="I34" s="860">
        <f t="shared" si="6"/>
        <v>-42.803000000000004</v>
      </c>
      <c r="J34" s="860">
        <f t="shared" si="6"/>
        <v>-60.664999999999999</v>
      </c>
      <c r="K34" s="860">
        <f t="shared" si="6"/>
        <v>-86.312000000000012</v>
      </c>
      <c r="L34" s="860">
        <f t="shared" si="6"/>
        <v>-104.88199999999999</v>
      </c>
      <c r="M34" s="860">
        <f t="shared" si="6"/>
        <v>-120.67</v>
      </c>
      <c r="N34" s="860">
        <f t="shared" si="6"/>
        <v>-139.97</v>
      </c>
      <c r="O34" s="860">
        <f t="shared" si="6"/>
        <v>-166.64599999999999</v>
      </c>
      <c r="P34" s="1063">
        <f t="shared" si="6"/>
        <v>-168.41399999999999</v>
      </c>
      <c r="Q34" s="860">
        <f t="shared" si="6"/>
        <v>-120.67</v>
      </c>
      <c r="R34" s="860">
        <f t="shared" si="6"/>
        <v>-139.97</v>
      </c>
      <c r="S34" s="860">
        <f t="shared" si="6"/>
        <v>-166.64599999999999</v>
      </c>
      <c r="T34" s="860">
        <f t="shared" si="6"/>
        <v>-168.41399999999999</v>
      </c>
      <c r="U34" s="860">
        <f t="shared" si="6"/>
        <v>-157.62</v>
      </c>
      <c r="V34" s="860">
        <f t="shared" si="6"/>
        <v>-144.846</v>
      </c>
      <c r="W34" s="860">
        <f t="shared" si="6"/>
        <v>-121.96900000000001</v>
      </c>
      <c r="X34" s="1063">
        <f t="shared" si="6"/>
        <v>-109.827</v>
      </c>
      <c r="Y34" s="860">
        <f t="shared" si="6"/>
        <v>-82.793999999999997</v>
      </c>
      <c r="Z34" s="860">
        <f t="shared" si="6"/>
        <v>-75.143000000000001</v>
      </c>
      <c r="AA34" s="860">
        <f t="shared" si="6"/>
        <v>-74.47999999999999</v>
      </c>
      <c r="AB34" s="1063">
        <f t="shared" si="6"/>
        <v>-73.680999999999997</v>
      </c>
      <c r="AC34" s="860">
        <f t="shared" ref="AC34:AD36" si="7">AC20+AC28</f>
        <v>-74.975000000000009</v>
      </c>
      <c r="AD34" s="860">
        <f t="shared" si="7"/>
        <v>-76.085000000000008</v>
      </c>
      <c r="AE34" s="860">
        <f t="shared" ref="AE34:AF36" si="8">AE20+AE28</f>
        <v>-62.245000000000005</v>
      </c>
      <c r="AF34" s="860">
        <f t="shared" si="8"/>
        <v>-78.198999999999998</v>
      </c>
      <c r="AH34" s="962"/>
      <c r="AI34" s="962"/>
      <c r="AJ34" s="962"/>
      <c r="AK34" s="962"/>
      <c r="AL34" s="962"/>
      <c r="AM34" s="962"/>
      <c r="AN34" s="962"/>
    </row>
    <row r="35" spans="1:40">
      <c r="A35" s="743" t="s">
        <v>1488</v>
      </c>
      <c r="B35" s="860">
        <f t="shared" si="6"/>
        <v>-19.251000000000001</v>
      </c>
      <c r="C35" s="860">
        <f t="shared" si="6"/>
        <v>-39.432000000000002</v>
      </c>
      <c r="D35" s="860">
        <f t="shared" si="6"/>
        <v>-38.381</v>
      </c>
      <c r="E35" s="860">
        <f t="shared" si="6"/>
        <v>-73.478999999999999</v>
      </c>
      <c r="F35" s="860">
        <f t="shared" si="6"/>
        <v>-96.233000000000004</v>
      </c>
      <c r="G35" s="860">
        <f t="shared" si="6"/>
        <v>-120.664</v>
      </c>
      <c r="H35" s="860">
        <f t="shared" si="6"/>
        <v>-142.958</v>
      </c>
      <c r="I35" s="860">
        <f t="shared" si="6"/>
        <v>-189.42100000000002</v>
      </c>
      <c r="J35" s="860">
        <f t="shared" si="6"/>
        <v>-231.392</v>
      </c>
      <c r="K35" s="860">
        <f t="shared" si="6"/>
        <v>-337.68900000000002</v>
      </c>
      <c r="L35" s="860">
        <f t="shared" si="6"/>
        <v>-394.517</v>
      </c>
      <c r="M35" s="860">
        <f t="shared" si="6"/>
        <v>-384.096</v>
      </c>
      <c r="N35" s="860">
        <f t="shared" si="6"/>
        <v>-622.96800000000007</v>
      </c>
      <c r="O35" s="860">
        <f t="shared" si="6"/>
        <v>-499.57600000000002</v>
      </c>
      <c r="P35" s="1063">
        <f t="shared" si="6"/>
        <v>-400.39400000000001</v>
      </c>
      <c r="Q35" s="860">
        <f t="shared" si="6"/>
        <v>-384.267</v>
      </c>
      <c r="R35" s="860">
        <f>R21+R29</f>
        <v>-620.54300000000001</v>
      </c>
      <c r="S35" s="860">
        <f t="shared" si="6"/>
        <v>-496.52100000000002</v>
      </c>
      <c r="T35" s="860">
        <f t="shared" si="6"/>
        <v>-397.67600000000004</v>
      </c>
      <c r="U35" s="860">
        <f t="shared" si="6"/>
        <v>-253.279</v>
      </c>
      <c r="V35" s="860">
        <f t="shared" si="6"/>
        <v>-221.46100000000001</v>
      </c>
      <c r="W35" s="860">
        <f t="shared" si="6"/>
        <v>-224.26300000000001</v>
      </c>
      <c r="X35" s="1063">
        <f t="shared" si="6"/>
        <v>-193.495</v>
      </c>
      <c r="Y35" s="860">
        <f t="shared" si="6"/>
        <v>-185.64599999999999</v>
      </c>
      <c r="Z35" s="860">
        <f t="shared" si="6"/>
        <v>-173.40700000000001</v>
      </c>
      <c r="AA35" s="860">
        <f t="shared" si="6"/>
        <v>-209.00699999999998</v>
      </c>
      <c r="AB35" s="1063">
        <f t="shared" si="6"/>
        <v>-208.761</v>
      </c>
      <c r="AC35" s="860">
        <f t="shared" si="7"/>
        <v>-217.404</v>
      </c>
      <c r="AD35" s="860">
        <f t="shared" si="7"/>
        <v>-223.06299999999999</v>
      </c>
      <c r="AE35" s="860">
        <f t="shared" si="8"/>
        <v>-239.85400000000001</v>
      </c>
      <c r="AF35" s="860">
        <f t="shared" si="8"/>
        <v>-239.631</v>
      </c>
      <c r="AH35" s="962"/>
      <c r="AI35" s="962"/>
      <c r="AJ35" s="962"/>
      <c r="AK35" s="962"/>
      <c r="AL35" s="962"/>
      <c r="AM35" s="962"/>
      <c r="AN35" s="962"/>
    </row>
    <row r="36" spans="1:40">
      <c r="A36" s="743" t="s">
        <v>1489</v>
      </c>
      <c r="B36" s="860">
        <f t="shared" si="6"/>
        <v>-14.773999999999999</v>
      </c>
      <c r="C36" s="860">
        <f t="shared" si="6"/>
        <v>-17.027000000000001</v>
      </c>
      <c r="D36" s="860">
        <f t="shared" si="6"/>
        <v>-24.614999999999998</v>
      </c>
      <c r="E36" s="860">
        <f t="shared" si="6"/>
        <v>-19.736999999999998</v>
      </c>
      <c r="F36" s="860">
        <f t="shared" si="6"/>
        <v>-25.484000000000002</v>
      </c>
      <c r="G36" s="860">
        <f t="shared" si="6"/>
        <v>-37.270000000000003</v>
      </c>
      <c r="H36" s="860">
        <f t="shared" si="6"/>
        <v>-48.954000000000001</v>
      </c>
      <c r="I36" s="860">
        <f t="shared" si="6"/>
        <v>-50.244</v>
      </c>
      <c r="J36" s="860">
        <f t="shared" si="6"/>
        <v>-62.497</v>
      </c>
      <c r="K36" s="860">
        <f t="shared" si="6"/>
        <v>-87.265000000000001</v>
      </c>
      <c r="L36" s="860">
        <f t="shared" si="6"/>
        <v>-125.75</v>
      </c>
      <c r="M36" s="860">
        <f t="shared" si="6"/>
        <v>-124.19000000000001</v>
      </c>
      <c r="N36" s="860">
        <f t="shared" si="6"/>
        <v>-119.931</v>
      </c>
      <c r="O36" s="860">
        <f t="shared" si="6"/>
        <v>-148.39000000000001</v>
      </c>
      <c r="P36" s="1063">
        <f t="shared" si="6"/>
        <v>-181.84299999999999</v>
      </c>
      <c r="Q36" s="860">
        <f t="shared" si="6"/>
        <v>-124.19000000000001</v>
      </c>
      <c r="R36" s="860">
        <v>-141.46299999999999</v>
      </c>
      <c r="S36" s="860">
        <f t="shared" si="6"/>
        <v>-148.39000000000001</v>
      </c>
      <c r="T36" s="860">
        <f t="shared" si="6"/>
        <v>-181.84299999999999</v>
      </c>
      <c r="U36" s="860">
        <f t="shared" si="6"/>
        <v>-128.19399999999999</v>
      </c>
      <c r="V36" s="860">
        <f t="shared" si="6"/>
        <v>-145.691</v>
      </c>
      <c r="W36" s="860">
        <f t="shared" si="6"/>
        <v>-137.423</v>
      </c>
      <c r="X36" s="1063">
        <f t="shared" si="6"/>
        <v>-137.404</v>
      </c>
      <c r="Y36" s="860">
        <f t="shared" si="6"/>
        <v>-103.89999999999999</v>
      </c>
      <c r="Z36" s="860">
        <f t="shared" si="6"/>
        <v>-106.83200000000001</v>
      </c>
      <c r="AA36" s="860">
        <f t="shared" si="6"/>
        <v>-108.20500000000001</v>
      </c>
      <c r="AB36" s="1063">
        <f t="shared" si="6"/>
        <v>-111.60900000000001</v>
      </c>
      <c r="AC36" s="860">
        <f t="shared" si="7"/>
        <v>-120.23699999999999</v>
      </c>
      <c r="AD36" s="860">
        <f t="shared" si="7"/>
        <v>-125.66600000000001</v>
      </c>
      <c r="AE36" s="860">
        <f t="shared" si="8"/>
        <v>-125.16199999999999</v>
      </c>
      <c r="AF36" s="860">
        <f t="shared" si="8"/>
        <v>-335.98700000000002</v>
      </c>
      <c r="AH36" s="962"/>
      <c r="AI36" s="962"/>
      <c r="AJ36" s="962"/>
      <c r="AK36" s="962"/>
      <c r="AL36" s="962"/>
      <c r="AM36" s="962"/>
      <c r="AN36" s="962"/>
    </row>
    <row r="37" spans="1:40">
      <c r="A37" s="1075" t="s">
        <v>1490</v>
      </c>
      <c r="B37" s="1082">
        <f t="shared" ref="B37:AB37" si="9">B23</f>
        <v>0.56499999999999995</v>
      </c>
      <c r="C37" s="1082">
        <f t="shared" si="9"/>
        <v>0.49199999999999999</v>
      </c>
      <c r="D37" s="1082">
        <f t="shared" si="9"/>
        <v>0.42699999999999999</v>
      </c>
      <c r="E37" s="1082">
        <f t="shared" si="9"/>
        <v>1.3740000000000001</v>
      </c>
      <c r="F37" s="1082">
        <f t="shared" si="9"/>
        <v>1.1379999999999999</v>
      </c>
      <c r="G37" s="1082">
        <f t="shared" si="9"/>
        <v>1.3919999999999999</v>
      </c>
      <c r="H37" s="1082">
        <f t="shared" si="9"/>
        <v>2.996</v>
      </c>
      <c r="I37" s="1082">
        <f t="shared" si="9"/>
        <v>1.357</v>
      </c>
      <c r="J37" s="1082">
        <f t="shared" si="9"/>
        <v>2.319</v>
      </c>
      <c r="K37" s="1082">
        <f t="shared" si="9"/>
        <v>2.1619999999999999</v>
      </c>
      <c r="L37" s="1082">
        <f t="shared" si="9"/>
        <v>6.3360000000000003</v>
      </c>
      <c r="M37" s="1082">
        <f t="shared" si="9"/>
        <v>2.1840000000000002</v>
      </c>
      <c r="N37" s="1082">
        <f t="shared" si="9"/>
        <v>5.4509999999999996</v>
      </c>
      <c r="O37" s="1082">
        <f t="shared" si="9"/>
        <v>3.6179999999999999</v>
      </c>
      <c r="P37" s="1083">
        <f t="shared" si="9"/>
        <v>11.07</v>
      </c>
      <c r="Q37" s="1082">
        <f t="shared" si="9"/>
        <v>2.1840000000000002</v>
      </c>
      <c r="R37" s="1082">
        <f t="shared" si="9"/>
        <v>5.4509999999999996</v>
      </c>
      <c r="S37" s="1082">
        <f t="shared" si="9"/>
        <v>3.6179999999999999</v>
      </c>
      <c r="T37" s="1082">
        <f t="shared" si="9"/>
        <v>11.07</v>
      </c>
      <c r="U37" s="1082">
        <f t="shared" si="9"/>
        <v>5.2329999999999997</v>
      </c>
      <c r="V37" s="1082">
        <f t="shared" si="9"/>
        <v>5.4210000000000003</v>
      </c>
      <c r="W37" s="1082">
        <f t="shared" si="9"/>
        <v>7.7569999999999997</v>
      </c>
      <c r="X37" s="1083">
        <f t="shared" si="9"/>
        <v>3.3479999999999999</v>
      </c>
      <c r="Y37" s="1082">
        <f t="shared" si="9"/>
        <v>0.73499999999999999</v>
      </c>
      <c r="Z37" s="1082">
        <f t="shared" si="9"/>
        <v>8.0779999999999994</v>
      </c>
      <c r="AA37" s="1082">
        <f t="shared" si="9"/>
        <v>15.656000000000001</v>
      </c>
      <c r="AB37" s="1083">
        <f t="shared" si="9"/>
        <v>32.130000000000003</v>
      </c>
      <c r="AC37" s="1082">
        <f>AC23</f>
        <v>2.5430000000000001</v>
      </c>
      <c r="AD37" s="1082">
        <f>AD23</f>
        <v>6.9249999999999998</v>
      </c>
      <c r="AE37" s="1082">
        <f>AE23</f>
        <v>5.4059999999999997</v>
      </c>
      <c r="AF37" s="1082">
        <f>AF23</f>
        <v>9.5449999999999999</v>
      </c>
      <c r="AH37" s="864"/>
      <c r="AI37" s="864"/>
      <c r="AJ37" s="864"/>
      <c r="AK37" s="864"/>
      <c r="AL37" s="864"/>
      <c r="AM37" s="864"/>
      <c r="AN37" s="864"/>
    </row>
    <row r="38" spans="1:40">
      <c r="A38" s="1078" t="s">
        <v>1496</v>
      </c>
      <c r="B38" s="860">
        <f t="shared" ref="B38:AB38" si="10">SUM(B34,B35,B36,B37)</f>
        <v>-41.079000000000001</v>
      </c>
      <c r="C38" s="860">
        <f t="shared" si="10"/>
        <v>-65.266800000000003</v>
      </c>
      <c r="D38" s="860">
        <f t="shared" si="10"/>
        <v>-76.562499999999986</v>
      </c>
      <c r="E38" s="860">
        <f t="shared" si="10"/>
        <v>-108.818</v>
      </c>
      <c r="F38" s="860">
        <f t="shared" si="10"/>
        <v>-140.82300000000001</v>
      </c>
      <c r="G38" s="860">
        <f t="shared" si="10"/>
        <v>-183.98700000000002</v>
      </c>
      <c r="H38" s="860">
        <f t="shared" si="10"/>
        <v>-227.16</v>
      </c>
      <c r="I38" s="860">
        <f t="shared" si="10"/>
        <v>-281.11099999999999</v>
      </c>
      <c r="J38" s="860">
        <f t="shared" si="10"/>
        <v>-352.23500000000001</v>
      </c>
      <c r="K38" s="860">
        <f t="shared" si="10"/>
        <v>-509.10400000000004</v>
      </c>
      <c r="L38" s="860">
        <f t="shared" si="10"/>
        <v>-618.81299999999999</v>
      </c>
      <c r="M38" s="860">
        <f t="shared" si="10"/>
        <v>-626.77200000000005</v>
      </c>
      <c r="N38" s="860">
        <f t="shared" si="10"/>
        <v>-877.41800000000012</v>
      </c>
      <c r="O38" s="860">
        <f t="shared" si="10"/>
        <v>-810.99399999999991</v>
      </c>
      <c r="P38" s="1063">
        <f t="shared" si="10"/>
        <v>-739.5809999999999</v>
      </c>
      <c r="Q38" s="860">
        <f>SUM(Q34,Q35,Q36,Q37)</f>
        <v>-626.9430000000001</v>
      </c>
      <c r="R38" s="860">
        <f t="shared" si="10"/>
        <v>-896.52499999999998</v>
      </c>
      <c r="S38" s="860">
        <f t="shared" si="10"/>
        <v>-807.93899999999996</v>
      </c>
      <c r="T38" s="860">
        <f t="shared" si="10"/>
        <v>-736.86299999999994</v>
      </c>
      <c r="U38" s="860">
        <f t="shared" si="10"/>
        <v>-533.86</v>
      </c>
      <c r="V38" s="860">
        <f t="shared" si="10"/>
        <v>-506.57700000000006</v>
      </c>
      <c r="W38" s="860">
        <f t="shared" si="10"/>
        <v>-475.89800000000002</v>
      </c>
      <c r="X38" s="1063">
        <f t="shared" si="10"/>
        <v>-437.37799999999999</v>
      </c>
      <c r="Y38" s="860">
        <f t="shared" si="10"/>
        <v>-371.60499999999996</v>
      </c>
      <c r="Z38" s="860">
        <f t="shared" si="10"/>
        <v>-347.30400000000003</v>
      </c>
      <c r="AA38" s="860">
        <f t="shared" si="10"/>
        <v>-376.036</v>
      </c>
      <c r="AB38" s="1063">
        <f t="shared" si="10"/>
        <v>-361.92100000000005</v>
      </c>
      <c r="AC38" s="860">
        <f>SUM(AC34,AC35,AC36,AC37)</f>
        <v>-410.07299999999998</v>
      </c>
      <c r="AD38" s="860">
        <f>SUM(AD34,AD35,AD36,AD37)</f>
        <v>-417.88900000000001</v>
      </c>
      <c r="AE38" s="860">
        <f>SUM(AE34,AE35,AE36,AE37)</f>
        <v>-421.85500000000002</v>
      </c>
      <c r="AF38" s="860">
        <f>SUM(AF34,AF35,AF36,AF37)</f>
        <v>-644.27200000000005</v>
      </c>
      <c r="AH38" s="864"/>
      <c r="AI38" s="864"/>
      <c r="AJ38" s="864"/>
      <c r="AK38" s="864"/>
      <c r="AL38" s="864"/>
      <c r="AM38" s="864"/>
      <c r="AN38" s="864"/>
    </row>
    <row r="39" spans="1:40">
      <c r="A39" s="1078"/>
      <c r="B39" s="865"/>
      <c r="C39" s="865"/>
      <c r="D39" s="865"/>
      <c r="E39" s="865"/>
      <c r="F39" s="865"/>
      <c r="G39" s="865"/>
      <c r="H39" s="865"/>
      <c r="I39" s="865"/>
      <c r="J39" s="865"/>
      <c r="K39" s="865"/>
      <c r="L39" s="865"/>
      <c r="M39" s="865"/>
      <c r="N39" s="865"/>
      <c r="O39" s="865"/>
      <c r="P39" s="1079"/>
      <c r="Q39" s="865"/>
      <c r="R39" s="865"/>
      <c r="S39" s="865"/>
      <c r="T39" s="865"/>
      <c r="U39" s="865"/>
      <c r="V39" s="865"/>
      <c r="W39" s="865"/>
      <c r="X39" s="1079"/>
      <c r="Y39" s="865"/>
      <c r="Z39" s="865"/>
      <c r="AA39" s="865"/>
      <c r="AB39" s="1079"/>
      <c r="AC39" s="865"/>
      <c r="AD39" s="865"/>
      <c r="AE39" s="864"/>
      <c r="AF39" s="864"/>
      <c r="AH39" s="864"/>
      <c r="AI39" s="864"/>
      <c r="AJ39" s="864"/>
      <c r="AK39" s="864"/>
      <c r="AL39" s="864"/>
      <c r="AM39" s="864"/>
      <c r="AN39" s="864"/>
    </row>
    <row r="40" spans="1:40">
      <c r="A40" s="746" t="s">
        <v>1497</v>
      </c>
      <c r="B40" s="860">
        <f t="shared" ref="B40:AB40" si="11">B17+B24</f>
        <v>-10.60799999999994</v>
      </c>
      <c r="C40" s="860">
        <f t="shared" si="11"/>
        <v>-19.524330999999862</v>
      </c>
      <c r="D40" s="860">
        <f t="shared" si="11"/>
        <v>-59.179500000000004</v>
      </c>
      <c r="E40" s="860">
        <f t="shared" si="11"/>
        <v>-66.524999999999991</v>
      </c>
      <c r="F40" s="860">
        <f t="shared" si="11"/>
        <v>-117.11099999999996</v>
      </c>
      <c r="G40" s="860">
        <f t="shared" si="11"/>
        <v>-112.90399999999977</v>
      </c>
      <c r="H40" s="860">
        <f t="shared" si="11"/>
        <v>-176.48000000000002</v>
      </c>
      <c r="I40" s="860">
        <f t="shared" si="11"/>
        <v>-242.83200000000011</v>
      </c>
      <c r="J40" s="860">
        <f t="shared" si="11"/>
        <v>-292.08299999999969</v>
      </c>
      <c r="K40" s="860">
        <f t="shared" si="11"/>
        <v>-358.68899999999996</v>
      </c>
      <c r="L40" s="860">
        <f t="shared" si="11"/>
        <v>-561.43399999999997</v>
      </c>
      <c r="M40" s="860">
        <f t="shared" si="11"/>
        <v>-561.28299999999979</v>
      </c>
      <c r="N40" s="860">
        <f t="shared" si="11"/>
        <v>-779.91899999999987</v>
      </c>
      <c r="O40" s="860">
        <f t="shared" si="11"/>
        <v>-596.75899999999945</v>
      </c>
      <c r="P40" s="1063">
        <f t="shared" si="11"/>
        <v>-581.46300000000008</v>
      </c>
      <c r="Q40" s="860">
        <f>Q17+Q24</f>
        <v>-556.93300000000011</v>
      </c>
      <c r="R40" s="860">
        <f t="shared" si="11"/>
        <v>-769.88900000000024</v>
      </c>
      <c r="S40" s="860">
        <f t="shared" si="11"/>
        <v>-584.07000000000005</v>
      </c>
      <c r="T40" s="860">
        <f t="shared" si="11"/>
        <v>-588.16899999999998</v>
      </c>
      <c r="U40" s="860">
        <f t="shared" si="11"/>
        <v>-307.95500000000004</v>
      </c>
      <c r="V40" s="860">
        <f t="shared" si="11"/>
        <v>-288.60500000000002</v>
      </c>
      <c r="W40" s="860">
        <f t="shared" si="11"/>
        <v>-66.019999999999925</v>
      </c>
      <c r="X40" s="1063">
        <f t="shared" si="11"/>
        <v>-220.839</v>
      </c>
      <c r="Y40" s="860">
        <f t="shared" si="11"/>
        <v>-121.13299999999998</v>
      </c>
      <c r="Z40" s="860">
        <f t="shared" si="11"/>
        <v>-121.14600000000007</v>
      </c>
      <c r="AA40" s="860">
        <f t="shared" si="11"/>
        <v>-3.6040000000000418</v>
      </c>
      <c r="AB40" s="1063">
        <f t="shared" si="11"/>
        <v>-103.11099999999999</v>
      </c>
      <c r="AC40" s="860">
        <f>AC17+AC24</f>
        <v>-180.52700000000004</v>
      </c>
      <c r="AD40" s="860">
        <f>AD17+AD24</f>
        <v>-199.24299999999994</v>
      </c>
      <c r="AE40" s="860">
        <f>AE17+AE24</f>
        <v>-56.856000000000108</v>
      </c>
      <c r="AF40" s="860">
        <f>AF17+AF24</f>
        <v>-434.21800000000002</v>
      </c>
      <c r="AH40" s="1084"/>
      <c r="AI40" s="1084"/>
      <c r="AJ40" s="1084"/>
      <c r="AK40" s="1084"/>
      <c r="AL40" s="1084"/>
      <c r="AM40" s="1084"/>
      <c r="AN40" s="1084"/>
    </row>
    <row r="41" spans="1:40">
      <c r="A41" s="742" t="s">
        <v>1498</v>
      </c>
      <c r="B41" s="860">
        <f t="shared" ref="B41:AB41" si="12">B17+B38-B37</f>
        <v>-11.17299999999994</v>
      </c>
      <c r="C41" s="860">
        <f t="shared" si="12"/>
        <v>-20.016330999999862</v>
      </c>
      <c r="D41" s="860">
        <f t="shared" si="12"/>
        <v>-59.606500000000004</v>
      </c>
      <c r="E41" s="860">
        <f t="shared" si="12"/>
        <v>-67.898999999999987</v>
      </c>
      <c r="F41" s="860">
        <f t="shared" si="12"/>
        <v>-99.918999999999983</v>
      </c>
      <c r="G41" s="860">
        <f t="shared" si="12"/>
        <v>-105.1479999999998</v>
      </c>
      <c r="H41" s="860">
        <f t="shared" si="12"/>
        <v>-168.58700000000005</v>
      </c>
      <c r="I41" s="860">
        <f t="shared" si="12"/>
        <v>-231.48200000000011</v>
      </c>
      <c r="J41" s="860">
        <f t="shared" si="12"/>
        <v>-282.79699999999974</v>
      </c>
      <c r="K41" s="860">
        <f t="shared" si="12"/>
        <v>-343.07400000000001</v>
      </c>
      <c r="L41" s="860">
        <f t="shared" si="12"/>
        <v>-545.49999999999989</v>
      </c>
      <c r="M41" s="860">
        <f t="shared" si="12"/>
        <v>-542.18699999999978</v>
      </c>
      <c r="N41" s="860">
        <f t="shared" si="12"/>
        <v>-762.221</v>
      </c>
      <c r="O41" s="860">
        <f t="shared" si="12"/>
        <v>-579.06299999999953</v>
      </c>
      <c r="P41" s="1063">
        <f t="shared" si="12"/>
        <v>-566.74800000000016</v>
      </c>
      <c r="Q41" s="860">
        <f>Q17+Q38-Q37</f>
        <v>-537.8370000000001</v>
      </c>
      <c r="R41" s="860">
        <f t="shared" si="12"/>
        <v>-773.7230000000003</v>
      </c>
      <c r="S41" s="860">
        <f t="shared" si="12"/>
        <v>-566.37400000000002</v>
      </c>
      <c r="T41" s="860">
        <f t="shared" si="12"/>
        <v>-573.45399999999995</v>
      </c>
      <c r="U41" s="860">
        <f t="shared" si="12"/>
        <v>-287.78900000000004</v>
      </c>
      <c r="V41" s="860">
        <f t="shared" si="12"/>
        <v>-271.44000000000011</v>
      </c>
      <c r="W41" s="860">
        <f t="shared" si="12"/>
        <v>-42.776000000000003</v>
      </c>
      <c r="X41" s="1063">
        <f t="shared" si="12"/>
        <v>-205.57300000000004</v>
      </c>
      <c r="Y41" s="860">
        <f t="shared" si="12"/>
        <v>-109.71399999999998</v>
      </c>
      <c r="Z41" s="860">
        <f t="shared" si="12"/>
        <v>-104.60700000000006</v>
      </c>
      <c r="AA41" s="860">
        <f t="shared" si="12"/>
        <v>-0.18300000000004424</v>
      </c>
      <c r="AB41" s="1063">
        <f t="shared" si="12"/>
        <v>-123.83400000000006</v>
      </c>
      <c r="AC41" s="860">
        <f>AC17+AC38-AC37</f>
        <v>-161.77800000000002</v>
      </c>
      <c r="AD41" s="860">
        <f>AD17+AD38-AD37</f>
        <v>-191.81399999999996</v>
      </c>
      <c r="AE41" s="860">
        <f>AE17+AE38-AE37</f>
        <v>-46.784000000000098</v>
      </c>
      <c r="AF41" s="860">
        <f>AF17+AF38-AF37</f>
        <v>-437.15700000000004</v>
      </c>
      <c r="AH41" s="963"/>
      <c r="AI41" s="963"/>
      <c r="AJ41" s="963"/>
      <c r="AK41" s="963"/>
      <c r="AL41" s="963"/>
      <c r="AM41" s="963"/>
      <c r="AN41" s="963"/>
    </row>
    <row r="42" spans="1:40">
      <c r="A42" s="748"/>
      <c r="Z42" s="2048">
        <f t="shared" ref="Z42:AE42" si="13">Z38-Z37</f>
        <v>-355.38200000000001</v>
      </c>
      <c r="AA42" s="2048">
        <f t="shared" si="13"/>
        <v>-391.69200000000001</v>
      </c>
      <c r="AB42" s="2049">
        <f t="shared" si="13"/>
        <v>-394.05100000000004</v>
      </c>
      <c r="AC42" s="2048">
        <f t="shared" si="13"/>
        <v>-412.61599999999999</v>
      </c>
      <c r="AD42" s="2048">
        <f t="shared" si="13"/>
        <v>-424.81400000000002</v>
      </c>
      <c r="AE42" s="2048">
        <f t="shared" si="13"/>
        <v>-427.26100000000002</v>
      </c>
      <c r="AF42" s="2048">
        <f>AF38-AF37</f>
        <v>-653.81700000000001</v>
      </c>
    </row>
    <row r="43" spans="1:40" s="1114" customFormat="1">
      <c r="A43" s="742" t="s">
        <v>1499</v>
      </c>
      <c r="B43" s="1070">
        <v>-7.3719999999999999</v>
      </c>
      <c r="C43" s="1070">
        <v>-72.596000000000004</v>
      </c>
      <c r="D43" s="1070">
        <v>-53.691000000000003</v>
      </c>
      <c r="E43" s="1070">
        <v>-62.734000000000002</v>
      </c>
      <c r="F43" s="1070">
        <v>-129.24700000000001</v>
      </c>
      <c r="G43" s="1070">
        <v>-103.441</v>
      </c>
      <c r="H43" s="1070">
        <v>-168.03960000000001</v>
      </c>
      <c r="I43" s="1070">
        <v>-233.05600000000001</v>
      </c>
      <c r="J43" s="1070">
        <v>-246.06299999999999</v>
      </c>
      <c r="K43" s="1070">
        <v>-433.30500000000001</v>
      </c>
      <c r="L43" s="1070">
        <v>-546.95500000000004</v>
      </c>
      <c r="M43" s="1070">
        <v>-539.51599999999996</v>
      </c>
      <c r="N43" s="1070">
        <v>-764.80799999999999</v>
      </c>
      <c r="O43" s="1070">
        <v>-568.47799999999995</v>
      </c>
      <c r="P43" s="1071">
        <v>-554.39499999999998</v>
      </c>
      <c r="Q43" s="1070">
        <v>-535.75099999999998</v>
      </c>
      <c r="R43" s="1070">
        <v>-754.22199999999998</v>
      </c>
      <c r="S43" s="1070">
        <v>-556.226</v>
      </c>
      <c r="T43" s="1070">
        <v>-561.101</v>
      </c>
      <c r="U43" s="1070">
        <v>-288.238</v>
      </c>
      <c r="V43" s="1070">
        <v>-270.62599999999998</v>
      </c>
      <c r="W43" s="1070">
        <v>-29.305</v>
      </c>
      <c r="X43" s="1071">
        <v>-184.86</v>
      </c>
      <c r="Y43" s="1070">
        <v>-74.673000000000002</v>
      </c>
      <c r="Z43" s="1070">
        <v>-79.620999999999995</v>
      </c>
      <c r="AA43" s="1070">
        <v>31.021000000000001</v>
      </c>
      <c r="AB43" s="1071">
        <v>-64.661000000000001</v>
      </c>
      <c r="AC43" s="1070">
        <v>-150.602</v>
      </c>
      <c r="AD43" s="1070">
        <v>-167.988</v>
      </c>
      <c r="AE43" s="1070">
        <v>-13.472</v>
      </c>
      <c r="AF43" s="2043">
        <v>-367.137</v>
      </c>
      <c r="AH43" s="2043"/>
      <c r="AI43" s="2043"/>
      <c r="AJ43" s="2043"/>
      <c r="AK43" s="2043"/>
      <c r="AL43" s="2043"/>
      <c r="AM43" s="2043"/>
      <c r="AN43" s="2043"/>
    </row>
    <row r="44" spans="1:40" s="1114" customFormat="1">
      <c r="A44" s="1085" t="s">
        <v>2035</v>
      </c>
      <c r="B44" s="1070">
        <v>-7.3719999999999999</v>
      </c>
      <c r="C44" s="1070">
        <v>-72.596000000000004</v>
      </c>
      <c r="D44" s="1070">
        <v>-53.69</v>
      </c>
      <c r="E44" s="1070">
        <v>-62.734000000000002</v>
      </c>
      <c r="F44" s="1070">
        <v>-110.261</v>
      </c>
      <c r="G44" s="1070">
        <v>-94.224000000000004</v>
      </c>
      <c r="H44" s="1070">
        <v>-157.07</v>
      </c>
      <c r="I44" s="1070">
        <v>-220.184</v>
      </c>
      <c r="J44" s="1070">
        <v>-233.50399999999999</v>
      </c>
      <c r="K44" s="1070">
        <v>-396.45699999999999</v>
      </c>
      <c r="L44" s="1070">
        <v>-487.31700000000001</v>
      </c>
      <c r="M44" s="1070">
        <v>-482.41300000000001</v>
      </c>
      <c r="N44" s="1070">
        <v>-706.34699999999998</v>
      </c>
      <c r="O44" s="1070">
        <v>-511.80099999999999</v>
      </c>
      <c r="P44" s="1071">
        <v>-492.80099999999999</v>
      </c>
      <c r="Q44" s="1070">
        <v>-476.98</v>
      </c>
      <c r="R44" s="1070">
        <v>-696.21</v>
      </c>
      <c r="S44" s="1070">
        <v>-494.44299999999998</v>
      </c>
      <c r="T44" s="1070">
        <v>-507.92700000000002</v>
      </c>
      <c r="U44" s="1070">
        <v>-227.12899999999999</v>
      </c>
      <c r="V44" s="1070">
        <v>-212.38900000000001</v>
      </c>
      <c r="W44" s="1070">
        <v>37.362000000000002</v>
      </c>
      <c r="X44" s="1071">
        <v>-130.67699999999999</v>
      </c>
      <c r="Y44" s="1070">
        <v>-26.949000000000002</v>
      </c>
      <c r="Z44" s="1070">
        <v>-19.411000000000001</v>
      </c>
      <c r="AA44" s="1070">
        <v>86.055000000000007</v>
      </c>
      <c r="AB44" s="1071">
        <v>-17.329000000000001</v>
      </c>
      <c r="AC44" s="1070">
        <v>-92.061999999999998</v>
      </c>
      <c r="AD44" s="1070">
        <v>-116.42700000000001</v>
      </c>
      <c r="AE44" s="2043">
        <v>38.183</v>
      </c>
      <c r="AF44" s="2043">
        <v>-292.11200000000002</v>
      </c>
      <c r="AH44" s="2043"/>
      <c r="AI44" s="2043"/>
      <c r="AJ44" s="2043"/>
      <c r="AK44" s="2043"/>
      <c r="AL44" s="2043"/>
      <c r="AM44" s="2043"/>
      <c r="AN44" s="2043"/>
    </row>
    <row r="45" spans="1:40">
      <c r="A45" s="750"/>
      <c r="Y45" s="961"/>
      <c r="Z45" s="961"/>
      <c r="AA45" s="961"/>
      <c r="AB45" s="2036"/>
      <c r="AC45" s="961"/>
      <c r="AD45" s="961"/>
    </row>
    <row r="46" spans="1:40" s="1114" customFormat="1">
      <c r="A46" s="1086" t="s">
        <v>1500</v>
      </c>
      <c r="B46" s="1087">
        <v>26000</v>
      </c>
      <c r="C46" s="1087">
        <v>26000</v>
      </c>
      <c r="D46" s="1087">
        <v>26000</v>
      </c>
      <c r="E46" s="1087">
        <v>26000</v>
      </c>
      <c r="F46" s="1087">
        <v>95218953</v>
      </c>
      <c r="G46" s="1087">
        <v>149259585</v>
      </c>
      <c r="H46" s="1087">
        <v>150645691</v>
      </c>
      <c r="I46" s="1087">
        <v>188667867</v>
      </c>
      <c r="J46" s="1087">
        <v>230689758</v>
      </c>
      <c r="K46" s="1087">
        <v>286115390</v>
      </c>
      <c r="L46" s="1087">
        <v>286488559</v>
      </c>
      <c r="M46" s="1087">
        <v>357957594</v>
      </c>
      <c r="N46" s="1087">
        <v>378120850</v>
      </c>
      <c r="O46" s="1087">
        <v>378412340</v>
      </c>
      <c r="P46" s="1088">
        <v>378785214</v>
      </c>
      <c r="Q46" s="1087">
        <v>357957594</v>
      </c>
      <c r="R46" s="1087">
        <v>378120850</v>
      </c>
      <c r="S46" s="1087">
        <v>378412340</v>
      </c>
      <c r="T46" s="1087">
        <v>378785214</v>
      </c>
      <c r="U46" s="1087">
        <v>378164347</v>
      </c>
      <c r="V46" s="1087">
        <v>374426600</v>
      </c>
      <c r="W46" s="1087">
        <v>372335675</v>
      </c>
      <c r="X46" s="1088">
        <v>387993534</v>
      </c>
      <c r="Y46" s="1087">
        <v>388843912</v>
      </c>
      <c r="Z46" s="1087">
        <v>381234313</v>
      </c>
      <c r="AA46" s="1087">
        <v>379333481</v>
      </c>
      <c r="AB46" s="1088">
        <v>370486502</v>
      </c>
      <c r="AC46" s="1087">
        <v>369190766</v>
      </c>
      <c r="AD46" s="1087">
        <v>369343738</v>
      </c>
      <c r="AE46" s="1118">
        <v>369559765</v>
      </c>
      <c r="AF46" s="1118">
        <v>369797249</v>
      </c>
      <c r="AH46" s="1118"/>
      <c r="AI46" s="1118"/>
      <c r="AJ46" s="1118"/>
      <c r="AK46" s="1118"/>
      <c r="AL46" s="1118"/>
      <c r="AM46" s="1118"/>
      <c r="AN46" s="1118"/>
    </row>
    <row r="47" spans="1:40">
      <c r="A47" s="745" t="s">
        <v>1501</v>
      </c>
      <c r="Z47" s="844"/>
      <c r="AA47" s="844"/>
      <c r="AB47" s="852"/>
      <c r="AC47" s="844"/>
    </row>
    <row r="48" spans="1:40" s="1114" customFormat="1">
      <c r="A48" s="750" t="s">
        <v>1502</v>
      </c>
      <c r="B48" s="1070">
        <v>-0.85</v>
      </c>
      <c r="C48" s="1070">
        <v>-8.3800000000000008</v>
      </c>
      <c r="D48" s="1070">
        <v>-6.2</v>
      </c>
      <c r="E48" s="1070">
        <v>-7.24</v>
      </c>
      <c r="F48" s="1070">
        <v>-4.07</v>
      </c>
      <c r="G48" s="1070">
        <v>-2.08</v>
      </c>
      <c r="H48" s="1070">
        <v>-3.35</v>
      </c>
      <c r="I48" s="1070">
        <v>-3.71</v>
      </c>
      <c r="J48" s="1070">
        <v>-3.2</v>
      </c>
      <c r="K48" s="1070">
        <v>-4.54</v>
      </c>
      <c r="L48" s="1070">
        <v>-5.73</v>
      </c>
      <c r="M48" s="1070">
        <v>-4.5199999999999996</v>
      </c>
      <c r="N48" s="1070">
        <v>-6.06</v>
      </c>
      <c r="O48" s="1070">
        <v>-4.5</v>
      </c>
      <c r="P48" s="1071">
        <v>-4.38</v>
      </c>
      <c r="Q48" s="1070">
        <v>-4.5</v>
      </c>
      <c r="R48" s="1070">
        <v>-5.97</v>
      </c>
      <c r="S48" s="1070">
        <v>-4.41</v>
      </c>
      <c r="T48" s="1070">
        <v>-4.4400000000000004</v>
      </c>
      <c r="U48" s="1070">
        <v>-2.2799999999999998</v>
      </c>
      <c r="V48" s="1070">
        <v>-2.16</v>
      </c>
      <c r="W48" s="1070">
        <v>-0.24</v>
      </c>
      <c r="X48" s="1071">
        <v>-1.44</v>
      </c>
      <c r="Y48" s="1070">
        <v>-0.56999999999999995</v>
      </c>
      <c r="Z48" s="1070">
        <v>-0.63</v>
      </c>
      <c r="AA48" s="1070">
        <v>0.24</v>
      </c>
      <c r="AB48" s="1071">
        <v>-0.17</v>
      </c>
      <c r="AC48" s="1070">
        <v>-0.41</v>
      </c>
      <c r="AD48" s="1070">
        <v>-0.45</v>
      </c>
      <c r="AE48" s="1070">
        <v>-0.04</v>
      </c>
      <c r="AF48" s="2043">
        <v>-0.99</v>
      </c>
      <c r="AH48" s="2043"/>
      <c r="AI48" s="2043"/>
      <c r="AJ48" s="2043"/>
      <c r="AK48" s="2043"/>
      <c r="AL48" s="2043"/>
      <c r="AM48" s="2043"/>
      <c r="AN48" s="2043"/>
    </row>
    <row r="49" spans="1:40" s="1114" customFormat="1">
      <c r="A49" s="750" t="s">
        <v>1503</v>
      </c>
      <c r="B49" s="1070">
        <v>-0.85</v>
      </c>
      <c r="C49" s="1070">
        <v>-8.3800000000000008</v>
      </c>
      <c r="D49" s="1070">
        <v>-6.2</v>
      </c>
      <c r="E49" s="1070">
        <v>-7.24</v>
      </c>
      <c r="F49" s="1070">
        <v>-4.07</v>
      </c>
      <c r="G49" s="1070">
        <v>-2.08</v>
      </c>
      <c r="H49" s="1070">
        <v>-3.35</v>
      </c>
      <c r="I49" s="1070">
        <v>-3.71</v>
      </c>
      <c r="J49" s="1070">
        <v>-3.2</v>
      </c>
      <c r="K49" s="1070">
        <v>-4.54</v>
      </c>
      <c r="L49" s="1070">
        <v>-5.73</v>
      </c>
      <c r="M49" s="1070">
        <v>-4.5199999999999996</v>
      </c>
      <c r="N49" s="1070">
        <v>-6.06</v>
      </c>
      <c r="O49" s="1070">
        <v>-4.5</v>
      </c>
      <c r="P49" s="1071">
        <v>-4.38</v>
      </c>
      <c r="Q49" s="1070">
        <v>-4.5</v>
      </c>
      <c r="R49" s="1070">
        <v>-5.97</v>
      </c>
      <c r="S49" s="1070">
        <v>-4.41</v>
      </c>
      <c r="T49" s="1070">
        <v>-4.4400000000000004</v>
      </c>
      <c r="U49" s="1070">
        <v>-2.2799999999999998</v>
      </c>
      <c r="V49" s="1070">
        <v>-1.71</v>
      </c>
      <c r="W49" s="1070">
        <v>-0.24</v>
      </c>
      <c r="X49" s="1071">
        <v>-1.44</v>
      </c>
      <c r="Y49" s="1070">
        <v>-0.56999999999999995</v>
      </c>
      <c r="Z49" s="1070">
        <v>-0.63</v>
      </c>
      <c r="AA49" s="1070">
        <v>0.24</v>
      </c>
      <c r="AB49" s="1071">
        <v>-0.51</v>
      </c>
      <c r="AC49" s="1070">
        <v>-1.23</v>
      </c>
      <c r="AD49" s="1070">
        <v>-1.35</v>
      </c>
      <c r="AE49" s="1070">
        <v>-0.12</v>
      </c>
      <c r="AF49" s="2043">
        <v>-2.97</v>
      </c>
      <c r="AH49" s="2043"/>
      <c r="AI49" s="2043"/>
      <c r="AJ49" s="2043"/>
      <c r="AK49" s="2043"/>
      <c r="AL49" s="2043"/>
      <c r="AM49" s="2043"/>
      <c r="AN49" s="2043"/>
    </row>
    <row r="50" spans="1:40" ht="13">
      <c r="A50" s="749"/>
      <c r="Z50" s="844"/>
      <c r="AA50" s="844"/>
      <c r="AB50" s="852"/>
      <c r="AC50" s="844"/>
    </row>
    <row r="51" spans="1:40" ht="13">
      <c r="A51" s="1089" t="s">
        <v>1504</v>
      </c>
      <c r="B51" s="1090"/>
      <c r="C51" s="1090"/>
      <c r="D51" s="1090"/>
      <c r="E51" s="1090"/>
      <c r="F51" s="1090"/>
      <c r="G51" s="1090"/>
      <c r="H51" s="1090"/>
      <c r="I51" s="1090"/>
      <c r="J51" s="1090"/>
      <c r="K51" s="1090"/>
      <c r="L51" s="1090"/>
      <c r="M51" s="1090"/>
      <c r="N51" s="1090"/>
      <c r="O51" s="1090"/>
      <c r="P51" s="1091"/>
      <c r="Q51" s="1090"/>
      <c r="R51" s="1090"/>
      <c r="S51" s="1090"/>
      <c r="T51" s="1090"/>
      <c r="U51" s="1090"/>
      <c r="V51" s="1090"/>
      <c r="W51" s="1090"/>
      <c r="X51" s="1091"/>
      <c r="Y51" s="1090"/>
      <c r="Z51" s="1090"/>
      <c r="AA51" s="1090"/>
      <c r="AB51" s="1091"/>
      <c r="AC51" s="1090"/>
      <c r="AD51" s="1090"/>
      <c r="AE51" s="1090"/>
      <c r="AF51" s="1090"/>
      <c r="AG51" s="1090"/>
      <c r="AH51" s="1090"/>
      <c r="AI51" s="1090"/>
      <c r="AJ51" s="1090"/>
      <c r="AK51" s="1090"/>
      <c r="AL51" s="1090"/>
      <c r="AM51" s="1090"/>
      <c r="AN51" s="1090"/>
    </row>
    <row r="52" spans="1:40" s="2002" customFormat="1" ht="13">
      <c r="A52" s="1092" t="s">
        <v>1505</v>
      </c>
      <c r="B52" s="1998"/>
      <c r="C52" s="1998"/>
      <c r="D52" s="1998"/>
      <c r="E52" s="1998"/>
      <c r="F52" s="1998"/>
      <c r="G52" s="1998"/>
      <c r="H52" s="1998"/>
      <c r="I52" s="1998"/>
      <c r="J52" s="1998"/>
      <c r="K52" s="1998"/>
      <c r="L52" s="1998"/>
      <c r="M52" s="1998"/>
      <c r="N52" s="1998"/>
      <c r="O52" s="1998"/>
      <c r="P52" s="1999"/>
      <c r="Q52" s="1998"/>
      <c r="R52" s="1998"/>
      <c r="S52" s="1998"/>
      <c r="T52" s="1998"/>
      <c r="U52" s="1998"/>
      <c r="V52" s="1998"/>
      <c r="W52" s="2000"/>
      <c r="X52" s="1999"/>
      <c r="Y52" s="1998"/>
      <c r="Z52" s="1998"/>
      <c r="AA52" s="1998"/>
      <c r="AB52" s="1999"/>
      <c r="AC52" s="1998"/>
      <c r="AD52" s="2001"/>
      <c r="AE52" s="2001"/>
      <c r="AF52" s="2001"/>
      <c r="AH52" s="2001"/>
      <c r="AI52" s="2001"/>
      <c r="AJ52" s="2001"/>
      <c r="AK52" s="2001"/>
      <c r="AL52" s="2001"/>
      <c r="AM52" s="2001"/>
      <c r="AN52" s="2001"/>
    </row>
    <row r="53" spans="1:40" s="2002" customFormat="1" ht="13">
      <c r="A53" s="742" t="s">
        <v>1506</v>
      </c>
      <c r="B53" s="2003" t="str">
        <f>IFERROR(B8/#REF!-1,"x")</f>
        <v>x</v>
      </c>
      <c r="C53" s="2003" t="str">
        <f>IFERROR(C8/#REF!-1,"x")</f>
        <v>x</v>
      </c>
      <c r="D53" s="2003" t="str">
        <f>IFERROR(D8/#REF!-1,"x")</f>
        <v>x</v>
      </c>
      <c r="E53" s="2003" t="str">
        <f t="shared" ref="E53:N56" si="14">IFERROR(E8/A8-1,"x")</f>
        <v>x</v>
      </c>
      <c r="F53" s="2003">
        <f t="shared" si="14"/>
        <v>0.85940210400465422</v>
      </c>
      <c r="G53" s="2003">
        <f t="shared" si="14"/>
        <v>0.86318135124914686</v>
      </c>
      <c r="H53" s="2003">
        <f t="shared" si="14"/>
        <v>0.88697789215211409</v>
      </c>
      <c r="I53" s="2003">
        <f>IFERROR(I8/E8-1,"x")</f>
        <v>1.1681931963998564</v>
      </c>
      <c r="J53" s="2003">
        <f t="shared" si="14"/>
        <v>1.1047429184894311</v>
      </c>
      <c r="K53" s="2003">
        <f t="shared" si="14"/>
        <v>1.2447130567183353</v>
      </c>
      <c r="L53" s="2003">
        <f t="shared" ref="L53:P54" si="15">IFERROR(L8/H8-1,"x")</f>
        <v>1.0138063186981818</v>
      </c>
      <c r="M53" s="2003">
        <f t="shared" si="15"/>
        <v>0.59389098464089374</v>
      </c>
      <c r="N53" s="2003">
        <f t="shared" si="15"/>
        <v>0.50929001470882063</v>
      </c>
      <c r="O53" s="2003">
        <f t="shared" si="15"/>
        <v>0.33383288453404036</v>
      </c>
      <c r="P53" s="2004">
        <f t="shared" si="15"/>
        <v>7.9619318695069774E-2</v>
      </c>
      <c r="Q53" s="2001"/>
      <c r="R53" s="2001"/>
      <c r="S53" s="2001"/>
      <c r="T53" s="2001"/>
      <c r="U53" s="2001"/>
      <c r="V53" s="2001"/>
      <c r="X53" s="2031"/>
      <c r="Y53" s="2001"/>
      <c r="Z53" s="2001"/>
      <c r="AA53" s="2001"/>
      <c r="AB53" s="2031"/>
      <c r="AC53" s="2001"/>
      <c r="AD53" s="2001"/>
      <c r="AE53" s="2001"/>
      <c r="AF53" s="2001"/>
      <c r="AH53" s="2001"/>
      <c r="AI53" s="2001"/>
      <c r="AJ53" s="2001"/>
      <c r="AK53" s="2001"/>
      <c r="AL53" s="2001"/>
      <c r="AM53" s="2001"/>
      <c r="AN53" s="2001"/>
    </row>
    <row r="54" spans="1:40" s="2002" customFormat="1" ht="13">
      <c r="A54" s="742" t="s">
        <v>1507</v>
      </c>
      <c r="B54" s="2003" t="str">
        <f>IFERROR(B9/#REF!-1,"x")</f>
        <v>x</v>
      </c>
      <c r="C54" s="2003" t="str">
        <f>IFERROR(C9/#REF!-1,"x")</f>
        <v>x</v>
      </c>
      <c r="D54" s="2003" t="str">
        <f>IFERROR(D9/#REF!-1,"x")</f>
        <v>x</v>
      </c>
      <c r="E54" s="2003" t="str">
        <f t="shared" si="14"/>
        <v>x</v>
      </c>
      <c r="F54" s="2003">
        <f t="shared" si="14"/>
        <v>0.6163405088062619</v>
      </c>
      <c r="G54" s="2003">
        <f t="shared" si="14"/>
        <v>0.58301400841761408</v>
      </c>
      <c r="H54" s="2003">
        <f t="shared" si="14"/>
        <v>2.9294053014695782</v>
      </c>
      <c r="I54" s="2003">
        <f t="shared" si="14"/>
        <v>0.77262557578416291</v>
      </c>
      <c r="J54" s="2003">
        <f t="shared" si="14"/>
        <v>1.0935286639627098</v>
      </c>
      <c r="K54" s="2003">
        <f>IFERROR(K9/G9-1,"x")</f>
        <v>1.6576984126984131</v>
      </c>
      <c r="L54" s="2003">
        <f t="shared" si="15"/>
        <v>0.82446696959105203</v>
      </c>
      <c r="M54" s="2003">
        <f t="shared" si="15"/>
        <v>0.54188630682802486</v>
      </c>
      <c r="N54" s="2003">
        <f t="shared" si="15"/>
        <v>0.93918977532313574</v>
      </c>
      <c r="O54" s="2003">
        <f t="shared" si="15"/>
        <v>6.3308149431120508E-3</v>
      </c>
      <c r="P54" s="2004">
        <f t="shared" si="15"/>
        <v>8.4045365722824616E-2</v>
      </c>
      <c r="Q54" s="2001"/>
      <c r="R54" s="2001"/>
      <c r="S54" s="2001"/>
      <c r="T54" s="2001"/>
      <c r="U54" s="2001"/>
      <c r="V54" s="2001"/>
      <c r="X54" s="2031"/>
      <c r="Y54" s="2005">
        <f t="shared" ref="Y54:AD54" si="16">Y55</f>
        <v>0.13128603054378729</v>
      </c>
      <c r="Z54" s="2005">
        <f t="shared" si="16"/>
        <v>0.289725437955344</v>
      </c>
      <c r="AA54" s="2005">
        <f t="shared" si="16"/>
        <v>4.747312709110374E-2</v>
      </c>
      <c r="AB54" s="2035">
        <f t="shared" si="16"/>
        <v>0.23293938370096634</v>
      </c>
      <c r="AC54" s="2005">
        <f t="shared" si="16"/>
        <v>-9.1353162196191051E-2</v>
      </c>
      <c r="AD54" s="2005">
        <f t="shared" si="16"/>
        <v>-1.8571373075050857E-2</v>
      </c>
      <c r="AE54" s="2001"/>
      <c r="AF54" s="2001"/>
      <c r="AH54" s="2001"/>
      <c r="AI54" s="2001"/>
      <c r="AJ54" s="2001"/>
      <c r="AK54" s="2001"/>
      <c r="AL54" s="2001"/>
      <c r="AM54" s="2001"/>
      <c r="AN54" s="2001"/>
    </row>
    <row r="55" spans="1:40" s="2002" customFormat="1" ht="13">
      <c r="A55" s="742" t="s">
        <v>1508</v>
      </c>
      <c r="B55" s="2003" t="str">
        <f>IFERROR(B10/#REF!-1,"x")</f>
        <v>x</v>
      </c>
      <c r="C55" s="2003" t="str">
        <f>IFERROR(C10/#REF!-1,"x")</f>
        <v>x</v>
      </c>
      <c r="D55" s="2003" t="str">
        <f>IFERROR(D10/#REF!-1,"x")</f>
        <v>x</v>
      </c>
      <c r="E55" s="2003" t="str">
        <f t="shared" si="14"/>
        <v>x</v>
      </c>
      <c r="F55" s="2003">
        <f t="shared" si="14"/>
        <v>0.85294881719983162</v>
      </c>
      <c r="G55" s="2003">
        <f t="shared" si="14"/>
        <v>0.85686507767911513</v>
      </c>
      <c r="H55" s="2003">
        <f t="shared" si="14"/>
        <v>0.91782177191035719</v>
      </c>
      <c r="I55" s="2003">
        <f t="shared" si="14"/>
        <v>1.1525627335824877</v>
      </c>
      <c r="J55" s="2003">
        <f t="shared" si="14"/>
        <v>1.1044831990443917</v>
      </c>
      <c r="K55" s="2003">
        <f t="shared" si="14"/>
        <v>1.252650533767659</v>
      </c>
      <c r="L55" s="2003">
        <f t="shared" si="14"/>
        <v>1.0079478807634032</v>
      </c>
      <c r="M55" s="2003">
        <f t="shared" si="14"/>
        <v>0.59219877288953993</v>
      </c>
      <c r="N55" s="2003">
        <f t="shared" si="14"/>
        <v>0.51919456380533613</v>
      </c>
      <c r="O55" s="2003">
        <f>IFERROR(O10/K10-1,"x")</f>
        <v>0.32640656291634018</v>
      </c>
      <c r="P55" s="2004">
        <f>IFERROR(P10/L10-1,"x")</f>
        <v>7.9743753120544714E-2</v>
      </c>
      <c r="Q55" s="2003"/>
      <c r="R55" s="2003"/>
      <c r="S55" s="2003"/>
      <c r="T55" s="2003"/>
      <c r="U55" s="2003">
        <f>IFERROR(U10/Q10-1,"x")</f>
        <v>-0.82343332468559349</v>
      </c>
      <c r="V55" s="2003">
        <f>IFERROR(V10/R10-1,"x")</f>
        <v>-0.85539015854899181</v>
      </c>
      <c r="W55" s="2003">
        <f t="shared" ref="W55:AF56" si="17">IFERROR(W10/S10-1,"x")</f>
        <v>-0.84657089777997241</v>
      </c>
      <c r="X55" s="2004">
        <f t="shared" si="17"/>
        <v>-0.84303485925553934</v>
      </c>
      <c r="Y55" s="2003">
        <f t="shared" si="17"/>
        <v>0.13128603054378729</v>
      </c>
      <c r="Z55" s="2003">
        <f t="shared" si="17"/>
        <v>0.289725437955344</v>
      </c>
      <c r="AA55" s="2003">
        <f t="shared" si="17"/>
        <v>4.747312709110374E-2</v>
      </c>
      <c r="AB55" s="2004">
        <f t="shared" si="17"/>
        <v>0.23293938370096634</v>
      </c>
      <c r="AC55" s="2003">
        <f>IFERROR(AC10/Y10-1,"x")</f>
        <v>-9.1353162196191051E-2</v>
      </c>
      <c r="AD55" s="2003">
        <f>IFERROR(AD10/Z10-1,"x")</f>
        <v>-1.8571373075050857E-2</v>
      </c>
      <c r="AE55" s="2003">
        <f>IFERROR(AE10/AA10-1,"x")</f>
        <v>0.18080423818953961</v>
      </c>
      <c r="AF55" s="2003">
        <f>IFERROR(AF10/AB10-1,"x")</f>
        <v>-3.7173640103014716E-2</v>
      </c>
      <c r="AH55" s="2001"/>
      <c r="AI55" s="2001"/>
      <c r="AJ55" s="2001"/>
      <c r="AK55" s="2001"/>
      <c r="AL55" s="2001"/>
      <c r="AM55" s="2001"/>
      <c r="AN55" s="2001"/>
    </row>
    <row r="56" spans="1:40" s="2002" customFormat="1" ht="13">
      <c r="A56" s="742" t="s">
        <v>1484</v>
      </c>
      <c r="B56" s="2003" t="str">
        <f>IFERROR(B11/#REF!-1,"x")</f>
        <v>x</v>
      </c>
      <c r="C56" s="2003" t="str">
        <f>IFERROR(C11/#REF!-1,"x")</f>
        <v>x</v>
      </c>
      <c r="D56" s="2003" t="str">
        <f>IFERROR(D11/#REF!-1,"x")</f>
        <v>x</v>
      </c>
      <c r="E56" s="2003" t="str">
        <f t="shared" si="14"/>
        <v>x</v>
      </c>
      <c r="F56" s="2003">
        <f t="shared" si="14"/>
        <v>0.41933471933471944</v>
      </c>
      <c r="G56" s="2003">
        <f t="shared" si="14"/>
        <v>0.42983114446529092</v>
      </c>
      <c r="H56" s="2003">
        <f t="shared" si="14"/>
        <v>0.2680131786277038</v>
      </c>
      <c r="I56" s="2003">
        <f t="shared" si="14"/>
        <v>1.0522456461961505</v>
      </c>
      <c r="J56" s="2003">
        <f t="shared" si="14"/>
        <v>2.6122747912699578</v>
      </c>
      <c r="K56" s="2003">
        <f t="shared" si="14"/>
        <v>4.851200629838603</v>
      </c>
      <c r="L56" s="2003">
        <f t="shared" si="14"/>
        <v>4.3429733393583367</v>
      </c>
      <c r="M56" s="2003">
        <f>IFERROR(M11/I11-1,"x")</f>
        <v>5.0695846359982131</v>
      </c>
      <c r="N56" s="2003">
        <f>IFERROR(N11/J11-1,"x")</f>
        <v>2.4733790195044802</v>
      </c>
      <c r="O56" s="2003">
        <f t="shared" ref="O56:V56" si="18">IFERROR(O11/K11-1,"x")</f>
        <v>1.9163302834589162</v>
      </c>
      <c r="P56" s="2004">
        <f t="shared" si="18"/>
        <v>1.1556156968876858</v>
      </c>
      <c r="Q56" s="2003"/>
      <c r="R56" s="2003"/>
      <c r="S56" s="2003"/>
      <c r="T56" s="2003"/>
      <c r="U56" s="2003">
        <f t="shared" si="18"/>
        <v>0.45933691024669066</v>
      </c>
      <c r="V56" s="2003">
        <f t="shared" si="18"/>
        <v>0.32332672312732136</v>
      </c>
      <c r="W56" s="2003">
        <f t="shared" si="17"/>
        <v>0.48848483062460391</v>
      </c>
      <c r="X56" s="2004">
        <f t="shared" si="17"/>
        <v>0.70448793896023876</v>
      </c>
      <c r="Y56" s="2003">
        <f t="shared" si="17"/>
        <v>-0.22218336946639627</v>
      </c>
      <c r="Z56" s="2003">
        <f t="shared" si="17"/>
        <v>-0.27439892701019997</v>
      </c>
      <c r="AA56" s="2003">
        <f t="shared" si="17"/>
        <v>-0.35453726526693008</v>
      </c>
      <c r="AB56" s="2004">
        <f t="shared" si="17"/>
        <v>-0.3682103296409982</v>
      </c>
      <c r="AC56" s="2003">
        <f t="shared" si="17"/>
        <v>0.16839211858093361</v>
      </c>
      <c r="AD56" s="2003">
        <f t="shared" si="17"/>
        <v>3.6592462431966677E-2</v>
      </c>
      <c r="AE56" s="2003">
        <f t="shared" si="17"/>
        <v>-0.19180571744064778</v>
      </c>
      <c r="AF56" s="2003">
        <f t="shared" si="17"/>
        <v>-5.8600901281509632E-2</v>
      </c>
      <c r="AH56" s="2001"/>
      <c r="AI56" s="2001"/>
      <c r="AJ56" s="2001"/>
      <c r="AK56" s="2001"/>
      <c r="AL56" s="2001"/>
      <c r="AM56" s="2001"/>
      <c r="AN56" s="2001"/>
    </row>
    <row r="57" spans="1:40" s="2009" customFormat="1" ht="13">
      <c r="A57" s="1094" t="s">
        <v>1509</v>
      </c>
      <c r="B57" s="2006" t="str">
        <f>IFERROR(B14/#REF!-1,"x")</f>
        <v>x</v>
      </c>
      <c r="C57" s="2006" t="str">
        <f>IFERROR(C14/#REF!-1,"x")</f>
        <v>x</v>
      </c>
      <c r="D57" s="2006" t="str">
        <f>IFERROR(D14/#REF!-1,"x")</f>
        <v>x</v>
      </c>
      <c r="E57" s="2006" t="str">
        <f t="shared" ref="E57:K57" si="19">IFERROR(E14/A14-1,"x")</f>
        <v>x</v>
      </c>
      <c r="F57" s="2006">
        <f t="shared" si="19"/>
        <v>0.84938466662019696</v>
      </c>
      <c r="G57" s="2006">
        <f t="shared" si="19"/>
        <v>0.8563351576031597</v>
      </c>
      <c r="H57" s="2006">
        <f t="shared" si="19"/>
        <v>0.90929051623116308</v>
      </c>
      <c r="I57" s="2006">
        <f t="shared" si="19"/>
        <v>1.1589198370035212</v>
      </c>
      <c r="J57" s="2006">
        <f t="shared" si="19"/>
        <v>1.1193671905645339</v>
      </c>
      <c r="K57" s="2006">
        <f t="shared" si="19"/>
        <v>1.2745939632722014</v>
      </c>
      <c r="L57" s="2006">
        <f>IFERROR(L14/H14-1,"x")</f>
        <v>1.0407129120553722</v>
      </c>
      <c r="M57" s="2006">
        <f>IFERROR(M14/I14-1,"x")</f>
        <v>0.62755332163140243</v>
      </c>
      <c r="N57" s="2006">
        <f t="shared" ref="N57:AF57" si="20">IFERROR(N14/J14-1,"x")</f>
        <v>0.55594731240021278</v>
      </c>
      <c r="O57" s="2006">
        <f t="shared" si="20"/>
        <v>0.3566433636748163</v>
      </c>
      <c r="P57" s="2007">
        <f t="shared" si="20"/>
        <v>0.11157045724844661</v>
      </c>
      <c r="Q57" s="2006"/>
      <c r="R57" s="2006"/>
      <c r="S57" s="2006"/>
      <c r="T57" s="2006"/>
      <c r="U57" s="2006">
        <f t="shared" si="20"/>
        <v>-0.7797942710131498</v>
      </c>
      <c r="V57" s="2006">
        <f t="shared" si="20"/>
        <v>-0.81096357677252462</v>
      </c>
      <c r="W57" s="2006">
        <f t="shared" si="20"/>
        <v>-0.8020766015372558</v>
      </c>
      <c r="X57" s="2007">
        <f t="shared" si="20"/>
        <v>-0.75945137512011152</v>
      </c>
      <c r="Y57" s="2006">
        <f t="shared" si="20"/>
        <v>5.3705697514039308E-2</v>
      </c>
      <c r="Z57" s="2006">
        <f t="shared" si="20"/>
        <v>0.14162942741388607</v>
      </c>
      <c r="AA57" s="2006">
        <f t="shared" si="20"/>
        <v>-5.3287184354007366E-2</v>
      </c>
      <c r="AB57" s="2007">
        <f t="shared" si="20"/>
        <v>2.8709091141256859E-3</v>
      </c>
      <c r="AC57" s="2006">
        <f t="shared" si="20"/>
        <v>-4.9270289449423799E-2</v>
      </c>
      <c r="AD57" s="2006">
        <f t="shared" si="20"/>
        <v>-9.3669681104234792E-3</v>
      </c>
      <c r="AE57" s="2006">
        <f t="shared" si="20"/>
        <v>0.11713061060289776</v>
      </c>
      <c r="AF57" s="2006">
        <f t="shared" si="20"/>
        <v>-4.2339809224696823E-2</v>
      </c>
      <c r="AH57" s="2008"/>
      <c r="AI57" s="2008"/>
      <c r="AJ57" s="2008"/>
      <c r="AK57" s="2008"/>
      <c r="AL57" s="2008"/>
      <c r="AM57" s="2008"/>
      <c r="AN57" s="2008"/>
    </row>
    <row r="58" spans="1:40" s="2009" customFormat="1" ht="13">
      <c r="A58" s="749"/>
      <c r="B58" s="2010"/>
      <c r="C58" s="2010"/>
      <c r="D58" s="2010"/>
      <c r="E58" s="2010"/>
      <c r="F58" s="2010"/>
      <c r="G58" s="2010"/>
      <c r="H58" s="2010"/>
      <c r="I58" s="2010"/>
      <c r="J58" s="2010"/>
      <c r="K58" s="2010"/>
      <c r="L58" s="2010"/>
      <c r="M58" s="2010"/>
      <c r="N58" s="2010"/>
      <c r="O58" s="2010"/>
      <c r="P58" s="2011"/>
      <c r="Q58" s="2010"/>
      <c r="R58" s="2010"/>
      <c r="S58" s="2010"/>
      <c r="T58" s="2010"/>
      <c r="U58" s="2010"/>
      <c r="V58" s="2010"/>
      <c r="W58" s="2010"/>
      <c r="X58" s="2011"/>
      <c r="Y58" s="2012">
        <f t="shared" ref="Y58:AD58" si="21">Y57</f>
        <v>5.3705697514039308E-2</v>
      </c>
      <c r="Z58" s="2012">
        <f t="shared" si="21"/>
        <v>0.14162942741388607</v>
      </c>
      <c r="AA58" s="2012">
        <f t="shared" si="21"/>
        <v>-5.3287184354007366E-2</v>
      </c>
      <c r="AB58" s="2032">
        <f t="shared" si="21"/>
        <v>2.8709091141256859E-3</v>
      </c>
      <c r="AC58" s="2012">
        <f t="shared" si="21"/>
        <v>-4.9270289449423799E-2</v>
      </c>
      <c r="AD58" s="2012">
        <f t="shared" si="21"/>
        <v>-9.3669681104234792E-3</v>
      </c>
      <c r="AE58" s="2008"/>
      <c r="AF58" s="2008"/>
      <c r="AH58" s="2008"/>
      <c r="AI58" s="2008"/>
      <c r="AJ58" s="2008"/>
      <c r="AK58" s="2008"/>
      <c r="AL58" s="2008"/>
      <c r="AM58" s="2008"/>
      <c r="AN58" s="2008"/>
    </row>
    <row r="59" spans="1:40" s="2002" customFormat="1" ht="13">
      <c r="A59" s="750" t="s">
        <v>1510</v>
      </c>
      <c r="B59" s="2003" t="str">
        <f>IFERROR(B17/#REF!-1,"x")</f>
        <v>x</v>
      </c>
      <c r="C59" s="2003" t="str">
        <f>IFERROR(C17/#REF!-1,"x")</f>
        <v>x</v>
      </c>
      <c r="D59" s="2003" t="str">
        <f>IFERROR(D17/#REF!-1,"x")</f>
        <v>x</v>
      </c>
      <c r="E59" s="2003" t="str">
        <f t="shared" ref="E59:O59" si="22">IFERROR(E17/A17-1,"x")</f>
        <v>x</v>
      </c>
      <c r="F59" s="2003">
        <f>IFERROR(F17/B17-1,"x")</f>
        <v>0.37973811164713811</v>
      </c>
      <c r="G59" s="2003">
        <f>IFERROR(G17/C17-1,"x")</f>
        <v>0.75397178495109163</v>
      </c>
      <c r="H59" s="2003">
        <f t="shared" si="22"/>
        <v>2.5419087614335862</v>
      </c>
      <c r="I59" s="2003">
        <f t="shared" si="22"/>
        <v>0.20554228832194132</v>
      </c>
      <c r="J59" s="2003">
        <f t="shared" si="22"/>
        <v>0.70679320679321256</v>
      </c>
      <c r="K59" s="2003">
        <f t="shared" si="22"/>
        <v>1.0963467986189821</v>
      </c>
      <c r="L59" s="2003">
        <f t="shared" si="22"/>
        <v>0.29365427406649713</v>
      </c>
      <c r="M59" s="2003">
        <f t="shared" si="22"/>
        <v>0.7018201074804935</v>
      </c>
      <c r="N59" s="2003">
        <f t="shared" si="22"/>
        <v>0.68134119319369058</v>
      </c>
      <c r="O59" s="2003">
        <f t="shared" si="22"/>
        <v>0.40047683599695838</v>
      </c>
      <c r="P59" s="2004">
        <f>IFERROR(P17/L17-1,"x")</f>
        <v>1.3089178771861483</v>
      </c>
      <c r="Q59" s="2003"/>
      <c r="R59" s="2003"/>
      <c r="S59" s="2003"/>
      <c r="T59" s="2003"/>
      <c r="U59" s="2003">
        <f t="shared" ref="U59:AF59" si="23">IFERROR(U17/Q17-1,"x")</f>
        <v>1.7528097272428536</v>
      </c>
      <c r="V59" s="2003">
        <f t="shared" si="23"/>
        <v>0.87565203153143023</v>
      </c>
      <c r="W59" s="2003">
        <f t="shared" si="23"/>
        <v>0.79816300477602464</v>
      </c>
      <c r="X59" s="2004">
        <f t="shared" si="23"/>
        <v>0.34774385456129342</v>
      </c>
      <c r="Y59" s="2003">
        <f t="shared" si="23"/>
        <v>4.5053003533568781E-2</v>
      </c>
      <c r="Z59" s="2003">
        <f t="shared" si="23"/>
        <v>4.2472085734001741E-2</v>
      </c>
      <c r="AA59" s="2003">
        <f t="shared" si="23"/>
        <v>-0.11198083827989103</v>
      </c>
      <c r="AB59" s="2004">
        <f t="shared" si="23"/>
        <v>0.14911142957989076</v>
      </c>
      <c r="AC59" s="2003">
        <f t="shared" si="23"/>
        <v>-4.4885121808198813E-2</v>
      </c>
      <c r="AD59" s="2003">
        <f t="shared" si="23"/>
        <v>-7.0880271159405539E-2</v>
      </c>
      <c r="AE59" s="2003">
        <f t="shared" si="23"/>
        <v>-2.8178151715541722E-2</v>
      </c>
      <c r="AF59" s="2003">
        <f t="shared" si="23"/>
        <v>-0.19819996521314343</v>
      </c>
      <c r="AH59" s="2001"/>
      <c r="AI59" s="2001"/>
      <c r="AJ59" s="2001"/>
      <c r="AK59" s="2001"/>
      <c r="AL59" s="2001"/>
      <c r="AM59" s="2001"/>
      <c r="AN59" s="2001"/>
    </row>
    <row r="60" spans="1:40" s="2009" customFormat="1" ht="13">
      <c r="A60" s="749"/>
      <c r="B60" s="2013"/>
      <c r="C60" s="2013"/>
      <c r="D60" s="2013"/>
      <c r="E60" s="2013"/>
      <c r="F60" s="2013"/>
      <c r="G60" s="2013"/>
      <c r="H60" s="2013"/>
      <c r="I60" s="2013"/>
      <c r="J60" s="2013"/>
      <c r="K60" s="2013"/>
      <c r="L60" s="2013"/>
      <c r="M60" s="2013"/>
      <c r="N60" s="2013"/>
      <c r="O60" s="2013"/>
      <c r="P60" s="2011"/>
      <c r="Q60" s="2013"/>
      <c r="R60" s="2013"/>
      <c r="S60" s="2013"/>
      <c r="T60" s="2013"/>
      <c r="U60" s="2014">
        <f t="shared" ref="U60:AD60" si="24">U59</f>
        <v>1.7528097272428536</v>
      </c>
      <c r="V60" s="2014">
        <f t="shared" si="24"/>
        <v>0.87565203153143023</v>
      </c>
      <c r="W60" s="2014">
        <f t="shared" si="24"/>
        <v>0.79816300477602464</v>
      </c>
      <c r="X60" s="2032">
        <f t="shared" si="24"/>
        <v>0.34774385456129342</v>
      </c>
      <c r="Y60" s="2014">
        <f t="shared" si="24"/>
        <v>4.5053003533568781E-2</v>
      </c>
      <c r="Z60" s="2014">
        <f t="shared" si="24"/>
        <v>4.2472085734001741E-2</v>
      </c>
      <c r="AA60" s="2014">
        <f t="shared" si="24"/>
        <v>-0.11198083827989103</v>
      </c>
      <c r="AB60" s="2032">
        <f t="shared" si="24"/>
        <v>0.14911142957989076</v>
      </c>
      <c r="AC60" s="2014">
        <f t="shared" si="24"/>
        <v>-4.4885121808198813E-2</v>
      </c>
      <c r="AD60" s="2014">
        <f t="shared" si="24"/>
        <v>-7.0880271159405539E-2</v>
      </c>
      <c r="AE60" s="2008"/>
      <c r="AF60" s="2008"/>
      <c r="AH60" s="2008"/>
      <c r="AI60" s="2008"/>
      <c r="AJ60" s="2008"/>
      <c r="AK60" s="2008"/>
      <c r="AL60" s="2008"/>
      <c r="AM60" s="2008"/>
      <c r="AN60" s="2008"/>
    </row>
    <row r="61" spans="1:40" s="2002" customFormat="1" ht="13">
      <c r="A61" s="750" t="s">
        <v>1511</v>
      </c>
      <c r="B61" s="2003" t="str">
        <f>IFERROR(B35/#REF!-1,"x")</f>
        <v>x</v>
      </c>
      <c r="C61" s="2003" t="str">
        <f>IFERROR(C35/#REF!-1,"x")</f>
        <v>x</v>
      </c>
      <c r="D61" s="2003" t="str">
        <f>IFERROR(D35/#REF!-1,"x")</f>
        <v>x</v>
      </c>
      <c r="E61" s="2003" t="str">
        <f t="shared" ref="E61:O61" si="25">IFERROR(E35/A35-1,"x")</f>
        <v>x</v>
      </c>
      <c r="F61" s="2003">
        <f t="shared" si="25"/>
        <v>3.9988572022232614</v>
      </c>
      <c r="G61" s="2003">
        <f t="shared" si="25"/>
        <v>2.0600527490363154</v>
      </c>
      <c r="H61" s="2003">
        <f t="shared" si="25"/>
        <v>2.7247075375837002</v>
      </c>
      <c r="I61" s="2003">
        <f t="shared" si="25"/>
        <v>1.5778930034431609</v>
      </c>
      <c r="J61" s="2003">
        <f t="shared" si="25"/>
        <v>1.4044974177257279</v>
      </c>
      <c r="K61" s="2003">
        <f t="shared" si="25"/>
        <v>1.7985894715905326</v>
      </c>
      <c r="L61" s="2003">
        <f t="shared" si="25"/>
        <v>1.7596706725052114</v>
      </c>
      <c r="M61" s="2003">
        <f t="shared" si="25"/>
        <v>1.0277371569150198</v>
      </c>
      <c r="N61" s="2003">
        <f t="shared" si="25"/>
        <v>1.6922624809846498</v>
      </c>
      <c r="O61" s="2003">
        <f t="shared" si="25"/>
        <v>0.47939672302029379</v>
      </c>
      <c r="P61" s="2004">
        <f>IFERROR(P35/L35-1,"x")</f>
        <v>1.4896696466818904E-2</v>
      </c>
      <c r="Q61" s="2003"/>
      <c r="R61" s="2003"/>
      <c r="S61" s="2003"/>
      <c r="T61" s="2003"/>
      <c r="U61" s="2003">
        <f t="shared" ref="U61:AB61" si="26">IFERROR(U35/Q35-1,"x")</f>
        <v>-0.34087756690009807</v>
      </c>
      <c r="V61" s="2003">
        <f t="shared" si="26"/>
        <v>-0.64311739879428176</v>
      </c>
      <c r="W61" s="2003">
        <f t="shared" si="26"/>
        <v>-0.54833128910962481</v>
      </c>
      <c r="X61" s="2004">
        <f t="shared" si="26"/>
        <v>-0.51343556060712747</v>
      </c>
      <c r="Y61" s="2003">
        <f t="shared" si="26"/>
        <v>-0.26702963925157641</v>
      </c>
      <c r="Z61" s="2003">
        <f t="shared" si="26"/>
        <v>-0.21698628652448959</v>
      </c>
      <c r="AA61" s="2003">
        <f t="shared" si="26"/>
        <v>-6.8027271551705071E-2</v>
      </c>
      <c r="AB61" s="2004">
        <f t="shared" si="26"/>
        <v>7.88960955063438E-2</v>
      </c>
      <c r="AC61" s="2003">
        <f>IFERROR(AC35/Y35-1,"x")</f>
        <v>0.17106751559419542</v>
      </c>
      <c r="AD61" s="2003">
        <f>IFERROR(AD35/Z35-1,"x")</f>
        <v>0.28635522210752717</v>
      </c>
      <c r="AE61" s="2003">
        <f>IFERROR(AE35/AA35-1,"x")</f>
        <v>0.14758835828465089</v>
      </c>
      <c r="AF61" s="2003">
        <f>IFERROR(AF35/AB35-1,"x")</f>
        <v>0.14787244743989536</v>
      </c>
      <c r="AH61" s="2001"/>
      <c r="AI61" s="2001"/>
      <c r="AJ61" s="2001"/>
      <c r="AK61" s="2001"/>
      <c r="AL61" s="2001"/>
      <c r="AM61" s="2001"/>
      <c r="AN61" s="2001"/>
    </row>
    <row r="62" spans="1:40" ht="13">
      <c r="A62" s="749"/>
      <c r="B62" s="1061"/>
      <c r="C62" s="1061"/>
      <c r="D62" s="1061"/>
      <c r="E62" s="1061"/>
      <c r="F62" s="1061"/>
      <c r="G62" s="1061"/>
      <c r="H62" s="1061"/>
      <c r="I62" s="1061"/>
      <c r="J62" s="1061"/>
      <c r="K62" s="1061"/>
      <c r="L62" s="1061"/>
      <c r="M62" s="1061"/>
      <c r="N62" s="1061"/>
      <c r="O62" s="1061"/>
      <c r="P62" s="1067"/>
      <c r="Q62" s="1061"/>
      <c r="R62" s="1061"/>
      <c r="S62" s="1061"/>
      <c r="T62" s="1061"/>
      <c r="U62" s="1061"/>
      <c r="V62" s="1061"/>
      <c r="X62" s="1067"/>
      <c r="Y62" s="1061"/>
    </row>
    <row r="63" spans="1:40" ht="13">
      <c r="A63" s="1089" t="s">
        <v>1512</v>
      </c>
      <c r="B63" s="1090"/>
      <c r="C63" s="1090"/>
      <c r="D63" s="1090"/>
      <c r="E63" s="1090"/>
      <c r="F63" s="1090"/>
      <c r="G63" s="1090"/>
      <c r="H63" s="1090"/>
      <c r="I63" s="1090"/>
      <c r="J63" s="1090"/>
      <c r="K63" s="1090"/>
      <c r="L63" s="1090"/>
      <c r="M63" s="1090"/>
      <c r="N63" s="1090"/>
      <c r="O63" s="1090"/>
      <c r="P63" s="1091"/>
      <c r="Q63" s="1090"/>
      <c r="R63" s="1090"/>
      <c r="S63" s="1090"/>
      <c r="T63" s="1090"/>
      <c r="U63" s="1090"/>
      <c r="V63" s="1090"/>
      <c r="W63" s="1090"/>
      <c r="X63" s="1091"/>
      <c r="Y63" s="1090"/>
      <c r="Z63" s="1090"/>
      <c r="AA63" s="1090"/>
      <c r="AB63" s="1091"/>
      <c r="AC63" s="1090"/>
      <c r="AD63" s="1090"/>
      <c r="AE63" s="1090"/>
      <c r="AF63" s="1090"/>
      <c r="AG63" s="1090"/>
      <c r="AH63" s="1090"/>
      <c r="AI63" s="1090"/>
      <c r="AJ63" s="1090"/>
      <c r="AK63" s="1090"/>
      <c r="AL63" s="1090"/>
      <c r="AM63" s="1090"/>
      <c r="AN63" s="1090"/>
    </row>
    <row r="64" spans="1:40">
      <c r="A64" s="1095" t="s">
        <v>1513</v>
      </c>
      <c r="B64" s="1061"/>
      <c r="C64" s="1061"/>
      <c r="D64" s="1061"/>
      <c r="E64" s="1061"/>
      <c r="F64" s="1061"/>
      <c r="G64" s="1061"/>
      <c r="H64" s="1061"/>
      <c r="I64" s="1061"/>
      <c r="J64" s="1061"/>
      <c r="K64" s="1061"/>
      <c r="L64" s="1061"/>
      <c r="M64" s="1061"/>
      <c r="N64" s="1061"/>
      <c r="O64" s="1061"/>
      <c r="P64" s="1067"/>
      <c r="Q64" s="1061"/>
      <c r="R64" s="1061"/>
      <c r="S64" s="1061"/>
      <c r="T64" s="1061"/>
      <c r="U64" s="1061"/>
      <c r="V64" s="1061"/>
      <c r="X64" s="1067"/>
      <c r="Y64" s="1061"/>
    </row>
    <row r="65" spans="1:40">
      <c r="A65" s="801"/>
      <c r="B65" s="1061"/>
      <c r="C65" s="1061"/>
      <c r="D65" s="1061"/>
      <c r="E65" s="1061"/>
      <c r="F65" s="1061"/>
      <c r="G65" s="1061"/>
      <c r="H65" s="1061"/>
      <c r="I65" s="1061"/>
      <c r="J65" s="1061"/>
      <c r="K65" s="1061"/>
      <c r="L65" s="1061"/>
      <c r="M65" s="1061"/>
      <c r="N65" s="1061"/>
      <c r="O65" s="1061"/>
      <c r="P65" s="1067"/>
      <c r="Q65" s="1061"/>
      <c r="R65" s="1061"/>
      <c r="S65" s="1061"/>
      <c r="T65" s="1061"/>
      <c r="U65" s="1061"/>
      <c r="V65" s="1061"/>
      <c r="X65" s="1067"/>
      <c r="Y65" s="1061"/>
    </row>
    <row r="66" spans="1:40">
      <c r="A66" s="1095" t="s">
        <v>1514</v>
      </c>
      <c r="B66" s="960">
        <f t="shared" ref="B66:AB66" si="27">IFERROR(B17/B14,"x")</f>
        <v>7.8665086704307094E-2</v>
      </c>
      <c r="C66" s="960">
        <f t="shared" si="27"/>
        <v>6.4735148631301656E-2</v>
      </c>
      <c r="D66" s="960">
        <f t="shared" si="27"/>
        <v>3.5737340926378945E-2</v>
      </c>
      <c r="E66" s="960">
        <f t="shared" si="27"/>
        <v>7.3149512601786329E-2</v>
      </c>
      <c r="F66" s="960">
        <f t="shared" si="27"/>
        <v>5.8688287050802639E-2</v>
      </c>
      <c r="G66" s="960">
        <f t="shared" si="27"/>
        <v>6.1165476357471056E-2</v>
      </c>
      <c r="H66" s="960">
        <f t="shared" si="27"/>
        <v>6.6296040262819517E-2</v>
      </c>
      <c r="I66" s="960">
        <f t="shared" si="27"/>
        <v>4.0846737011777413E-2</v>
      </c>
      <c r="J66" s="960">
        <f t="shared" si="27"/>
        <v>4.7263527576813215E-2</v>
      </c>
      <c r="K66" s="960">
        <f t="shared" si="27"/>
        <v>5.6372281215205558E-2</v>
      </c>
      <c r="L66" s="960">
        <f t="shared" si="27"/>
        <v>4.2026565977524404E-2</v>
      </c>
      <c r="M66" s="960">
        <f t="shared" si="27"/>
        <v>4.271061196442541E-2</v>
      </c>
      <c r="N66" s="960">
        <f t="shared" si="27"/>
        <v>5.1072497903516513E-2</v>
      </c>
      <c r="O66" s="960">
        <f t="shared" si="27"/>
        <v>5.8193683135964888E-2</v>
      </c>
      <c r="P66" s="1093">
        <f t="shared" si="27"/>
        <v>8.7296211292309286E-2</v>
      </c>
      <c r="Q66" s="960">
        <f>IFERROR(Q17/Q14,"x")</f>
        <v>4.4080644063164379E-2</v>
      </c>
      <c r="R66" s="960">
        <f t="shared" si="27"/>
        <v>5.2695328694061447E-2</v>
      </c>
      <c r="S66" s="960">
        <f t="shared" si="27"/>
        <v>6.0201408790997252E-2</v>
      </c>
      <c r="T66" s="960">
        <f t="shared" si="27"/>
        <v>8.9320991730798688E-2</v>
      </c>
      <c r="U66" s="960">
        <f t="shared" si="27"/>
        <v>0.5510557164816321</v>
      </c>
      <c r="V66" s="960">
        <f t="shared" si="27"/>
        <v>0.52285215002347374</v>
      </c>
      <c r="W66" s="960">
        <f t="shared" si="27"/>
        <v>0.54693859828678115</v>
      </c>
      <c r="X66" s="1093">
        <f t="shared" si="27"/>
        <v>0.50044691691176157</v>
      </c>
      <c r="Y66" s="960">
        <f t="shared" si="27"/>
        <v>0.54653062328705837</v>
      </c>
      <c r="Z66" s="960">
        <f t="shared" si="27"/>
        <v>0.47743931461208944</v>
      </c>
      <c r="AA66" s="960">
        <f t="shared" si="27"/>
        <v>0.51302987298379965</v>
      </c>
      <c r="AB66" s="1093">
        <f t="shared" si="27"/>
        <v>0.57342302672764112</v>
      </c>
      <c r="AC66" s="960">
        <f>IFERROR(AC17/AC14,"x")</f>
        <v>0.54905145373716502</v>
      </c>
      <c r="AD66" s="960">
        <f>IFERROR(AD17/AD14,"x")</f>
        <v>0.44779274691061449</v>
      </c>
      <c r="AE66" s="960">
        <f>IFERROR(AE17/AE14,"x")</f>
        <v>0.44629843158552845</v>
      </c>
      <c r="AF66" s="960">
        <f>IFERROR(AF17/AF14,"x")</f>
        <v>0.48009785433973806</v>
      </c>
    </row>
    <row r="67" spans="1:40">
      <c r="A67" s="801"/>
      <c r="B67" s="1061"/>
      <c r="C67" s="1061"/>
      <c r="D67" s="1061"/>
      <c r="E67" s="1061"/>
      <c r="F67" s="1061"/>
      <c r="G67" s="1061"/>
      <c r="H67" s="1061"/>
      <c r="I67" s="1061"/>
      <c r="J67" s="1061"/>
      <c r="K67" s="1061"/>
      <c r="L67" s="1061"/>
      <c r="M67" s="1061"/>
      <c r="N67" s="1061"/>
      <c r="O67" s="1061"/>
      <c r="P67" s="1067"/>
      <c r="Q67" s="1061"/>
      <c r="R67" s="1061"/>
      <c r="S67" s="1061"/>
      <c r="T67" s="1061"/>
      <c r="U67" s="1061"/>
      <c r="V67" s="1061"/>
      <c r="W67" s="1061"/>
      <c r="X67" s="1067"/>
      <c r="Y67" s="1061"/>
    </row>
    <row r="68" spans="1:40" ht="13">
      <c r="A68" s="749" t="s">
        <v>1515</v>
      </c>
      <c r="B68" s="1061"/>
      <c r="C68" s="1061"/>
      <c r="D68" s="1061"/>
      <c r="E68" s="1061"/>
      <c r="F68" s="1061"/>
      <c r="G68" s="1061"/>
      <c r="H68" s="1061"/>
      <c r="I68" s="1061"/>
      <c r="J68" s="1061"/>
      <c r="K68" s="1061"/>
      <c r="L68" s="1061"/>
      <c r="M68" s="1061"/>
      <c r="N68" s="1061"/>
      <c r="O68" s="1061"/>
      <c r="P68" s="1067"/>
      <c r="Q68" s="1061"/>
      <c r="R68" s="1061"/>
      <c r="S68" s="1061"/>
      <c r="T68" s="1061"/>
      <c r="U68" s="1061"/>
      <c r="V68" s="1061"/>
      <c r="W68" s="1061"/>
      <c r="X68" s="1067"/>
      <c r="Y68" s="1061"/>
    </row>
    <row r="69" spans="1:40">
      <c r="A69" s="743" t="s">
        <v>1516</v>
      </c>
      <c r="B69" s="960">
        <f t="shared" ref="B69:AB71" si="28">IFERROR(-B34/B$17,"x")</f>
        <v>0.25004102261166306</v>
      </c>
      <c r="C69" s="960">
        <f t="shared" si="28"/>
        <v>0.20330778384524828</v>
      </c>
      <c r="D69" s="960">
        <f t="shared" si="28"/>
        <v>0.80501064258183364</v>
      </c>
      <c r="E69" s="960">
        <f t="shared" si="28"/>
        <v>0.40139030099543649</v>
      </c>
      <c r="F69" s="960">
        <f t="shared" si="28"/>
        <v>0.48151848151848115</v>
      </c>
      <c r="G69" s="960">
        <f t="shared" si="28"/>
        <v>0.3420747591330025</v>
      </c>
      <c r="H69" s="960">
        <f t="shared" si="28"/>
        <v>0.62115675096233536</v>
      </c>
      <c r="I69" s="960">
        <f t="shared" si="28"/>
        <v>0.83950496214647374</v>
      </c>
      <c r="J69" s="960">
        <f t="shared" si="28"/>
        <v>0.84542274621290958</v>
      </c>
      <c r="K69" s="960">
        <f t="shared" si="28"/>
        <v>0.51317541856925419</v>
      </c>
      <c r="L69" s="960">
        <f t="shared" si="28"/>
        <v>1.3168024708408121</v>
      </c>
      <c r="M69" s="960">
        <f t="shared" si="28"/>
        <v>1.3907040532909181</v>
      </c>
      <c r="N69" s="960">
        <f t="shared" si="28"/>
        <v>1.1601518466945149</v>
      </c>
      <c r="O69" s="960">
        <f t="shared" si="28"/>
        <v>0.70747912323974915</v>
      </c>
      <c r="P69" s="1093">
        <f t="shared" si="28"/>
        <v>0.91577625161090459</v>
      </c>
      <c r="Q69" s="960">
        <f>IFERROR(-Q34/Q$17,"x")</f>
        <v>1.3218315259064526</v>
      </c>
      <c r="R69" s="960">
        <f t="shared" si="28"/>
        <v>1.0913584867410535</v>
      </c>
      <c r="S69" s="960">
        <f t="shared" si="28"/>
        <v>0.67968007569855982</v>
      </c>
      <c r="T69" s="960">
        <f t="shared" si="28"/>
        <v>0.9652393697808902</v>
      </c>
      <c r="U69" s="960">
        <f t="shared" si="28"/>
        <v>0.62720848056537104</v>
      </c>
      <c r="V69" s="960">
        <f t="shared" si="28"/>
        <v>0.60212505923727344</v>
      </c>
      <c r="W69" s="960">
        <f t="shared" si="28"/>
        <v>0.27664960227182517</v>
      </c>
      <c r="X69" s="1093">
        <f t="shared" si="28"/>
        <v>0.46704486015487795</v>
      </c>
      <c r="Y69" s="960">
        <f t="shared" si="28"/>
        <v>0.31525439217746914</v>
      </c>
      <c r="Z69" s="960">
        <f t="shared" si="28"/>
        <v>0.29964310637025227</v>
      </c>
      <c r="AA69" s="960">
        <f t="shared" si="28"/>
        <v>0.19023828315568736</v>
      </c>
      <c r="AB69" s="1093">
        <f t="shared" si="28"/>
        <v>0.27267344393579973</v>
      </c>
      <c r="AC69" s="960">
        <f t="shared" ref="AC69:AD71" si="29">IFERROR(-AC34/AC$17,"x")</f>
        <v>0.29889809359028546</v>
      </c>
      <c r="AD69" s="960">
        <f t="shared" si="29"/>
        <v>0.32654506437768238</v>
      </c>
      <c r="AE69" s="960">
        <f t="shared" ref="AE69:AF71" si="30">IFERROR(-AE34/AE$17,"x")</f>
        <v>0.16359727394822821</v>
      </c>
      <c r="AF69" s="960">
        <f t="shared" si="30"/>
        <v>0.36092956706360191</v>
      </c>
      <c r="AH69" s="960"/>
      <c r="AI69" s="960"/>
      <c r="AJ69" s="960"/>
      <c r="AK69" s="960"/>
      <c r="AL69" s="960"/>
      <c r="AM69" s="960"/>
      <c r="AN69" s="960"/>
    </row>
    <row r="70" spans="1:40">
      <c r="A70" s="743" t="s">
        <v>1517</v>
      </c>
      <c r="B70" s="960">
        <f t="shared" si="28"/>
        <v>0.63178103770798344</v>
      </c>
      <c r="C70" s="960">
        <f t="shared" si="28"/>
        <v>0.86204354207465017</v>
      </c>
      <c r="D70" s="960">
        <f t="shared" si="28"/>
        <v>2.2079618017603431</v>
      </c>
      <c r="E70" s="960">
        <f t="shared" si="28"/>
        <v>1.7373797082259472</v>
      </c>
      <c r="F70" s="960">
        <f t="shared" si="28"/>
        <v>2.2889729318300733</v>
      </c>
      <c r="G70" s="960">
        <f t="shared" si="28"/>
        <v>1.5039573232291716</v>
      </c>
      <c r="H70" s="960">
        <f t="shared" si="28"/>
        <v>2.3219152495574087</v>
      </c>
      <c r="I70" s="960">
        <f t="shared" si="28"/>
        <v>3.7151571019495644</v>
      </c>
      <c r="J70" s="960">
        <f t="shared" si="28"/>
        <v>3.2246610086820668</v>
      </c>
      <c r="K70" s="960">
        <f t="shared" si="28"/>
        <v>2.0077589897260273</v>
      </c>
      <c r="L70" s="960">
        <f t="shared" si="28"/>
        <v>4.953194641489528</v>
      </c>
      <c r="M70" s="960">
        <f t="shared" si="28"/>
        <v>4.4266500708778365</v>
      </c>
      <c r="N70" s="960">
        <f t="shared" si="28"/>
        <v>5.1635170081559529</v>
      </c>
      <c r="O70" s="960">
        <f t="shared" si="28"/>
        <v>2.1209005344960032</v>
      </c>
      <c r="P70" s="1093">
        <f t="shared" si="28"/>
        <v>2.1772021119829499</v>
      </c>
      <c r="Q70" s="960">
        <f>IFERROR(-Q35/Q$17,"x")</f>
        <v>4.2093000328623082</v>
      </c>
      <c r="R70" s="960">
        <f t="shared" si="28"/>
        <v>4.8384287307119633</v>
      </c>
      <c r="S70" s="960">
        <f t="shared" si="28"/>
        <v>2.0251036980541066</v>
      </c>
      <c r="T70" s="960">
        <f t="shared" si="28"/>
        <v>2.2792198488070197</v>
      </c>
      <c r="U70" s="960">
        <f t="shared" si="28"/>
        <v>1.0078590074173113</v>
      </c>
      <c r="V70" s="960">
        <f t="shared" si="28"/>
        <v>0.9206137397218136</v>
      </c>
      <c r="W70" s="960">
        <f t="shared" si="28"/>
        <v>0.50867244754229612</v>
      </c>
      <c r="X70" s="1093">
        <f t="shared" si="28"/>
        <v>0.82284725263977088</v>
      </c>
      <c r="Y70" s="960">
        <f t="shared" si="28"/>
        <v>0.70688355303739925</v>
      </c>
      <c r="Z70" s="960">
        <f t="shared" si="28"/>
        <v>0.69148439836506836</v>
      </c>
      <c r="AA70" s="960">
        <f t="shared" si="28"/>
        <v>0.53384979655640097</v>
      </c>
      <c r="AB70" s="1093">
        <f t="shared" si="28"/>
        <v>0.77256797314750736</v>
      </c>
      <c r="AC70" s="960">
        <f t="shared" si="29"/>
        <v>0.86671078544718116</v>
      </c>
      <c r="AD70" s="960">
        <f t="shared" si="29"/>
        <v>0.95735193133047181</v>
      </c>
      <c r="AE70" s="960">
        <f t="shared" si="30"/>
        <v>0.6304034146610703</v>
      </c>
      <c r="AF70" s="960">
        <f t="shared" si="30"/>
        <v>1.106023262254223</v>
      </c>
      <c r="AH70" s="960"/>
      <c r="AI70" s="960"/>
      <c r="AJ70" s="960"/>
      <c r="AK70" s="960"/>
      <c r="AL70" s="960"/>
      <c r="AM70" s="960"/>
      <c r="AN70" s="960"/>
    </row>
    <row r="71" spans="1:40">
      <c r="A71" s="743" t="s">
        <v>1518</v>
      </c>
      <c r="B71" s="818">
        <f t="shared" si="28"/>
        <v>0.48485445177381675</v>
      </c>
      <c r="C71" s="818">
        <f t="shared" si="28"/>
        <v>0.37223613793125043</v>
      </c>
      <c r="D71" s="818">
        <f t="shared" si="28"/>
        <v>1.4160386584594158</v>
      </c>
      <c r="E71" s="818">
        <f t="shared" si="28"/>
        <v>0.46667297188660051</v>
      </c>
      <c r="F71" s="818">
        <f t="shared" si="28"/>
        <v>0.60615574901289149</v>
      </c>
      <c r="G71" s="818">
        <f t="shared" si="28"/>
        <v>0.46453365905946453</v>
      </c>
      <c r="H71" s="818">
        <f t="shared" si="28"/>
        <v>0.7951079276908839</v>
      </c>
      <c r="I71" s="818">
        <f t="shared" si="28"/>
        <v>0.98544698544698783</v>
      </c>
      <c r="J71" s="818">
        <f t="shared" si="28"/>
        <v>0.87095335646696137</v>
      </c>
      <c r="K71" s="818">
        <f t="shared" si="28"/>
        <v>0.51884156202435305</v>
      </c>
      <c r="L71" s="818">
        <f t="shared" si="28"/>
        <v>1.5788019937475652</v>
      </c>
      <c r="M71" s="818">
        <f t="shared" si="28"/>
        <v>1.4312715370696871</v>
      </c>
      <c r="N71" s="818">
        <f t="shared" si="28"/>
        <v>0.99405709170479295</v>
      </c>
      <c r="O71" s="818">
        <f t="shared" si="28"/>
        <v>0.62997507949513576</v>
      </c>
      <c r="P71" s="1093">
        <f t="shared" si="28"/>
        <v>0.98879844265727146</v>
      </c>
      <c r="Q71" s="818">
        <f t="shared" si="28"/>
        <v>1.3603899660422836</v>
      </c>
      <c r="R71" s="818">
        <f t="shared" si="28"/>
        <v>1.1029995399717771</v>
      </c>
      <c r="S71" s="818">
        <f t="shared" si="28"/>
        <v>0.6052214060518063</v>
      </c>
      <c r="T71" s="818">
        <f t="shared" si="28"/>
        <v>1.0422056522561451</v>
      </c>
      <c r="U71" s="818">
        <f t="shared" si="28"/>
        <v>0.51011523891382549</v>
      </c>
      <c r="V71" s="818">
        <f t="shared" si="28"/>
        <v>0.60563772562126394</v>
      </c>
      <c r="W71" s="818">
        <f t="shared" si="28"/>
        <v>0.31170230380671338</v>
      </c>
      <c r="X71" s="1093">
        <f t="shared" si="28"/>
        <v>0.58431744438727129</v>
      </c>
      <c r="Y71" s="818">
        <f t="shared" si="28"/>
        <v>0.39561962638885717</v>
      </c>
      <c r="Z71" s="818">
        <f t="shared" si="28"/>
        <v>0.42600737713089432</v>
      </c>
      <c r="AA71" s="818">
        <f t="shared" si="28"/>
        <v>0.27637934249276525</v>
      </c>
      <c r="AB71" s="1093">
        <f t="shared" si="28"/>
        <v>0.4130347091411718</v>
      </c>
      <c r="AC71" s="818">
        <f t="shared" si="29"/>
        <v>0.47934124813624734</v>
      </c>
      <c r="AD71" s="818">
        <f t="shared" si="29"/>
        <v>0.53933905579399133</v>
      </c>
      <c r="AE71" s="818">
        <f t="shared" si="30"/>
        <v>0.32896075189827512</v>
      </c>
      <c r="AF71" s="818">
        <f t="shared" si="30"/>
        <v>1.5507569463675805</v>
      </c>
      <c r="AH71" s="960"/>
      <c r="AI71" s="960"/>
      <c r="AJ71" s="960"/>
      <c r="AK71" s="960"/>
      <c r="AL71" s="960"/>
      <c r="AM71" s="960"/>
      <c r="AN71" s="960"/>
    </row>
    <row r="72" spans="1:40">
      <c r="A72" s="1075" t="s">
        <v>1519</v>
      </c>
      <c r="B72" s="1096">
        <f t="shared" ref="B72:AB72" si="31">IFERROR(B31/B$17,"x")</f>
        <v>0</v>
      </c>
      <c r="C72" s="1096">
        <f t="shared" si="31"/>
        <v>0</v>
      </c>
      <c r="D72" s="1096">
        <f t="shared" si="31"/>
        <v>0</v>
      </c>
      <c r="E72" s="1096">
        <f t="shared" si="31"/>
        <v>0</v>
      </c>
      <c r="F72" s="1096">
        <f t="shared" si="31"/>
        <v>0.45157223728652274</v>
      </c>
      <c r="G72" s="1096">
        <f t="shared" si="31"/>
        <v>0.11484338971220569</v>
      </c>
      <c r="H72" s="1096">
        <f t="shared" si="31"/>
        <v>0.17812535529243623</v>
      </c>
      <c r="I72" s="1096">
        <f t="shared" si="31"/>
        <v>0.25246146000863046</v>
      </c>
      <c r="J72" s="1096">
        <f t="shared" si="31"/>
        <v>0.16445782293016642</v>
      </c>
      <c r="K72" s="1096">
        <f t="shared" si="31"/>
        <v>0.10696109208523592</v>
      </c>
      <c r="L72" s="1096">
        <f t="shared" si="31"/>
        <v>0.2822508757172088</v>
      </c>
      <c r="M72" s="1096">
        <f t="shared" si="31"/>
        <v>0.24799179430441681</v>
      </c>
      <c r="N72" s="1096">
        <f t="shared" si="31"/>
        <v>0.1933807439824943</v>
      </c>
      <c r="O72" s="1096">
        <f t="shared" si="31"/>
        <v>9.1314333747967352E-2</v>
      </c>
      <c r="P72" s="1097">
        <f t="shared" si="31"/>
        <v>0.14171057568392048</v>
      </c>
      <c r="Q72" s="1096">
        <f t="shared" si="31"/>
        <v>0.23571037353488891</v>
      </c>
      <c r="R72" s="1096">
        <f t="shared" si="31"/>
        <v>0.18191387335968792</v>
      </c>
      <c r="S72" s="1096">
        <f t="shared" si="31"/>
        <v>8.772631055171036E-2</v>
      </c>
      <c r="T72" s="1096">
        <f t="shared" si="31"/>
        <v>0.14936467999014205</v>
      </c>
      <c r="U72" s="1096">
        <f t="shared" si="31"/>
        <v>0.10234616241683379</v>
      </c>
      <c r="V72" s="1096">
        <f t="shared" si="31"/>
        <v>9.5120511477481545E-2</v>
      </c>
      <c r="W72" s="1096">
        <f t="shared" si="31"/>
        <v>7.0833493997219193E-2</v>
      </c>
      <c r="X72" s="1097">
        <f t="shared" si="31"/>
        <v>8.0135061002836447E-2</v>
      </c>
      <c r="Y72" s="1096">
        <f t="shared" si="31"/>
        <v>4.7143085604624074E-2</v>
      </c>
      <c r="Z72" s="1096">
        <f t="shared" si="31"/>
        <v>9.9160602133386497E-2</v>
      </c>
      <c r="AA72" s="1096">
        <f t="shared" si="31"/>
        <v>5.0295140086179378E-2</v>
      </c>
      <c r="AB72" s="1097">
        <f t="shared" si="31"/>
        <v>4.3664906353042182E-2</v>
      </c>
      <c r="AC72" s="1096">
        <f>IFERROR(AC31/AC$17,"x")</f>
        <v>9.2334494773519182E-2</v>
      </c>
      <c r="AD72" s="1096">
        <f>IFERROR(AD31/AD$17,"x")</f>
        <v>6.9446351931330461E-2</v>
      </c>
      <c r="AE72" s="1096">
        <f>IFERROR(AE31/AE$17,"x")</f>
        <v>4.0817184744412947E-2</v>
      </c>
      <c r="AF72" s="1096">
        <f>IFERROR(AF31/AF$17,"x")</f>
        <v>3.168097479922459E-2</v>
      </c>
      <c r="AH72" s="960"/>
      <c r="AI72" s="960"/>
      <c r="AJ72" s="960"/>
      <c r="AK72" s="960"/>
      <c r="AL72" s="960"/>
      <c r="AM72" s="960"/>
      <c r="AN72" s="960"/>
    </row>
    <row r="73" spans="1:40">
      <c r="A73" s="743" t="s">
        <v>1520</v>
      </c>
      <c r="B73" s="960">
        <f t="shared" ref="B73:AB73" si="32">IFERROR(B41/B$17,"x")</f>
        <v>-0.36667651209346319</v>
      </c>
      <c r="C73" s="960">
        <f t="shared" si="32"/>
        <v>-0.43758746385114894</v>
      </c>
      <c r="D73" s="960">
        <f t="shared" si="32"/>
        <v>-3.4290111028015917</v>
      </c>
      <c r="E73" s="960">
        <f t="shared" si="32"/>
        <v>-1.6054429811079842</v>
      </c>
      <c r="F73" s="960">
        <f t="shared" si="32"/>
        <v>-2.3766471623614458</v>
      </c>
      <c r="G73" s="960">
        <f t="shared" si="32"/>
        <v>-1.310565741421639</v>
      </c>
      <c r="H73" s="960">
        <f t="shared" si="32"/>
        <v>-2.7381799282106281</v>
      </c>
      <c r="I73" s="960">
        <f t="shared" si="32"/>
        <v>-4.540109049543025</v>
      </c>
      <c r="J73" s="960">
        <f t="shared" si="32"/>
        <v>-3.941037111361938</v>
      </c>
      <c r="K73" s="960">
        <f t="shared" si="32"/>
        <v>-2.0397759703196345</v>
      </c>
      <c r="L73" s="960">
        <f t="shared" si="32"/>
        <v>-6.8487991060779052</v>
      </c>
      <c r="M73" s="960">
        <f t="shared" si="32"/>
        <v>-6.2486256612384414</v>
      </c>
      <c r="N73" s="960">
        <f t="shared" si="32"/>
        <v>-6.3177259465552611</v>
      </c>
      <c r="O73" s="960">
        <f t="shared" si="32"/>
        <v>-2.4583547372308883</v>
      </c>
      <c r="P73" s="1093">
        <f t="shared" si="32"/>
        <v>-3.0817768062511259</v>
      </c>
      <c r="Q73" s="960">
        <f>IFERROR(Q41/Q$17,"x")</f>
        <v>-5.8915215248110453</v>
      </c>
      <c r="R73" s="960">
        <f t="shared" si="32"/>
        <v>-6.0327867574247938</v>
      </c>
      <c r="S73" s="960">
        <f t="shared" si="32"/>
        <v>-2.310005179804473</v>
      </c>
      <c r="T73" s="960">
        <f t="shared" si="32"/>
        <v>-3.2866648708440547</v>
      </c>
      <c r="U73" s="960">
        <f t="shared" si="32"/>
        <v>-1.145182726896508</v>
      </c>
      <c r="V73" s="960">
        <f t="shared" si="32"/>
        <v>-1.1283765245803514</v>
      </c>
      <c r="W73" s="960">
        <f t="shared" si="32"/>
        <v>-9.7024353620834738E-2</v>
      </c>
      <c r="X73" s="1093">
        <f t="shared" si="32"/>
        <v>-0.87420955718192017</v>
      </c>
      <c r="Y73" s="960">
        <f t="shared" si="32"/>
        <v>-0.41775757160372545</v>
      </c>
      <c r="Z73" s="960">
        <f t="shared" si="32"/>
        <v>-0.417134881866215</v>
      </c>
      <c r="AA73" s="960">
        <f t="shared" si="32"/>
        <v>-4.6742220485364132E-4</v>
      </c>
      <c r="AB73" s="1093">
        <f t="shared" si="32"/>
        <v>-0.45827612622447911</v>
      </c>
      <c r="AC73" s="960">
        <f>IFERROR(AC41/AC$17,"x")</f>
        <v>-0.64495012717371392</v>
      </c>
      <c r="AD73" s="960">
        <f>IFERROR(AD41/AD$17,"x")</f>
        <v>-0.82323605150214552</v>
      </c>
      <c r="AE73" s="960">
        <f>IFERROR(AE41/AE$17,"x")</f>
        <v>-0.12296144050757367</v>
      </c>
      <c r="AF73" s="960">
        <f>IFERROR(AF41/AF$17,"x")</f>
        <v>-2.0177097756854057</v>
      </c>
      <c r="AH73" s="960"/>
      <c r="AI73" s="960"/>
      <c r="AJ73" s="960"/>
      <c r="AK73" s="960"/>
      <c r="AL73" s="960"/>
      <c r="AM73" s="960"/>
      <c r="AN73" s="960"/>
    </row>
    <row r="74" spans="1:40">
      <c r="A74" s="743"/>
      <c r="B74" s="960"/>
      <c r="C74" s="960"/>
      <c r="D74" s="960"/>
      <c r="E74" s="960"/>
      <c r="F74" s="960"/>
      <c r="G74" s="960"/>
      <c r="H74" s="960"/>
      <c r="I74" s="960"/>
      <c r="J74" s="960"/>
      <c r="K74" s="960"/>
      <c r="L74" s="960"/>
      <c r="M74" s="960"/>
      <c r="N74" s="960"/>
      <c r="O74" s="960"/>
      <c r="P74" s="1093"/>
      <c r="Q74" s="960"/>
      <c r="R74" s="960"/>
      <c r="S74" s="960"/>
      <c r="T74" s="960"/>
      <c r="U74" s="960"/>
      <c r="V74" s="960"/>
      <c r="W74" s="960"/>
      <c r="X74" s="1093"/>
      <c r="Y74" s="960"/>
      <c r="Z74" s="960"/>
      <c r="AA74" s="960"/>
      <c r="AB74" s="1093"/>
      <c r="AC74" s="960"/>
      <c r="AD74" s="960"/>
      <c r="AE74" s="960"/>
      <c r="AF74" s="960"/>
      <c r="AH74" s="960"/>
      <c r="AI74" s="960"/>
      <c r="AJ74" s="960"/>
      <c r="AK74" s="960"/>
      <c r="AL74" s="960"/>
      <c r="AM74" s="960"/>
      <c r="AN74" s="960"/>
    </row>
    <row r="75" spans="1:40">
      <c r="A75" s="801"/>
      <c r="B75" s="1061"/>
      <c r="C75" s="1061"/>
      <c r="D75" s="1061"/>
      <c r="E75" s="1061"/>
      <c r="F75" s="1061"/>
      <c r="G75" s="1061"/>
      <c r="H75" s="1061"/>
      <c r="I75" s="1061"/>
      <c r="J75" s="1061"/>
      <c r="K75" s="1061"/>
      <c r="L75" s="1061"/>
      <c r="M75" s="1061"/>
      <c r="N75" s="1061"/>
      <c r="O75" s="1061"/>
      <c r="P75" s="1067"/>
      <c r="Q75" s="1061"/>
      <c r="R75" s="1061"/>
      <c r="S75" s="1061"/>
      <c r="T75" s="1061"/>
      <c r="U75" s="1061"/>
      <c r="V75" s="1061"/>
      <c r="W75" s="1061"/>
      <c r="X75" s="1067"/>
      <c r="Y75" s="1061"/>
    </row>
    <row r="76" spans="1:40" ht="13">
      <c r="A76" s="749" t="s">
        <v>1521</v>
      </c>
      <c r="B76" s="1061"/>
      <c r="C76" s="1061"/>
      <c r="D76" s="1061"/>
      <c r="E76" s="1061"/>
      <c r="F76" s="1061"/>
      <c r="G76" s="1061"/>
      <c r="H76" s="1061"/>
      <c r="I76" s="1061"/>
      <c r="J76" s="1061"/>
      <c r="K76" s="1061"/>
      <c r="L76" s="1061"/>
      <c r="M76" s="1061"/>
      <c r="N76" s="1061"/>
      <c r="O76" s="1061"/>
      <c r="P76" s="1067"/>
      <c r="Q76" s="1061"/>
      <c r="R76" s="1061"/>
      <c r="S76" s="1061"/>
      <c r="T76" s="1061"/>
      <c r="U76" s="1061"/>
      <c r="V76" s="1061"/>
      <c r="W76" s="1061"/>
      <c r="X76" s="1067"/>
      <c r="Y76" s="1061"/>
    </row>
    <row r="77" spans="1:40">
      <c r="A77" s="743" t="s">
        <v>1516</v>
      </c>
      <c r="B77" s="960">
        <f t="shared" ref="B77:AB79" si="33">IFERROR(-B34/B$14,"x")</f>
        <v>1.9669498723380082E-2</v>
      </c>
      <c r="C77" s="960">
        <f t="shared" si="33"/>
        <v>1.3161159605122695E-2</v>
      </c>
      <c r="D77" s="960">
        <f t="shared" si="33"/>
        <v>2.8768939783310375E-2</v>
      </c>
      <c r="E77" s="960">
        <f t="shared" si="33"/>
        <v>2.9361504880900492E-2</v>
      </c>
      <c r="F77" s="960">
        <f t="shared" si="33"/>
        <v>2.8259494863623228E-2</v>
      </c>
      <c r="G77" s="960">
        <f t="shared" si="33"/>
        <v>2.092316559223727E-2</v>
      </c>
      <c r="H77" s="960">
        <f t="shared" si="33"/>
        <v>4.1180232971321139E-2</v>
      </c>
      <c r="I77" s="960">
        <f t="shared" si="33"/>
        <v>3.4291038408879163E-2</v>
      </c>
      <c r="J77" s="960">
        <f t="shared" si="33"/>
        <v>3.9957661279699012E-2</v>
      </c>
      <c r="K77" s="960">
        <f t="shared" si="33"/>
        <v>2.8928869008316819E-2</v>
      </c>
      <c r="L77" s="960">
        <f t="shared" si="33"/>
        <v>5.534068592015854E-2</v>
      </c>
      <c r="M77" s="960">
        <f t="shared" si="33"/>
        <v>5.9397821177462E-2</v>
      </c>
      <c r="N77" s="960">
        <f t="shared" si="33"/>
        <v>5.925185275806643E-2</v>
      </c>
      <c r="O77" s="960">
        <f t="shared" si="33"/>
        <v>4.1170815923124222E-2</v>
      </c>
      <c r="P77" s="1093">
        <f t="shared" si="33"/>
        <v>7.9943797157104507E-2</v>
      </c>
      <c r="Q77" s="960">
        <f>IFERROR(-Q34/Q$14,"x")</f>
        <v>5.8267185004951774E-2</v>
      </c>
      <c r="R77" s="960">
        <f t="shared" si="33"/>
        <v>5.7509494181873316E-2</v>
      </c>
      <c r="S77" s="960">
        <f t="shared" si="33"/>
        <v>4.0917698084224956E-2</v>
      </c>
      <c r="T77" s="960">
        <f t="shared" si="33"/>
        <v>8.6216137766440229E-2</v>
      </c>
      <c r="U77" s="960">
        <f t="shared" si="33"/>
        <v>0.3456268186413064</v>
      </c>
      <c r="V77" s="960">
        <f t="shared" si="33"/>
        <v>0.31482238180521988</v>
      </c>
      <c r="W77" s="960">
        <f t="shared" si="33"/>
        <v>0.15131034568314755</v>
      </c>
      <c r="X77" s="1093">
        <f t="shared" si="33"/>
        <v>0.23373116032399349</v>
      </c>
      <c r="Y77" s="960">
        <f t="shared" si="33"/>
        <v>0.17229617945073492</v>
      </c>
      <c r="Z77" s="960">
        <f t="shared" si="33"/>
        <v>0.14306139933365064</v>
      </c>
      <c r="AA77" s="960">
        <f t="shared" si="33"/>
        <v>9.7597922244018379E-2</v>
      </c>
      <c r="AB77" s="1093">
        <f t="shared" si="33"/>
        <v>0.15635723152991607</v>
      </c>
      <c r="AC77" s="960">
        <f t="shared" ref="AC77:AD79" si="34">IFERROR(-AC34/AC$14,"x")</f>
        <v>0.16411043280501342</v>
      </c>
      <c r="AD77" s="960">
        <f t="shared" si="34"/>
        <v>0.14622451136778583</v>
      </c>
      <c r="AE77" s="960">
        <f t="shared" ref="AE77:AF79" si="35">IFERROR(-AE34/AE$14,"x")</f>
        <v>7.3013206774762279E-2</v>
      </c>
      <c r="AF77" s="960">
        <f t="shared" si="35"/>
        <v>0.17328151071500586</v>
      </c>
      <c r="AH77" s="960"/>
      <c r="AI77" s="960"/>
      <c r="AJ77" s="960"/>
      <c r="AK77" s="960"/>
      <c r="AL77" s="960"/>
      <c r="AM77" s="960"/>
      <c r="AN77" s="960"/>
    </row>
    <row r="78" spans="1:40">
      <c r="A78" s="743" t="s">
        <v>1517</v>
      </c>
      <c r="B78" s="960">
        <f t="shared" si="33"/>
        <v>4.9699110109435625E-2</v>
      </c>
      <c r="C78" s="960">
        <f t="shared" si="33"/>
        <v>5.5804516822856212E-2</v>
      </c>
      <c r="D78" s="960">
        <f t="shared" si="33"/>
        <v>7.8906683661931293E-2</v>
      </c>
      <c r="E78" s="960">
        <f t="shared" si="33"/>
        <v>0.12708847886096178</v>
      </c>
      <c r="F78" s="960">
        <f t="shared" si="33"/>
        <v>0.13433590047476063</v>
      </c>
      <c r="G78" s="960">
        <f t="shared" si="33"/>
        <v>9.1990266096619352E-2</v>
      </c>
      <c r="H78" s="960">
        <f t="shared" si="33"/>
        <v>0.1539337868715126</v>
      </c>
      <c r="I78" s="960">
        <f t="shared" si="33"/>
        <v>0.15175204510077098</v>
      </c>
      <c r="J78" s="960">
        <f t="shared" si="33"/>
        <v>0.15240885450971917</v>
      </c>
      <c r="K78" s="960">
        <f t="shared" si="33"/>
        <v>0.11318195438119262</v>
      </c>
      <c r="L78" s="960">
        <f t="shared" si="33"/>
        <v>0.20816576140007997</v>
      </c>
      <c r="M78" s="960">
        <f t="shared" si="33"/>
        <v>0.18906493347955949</v>
      </c>
      <c r="N78" s="960">
        <f t="shared" si="33"/>
        <v>0.26371371157381673</v>
      </c>
      <c r="O78" s="960">
        <f t="shared" si="33"/>
        <v>0.123423013667359</v>
      </c>
      <c r="P78" s="1093">
        <f t="shared" si="33"/>
        <v>0.19006149559372562</v>
      </c>
      <c r="Q78" s="960">
        <f t="shared" si="33"/>
        <v>0.18554865650366953</v>
      </c>
      <c r="R78" s="960">
        <f t="shared" si="33"/>
        <v>0.25496259232765744</v>
      </c>
      <c r="S78" s="960">
        <f t="shared" si="33"/>
        <v>0.12191409557071553</v>
      </c>
      <c r="T78" s="960">
        <f t="shared" si="33"/>
        <v>0.20358217726796402</v>
      </c>
      <c r="U78" s="960">
        <f t="shared" si="33"/>
        <v>0.55538646744481313</v>
      </c>
      <c r="V78" s="960">
        <f t="shared" si="33"/>
        <v>0.48134487315470093</v>
      </c>
      <c r="W78" s="960">
        <f t="shared" si="33"/>
        <v>0.27821259544588972</v>
      </c>
      <c r="X78" s="1093">
        <f t="shared" si="33"/>
        <v>0.41179137067288668</v>
      </c>
      <c r="Y78" s="960">
        <f t="shared" si="33"/>
        <v>0.38633350883290013</v>
      </c>
      <c r="Z78" s="960">
        <f t="shared" si="33"/>
        <v>0.33014183722037127</v>
      </c>
      <c r="AA78" s="960">
        <f t="shared" si="33"/>
        <v>0.27388089331975768</v>
      </c>
      <c r="AB78" s="1093">
        <f t="shared" si="33"/>
        <v>0.44300826551508271</v>
      </c>
      <c r="AC78" s="960">
        <f t="shared" si="34"/>
        <v>0.47586881671945491</v>
      </c>
      <c r="AD78" s="960">
        <f t="shared" si="34"/>
        <v>0.42869525109065393</v>
      </c>
      <c r="AE78" s="960">
        <f t="shared" si="35"/>
        <v>0.28134805522939721</v>
      </c>
      <c r="AF78" s="960">
        <f t="shared" si="35"/>
        <v>0.53099939505808991</v>
      </c>
      <c r="AH78" s="960"/>
      <c r="AI78" s="960"/>
      <c r="AJ78" s="960"/>
      <c r="AK78" s="960"/>
      <c r="AL78" s="960"/>
      <c r="AM78" s="960"/>
      <c r="AN78" s="960"/>
    </row>
    <row r="79" spans="1:40">
      <c r="A79" s="743" t="s">
        <v>1518</v>
      </c>
      <c r="B79" s="818">
        <f t="shared" si="33"/>
        <v>3.8141117487756573E-2</v>
      </c>
      <c r="C79" s="818">
        <f t="shared" si="33"/>
        <v>2.40967617149212E-2</v>
      </c>
      <c r="D79" s="818">
        <f t="shared" si="33"/>
        <v>5.0605456302296417E-2</v>
      </c>
      <c r="E79" s="818">
        <f t="shared" si="33"/>
        <v>3.4136900437931959E-2</v>
      </c>
      <c r="F79" s="818">
        <f t="shared" si="33"/>
        <v>3.5574242595562855E-2</v>
      </c>
      <c r="G79" s="818">
        <f t="shared" si="33"/>
        <v>2.8413422540451198E-2</v>
      </c>
      <c r="H79" s="818">
        <f t="shared" si="33"/>
        <v>5.2712507187481834E-2</v>
      </c>
      <c r="I79" s="818">
        <f t="shared" si="33"/>
        <v>4.0252293853601954E-2</v>
      </c>
      <c r="J79" s="818">
        <f t="shared" si="33"/>
        <v>4.1164327981494261E-2</v>
      </c>
      <c r="K79" s="818">
        <f t="shared" si="33"/>
        <v>2.9248282440573349E-2</v>
      </c>
      <c r="L79" s="818">
        <f t="shared" si="33"/>
        <v>6.6351626155679119E-2</v>
      </c>
      <c r="M79" s="818">
        <f t="shared" si="33"/>
        <v>6.1130483235510118E-2</v>
      </c>
      <c r="N79" s="818">
        <f t="shared" si="33"/>
        <v>5.0768978732068766E-2</v>
      </c>
      <c r="O79" s="818">
        <f t="shared" si="33"/>
        <v>3.6660570159694227E-2</v>
      </c>
      <c r="P79" s="1093">
        <f t="shared" si="33"/>
        <v>8.6318357775715532E-2</v>
      </c>
      <c r="Q79" s="818">
        <f t="shared" si="33"/>
        <v>5.996686588021017E-2</v>
      </c>
      <c r="R79" s="818">
        <f t="shared" si="33"/>
        <v>5.8122923308211359E-2</v>
      </c>
      <c r="S79" s="818">
        <f t="shared" si="33"/>
        <v>3.6435181274786926E-2</v>
      </c>
      <c r="T79" s="818">
        <f t="shared" si="33"/>
        <v>9.3090842446962793E-2</v>
      </c>
      <c r="U79" s="818">
        <f t="shared" si="33"/>
        <v>0.28110191846785704</v>
      </c>
      <c r="V79" s="818">
        <f t="shared" si="33"/>
        <v>0.31665898697640454</v>
      </c>
      <c r="W79" s="818">
        <f t="shared" si="33"/>
        <v>0.17048202112680425</v>
      </c>
      <c r="X79" s="1093">
        <f t="shared" si="33"/>
        <v>0.29241986354136962</v>
      </c>
      <c r="Y79" s="818">
        <f t="shared" si="33"/>
        <v>0.21621824099489526</v>
      </c>
      <c r="Z79" s="818">
        <f t="shared" si="33"/>
        <v>0.20339267015706808</v>
      </c>
      <c r="AA79" s="818">
        <f t="shared" si="33"/>
        <v>0.14179085897440941</v>
      </c>
      <c r="AB79" s="1093">
        <f t="shared" si="33"/>
        <v>0.23684361305930163</v>
      </c>
      <c r="AC79" s="818">
        <f t="shared" si="34"/>
        <v>0.26318300912539372</v>
      </c>
      <c r="AD79" s="818">
        <f t="shared" si="34"/>
        <v>0.24151211731016856</v>
      </c>
      <c r="AE79" s="818">
        <f t="shared" si="35"/>
        <v>0.14681466762539633</v>
      </c>
      <c r="AF79" s="818">
        <f t="shared" si="35"/>
        <v>0.74451508255351961</v>
      </c>
      <c r="AH79" s="960"/>
      <c r="AI79" s="960"/>
      <c r="AJ79" s="960"/>
      <c r="AK79" s="960"/>
      <c r="AL79" s="960"/>
      <c r="AM79" s="960"/>
      <c r="AN79" s="960"/>
    </row>
    <row r="80" spans="1:40">
      <c r="A80" s="1075" t="s">
        <v>1519</v>
      </c>
      <c r="B80" s="1096">
        <f t="shared" ref="B80:AB80" si="36">IFERROR(B31/B$14,"x")</f>
        <v>0</v>
      </c>
      <c r="C80" s="1096">
        <f t="shared" si="36"/>
        <v>0</v>
      </c>
      <c r="D80" s="1096">
        <f t="shared" si="36"/>
        <v>0</v>
      </c>
      <c r="E80" s="1096">
        <f t="shared" si="36"/>
        <v>0</v>
      </c>
      <c r="F80" s="1096">
        <f t="shared" si="36"/>
        <v>2.650200108604461E-2</v>
      </c>
      <c r="G80" s="1096">
        <f t="shared" si="36"/>
        <v>7.0244506382537517E-3</v>
      </c>
      <c r="H80" s="1096">
        <f t="shared" si="36"/>
        <v>1.1809005726296383E-2</v>
      </c>
      <c r="I80" s="1096">
        <f t="shared" si="36"/>
        <v>1.0312226862581887E-2</v>
      </c>
      <c r="J80" s="1096">
        <f t="shared" si="36"/>
        <v>7.772856849282586E-3</v>
      </c>
      <c r="K80" s="1096">
        <f t="shared" si="36"/>
        <v>6.0296407621144169E-3</v>
      </c>
      <c r="L80" s="1096">
        <f t="shared" si="36"/>
        <v>1.1862035050543316E-2</v>
      </c>
      <c r="M80" s="1096">
        <f t="shared" si="36"/>
        <v>1.0591881296897549E-2</v>
      </c>
      <c r="N80" s="1096">
        <f t="shared" si="36"/>
        <v>9.8764376416264048E-3</v>
      </c>
      <c r="O80" s="1096">
        <f t="shared" si="36"/>
        <v>5.3139174039009574E-3</v>
      </c>
      <c r="P80" s="1097">
        <f t="shared" si="36"/>
        <v>1.237079635725831E-2</v>
      </c>
      <c r="Q80" s="1096">
        <f t="shared" si="36"/>
        <v>1.0390265077786958E-2</v>
      </c>
      <c r="R80" s="1096">
        <f t="shared" si="36"/>
        <v>9.5860113506986231E-3</v>
      </c>
      <c r="S80" s="1096">
        <f t="shared" si="36"/>
        <v>5.281247483249491E-3</v>
      </c>
      <c r="T80" s="1096">
        <f t="shared" si="36"/>
        <v>1.3341401346272869E-2</v>
      </c>
      <c r="U80" s="1096">
        <f t="shared" si="36"/>
        <v>5.6398437859753833E-2</v>
      </c>
      <c r="V80" s="1096">
        <f t="shared" si="36"/>
        <v>4.9733963937333737E-2</v>
      </c>
      <c r="W80" s="1096">
        <f t="shared" si="36"/>
        <v>3.8741571918594189E-2</v>
      </c>
      <c r="X80" s="1097">
        <f t="shared" si="36"/>
        <v>4.0103344215405436E-2</v>
      </c>
      <c r="Y80" s="1096">
        <f t="shared" si="36"/>
        <v>2.576513995917034E-2</v>
      </c>
      <c r="Z80" s="1096">
        <f t="shared" si="36"/>
        <v>4.7343169919086145E-2</v>
      </c>
      <c r="AA80" s="1096">
        <f t="shared" si="36"/>
        <v>2.5802909330115014E-2</v>
      </c>
      <c r="AB80" s="1097">
        <f t="shared" si="36"/>
        <v>2.5038462762740455E-2</v>
      </c>
      <c r="AC80" s="1096">
        <f>IFERROR(AC31/AC$14,"x")</f>
        <v>5.0696388585487369E-2</v>
      </c>
      <c r="AD80" s="1096">
        <f>IFERROR(AD31/AD$14,"x")</f>
        <v>3.1097572694251722E-2</v>
      </c>
      <c r="AE80" s="1096">
        <f>IFERROR(AE31/AE$14,"x")</f>
        <v>1.8216645533168256E-2</v>
      </c>
      <c r="AF80" s="1096">
        <f>IFERROR(AF31/AF$14,"x")</f>
        <v>1.5209968024499039E-2</v>
      </c>
      <c r="AH80" s="960"/>
      <c r="AI80" s="960"/>
      <c r="AJ80" s="960"/>
      <c r="AK80" s="960"/>
      <c r="AL80" s="960"/>
      <c r="AM80" s="960"/>
      <c r="AN80" s="960"/>
    </row>
    <row r="81" spans="1:40">
      <c r="A81" s="743"/>
      <c r="B81" s="818"/>
      <c r="C81" s="818"/>
      <c r="D81" s="818"/>
      <c r="E81" s="818"/>
      <c r="F81" s="818"/>
      <c r="G81" s="818"/>
      <c r="H81" s="818"/>
      <c r="I81" s="818"/>
      <c r="J81" s="818"/>
      <c r="K81" s="818"/>
      <c r="L81" s="818"/>
      <c r="M81" s="818"/>
      <c r="N81" s="818"/>
      <c r="O81" s="818"/>
      <c r="P81" s="1093"/>
      <c r="Q81" s="818"/>
      <c r="R81" s="818"/>
      <c r="S81" s="818"/>
      <c r="T81" s="818"/>
      <c r="U81" s="818"/>
      <c r="V81" s="818"/>
      <c r="W81" s="818"/>
      <c r="X81" s="1093"/>
      <c r="Y81" s="818"/>
      <c r="Z81" s="818"/>
      <c r="AA81" s="818"/>
      <c r="AB81" s="1093"/>
      <c r="AC81" s="818"/>
      <c r="AD81" s="818"/>
      <c r="AE81" s="960"/>
      <c r="AF81" s="960"/>
      <c r="AH81" s="960"/>
      <c r="AI81" s="960"/>
      <c r="AJ81" s="960"/>
      <c r="AK81" s="960"/>
      <c r="AL81" s="960"/>
      <c r="AM81" s="960"/>
      <c r="AN81" s="960"/>
    </row>
    <row r="82" spans="1:40">
      <c r="A82" s="746" t="s">
        <v>2041</v>
      </c>
      <c r="B82" s="818"/>
      <c r="C82" s="818"/>
      <c r="D82" s="818"/>
      <c r="E82" s="818"/>
      <c r="F82" s="818"/>
      <c r="G82" s="818"/>
      <c r="H82" s="818"/>
      <c r="I82" s="818"/>
      <c r="J82" s="818"/>
      <c r="K82" s="818"/>
      <c r="L82" s="818"/>
      <c r="M82" s="818"/>
      <c r="N82" s="818"/>
      <c r="O82" s="818"/>
      <c r="P82" s="1093"/>
      <c r="Q82" s="960">
        <f>IFERROR(Q40/Q$14,"x")</f>
        <v>-0.26892283207394391</v>
      </c>
      <c r="R82" s="960">
        <f t="shared" ref="R82:AB82" si="37">IFERROR(R40/R$14,"x")</f>
        <v>-0.31632440498812803</v>
      </c>
      <c r="S82" s="960">
        <f t="shared" si="37"/>
        <v>-0.14341058243254129</v>
      </c>
      <c r="T82" s="960">
        <f t="shared" si="37"/>
        <v>-0.30110121209608098</v>
      </c>
      <c r="U82" s="960">
        <f t="shared" si="37"/>
        <v>-0.67527919638804412</v>
      </c>
      <c r="V82" s="960">
        <f t="shared" si="37"/>
        <v>-0.62728217210620585</v>
      </c>
      <c r="W82" s="960">
        <f t="shared" si="37"/>
        <v>-8.1902032664048982E-2</v>
      </c>
      <c r="X82" s="1093">
        <f t="shared" si="37"/>
        <v>-0.46998420893578446</v>
      </c>
      <c r="Y82" s="960">
        <f t="shared" si="37"/>
        <v>-0.25208050227559814</v>
      </c>
      <c r="Z82" s="960">
        <f t="shared" si="37"/>
        <v>-0.2306444550214185</v>
      </c>
      <c r="AA82" s="960">
        <f t="shared" si="37"/>
        <v>-4.7226491912922448E-3</v>
      </c>
      <c r="AB82" s="1093">
        <f t="shared" si="37"/>
        <v>-0.21881014780311306</v>
      </c>
      <c r="AC82" s="961">
        <f t="shared" ref="AC82:AE83" si="38">IFERROR(AC40/AC$14,"x")</f>
        <v>-0.39514990467476707</v>
      </c>
      <c r="AD82" s="961">
        <f t="shared" si="38"/>
        <v>-0.38291661061249577</v>
      </c>
      <c r="AE82" s="961">
        <f t="shared" si="38"/>
        <v>-6.6691925205010702E-2</v>
      </c>
      <c r="AF82" s="961">
        <f>IFERROR(AF40/AF$14,"x")</f>
        <v>-0.96218559085983746</v>
      </c>
      <c r="AH82" s="960"/>
      <c r="AI82" s="960"/>
      <c r="AJ82" s="960"/>
      <c r="AK82" s="960"/>
      <c r="AL82" s="960"/>
      <c r="AM82" s="960"/>
      <c r="AN82" s="960"/>
    </row>
    <row r="83" spans="1:40">
      <c r="A83" s="743" t="s">
        <v>1520</v>
      </c>
      <c r="B83" s="960">
        <f t="shared" ref="B83:P83" si="39">IFERROR(B41/B$14,"x")</f>
        <v>-2.884463961626519E-2</v>
      </c>
      <c r="C83" s="960">
        <f t="shared" si="39"/>
        <v>-2.8327289511598464E-2</v>
      </c>
      <c r="D83" s="960">
        <f t="shared" si="39"/>
        <v>-0.12254373882115913</v>
      </c>
      <c r="E83" s="960">
        <f t="shared" si="39"/>
        <v>-0.1174373715780079</v>
      </c>
      <c r="F83" s="960">
        <f t="shared" si="39"/>
        <v>-0.13948135088314409</v>
      </c>
      <c r="G83" s="960">
        <f t="shared" si="39"/>
        <v>-8.0161377871836775E-2</v>
      </c>
      <c r="H83" s="960">
        <f t="shared" si="39"/>
        <v>-0.18153048676749606</v>
      </c>
      <c r="I83" s="960">
        <f t="shared" si="39"/>
        <v>-0.18544864035147465</v>
      </c>
      <c r="J83" s="960">
        <f t="shared" si="39"/>
        <v>-0.18626731619409925</v>
      </c>
      <c r="K83" s="960">
        <f t="shared" si="39"/>
        <v>-0.11498682461487723</v>
      </c>
      <c r="L83" s="960">
        <f t="shared" si="39"/>
        <v>-0.28783150749839326</v>
      </c>
      <c r="M83" s="960">
        <f t="shared" si="39"/>
        <v>-0.26688262592810619</v>
      </c>
      <c r="N83" s="960">
        <f t="shared" si="39"/>
        <v>-0.32266204516043545</v>
      </c>
      <c r="O83" s="960">
        <f t="shared" si="39"/>
        <v>-0.14306071661421255</v>
      </c>
      <c r="P83" s="1093">
        <f t="shared" si="39"/>
        <v>-0.26902743923423639</v>
      </c>
      <c r="Q83" s="960">
        <f>IFERROR(Q41/Q$14,"x")</f>
        <v>-0.25970206332566714</v>
      </c>
      <c r="R83" s="960">
        <f t="shared" ref="R83:AB83" si="40">IFERROR(R41/R$14,"x")</f>
        <v>-0.31789968112368067</v>
      </c>
      <c r="S83" s="960">
        <f t="shared" si="40"/>
        <v>-0.13906556613873017</v>
      </c>
      <c r="T83" s="960">
        <f t="shared" si="40"/>
        <v>-0.29356816575056832</v>
      </c>
      <c r="U83" s="960">
        <f t="shared" si="40"/>
        <v>-0.63105948807234447</v>
      </c>
      <c r="V83" s="960">
        <f t="shared" si="40"/>
        <v>-0.58997409191285177</v>
      </c>
      <c r="W83" s="960">
        <f t="shared" si="40"/>
        <v>-5.3066363969060337E-2</v>
      </c>
      <c r="X83" s="1093">
        <f t="shared" si="40"/>
        <v>-0.43749547762648822</v>
      </c>
      <c r="Y83" s="960">
        <f t="shared" si="40"/>
        <v>-0.22831730599147196</v>
      </c>
      <c r="Z83" s="960">
        <f t="shared" si="40"/>
        <v>-0.19915659209900058</v>
      </c>
      <c r="AA83" s="960">
        <f t="shared" si="40"/>
        <v>-2.3980155438587116E-4</v>
      </c>
      <c r="AB83" s="1093">
        <f t="shared" si="40"/>
        <v>-0.26278608337665932</v>
      </c>
      <c r="AC83" s="961">
        <f t="shared" si="38"/>
        <v>-0.35411080491269703</v>
      </c>
      <c r="AD83" s="961">
        <f t="shared" si="38"/>
        <v>-0.36863913285799388</v>
      </c>
      <c r="AE83" s="961">
        <f t="shared" si="38"/>
        <v>-5.4877498044027397E-2</v>
      </c>
      <c r="AF83" s="961">
        <f>IFERROR(AF41/AF$14,"x")</f>
        <v>-0.96869813398687743</v>
      </c>
      <c r="AH83" s="960"/>
      <c r="AI83" s="960"/>
      <c r="AJ83" s="960"/>
      <c r="AK83" s="960"/>
      <c r="AL83" s="960"/>
      <c r="AM83" s="960"/>
      <c r="AN83" s="960"/>
    </row>
    <row r="84" spans="1:40">
      <c r="B84" s="1061"/>
      <c r="C84" s="1061"/>
      <c r="D84" s="1061"/>
      <c r="E84" s="1061"/>
      <c r="F84" s="1061"/>
      <c r="G84" s="1061"/>
      <c r="H84" s="1061"/>
      <c r="I84" s="1061"/>
      <c r="J84" s="1061"/>
      <c r="K84" s="1061"/>
      <c r="L84" s="1061"/>
      <c r="M84" s="1061"/>
      <c r="N84" s="1061"/>
      <c r="O84" s="1061"/>
      <c r="P84" s="1067"/>
      <c r="Q84" s="1061"/>
      <c r="R84" s="1061"/>
      <c r="S84" s="1061"/>
      <c r="T84" s="1061"/>
      <c r="U84" s="1061"/>
      <c r="V84" s="1061"/>
      <c r="W84" s="1061"/>
      <c r="X84" s="1067"/>
      <c r="Y84" s="1061"/>
    </row>
    <row r="85" spans="1:40" ht="13">
      <c r="A85" s="1064" t="s">
        <v>1522</v>
      </c>
      <c r="B85" s="1065"/>
      <c r="C85" s="1065"/>
      <c r="D85" s="1065"/>
      <c r="E85" s="1065"/>
      <c r="F85" s="1065"/>
      <c r="G85" s="1065"/>
      <c r="H85" s="1065"/>
      <c r="I85" s="1065"/>
      <c r="J85" s="1065"/>
      <c r="K85" s="1065"/>
      <c r="L85" s="1065"/>
      <c r="M85" s="1065"/>
      <c r="N85" s="1065"/>
      <c r="O85" s="1065"/>
      <c r="P85" s="1025"/>
      <c r="Q85" s="1065"/>
      <c r="R85" s="1065"/>
      <c r="S85" s="1065"/>
      <c r="T85" s="1065"/>
      <c r="U85" s="1065"/>
      <c r="V85" s="1065"/>
      <c r="W85" s="1065"/>
      <c r="X85" s="1025"/>
      <c r="Y85" s="1065"/>
      <c r="Z85" s="1065"/>
      <c r="AA85" s="1065"/>
      <c r="AB85" s="1025"/>
      <c r="AC85" s="1065"/>
      <c r="AD85" s="1065"/>
      <c r="AE85" s="1065"/>
      <c r="AF85" s="1065"/>
      <c r="AH85" s="1065"/>
      <c r="AI85" s="1065"/>
      <c r="AJ85" s="1065"/>
      <c r="AK85" s="1065"/>
      <c r="AL85" s="1065"/>
      <c r="AM85" s="1065"/>
      <c r="AN85" s="1065"/>
    </row>
    <row r="86" spans="1:40" ht="13">
      <c r="A86" s="749" t="s">
        <v>1523</v>
      </c>
      <c r="B86" s="1061"/>
      <c r="C86" s="1061"/>
      <c r="D86" s="1061"/>
      <c r="E86" s="1061"/>
      <c r="F86" s="1061"/>
      <c r="G86" s="1061"/>
      <c r="H86" s="1061"/>
      <c r="I86" s="1061"/>
      <c r="J86" s="1061"/>
      <c r="K86" s="1061"/>
      <c r="L86" s="1061"/>
      <c r="M86" s="1061"/>
      <c r="N86" s="1061"/>
      <c r="O86" s="1061"/>
      <c r="P86" s="1067"/>
      <c r="Q86" s="1061"/>
      <c r="R86" s="1061"/>
      <c r="S86" s="1061"/>
      <c r="T86" s="1061"/>
      <c r="U86" s="1061"/>
      <c r="V86" s="1061"/>
      <c r="W86" s="1061"/>
      <c r="X86" s="1067"/>
      <c r="Y86" s="1061"/>
    </row>
    <row r="87" spans="1:40" s="1114" customFormat="1">
      <c r="A87" s="1098" t="s">
        <v>2</v>
      </c>
      <c r="B87" s="1068"/>
      <c r="C87" s="1068"/>
      <c r="D87" s="1068">
        <v>419.40199999999999</v>
      </c>
      <c r="E87" s="1068"/>
      <c r="F87" s="1068">
        <v>1195.931</v>
      </c>
      <c r="G87" s="1068">
        <v>650.38900000000001</v>
      </c>
      <c r="H87" s="1068">
        <v>1457.722</v>
      </c>
      <c r="I87" s="1068">
        <v>1174.1210000000001</v>
      </c>
      <c r="J87" s="1068">
        <v>3145.36</v>
      </c>
      <c r="K87" s="1068">
        <v>2615.3596670000002</v>
      </c>
      <c r="L87" s="1068">
        <v>2101.2170000000001</v>
      </c>
      <c r="M87" s="1068">
        <v>2057.8009999999999</v>
      </c>
      <c r="N87" s="1068">
        <v>1237.7380000000001</v>
      </c>
      <c r="O87" s="1068">
        <v>1447.7439999999999</v>
      </c>
      <c r="P87" s="1069">
        <v>1085.2360000000001</v>
      </c>
      <c r="Q87" s="1068">
        <v>2057.8009999999999</v>
      </c>
      <c r="R87" s="1068">
        <v>1237.7380000000001</v>
      </c>
      <c r="S87" s="1068">
        <v>1447.7439999999999</v>
      </c>
      <c r="T87" s="1068">
        <v>1085.2360000000001</v>
      </c>
      <c r="U87" s="1068">
        <v>754.33199999999999</v>
      </c>
      <c r="V87" s="1068">
        <v>1072.126</v>
      </c>
      <c r="W87" s="1068">
        <v>847.98400000000004</v>
      </c>
      <c r="X87" s="1069">
        <v>484.101</v>
      </c>
      <c r="Y87" s="1068">
        <v>612.26900000000001</v>
      </c>
      <c r="Z87" s="1068">
        <v>642.03399999999999</v>
      </c>
      <c r="AA87" s="1068">
        <v>614.22400000000005</v>
      </c>
      <c r="AB87" s="1069">
        <v>560.35599999999999</v>
      </c>
      <c r="AC87" s="1068">
        <v>441.50400000000002</v>
      </c>
      <c r="AD87" s="1068">
        <v>361.91399999999999</v>
      </c>
      <c r="AE87" s="1068">
        <v>411.12400000000002</v>
      </c>
      <c r="AF87" s="1068">
        <v>295.46300000000002</v>
      </c>
      <c r="AH87" s="1068"/>
      <c r="AI87" s="1068"/>
      <c r="AJ87" s="1068"/>
      <c r="AK87" s="1068"/>
      <c r="AL87" s="1068"/>
      <c r="AM87" s="1068"/>
      <c r="AN87" s="1068"/>
    </row>
    <row r="88" spans="1:40" s="1114" customFormat="1">
      <c r="A88" s="1098" t="s">
        <v>1524</v>
      </c>
      <c r="B88" s="1068"/>
      <c r="C88" s="1068"/>
      <c r="D88" s="1068">
        <v>9.25</v>
      </c>
      <c r="E88" s="1068"/>
      <c r="F88" s="1068">
        <v>13.87</v>
      </c>
      <c r="G88" s="1068">
        <v>21.03</v>
      </c>
      <c r="H88" s="1068">
        <v>44.03</v>
      </c>
      <c r="I88" s="1068">
        <v>46.898000000000003</v>
      </c>
      <c r="J88" s="1068">
        <v>261.23599999999999</v>
      </c>
      <c r="K88" s="1068">
        <v>308.42</v>
      </c>
      <c r="L88" s="1068">
        <v>338.99700000000001</v>
      </c>
      <c r="M88" s="1068">
        <v>145.089</v>
      </c>
      <c r="N88" s="1068">
        <v>137.19999999999999</v>
      </c>
      <c r="O88" s="1068">
        <v>122.13200000000001</v>
      </c>
      <c r="P88" s="1069">
        <v>124.56100000000001</v>
      </c>
      <c r="Q88" s="1068">
        <v>145.089</v>
      </c>
      <c r="R88" s="1068">
        <v>137.19999999999999</v>
      </c>
      <c r="S88" s="1068">
        <v>122.13200000000001</v>
      </c>
      <c r="T88" s="1068">
        <v>124.56100000000001</v>
      </c>
      <c r="U88" s="1068">
        <v>96.968000000000004</v>
      </c>
      <c r="V88" s="1068">
        <v>120.404</v>
      </c>
      <c r="W88" s="1068">
        <v>90.533000000000001</v>
      </c>
      <c r="X88" s="1069">
        <v>91.81</v>
      </c>
      <c r="Y88" s="1068">
        <v>145.904</v>
      </c>
      <c r="Z88" s="1068">
        <v>170.13</v>
      </c>
      <c r="AA88" s="1068">
        <v>208.36500000000001</v>
      </c>
      <c r="AB88" s="1069">
        <v>270.67</v>
      </c>
      <c r="AC88" s="1068">
        <v>253.577</v>
      </c>
      <c r="AD88" s="1068">
        <v>250.75800000000001</v>
      </c>
      <c r="AE88" s="1068">
        <v>260.23200000000003</v>
      </c>
      <c r="AF88" s="1068">
        <v>327.05200000000002</v>
      </c>
      <c r="AH88" s="1068"/>
      <c r="AI88" s="1068"/>
      <c r="AJ88" s="1068"/>
      <c r="AK88" s="1068"/>
      <c r="AL88" s="1068"/>
      <c r="AM88" s="1068"/>
      <c r="AN88" s="1068"/>
    </row>
    <row r="89" spans="1:40" s="1114" customFormat="1">
      <c r="A89" s="1098" t="s">
        <v>1525</v>
      </c>
      <c r="B89" s="1068"/>
      <c r="C89" s="1068"/>
      <c r="D89" s="1068">
        <v>327</v>
      </c>
      <c r="E89" s="1068"/>
      <c r="F89" s="1068">
        <v>334</v>
      </c>
      <c r="G89" s="1068">
        <v>831.57500000000005</v>
      </c>
      <c r="H89" s="1068">
        <v>468.57</v>
      </c>
      <c r="I89" s="1068">
        <v>683.56600000000003</v>
      </c>
      <c r="J89" s="1068">
        <v>981.83399999999995</v>
      </c>
      <c r="K89" s="1068">
        <v>1648.6890000000001</v>
      </c>
      <c r="L89" s="1068">
        <v>1226.415</v>
      </c>
      <c r="M89" s="1068">
        <v>3480.6129999999998</v>
      </c>
      <c r="N89" s="1068">
        <v>4563.08</v>
      </c>
      <c r="O89" s="1068">
        <v>3939.5239999999999</v>
      </c>
      <c r="P89" s="1069">
        <v>3603.491</v>
      </c>
      <c r="Q89" s="1068">
        <v>3480.6129999999998</v>
      </c>
      <c r="R89" s="1068">
        <v>4563.08</v>
      </c>
      <c r="S89" s="1068">
        <v>3939.5239999999999</v>
      </c>
      <c r="T89" s="1068">
        <v>3603.491</v>
      </c>
      <c r="U89" s="1068">
        <v>3373.5839999999998</v>
      </c>
      <c r="V89" s="1068">
        <v>3323.0630000000001</v>
      </c>
      <c r="W89" s="1068">
        <v>3443.9839999999999</v>
      </c>
      <c r="X89" s="1069">
        <v>3084.634</v>
      </c>
      <c r="Y89" s="1068">
        <v>2379.9459999999999</v>
      </c>
      <c r="Z89" s="1068">
        <v>1094.607</v>
      </c>
      <c r="AA89" s="1068">
        <v>1038.799</v>
      </c>
      <c r="AB89" s="1069">
        <v>859.21100000000001</v>
      </c>
      <c r="AC89" s="1068">
        <v>1114.288</v>
      </c>
      <c r="AD89" s="1068">
        <v>1414.306</v>
      </c>
      <c r="AE89" s="1068">
        <v>1513.7809999999999</v>
      </c>
      <c r="AF89" s="1068">
        <v>1305.386</v>
      </c>
      <c r="AH89" s="1068"/>
      <c r="AI89" s="1068"/>
      <c r="AJ89" s="1068"/>
      <c r="AK89" s="1068"/>
      <c r="AL89" s="1068"/>
      <c r="AM89" s="1068"/>
      <c r="AN89" s="1068"/>
    </row>
    <row r="90" spans="1:40" ht="13">
      <c r="A90" s="1099" t="s">
        <v>1526</v>
      </c>
      <c r="B90" s="1100">
        <f>SUM(B87:B89)</f>
        <v>0</v>
      </c>
      <c r="C90" s="1100">
        <f>SUM(C87:C89)</f>
        <v>0</v>
      </c>
      <c r="D90" s="1100">
        <f>SUM(D87:D89)</f>
        <v>755.65200000000004</v>
      </c>
      <c r="E90" s="1100">
        <f>SUM(E87:E89)</f>
        <v>0</v>
      </c>
      <c r="F90" s="1100">
        <f t="shared" ref="F90:AB90" si="41">SUM(F87:F89)</f>
        <v>1543.8009999999999</v>
      </c>
      <c r="G90" s="1100">
        <f t="shared" si="41"/>
        <v>1502.9940000000001</v>
      </c>
      <c r="H90" s="1100">
        <f t="shared" si="41"/>
        <v>1970.3219999999999</v>
      </c>
      <c r="I90" s="1100">
        <f t="shared" si="41"/>
        <v>1904.585</v>
      </c>
      <c r="J90" s="1100">
        <f t="shared" ref="J90:O90" si="42">SUM(J87:J89)</f>
        <v>4388.43</v>
      </c>
      <c r="K90" s="1100">
        <f t="shared" si="42"/>
        <v>4572.4686670000001</v>
      </c>
      <c r="L90" s="1100">
        <f t="shared" si="42"/>
        <v>3666.6289999999999</v>
      </c>
      <c r="M90" s="1100">
        <f t="shared" si="42"/>
        <v>5683.5029999999997</v>
      </c>
      <c r="N90" s="1100">
        <f t="shared" si="42"/>
        <v>5938.018</v>
      </c>
      <c r="O90" s="1100">
        <f t="shared" si="42"/>
        <v>5509.4</v>
      </c>
      <c r="P90" s="1101">
        <v>4813.2880000000005</v>
      </c>
      <c r="Q90" s="1100">
        <f>SUM(Q87:Q89)</f>
        <v>5683.5029999999997</v>
      </c>
      <c r="R90" s="1100">
        <f>SUM(R87:R89)</f>
        <v>5938.018</v>
      </c>
      <c r="S90" s="1100">
        <f>SUM(S87:S89)</f>
        <v>5509.4</v>
      </c>
      <c r="T90" s="1100">
        <f t="shared" si="41"/>
        <v>4813.2880000000005</v>
      </c>
      <c r="U90" s="1100">
        <f t="shared" si="41"/>
        <v>4224.884</v>
      </c>
      <c r="V90" s="1100">
        <f t="shared" si="41"/>
        <v>4515.5929999999998</v>
      </c>
      <c r="W90" s="1100">
        <f t="shared" si="41"/>
        <v>4382.5010000000002</v>
      </c>
      <c r="X90" s="1101">
        <f t="shared" si="41"/>
        <v>3660.5450000000001</v>
      </c>
      <c r="Y90" s="1100">
        <f t="shared" si="41"/>
        <v>3138.1189999999997</v>
      </c>
      <c r="Z90" s="1100">
        <f t="shared" si="41"/>
        <v>1906.771</v>
      </c>
      <c r="AA90" s="1100">
        <f t="shared" si="41"/>
        <v>1861.3879999999999</v>
      </c>
      <c r="AB90" s="1101">
        <f t="shared" si="41"/>
        <v>1690.2370000000001</v>
      </c>
      <c r="AC90" s="1100">
        <f>SUM(AC87:AC89)</f>
        <v>1809.3690000000001</v>
      </c>
      <c r="AD90" s="1100">
        <f>SUM(AD87:AD89)</f>
        <v>2026.9780000000001</v>
      </c>
      <c r="AE90" s="1100">
        <f>SUM(AE87:AE89)</f>
        <v>2185.1369999999997</v>
      </c>
      <c r="AF90" s="1100">
        <f>SUM(AF87:AF89)</f>
        <v>1927.9010000000001</v>
      </c>
      <c r="AG90" s="1102"/>
      <c r="AH90" s="1100"/>
      <c r="AI90" s="1100"/>
      <c r="AJ90" s="1100"/>
      <c r="AK90" s="1100"/>
      <c r="AL90" s="1100"/>
      <c r="AM90" s="1100"/>
      <c r="AN90" s="1100"/>
    </row>
    <row r="91" spans="1:40" s="1114" customFormat="1">
      <c r="A91" s="1103" t="s">
        <v>512</v>
      </c>
      <c r="B91" s="1068"/>
      <c r="C91" s="1068"/>
      <c r="D91" s="1068">
        <v>286.56</v>
      </c>
      <c r="E91" s="1068"/>
      <c r="F91" s="1068">
        <v>287.90100000000001</v>
      </c>
      <c r="G91" s="1068">
        <v>350.81400000000002</v>
      </c>
      <c r="H91" s="1068">
        <v>575.29600000000005</v>
      </c>
      <c r="I91" s="1068">
        <v>749.18499999999995</v>
      </c>
      <c r="J91" s="1068">
        <v>1131.069</v>
      </c>
      <c r="K91" s="1068">
        <v>1949.1859999999999</v>
      </c>
      <c r="L91" s="1068">
        <v>1285.607</v>
      </c>
      <c r="M91" s="1068">
        <v>1408.5809999999999</v>
      </c>
      <c r="N91" s="1068">
        <v>1444.2739999999999</v>
      </c>
      <c r="O91" s="1068">
        <v>1460.7560000000001</v>
      </c>
      <c r="P91" s="1069">
        <v>1632.329</v>
      </c>
      <c r="Q91" s="1068">
        <v>1408.5809999999999</v>
      </c>
      <c r="R91" s="1068">
        <v>1444.2739999999999</v>
      </c>
      <c r="S91" s="1068">
        <v>1460.7560000000001</v>
      </c>
      <c r="T91" s="1068">
        <v>1632.329</v>
      </c>
      <c r="U91" s="1068">
        <v>906.15300000000002</v>
      </c>
      <c r="V91" s="1068">
        <v>1005.5549999999999</v>
      </c>
      <c r="W91" s="1068">
        <v>1352.9649999999999</v>
      </c>
      <c r="X91" s="1069">
        <v>939.46299999999997</v>
      </c>
      <c r="Y91" s="1068">
        <v>990.80600000000004</v>
      </c>
      <c r="Z91" s="1068">
        <v>1643.8989999999999</v>
      </c>
      <c r="AA91" s="1068">
        <v>1747.3779999999999</v>
      </c>
      <c r="AB91" s="1069">
        <v>1673.5840000000001</v>
      </c>
      <c r="AC91" s="1068">
        <v>1568.279</v>
      </c>
      <c r="AD91" s="1068">
        <v>1564.558</v>
      </c>
      <c r="AE91" s="1068">
        <v>1444.9670000000001</v>
      </c>
      <c r="AF91" s="1068">
        <v>1300.2840000000001</v>
      </c>
      <c r="AH91" s="1068"/>
      <c r="AI91" s="1068"/>
      <c r="AJ91" s="1068"/>
      <c r="AK91" s="1068"/>
      <c r="AL91" s="1068"/>
      <c r="AM91" s="1068"/>
      <c r="AN91" s="1068"/>
    </row>
    <row r="92" spans="1:40" s="1114" customFormat="1">
      <c r="A92" s="761" t="s">
        <v>1527</v>
      </c>
      <c r="B92" s="1068"/>
      <c r="C92" s="1068"/>
      <c r="D92" s="1068">
        <v>1075.3720000000001</v>
      </c>
      <c r="E92" s="1068"/>
      <c r="F92" s="1068">
        <v>1891.346</v>
      </c>
      <c r="G92" s="1068">
        <v>1931.82</v>
      </c>
      <c r="H92" s="1068">
        <v>2645.0169999999998</v>
      </c>
      <c r="I92" s="1068">
        <v>2842.5120000000002</v>
      </c>
      <c r="J92" s="1068">
        <v>6504.6679999999997</v>
      </c>
      <c r="K92" s="1068">
        <v>7680.0889999999999</v>
      </c>
      <c r="L92" s="1068">
        <v>7186.1409999999996</v>
      </c>
      <c r="M92" s="1068">
        <v>9511.6470000000008</v>
      </c>
      <c r="N92" s="1068">
        <v>10523.96</v>
      </c>
      <c r="O92" s="1068">
        <v>10160.892</v>
      </c>
      <c r="P92" s="1069">
        <v>9171.6540000000005</v>
      </c>
      <c r="Q92" s="1068">
        <v>9511.6470000000008</v>
      </c>
      <c r="R92" s="1068">
        <v>10523.96</v>
      </c>
      <c r="S92" s="1068">
        <v>10160.892</v>
      </c>
      <c r="T92" s="1068">
        <v>9171.6540000000005</v>
      </c>
      <c r="U92" s="1068">
        <v>7692.7929999999997</v>
      </c>
      <c r="V92" s="1068">
        <v>7932.3810000000003</v>
      </c>
      <c r="W92" s="1068">
        <v>7947.6589999999997</v>
      </c>
      <c r="X92" s="1069">
        <v>6657.8050000000003</v>
      </c>
      <c r="Y92" s="1068">
        <v>6566.7820000000002</v>
      </c>
      <c r="Z92" s="1068">
        <v>6798.0230000000001</v>
      </c>
      <c r="AA92" s="1068">
        <v>7004.1530000000002</v>
      </c>
      <c r="AB92" s="1069">
        <v>6556.9229999999998</v>
      </c>
      <c r="AC92" s="1068">
        <v>6756.3879999999999</v>
      </c>
      <c r="AD92" s="1068">
        <v>7208.2730000000001</v>
      </c>
      <c r="AE92" s="1068">
        <v>7143.3639999999996</v>
      </c>
      <c r="AF92" s="1068">
        <v>6596.62</v>
      </c>
      <c r="AH92" s="1068"/>
      <c r="AI92" s="1068"/>
      <c r="AJ92" s="1068"/>
      <c r="AK92" s="1068"/>
      <c r="AL92" s="1068"/>
      <c r="AM92" s="1068"/>
      <c r="AN92" s="1068"/>
    </row>
    <row r="93" spans="1:40" ht="13">
      <c r="A93" s="1104"/>
      <c r="B93" s="864"/>
      <c r="C93" s="864"/>
      <c r="D93" s="864"/>
      <c r="E93" s="864"/>
      <c r="F93" s="864"/>
      <c r="G93" s="864"/>
      <c r="H93" s="864"/>
      <c r="I93" s="864"/>
      <c r="J93" s="864"/>
      <c r="K93" s="864"/>
      <c r="L93" s="864"/>
      <c r="M93" s="864"/>
      <c r="N93" s="864"/>
      <c r="O93" s="864"/>
      <c r="P93" s="1105"/>
      <c r="Q93" s="864"/>
      <c r="R93" s="864"/>
      <c r="S93" s="864"/>
      <c r="T93" s="864"/>
      <c r="U93" s="864"/>
      <c r="V93" s="864"/>
      <c r="W93" s="864"/>
      <c r="X93" s="1105"/>
      <c r="Y93" s="864"/>
      <c r="Z93" s="864"/>
      <c r="AA93" s="864"/>
      <c r="AB93" s="1105"/>
      <c r="AC93" s="864"/>
      <c r="AD93" s="864"/>
      <c r="AE93" s="864"/>
      <c r="AF93" s="864"/>
      <c r="AH93" s="864"/>
      <c r="AI93" s="864"/>
      <c r="AJ93" s="864"/>
      <c r="AK93" s="864"/>
      <c r="AL93" s="864"/>
      <c r="AM93" s="864"/>
      <c r="AN93" s="864"/>
    </row>
    <row r="94" spans="1:40">
      <c r="A94" s="760" t="s">
        <v>5</v>
      </c>
      <c r="B94" s="861"/>
      <c r="C94" s="861"/>
      <c r="D94" s="861"/>
      <c r="E94" s="861"/>
      <c r="F94" s="861"/>
      <c r="G94" s="861"/>
      <c r="H94" s="861"/>
      <c r="I94" s="861"/>
      <c r="J94" s="861"/>
      <c r="K94" s="861"/>
      <c r="L94" s="861"/>
      <c r="M94" s="861"/>
      <c r="N94" s="861"/>
      <c r="O94" s="861"/>
      <c r="P94" s="1066"/>
      <c r="Q94" s="861"/>
      <c r="R94" s="861"/>
      <c r="S94" s="861"/>
      <c r="T94" s="861"/>
      <c r="U94" s="861"/>
      <c r="V94" s="861"/>
      <c r="W94" s="861"/>
      <c r="X94" s="1066"/>
      <c r="Y94" s="861"/>
      <c r="Z94" s="861"/>
      <c r="AA94" s="861"/>
      <c r="AB94" s="1066"/>
      <c r="AC94" s="861"/>
      <c r="AD94" s="861"/>
      <c r="AE94" s="861"/>
      <c r="AF94" s="861"/>
      <c r="AH94" s="861"/>
      <c r="AI94" s="861"/>
      <c r="AJ94" s="861"/>
      <c r="AK94" s="861"/>
      <c r="AL94" s="861"/>
      <c r="AM94" s="861"/>
      <c r="AN94" s="861"/>
    </row>
    <row r="95" spans="1:40" s="1114" customFormat="1">
      <c r="A95" s="1098" t="s">
        <v>513</v>
      </c>
      <c r="B95" s="1068"/>
      <c r="C95" s="1068"/>
      <c r="D95" s="1068">
        <v>396.738</v>
      </c>
      <c r="E95" s="1068"/>
      <c r="F95" s="1068">
        <v>566.46199999999999</v>
      </c>
      <c r="G95" s="1068">
        <v>633.30899999999997</v>
      </c>
      <c r="H95" s="1068">
        <v>638.827</v>
      </c>
      <c r="I95" s="1068">
        <v>733.24699999999996</v>
      </c>
      <c r="J95" s="1068">
        <v>1194.8140000000001</v>
      </c>
      <c r="K95" s="1068">
        <v>1318.588</v>
      </c>
      <c r="L95" s="1068">
        <v>1223.3130000000001</v>
      </c>
      <c r="M95" s="1068">
        <v>1192.5619999999999</v>
      </c>
      <c r="N95" s="1068">
        <v>1859.941</v>
      </c>
      <c r="O95" s="1068">
        <v>1690.5050000000001</v>
      </c>
      <c r="P95" s="1069">
        <v>1806.4929999999999</v>
      </c>
      <c r="Q95" s="1068">
        <v>1192.5619999999999</v>
      </c>
      <c r="R95" s="1068">
        <v>1859.941</v>
      </c>
      <c r="S95" s="1068">
        <v>1690.5050000000001</v>
      </c>
      <c r="T95" s="1068">
        <v>1806.4929999999999</v>
      </c>
      <c r="U95" s="1068">
        <v>924.11199999999997</v>
      </c>
      <c r="V95" s="1068">
        <v>1412.644</v>
      </c>
      <c r="W95" s="1068">
        <v>1341.2840000000001</v>
      </c>
      <c r="X95" s="1069">
        <v>1210.615</v>
      </c>
      <c r="Y95" s="1068">
        <v>1033.2929999999999</v>
      </c>
      <c r="Z95" s="1068">
        <v>1395.309</v>
      </c>
      <c r="AA95" s="1068">
        <v>1079.211</v>
      </c>
      <c r="AB95" s="1069">
        <v>1058.9459999999999</v>
      </c>
      <c r="AC95" s="1068">
        <v>1007.828</v>
      </c>
      <c r="AD95" s="1068">
        <v>1214.681</v>
      </c>
      <c r="AE95" s="1068">
        <v>960.06500000000005</v>
      </c>
      <c r="AF95" s="1068">
        <v>1113.8789999999999</v>
      </c>
      <c r="AH95" s="1068"/>
      <c r="AI95" s="1068"/>
      <c r="AJ95" s="1068"/>
      <c r="AK95" s="1068"/>
      <c r="AL95" s="1068"/>
      <c r="AM95" s="1068"/>
      <c r="AN95" s="1068"/>
    </row>
    <row r="96" spans="1:40" s="1114" customFormat="1">
      <c r="A96" s="1106" t="s">
        <v>1184</v>
      </c>
      <c r="B96" s="1068"/>
      <c r="C96" s="1068"/>
      <c r="D96" s="1068">
        <v>288.96499999999997</v>
      </c>
      <c r="E96" s="1068"/>
      <c r="F96" s="1068">
        <v>402.05900000000003</v>
      </c>
      <c r="G96" s="1068">
        <v>443.005</v>
      </c>
      <c r="H96" s="1068">
        <v>382.70600000000002</v>
      </c>
      <c r="I96" s="1068">
        <v>702.41899999999998</v>
      </c>
      <c r="J96" s="1068">
        <v>940.80499999999995</v>
      </c>
      <c r="K96" s="1068">
        <v>1792.6590000000001</v>
      </c>
      <c r="L96" s="1068">
        <v>767.30700000000002</v>
      </c>
      <c r="M96" s="1068">
        <v>854.9</v>
      </c>
      <c r="N96" s="1068">
        <v>1209.67</v>
      </c>
      <c r="O96" s="1068">
        <v>1290.691</v>
      </c>
      <c r="P96" s="1069">
        <v>1022.704</v>
      </c>
      <c r="Q96" s="1068">
        <v>854.9</v>
      </c>
      <c r="R96" s="1068">
        <v>1209.67</v>
      </c>
      <c r="S96" s="1068">
        <v>1290.691</v>
      </c>
      <c r="T96" s="1068">
        <v>1022.704</v>
      </c>
      <c r="U96" s="1068">
        <v>959.48900000000003</v>
      </c>
      <c r="V96" s="1068">
        <v>1170.809</v>
      </c>
      <c r="W96" s="1068">
        <v>1473.376</v>
      </c>
      <c r="X96" s="1069">
        <v>852.5</v>
      </c>
      <c r="Y96" s="1068">
        <v>1161.4870000000001</v>
      </c>
      <c r="Z96" s="1068">
        <v>1306.6320000000001</v>
      </c>
      <c r="AA96" s="1068">
        <v>1630.8420000000001</v>
      </c>
      <c r="AB96" s="1069">
        <v>1305.6099999999999</v>
      </c>
      <c r="AC96" s="1068">
        <v>1497.1320000000001</v>
      </c>
      <c r="AD96" s="1068">
        <v>1796.34</v>
      </c>
      <c r="AE96" s="1068">
        <v>1811.0319999999999</v>
      </c>
      <c r="AF96" s="1068">
        <v>1311.963</v>
      </c>
      <c r="AH96" s="1068"/>
      <c r="AI96" s="1068"/>
      <c r="AJ96" s="1068"/>
      <c r="AK96" s="1068"/>
      <c r="AL96" s="1068"/>
      <c r="AM96" s="1068"/>
      <c r="AN96" s="1068"/>
    </row>
    <row r="97" spans="1:40" s="1114" customFormat="1">
      <c r="A97" s="1106" t="s">
        <v>1185</v>
      </c>
      <c r="B97" s="1068"/>
      <c r="C97" s="1068"/>
      <c r="D97" s="1068">
        <v>19.87</v>
      </c>
      <c r="E97" s="1068"/>
      <c r="F97" s="1068">
        <v>24.285</v>
      </c>
      <c r="G97" s="1068">
        <v>23.338999999999999</v>
      </c>
      <c r="H97" s="1068">
        <v>22.277999999999999</v>
      </c>
      <c r="I97" s="1068">
        <v>21.219000000000001</v>
      </c>
      <c r="J97" s="1068">
        <v>31.456</v>
      </c>
      <c r="K97" s="1068">
        <v>64.23</v>
      </c>
      <c r="L97" s="1068">
        <v>57.784999999999997</v>
      </c>
      <c r="M97" s="1068">
        <v>58.595999999999997</v>
      </c>
      <c r="N97" s="1068">
        <v>57.069000000000003</v>
      </c>
      <c r="O97" s="1068">
        <v>66.286000000000001</v>
      </c>
      <c r="P97" s="1069">
        <v>54.927999999999997</v>
      </c>
      <c r="Q97" s="1068">
        <v>58.595999999999997</v>
      </c>
      <c r="R97" s="1068">
        <v>57.069000000000003</v>
      </c>
      <c r="S97" s="1068">
        <v>66.286000000000001</v>
      </c>
      <c r="T97" s="1068">
        <v>54.927999999999997</v>
      </c>
      <c r="U97" s="1068">
        <v>53.287999999999997</v>
      </c>
      <c r="V97" s="1068">
        <v>52.048999999999999</v>
      </c>
      <c r="W97" s="1068">
        <v>42.81</v>
      </c>
      <c r="X97" s="1069">
        <v>42.481000000000002</v>
      </c>
      <c r="Y97" s="1068">
        <v>40.841999999999999</v>
      </c>
      <c r="Z97" s="1068">
        <v>43.965000000000003</v>
      </c>
      <c r="AA97" s="1068">
        <v>46.795999999999999</v>
      </c>
      <c r="AB97" s="1069">
        <v>40.415999999999997</v>
      </c>
      <c r="AC97" s="1068">
        <v>144.93799999999999</v>
      </c>
      <c r="AD97" s="1068">
        <v>129.19300000000001</v>
      </c>
      <c r="AE97" s="1068">
        <v>124.57299999999999</v>
      </c>
      <c r="AF97" s="1068">
        <v>99.012</v>
      </c>
      <c r="AH97" s="1068"/>
      <c r="AI97" s="1068"/>
      <c r="AJ97" s="1068"/>
      <c r="AK97" s="1068"/>
      <c r="AL97" s="1068"/>
      <c r="AM97" s="1068"/>
      <c r="AN97" s="1068"/>
    </row>
    <row r="98" spans="1:40" s="1114" customFormat="1">
      <c r="A98" s="761" t="s">
        <v>411</v>
      </c>
      <c r="B98" s="1068"/>
      <c r="C98" s="1068"/>
      <c r="D98" s="1068">
        <v>784.01700000000005</v>
      </c>
      <c r="E98" s="1068"/>
      <c r="F98" s="1068">
        <v>1123.653</v>
      </c>
      <c r="G98" s="1068">
        <v>1257.347</v>
      </c>
      <c r="H98" s="1068">
        <v>1236.2940000000001</v>
      </c>
      <c r="I98" s="1068">
        <v>1645.278</v>
      </c>
      <c r="J98" s="1068">
        <v>2434.8710000000001</v>
      </c>
      <c r="K98" s="1068">
        <v>3852.9749999999999</v>
      </c>
      <c r="L98" s="1068">
        <v>3848.4180000000001</v>
      </c>
      <c r="M98" s="1068">
        <v>3475.6959999999999</v>
      </c>
      <c r="N98" s="1068">
        <v>5110.7790000000005</v>
      </c>
      <c r="O98" s="1068">
        <v>5178.8289999999997</v>
      </c>
      <c r="P98" s="1069">
        <v>4581.9269999999997</v>
      </c>
      <c r="Q98" s="1068">
        <v>3475.6959999999999</v>
      </c>
      <c r="R98" s="1068">
        <v>5110.7790000000005</v>
      </c>
      <c r="S98" s="1068">
        <v>5178.8289999999997</v>
      </c>
      <c r="T98" s="1068">
        <v>4581.9269999999997</v>
      </c>
      <c r="U98" s="1068">
        <v>3430.1779999999999</v>
      </c>
      <c r="V98" s="1068">
        <v>4026.1979999999999</v>
      </c>
      <c r="W98" s="1068">
        <v>4076.4650000000001</v>
      </c>
      <c r="X98" s="1069">
        <v>2963.777</v>
      </c>
      <c r="Y98" s="1068">
        <v>2977.6390000000001</v>
      </c>
      <c r="Z98" s="1068">
        <v>3385.1790000000001</v>
      </c>
      <c r="AA98" s="1068">
        <v>3523.9380000000001</v>
      </c>
      <c r="AB98" s="1069">
        <v>3143.0709999999999</v>
      </c>
      <c r="AC98" s="1068">
        <v>3483.953</v>
      </c>
      <c r="AD98" s="1068">
        <v>4060.6840000000002</v>
      </c>
      <c r="AE98" s="1068">
        <v>3978.5160000000001</v>
      </c>
      <c r="AF98" s="1068">
        <v>3847.7809999999999</v>
      </c>
      <c r="AH98" s="1068"/>
      <c r="AI98" s="1068"/>
      <c r="AJ98" s="1068"/>
      <c r="AK98" s="1068"/>
      <c r="AL98" s="1068"/>
      <c r="AM98" s="1068"/>
      <c r="AN98" s="1068"/>
    </row>
    <row r="99" spans="1:40" ht="13">
      <c r="A99" s="802"/>
      <c r="B99" s="860"/>
      <c r="C99" s="860"/>
      <c r="D99" s="860"/>
      <c r="E99" s="860"/>
      <c r="F99" s="860"/>
      <c r="G99" s="860"/>
      <c r="H99" s="860"/>
      <c r="I99" s="860"/>
      <c r="J99" s="860"/>
      <c r="K99" s="860"/>
      <c r="L99" s="860"/>
      <c r="M99" s="860"/>
      <c r="N99" s="860"/>
      <c r="O99" s="860"/>
      <c r="P99" s="1063"/>
      <c r="Q99" s="860"/>
      <c r="R99" s="860"/>
      <c r="S99" s="860"/>
      <c r="T99" s="860"/>
      <c r="U99" s="860"/>
      <c r="V99" s="860"/>
      <c r="W99" s="860"/>
      <c r="X99" s="1063"/>
      <c r="Y99" s="860"/>
      <c r="Z99" s="860"/>
      <c r="AA99" s="860"/>
      <c r="AB99" s="1063"/>
      <c r="AC99" s="860"/>
      <c r="AD99" s="861"/>
      <c r="AE99" s="861"/>
      <c r="AF99" s="861"/>
      <c r="AH99" s="861"/>
      <c r="AI99" s="861"/>
      <c r="AJ99" s="861"/>
      <c r="AK99" s="861"/>
      <c r="AL99" s="861"/>
      <c r="AM99" s="861"/>
      <c r="AN99" s="861"/>
    </row>
    <row r="100" spans="1:40" s="1114" customFormat="1">
      <c r="A100" s="761" t="s">
        <v>1528</v>
      </c>
      <c r="B100" s="1068"/>
      <c r="C100" s="1068"/>
      <c r="D100" s="1068">
        <v>716.44100000000003</v>
      </c>
      <c r="E100" s="1068"/>
      <c r="F100" s="1068"/>
      <c r="G100" s="1068"/>
      <c r="H100" s="1068"/>
      <c r="I100" s="1068"/>
      <c r="J100" s="1068"/>
      <c r="K100" s="1068"/>
      <c r="L100" s="1068"/>
      <c r="M100" s="1068"/>
      <c r="N100" s="1068"/>
      <c r="O100" s="1068"/>
      <c r="P100" s="1069">
        <v>90.072000000000003</v>
      </c>
      <c r="Q100" s="1068"/>
      <c r="R100" s="1068"/>
      <c r="S100" s="1068"/>
      <c r="T100" s="1068">
        <v>90.072000000000003</v>
      </c>
      <c r="U100" s="1068">
        <v>91.703000000000003</v>
      </c>
      <c r="V100" s="1068">
        <v>93.364000000000004</v>
      </c>
      <c r="W100" s="1068">
        <v>95.054000000000002</v>
      </c>
      <c r="X100" s="1069">
        <v>96.718999999999994</v>
      </c>
      <c r="Y100" s="1068">
        <v>98.528000000000006</v>
      </c>
      <c r="Z100" s="1068">
        <v>67.05</v>
      </c>
      <c r="AA100" s="1068">
        <v>68.085999999999999</v>
      </c>
      <c r="AB100" s="1069">
        <v>69.319000000000003</v>
      </c>
      <c r="AC100" s="1068">
        <v>70.575999999999993</v>
      </c>
      <c r="AD100" s="1068">
        <v>71.853999999999999</v>
      </c>
      <c r="AE100" s="1068">
        <v>73.27</v>
      </c>
      <c r="AF100" s="1068">
        <v>37.200000000000003</v>
      </c>
      <c r="AH100" s="1068"/>
      <c r="AI100" s="1068"/>
      <c r="AJ100" s="1068"/>
      <c r="AK100" s="1068"/>
      <c r="AL100" s="1068"/>
      <c r="AM100" s="1068"/>
      <c r="AN100" s="1068"/>
    </row>
    <row r="101" spans="1:40">
      <c r="A101" s="760" t="s">
        <v>1529</v>
      </c>
      <c r="B101" s="860">
        <f t="shared" ref="B101:Z101" si="43">B92-B98-B100</f>
        <v>0</v>
      </c>
      <c r="C101" s="860">
        <f t="shared" si="43"/>
        <v>0</v>
      </c>
      <c r="D101" s="860">
        <f t="shared" si="43"/>
        <v>-425.08600000000001</v>
      </c>
      <c r="E101" s="860">
        <f t="shared" si="43"/>
        <v>0</v>
      </c>
      <c r="F101" s="860">
        <f t="shared" si="43"/>
        <v>767.69299999999998</v>
      </c>
      <c r="G101" s="860">
        <f t="shared" si="43"/>
        <v>674.47299999999996</v>
      </c>
      <c r="H101" s="860">
        <f t="shared" si="43"/>
        <v>1408.7229999999997</v>
      </c>
      <c r="I101" s="860">
        <f t="shared" si="43"/>
        <v>1197.2340000000002</v>
      </c>
      <c r="J101" s="860">
        <f t="shared" si="43"/>
        <v>4069.7969999999996</v>
      </c>
      <c r="K101" s="860">
        <f t="shared" si="43"/>
        <v>3827.114</v>
      </c>
      <c r="L101" s="860">
        <f t="shared" si="43"/>
        <v>3337.7229999999995</v>
      </c>
      <c r="M101" s="860">
        <f t="shared" si="43"/>
        <v>6035.9510000000009</v>
      </c>
      <c r="N101" s="860">
        <f t="shared" si="43"/>
        <v>5413.1809999999987</v>
      </c>
      <c r="O101" s="860">
        <f t="shared" si="43"/>
        <v>4982.0630000000001</v>
      </c>
      <c r="P101" s="1063">
        <f t="shared" si="43"/>
        <v>4499.6550000000007</v>
      </c>
      <c r="Q101" s="860">
        <f t="shared" si="43"/>
        <v>6035.9510000000009</v>
      </c>
      <c r="R101" s="860">
        <f t="shared" si="43"/>
        <v>5413.1809999999987</v>
      </c>
      <c r="S101" s="860">
        <f t="shared" si="43"/>
        <v>4982.0630000000001</v>
      </c>
      <c r="T101" s="860">
        <f>T92-T98-T100</f>
        <v>4499.6550000000007</v>
      </c>
      <c r="U101" s="860">
        <f t="shared" si="43"/>
        <v>4170.9119999999994</v>
      </c>
      <c r="V101" s="860">
        <f t="shared" si="43"/>
        <v>3812.8190000000004</v>
      </c>
      <c r="W101" s="860">
        <f t="shared" si="43"/>
        <v>3776.1399999999994</v>
      </c>
      <c r="X101" s="1063">
        <f t="shared" si="43"/>
        <v>3597.3090000000002</v>
      </c>
      <c r="Y101" s="860">
        <f t="shared" si="43"/>
        <v>3490.6150000000002</v>
      </c>
      <c r="Z101" s="860">
        <f t="shared" si="43"/>
        <v>3345.7939999999999</v>
      </c>
      <c r="AA101" s="860">
        <f t="shared" ref="AA101:AF101" si="44">AA92-AA98-AA100</f>
        <v>3412.1290000000004</v>
      </c>
      <c r="AB101" s="1063">
        <f t="shared" si="44"/>
        <v>3344.5329999999999</v>
      </c>
      <c r="AC101" s="860">
        <f t="shared" si="44"/>
        <v>3201.8589999999999</v>
      </c>
      <c r="AD101" s="860">
        <f t="shared" si="44"/>
        <v>3075.7350000000001</v>
      </c>
      <c r="AE101" s="860">
        <f t="shared" si="44"/>
        <v>3091.5779999999995</v>
      </c>
      <c r="AF101" s="860">
        <f t="shared" si="44"/>
        <v>2711.6390000000001</v>
      </c>
      <c r="AH101" s="864"/>
      <c r="AI101" s="864"/>
      <c r="AJ101" s="864"/>
      <c r="AK101" s="864"/>
      <c r="AL101" s="864"/>
      <c r="AM101" s="864"/>
      <c r="AN101" s="864"/>
    </row>
    <row r="102" spans="1:40">
      <c r="A102" s="759"/>
      <c r="Z102" s="844"/>
      <c r="AA102" s="844"/>
      <c r="AB102" s="852"/>
      <c r="AC102" s="844"/>
      <c r="AD102" s="844"/>
    </row>
    <row r="103" spans="1:40">
      <c r="A103" s="1107" t="s">
        <v>1530</v>
      </c>
      <c r="B103" s="1108" t="str">
        <f t="shared" ref="B103:AB103" si="45">IFERROR(SUM(B95,B96,B97)/B92,"x")</f>
        <v>x</v>
      </c>
      <c r="C103" s="1108" t="str">
        <f t="shared" si="45"/>
        <v>x</v>
      </c>
      <c r="D103" s="1108">
        <f t="shared" si="45"/>
        <v>0.65611992873163882</v>
      </c>
      <c r="E103" s="1108" t="str">
        <f t="shared" si="45"/>
        <v>x</v>
      </c>
      <c r="F103" s="1108">
        <f t="shared" si="45"/>
        <v>0.52492034773119245</v>
      </c>
      <c r="G103" s="1108">
        <f t="shared" si="45"/>
        <v>0.56923160542907714</v>
      </c>
      <c r="H103" s="1108">
        <f t="shared" si="45"/>
        <v>0.39463300235877502</v>
      </c>
      <c r="I103" s="1108">
        <f t="shared" si="45"/>
        <v>0.51253433582690233</v>
      </c>
      <c r="J103" s="1108">
        <f t="shared" si="45"/>
        <v>0.33315689593996195</v>
      </c>
      <c r="K103" s="1108">
        <f t="shared" si="45"/>
        <v>0.41346877620819245</v>
      </c>
      <c r="L103" s="1108">
        <f t="shared" si="45"/>
        <v>0.28504937490093785</v>
      </c>
      <c r="M103" s="1108">
        <f t="shared" si="45"/>
        <v>0.22141885627168459</v>
      </c>
      <c r="N103" s="1108">
        <f t="shared" si="45"/>
        <v>0.29710109122421596</v>
      </c>
      <c r="O103" s="1108">
        <f t="shared" si="45"/>
        <v>0.29992268395333793</v>
      </c>
      <c r="P103" s="1109">
        <f t="shared" si="45"/>
        <v>0.31446072867554747</v>
      </c>
      <c r="Q103" s="1108">
        <f t="shared" si="45"/>
        <v>0.22141885627168459</v>
      </c>
      <c r="R103" s="1108">
        <f t="shared" si="45"/>
        <v>0.29710109122421596</v>
      </c>
      <c r="S103" s="1108">
        <f t="shared" si="45"/>
        <v>0.29992268395333793</v>
      </c>
      <c r="T103" s="1108">
        <f t="shared" si="45"/>
        <v>0.31446072867554747</v>
      </c>
      <c r="U103" s="1108">
        <f>IFERROR(SUM(U95,U96,U97)/U92,"x")</f>
        <v>0.25177968521965954</v>
      </c>
      <c r="V103" s="1108">
        <f t="shared" si="45"/>
        <v>0.33224601793585051</v>
      </c>
      <c r="W103" s="1108">
        <f t="shared" si="45"/>
        <v>0.35953605961201907</v>
      </c>
      <c r="X103" s="1109">
        <f t="shared" si="45"/>
        <v>0.31625978832362917</v>
      </c>
      <c r="Y103" s="1108">
        <f t="shared" si="45"/>
        <v>0.34044407138839083</v>
      </c>
      <c r="Z103" s="1108">
        <f t="shared" si="45"/>
        <v>0.40392714175871425</v>
      </c>
      <c r="AA103" s="1108">
        <f t="shared" si="45"/>
        <v>0.39360205295344058</v>
      </c>
      <c r="AB103" s="1109">
        <f t="shared" si="45"/>
        <v>0.3667836270152936</v>
      </c>
      <c r="AC103" s="1108">
        <f>IFERROR(SUM(AC95,AC96,AC97)/AC92,"x")</f>
        <v>0.39220630905152282</v>
      </c>
      <c r="AD103" s="1108">
        <f>IFERROR(SUM(AD95,AD96,AD97)/AD92,"x")</f>
        <v>0.43564027056133969</v>
      </c>
      <c r="AE103" s="1108">
        <f>IFERROR(SUM(AE95,AE96,AE97)/AE92,"x")</f>
        <v>0.40536503529709528</v>
      </c>
      <c r="AF103" s="1108">
        <f>IFERROR(SUM(AF95,AF96,AF97)/AF92,"x")</f>
        <v>0.38274965057862964</v>
      </c>
      <c r="AG103" s="1102"/>
      <c r="AH103" s="1110"/>
      <c r="AI103" s="1110"/>
      <c r="AJ103" s="1110"/>
      <c r="AK103" s="1110"/>
      <c r="AL103" s="1110"/>
      <c r="AM103" s="1110"/>
      <c r="AN103" s="1110"/>
    </row>
    <row r="104" spans="1:40" ht="13">
      <c r="A104" s="763"/>
    </row>
    <row r="105" spans="1:40" ht="13">
      <c r="A105" s="763"/>
    </row>
    <row r="106" spans="1:40" ht="13">
      <c r="A106" s="1064" t="s">
        <v>1531</v>
      </c>
      <c r="B106" s="1065"/>
      <c r="C106" s="1065"/>
      <c r="D106" s="1065"/>
      <c r="E106" s="1065"/>
      <c r="F106" s="1065"/>
      <c r="G106" s="1065"/>
      <c r="H106" s="1065"/>
      <c r="I106" s="1065"/>
      <c r="J106" s="1065"/>
      <c r="K106" s="1065"/>
      <c r="L106" s="1065"/>
      <c r="M106" s="1065"/>
      <c r="N106" s="1065"/>
      <c r="O106" s="1065"/>
      <c r="P106" s="1025"/>
      <c r="Q106" s="1065"/>
      <c r="R106" s="1065"/>
      <c r="S106" s="1065"/>
      <c r="T106" s="1065"/>
      <c r="U106" s="1065"/>
      <c r="V106" s="1065"/>
      <c r="W106" s="1065"/>
      <c r="X106" s="1025"/>
      <c r="Y106" s="1065"/>
      <c r="Z106" s="1065"/>
      <c r="AA106" s="1065"/>
      <c r="AB106" s="1025"/>
      <c r="AC106" s="1065"/>
      <c r="AD106" s="1065"/>
      <c r="AE106" s="1065"/>
      <c r="AF106" s="1065"/>
      <c r="AH106" s="1065"/>
      <c r="AI106" s="1065"/>
      <c r="AJ106" s="1065"/>
      <c r="AK106" s="1065"/>
      <c r="AL106" s="1065"/>
      <c r="AM106" s="1065"/>
      <c r="AN106" s="1065"/>
    </row>
    <row r="107" spans="1:40">
      <c r="A107" s="764" t="s">
        <v>32</v>
      </c>
    </row>
    <row r="108" spans="1:40">
      <c r="A108" s="1098" t="s">
        <v>1400</v>
      </c>
    </row>
    <row r="109" spans="1:40">
      <c r="A109" s="764" t="s">
        <v>33</v>
      </c>
    </row>
    <row r="110" spans="1:40">
      <c r="A110" s="1098" t="s">
        <v>1532</v>
      </c>
    </row>
    <row r="111" spans="1:40">
      <c r="A111" s="764" t="s">
        <v>525</v>
      </c>
    </row>
    <row r="113" spans="1:40" ht="13">
      <c r="A113" s="1064" t="s">
        <v>2062</v>
      </c>
      <c r="B113" s="1065"/>
      <c r="C113" s="1065"/>
      <c r="D113" s="1065"/>
      <c r="E113" s="1065"/>
      <c r="F113" s="1065"/>
      <c r="G113" s="1065"/>
      <c r="H113" s="1065"/>
      <c r="I113" s="1065"/>
      <c r="J113" s="1065"/>
      <c r="K113" s="1065"/>
      <c r="L113" s="1065"/>
      <c r="M113" s="1065"/>
      <c r="N113" s="1065"/>
      <c r="O113" s="1065"/>
      <c r="P113" s="1025"/>
      <c r="Q113" s="1065"/>
      <c r="R113" s="1065"/>
      <c r="S113" s="1065"/>
      <c r="T113" s="1065"/>
      <c r="U113" s="1065"/>
      <c r="V113" s="1065"/>
      <c r="W113" s="1065"/>
      <c r="X113" s="1025"/>
      <c r="Y113" s="1065"/>
      <c r="Z113" s="1065"/>
      <c r="AA113" s="1065"/>
      <c r="AB113" s="1025"/>
      <c r="AC113" s="1065"/>
      <c r="AD113" s="1065"/>
      <c r="AE113" s="1065"/>
      <c r="AF113" s="1065"/>
      <c r="AH113" s="1065"/>
      <c r="AI113" s="1065"/>
      <c r="AJ113" s="1065"/>
      <c r="AK113" s="1065"/>
      <c r="AL113" s="1065"/>
      <c r="AM113" s="1065"/>
      <c r="AN113" s="1065"/>
    </row>
    <row r="115" spans="1:40">
      <c r="B115" s="727"/>
      <c r="C115" s="727"/>
      <c r="D115" s="727"/>
      <c r="E115" s="727"/>
      <c r="F115" s="727"/>
      <c r="G115" s="727"/>
      <c r="H115" s="727"/>
      <c r="I115" s="727"/>
      <c r="J115" s="727"/>
      <c r="K115" s="727"/>
      <c r="L115" s="727"/>
      <c r="M115" s="727"/>
      <c r="N115" s="727"/>
      <c r="O115" s="727"/>
      <c r="P115" s="648"/>
      <c r="Q115" s="727"/>
      <c r="R115" s="727"/>
      <c r="S115" s="727"/>
      <c r="T115" s="727"/>
      <c r="U115" s="727"/>
      <c r="V115" s="727"/>
      <c r="W115" s="727"/>
      <c r="X115" s="648"/>
      <c r="Y115" s="727"/>
      <c r="Z115" s="961"/>
      <c r="AA115" s="961"/>
      <c r="AB115" s="2036"/>
      <c r="AC115" s="961"/>
      <c r="AD115" s="961"/>
      <c r="AE115" s="961"/>
      <c r="AF115" s="961"/>
      <c r="AH115" s="961"/>
      <c r="AI115" s="961"/>
      <c r="AJ115" s="961"/>
      <c r="AK115" s="961"/>
      <c r="AL115" s="961"/>
      <c r="AM115" s="961"/>
      <c r="AN115" s="961"/>
    </row>
    <row r="116" spans="1:40" ht="13">
      <c r="A116" s="811" t="s">
        <v>1163</v>
      </c>
    </row>
    <row r="117" spans="1:40" hidden="1" outlineLevel="1">
      <c r="A117" s="803" t="s">
        <v>1533</v>
      </c>
      <c r="B117" s="1111"/>
      <c r="C117" s="1111"/>
      <c r="D117" s="810"/>
      <c r="E117" s="1111"/>
      <c r="F117" s="1111"/>
      <c r="G117" s="1111"/>
      <c r="H117" s="810"/>
      <c r="I117" s="1111"/>
      <c r="M117" s="1111"/>
    </row>
    <row r="118" spans="1:40" hidden="1" outlineLevel="1">
      <c r="A118" s="1112" t="s">
        <v>1164</v>
      </c>
      <c r="B118" s="1111"/>
      <c r="C118" s="1111"/>
      <c r="D118" s="810"/>
      <c r="E118" s="1111"/>
      <c r="F118" s="1111"/>
      <c r="G118" s="1111"/>
      <c r="H118" s="810"/>
      <c r="I118" s="1111"/>
      <c r="J118" s="1111"/>
      <c r="M118" s="1111"/>
      <c r="N118" s="1111"/>
    </row>
    <row r="119" spans="1:40" ht="13" hidden="1" outlineLevel="1">
      <c r="A119" s="1113" t="s">
        <v>1165</v>
      </c>
      <c r="B119" s="1111"/>
      <c r="C119" s="1111"/>
      <c r="D119" s="810"/>
      <c r="F119" s="1111"/>
      <c r="G119" s="1111"/>
      <c r="H119" s="810"/>
    </row>
    <row r="120" spans="1:40" hidden="1" outlineLevel="1">
      <c r="A120" s="1112" t="s">
        <v>1534</v>
      </c>
      <c r="B120" s="1111"/>
      <c r="C120" s="1111"/>
      <c r="D120" s="810"/>
      <c r="E120" s="1111"/>
      <c r="F120" s="1111"/>
      <c r="G120" s="1111"/>
      <c r="H120" s="810"/>
      <c r="I120" s="1111"/>
      <c r="M120" s="1111"/>
    </row>
    <row r="121" spans="1:40" hidden="1" outlineLevel="1">
      <c r="A121" s="1112" t="s">
        <v>1535</v>
      </c>
      <c r="B121" s="1111"/>
      <c r="C121" s="1111"/>
      <c r="D121" s="810"/>
      <c r="E121" s="1111"/>
      <c r="F121" s="1111"/>
      <c r="G121" s="1111"/>
      <c r="H121" s="810"/>
      <c r="I121" s="1111"/>
      <c r="M121" s="1111"/>
    </row>
    <row r="122" spans="1:40" hidden="1" outlineLevel="1">
      <c r="A122" s="1112" t="s">
        <v>1166</v>
      </c>
      <c r="B122" s="1111"/>
      <c r="C122" s="1111"/>
      <c r="D122" s="810"/>
      <c r="E122" s="1111"/>
      <c r="F122" s="1111"/>
      <c r="G122" s="1111"/>
      <c r="H122" s="810"/>
      <c r="I122" s="1111"/>
      <c r="M122" s="1111"/>
    </row>
    <row r="123" spans="1:40" hidden="1" outlineLevel="1">
      <c r="A123" s="807" t="s">
        <v>1167</v>
      </c>
      <c r="D123" s="1111"/>
      <c r="H123" s="1111"/>
    </row>
    <row r="124" spans="1:40" hidden="1" outlineLevel="1">
      <c r="A124" s="807"/>
      <c r="D124" s="1111"/>
      <c r="H124" s="1111"/>
    </row>
    <row r="125" spans="1:40" hidden="1" outlineLevel="1">
      <c r="A125" s="807" t="s">
        <v>1168</v>
      </c>
      <c r="D125" s="859"/>
      <c r="H125" s="859"/>
    </row>
    <row r="126" spans="1:40" hidden="1" outlineLevel="1">
      <c r="A126" s="807" t="s">
        <v>1169</v>
      </c>
      <c r="D126" s="1111"/>
      <c r="H126" s="1111"/>
    </row>
    <row r="127" spans="1:40" collapsed="1">
      <c r="A127" s="807"/>
      <c r="B127" s="1114"/>
      <c r="C127" s="1114"/>
      <c r="D127" s="1114"/>
      <c r="E127" s="1114"/>
      <c r="F127" s="1114"/>
      <c r="G127" s="1114"/>
      <c r="H127" s="1114"/>
      <c r="I127" s="1114"/>
      <c r="J127" s="1114"/>
      <c r="K127" s="1114"/>
      <c r="L127" s="1114"/>
      <c r="M127" s="1114"/>
      <c r="N127" s="1114"/>
      <c r="O127" s="1114"/>
      <c r="P127" s="1115"/>
      <c r="Q127" s="1114"/>
      <c r="R127" s="1114"/>
      <c r="S127" s="1114"/>
      <c r="T127" s="1114"/>
      <c r="U127" s="1114"/>
      <c r="V127" s="1114"/>
      <c r="W127" s="1114"/>
      <c r="X127" s="1115"/>
      <c r="Y127" s="1114"/>
      <c r="Z127" s="1116"/>
      <c r="AA127" s="1116"/>
    </row>
    <row r="128" spans="1:40">
      <c r="A128" s="807" t="s">
        <v>1170</v>
      </c>
      <c r="B128" s="1114"/>
      <c r="C128" s="1114"/>
      <c r="D128" s="1114"/>
      <c r="E128" s="1114"/>
      <c r="F128" s="1114"/>
      <c r="G128" s="1114"/>
      <c r="H128" s="1114"/>
      <c r="I128" s="1114"/>
      <c r="J128" s="1114"/>
      <c r="K128" s="1114"/>
      <c r="L128" s="1114"/>
      <c r="M128" s="1114"/>
      <c r="N128" s="1114"/>
      <c r="O128" s="1114"/>
      <c r="P128" s="1115"/>
      <c r="Q128" s="1114"/>
      <c r="R128" s="1114"/>
      <c r="S128" s="1114"/>
      <c r="T128" s="1114"/>
      <c r="U128" s="1114"/>
      <c r="V128" s="1114"/>
      <c r="W128" s="1114"/>
      <c r="X128" s="1115"/>
      <c r="Y128" s="1114"/>
      <c r="Z128" s="1116"/>
      <c r="AA128" s="1116"/>
    </row>
    <row r="129" spans="1:40">
      <c r="A129" s="807" t="s">
        <v>1171</v>
      </c>
      <c r="B129" s="1114"/>
      <c r="C129" s="1114"/>
      <c r="D129" s="1114"/>
      <c r="E129" s="1114"/>
      <c r="F129" s="1114"/>
      <c r="G129" s="1114"/>
      <c r="H129" s="1114"/>
      <c r="I129" s="1114"/>
      <c r="J129" s="1114"/>
      <c r="K129" s="1114"/>
      <c r="L129" s="1114"/>
      <c r="M129" s="1114"/>
      <c r="N129" s="1114"/>
      <c r="O129" s="1114"/>
      <c r="P129" s="1115"/>
      <c r="Q129" s="1114"/>
      <c r="R129" s="1114"/>
      <c r="S129" s="1114"/>
      <c r="T129" s="1114"/>
      <c r="U129" s="1114"/>
      <c r="V129" s="1114"/>
      <c r="W129" s="1114"/>
      <c r="X129" s="1115"/>
      <c r="Y129" s="1114"/>
      <c r="Z129" s="1116"/>
      <c r="AA129" s="1116"/>
    </row>
    <row r="130" spans="1:40">
      <c r="A130" s="807" t="s">
        <v>1172</v>
      </c>
      <c r="B130" s="1114"/>
      <c r="C130" s="1114"/>
      <c r="D130" s="1114"/>
      <c r="E130" s="1114"/>
      <c r="F130" s="1114"/>
      <c r="G130" s="1114"/>
      <c r="H130" s="1114">
        <v>75</v>
      </c>
      <c r="I130" s="1114"/>
      <c r="J130" s="1114"/>
      <c r="K130" s="1114"/>
      <c r="L130" s="1114"/>
      <c r="M130" s="1114"/>
      <c r="N130" s="1114"/>
      <c r="O130" s="1114"/>
      <c r="P130" s="1115"/>
      <c r="Q130" s="1114"/>
      <c r="R130" s="1114"/>
      <c r="S130" s="1114"/>
      <c r="T130" s="1114"/>
      <c r="U130" s="1114"/>
      <c r="V130" s="1114"/>
      <c r="W130" s="1114"/>
      <c r="X130" s="1115"/>
      <c r="Y130" s="1114"/>
      <c r="Z130" s="1116"/>
      <c r="AA130" s="1116"/>
    </row>
    <row r="131" spans="1:40">
      <c r="A131" s="807" t="s">
        <v>1173</v>
      </c>
      <c r="B131" s="1114"/>
      <c r="C131" s="1114"/>
      <c r="D131" s="1114"/>
      <c r="E131" s="1114"/>
      <c r="F131" s="1114"/>
      <c r="G131" s="1114"/>
      <c r="H131" s="1114"/>
      <c r="I131" s="1114"/>
      <c r="J131" s="1114"/>
      <c r="K131" s="1114"/>
      <c r="L131" s="1114"/>
      <c r="M131" s="1114"/>
      <c r="N131" s="1114"/>
      <c r="O131" s="1114"/>
      <c r="P131" s="1115"/>
      <c r="Q131" s="1114"/>
      <c r="R131" s="1114"/>
      <c r="S131" s="1114"/>
      <c r="T131" s="1114"/>
      <c r="U131" s="1114"/>
      <c r="V131" s="1114"/>
      <c r="W131" s="1114"/>
      <c r="X131" s="1115"/>
      <c r="Y131" s="1114"/>
      <c r="Z131" s="1116"/>
      <c r="AA131" s="1116"/>
    </row>
    <row r="132" spans="1:40">
      <c r="A132" s="807"/>
      <c r="B132" s="1114"/>
      <c r="C132" s="1114"/>
      <c r="D132" s="1114"/>
      <c r="E132" s="1114"/>
      <c r="F132" s="1114"/>
      <c r="G132" s="1114"/>
      <c r="H132" s="1114"/>
      <c r="I132" s="1114"/>
      <c r="J132" s="1114"/>
      <c r="K132" s="1114"/>
      <c r="L132" s="1114"/>
      <c r="M132" s="1114"/>
      <c r="N132" s="1114"/>
      <c r="O132" s="1114"/>
      <c r="P132" s="1115"/>
      <c r="Q132" s="1114"/>
      <c r="R132" s="1114"/>
      <c r="S132" s="1114"/>
      <c r="T132" s="1114"/>
      <c r="U132" s="1114"/>
      <c r="V132" s="1114"/>
      <c r="W132" s="1114"/>
      <c r="X132" s="1115"/>
      <c r="Y132" s="1114"/>
      <c r="Z132" s="1116"/>
      <c r="AA132" s="1116"/>
    </row>
    <row r="133" spans="1:40" ht="13">
      <c r="A133" s="808" t="s">
        <v>1536</v>
      </c>
      <c r="B133" s="1114"/>
      <c r="C133" s="1114"/>
      <c r="D133" s="1114"/>
      <c r="E133" s="1114"/>
      <c r="F133" s="1114"/>
      <c r="G133" s="1114"/>
      <c r="H133" s="1114"/>
      <c r="I133" s="1114"/>
      <c r="J133" s="1114"/>
      <c r="K133" s="1114"/>
      <c r="L133" s="1114"/>
      <c r="M133" s="1114"/>
      <c r="N133" s="1114"/>
      <c r="O133" s="1114"/>
      <c r="P133" s="1115"/>
      <c r="Q133" s="1114"/>
      <c r="R133" s="1114"/>
      <c r="S133" s="1114"/>
      <c r="T133" s="1114"/>
      <c r="U133" s="1114"/>
      <c r="V133" s="1114"/>
      <c r="W133" s="1114"/>
      <c r="X133" s="1115"/>
      <c r="Y133" s="1114"/>
      <c r="Z133" s="1116"/>
      <c r="AA133" s="1116"/>
    </row>
    <row r="134" spans="1:40">
      <c r="A134" s="807" t="s">
        <v>1174</v>
      </c>
      <c r="B134" s="1117"/>
      <c r="C134" s="1117"/>
      <c r="D134" s="1117"/>
      <c r="E134" s="1114"/>
      <c r="F134" s="1117"/>
      <c r="G134" s="1117"/>
      <c r="H134" s="1117"/>
      <c r="I134" s="1114"/>
      <c r="J134" s="1087"/>
      <c r="K134" s="1114"/>
      <c r="L134" s="1114"/>
      <c r="M134" s="1114"/>
      <c r="N134" s="1087"/>
      <c r="O134" s="1114"/>
      <c r="P134" s="1115"/>
      <c r="Q134" s="1114"/>
      <c r="R134" s="1114"/>
      <c r="S134" s="1114"/>
      <c r="T134" s="1114"/>
      <c r="U134" s="1087"/>
      <c r="V134" s="1114"/>
      <c r="W134" s="1114"/>
      <c r="X134" s="1115"/>
      <c r="Y134" s="1087"/>
      <c r="Z134" s="1118"/>
      <c r="AA134" s="1118"/>
      <c r="AB134" s="971"/>
      <c r="AC134" s="959"/>
      <c r="AD134" s="959"/>
      <c r="AE134" s="959"/>
      <c r="AF134" s="959"/>
      <c r="AH134" s="959"/>
      <c r="AI134" s="959"/>
      <c r="AJ134" s="959"/>
      <c r="AK134" s="959"/>
      <c r="AL134" s="959"/>
      <c r="AM134" s="959"/>
      <c r="AN134" s="959"/>
    </row>
    <row r="135" spans="1:40" s="1114" customFormat="1">
      <c r="A135" s="804" t="s">
        <v>1537</v>
      </c>
      <c r="B135" s="1087"/>
      <c r="C135" s="1087"/>
      <c r="D135" s="1087"/>
      <c r="E135" s="1087"/>
      <c r="F135" s="1087"/>
      <c r="G135" s="1087"/>
      <c r="H135" s="1087"/>
      <c r="I135" s="1087"/>
      <c r="J135" s="1087"/>
      <c r="K135" s="1087"/>
      <c r="L135" s="1087"/>
      <c r="M135" s="1087"/>
      <c r="N135" s="1087"/>
      <c r="O135" s="1087"/>
      <c r="P135" s="1088"/>
      <c r="Q135" s="1087"/>
      <c r="R135" s="1087"/>
      <c r="S135" s="1087"/>
      <c r="T135" s="1087"/>
      <c r="U135" s="1087"/>
      <c r="V135" s="1087"/>
      <c r="W135" s="1087"/>
      <c r="X135" s="1088"/>
      <c r="Y135" s="1087"/>
      <c r="Z135" s="1087"/>
      <c r="AA135" s="1087">
        <v>2200000</v>
      </c>
      <c r="AB135" s="1088">
        <v>2200000</v>
      </c>
      <c r="AC135" s="1087">
        <v>2200000</v>
      </c>
      <c r="AD135" s="1087" t="s">
        <v>2063</v>
      </c>
      <c r="AE135" s="2063"/>
      <c r="AF135" s="1118"/>
      <c r="AH135" s="1118"/>
      <c r="AI135" s="1118"/>
      <c r="AJ135" s="1118"/>
      <c r="AK135" s="1118"/>
      <c r="AL135" s="1118"/>
      <c r="AM135" s="1118"/>
      <c r="AN135" s="1118"/>
    </row>
    <row r="136" spans="1:40">
      <c r="A136" s="1119" t="s">
        <v>1175</v>
      </c>
      <c r="B136" s="1087"/>
      <c r="C136" s="1087"/>
      <c r="D136" s="1087"/>
      <c r="E136" s="1087"/>
      <c r="F136" s="1087"/>
      <c r="G136" s="1087"/>
      <c r="H136" s="1087"/>
      <c r="I136" s="1087"/>
      <c r="J136" s="1087"/>
      <c r="K136" s="1087"/>
      <c r="L136" s="1087"/>
      <c r="M136" s="1087"/>
      <c r="N136" s="1087"/>
      <c r="O136" s="1087"/>
      <c r="P136" s="1088"/>
      <c r="Q136" s="1087"/>
      <c r="R136" s="1087"/>
      <c r="S136" s="1087"/>
      <c r="T136" s="1087"/>
      <c r="U136" s="1087"/>
      <c r="V136" s="1087"/>
      <c r="W136" s="1087"/>
      <c r="X136" s="1088"/>
      <c r="Y136" s="1087"/>
      <c r="Z136" s="1118"/>
      <c r="AA136" s="1118"/>
      <c r="AB136" s="971"/>
      <c r="AC136" s="959"/>
      <c r="AD136" s="959"/>
      <c r="AE136" s="2064"/>
      <c r="AF136" s="959"/>
      <c r="AH136" s="959"/>
      <c r="AI136" s="959"/>
      <c r="AJ136" s="959"/>
      <c r="AK136" s="959"/>
      <c r="AL136" s="959"/>
      <c r="AM136" s="959"/>
      <c r="AN136" s="959"/>
    </row>
    <row r="137" spans="1:40" s="1114" customFormat="1">
      <c r="A137" s="1112" t="s">
        <v>1538</v>
      </c>
      <c r="B137" s="1087"/>
      <c r="C137" s="1087"/>
      <c r="D137" s="1087"/>
      <c r="E137" s="1087"/>
      <c r="F137" s="1087"/>
      <c r="G137" s="1087"/>
      <c r="H137" s="1087"/>
      <c r="I137" s="1087"/>
      <c r="J137" s="1087"/>
      <c r="K137" s="1087"/>
      <c r="L137" s="1087"/>
      <c r="M137" s="1087"/>
      <c r="N137" s="1087"/>
      <c r="O137" s="1087"/>
      <c r="P137" s="1088"/>
      <c r="Q137" s="1087"/>
      <c r="R137" s="1087"/>
      <c r="S137" s="1087"/>
      <c r="T137" s="1087"/>
      <c r="U137" s="1087"/>
      <c r="V137" s="1087"/>
      <c r="W137" s="1087"/>
      <c r="X137" s="1088"/>
      <c r="Y137" s="1118">
        <v>420</v>
      </c>
      <c r="Z137" s="1118">
        <v>420</v>
      </c>
      <c r="AA137" s="1118">
        <v>420</v>
      </c>
      <c r="AB137" s="2037">
        <v>420</v>
      </c>
      <c r="AC137" s="1118">
        <v>420</v>
      </c>
      <c r="AD137" s="1118">
        <v>420</v>
      </c>
      <c r="AE137" s="2063">
        <v>420</v>
      </c>
      <c r="AF137" s="1118">
        <v>420</v>
      </c>
      <c r="AH137" s="1118"/>
      <c r="AI137" s="1118"/>
      <c r="AJ137" s="1118"/>
      <c r="AK137" s="1118"/>
      <c r="AL137" s="1118"/>
      <c r="AM137" s="1118"/>
      <c r="AN137" s="1118"/>
    </row>
    <row r="138" spans="1:40">
      <c r="A138" s="1112"/>
      <c r="B138" s="1087"/>
      <c r="C138" s="1087"/>
      <c r="D138" s="1087"/>
      <c r="E138" s="1087"/>
      <c r="F138" s="1087"/>
      <c r="G138" s="1087"/>
      <c r="H138" s="1087"/>
      <c r="I138" s="1087"/>
      <c r="J138" s="1087"/>
      <c r="K138" s="1087"/>
      <c r="L138" s="1087"/>
      <c r="M138" s="1087"/>
      <c r="N138" s="1087"/>
      <c r="O138" s="1087"/>
      <c r="P138" s="1088"/>
      <c r="Q138" s="1087"/>
      <c r="R138" s="1087"/>
      <c r="S138" s="1087"/>
      <c r="T138" s="1087"/>
      <c r="U138" s="1087"/>
      <c r="V138" s="1087"/>
      <c r="W138" s="1087"/>
      <c r="X138" s="1088"/>
      <c r="Y138" s="1087"/>
      <c r="Z138" s="1118"/>
      <c r="AA138" s="1118"/>
      <c r="AB138" s="971"/>
      <c r="AC138" s="959"/>
      <c r="AD138" s="959"/>
      <c r="AE138" s="2064"/>
      <c r="AF138" s="959"/>
      <c r="AH138" s="959"/>
      <c r="AI138" s="959"/>
      <c r="AJ138" s="959"/>
      <c r="AK138" s="959"/>
      <c r="AL138" s="959"/>
      <c r="AM138" s="959"/>
      <c r="AN138" s="959"/>
    </row>
    <row r="139" spans="1:40" ht="13">
      <c r="A139" s="1120" t="s">
        <v>1539</v>
      </c>
      <c r="B139" s="1087"/>
      <c r="C139" s="1087"/>
      <c r="D139" s="1087"/>
      <c r="E139" s="1087"/>
      <c r="F139" s="1087"/>
      <c r="G139" s="1087"/>
      <c r="H139" s="1087"/>
      <c r="I139" s="1087"/>
      <c r="J139" s="1087"/>
      <c r="K139" s="1087"/>
      <c r="L139" s="1087"/>
      <c r="M139" s="1087"/>
      <c r="N139" s="1087"/>
      <c r="O139" s="1087"/>
      <c r="P139" s="1088"/>
      <c r="Q139" s="1087"/>
      <c r="R139" s="1087"/>
      <c r="S139" s="1087"/>
      <c r="T139" s="1087"/>
      <c r="U139" s="1087"/>
      <c r="V139" s="1087"/>
      <c r="W139" s="1087"/>
      <c r="X139" s="1088"/>
      <c r="Y139" s="1087"/>
      <c r="Z139" s="1118"/>
      <c r="AA139" s="1118"/>
      <c r="AB139" s="971"/>
      <c r="AC139" s="959"/>
      <c r="AD139" s="959"/>
      <c r="AE139" s="2064"/>
      <c r="AF139" s="959"/>
      <c r="AH139" s="959"/>
      <c r="AI139" s="959"/>
      <c r="AJ139" s="959"/>
      <c r="AK139" s="959"/>
      <c r="AL139" s="959"/>
      <c r="AM139" s="959"/>
      <c r="AN139" s="959"/>
    </row>
    <row r="140" spans="1:40" s="1114" customFormat="1">
      <c r="A140" s="1112" t="s">
        <v>1540</v>
      </c>
      <c r="B140" s="1087"/>
      <c r="C140" s="1087"/>
      <c r="D140" s="1087"/>
      <c r="E140" s="1087"/>
      <c r="F140" s="1087"/>
      <c r="G140" s="1087"/>
      <c r="H140" s="1087"/>
      <c r="I140" s="1087"/>
      <c r="J140" s="1087"/>
      <c r="K140" s="1087"/>
      <c r="L140" s="1087"/>
      <c r="M140" s="1087"/>
      <c r="N140" s="1087"/>
      <c r="O140" s="1087"/>
      <c r="P140" s="1088"/>
      <c r="Q140" s="1087"/>
      <c r="R140" s="1087"/>
      <c r="S140" s="1087"/>
      <c r="T140" s="1087"/>
      <c r="U140" s="1087"/>
      <c r="V140" s="1087"/>
      <c r="W140" s="1087"/>
      <c r="X140" s="1088">
        <v>164</v>
      </c>
      <c r="Y140" s="1087">
        <f>X140+51</f>
        <v>215</v>
      </c>
      <c r="Z140" s="1118">
        <v>308</v>
      </c>
      <c r="AA140" s="1118">
        <v>415</v>
      </c>
      <c r="AB140" s="2037">
        <v>509</v>
      </c>
      <c r="AC140" s="1118">
        <v>536</v>
      </c>
      <c r="AD140" s="1118" t="s">
        <v>2064</v>
      </c>
      <c r="AE140" s="2063" t="s">
        <v>2081</v>
      </c>
      <c r="AF140" s="1118"/>
      <c r="AH140" s="1118"/>
      <c r="AI140" s="1118"/>
      <c r="AJ140" s="1118"/>
      <c r="AK140" s="1118"/>
      <c r="AL140" s="1118"/>
      <c r="AM140" s="1118"/>
      <c r="AN140" s="1118"/>
    </row>
    <row r="141" spans="1:40" s="1114" customFormat="1" ht="13.5" customHeight="1">
      <c r="A141" s="1112" t="s">
        <v>1541</v>
      </c>
      <c r="B141" s="1087"/>
      <c r="C141" s="1087"/>
      <c r="D141" s="1087"/>
      <c r="E141" s="1087"/>
      <c r="F141" s="1087"/>
      <c r="G141" s="1087"/>
      <c r="H141" s="1087"/>
      <c r="I141" s="1087"/>
      <c r="J141" s="1087"/>
      <c r="K141" s="1087"/>
      <c r="L141" s="1087"/>
      <c r="M141" s="1087"/>
      <c r="N141" s="1087"/>
      <c r="O141" s="1087"/>
      <c r="P141" s="1088"/>
      <c r="Q141" s="1087"/>
      <c r="R141" s="1087"/>
      <c r="S141" s="1087"/>
      <c r="T141" s="1087"/>
      <c r="U141" s="1087"/>
      <c r="V141" s="1087"/>
      <c r="W141" s="1087"/>
      <c r="X141" s="1124">
        <v>0.09</v>
      </c>
      <c r="Y141" s="1121">
        <v>0.1</v>
      </c>
      <c r="Z141" s="1121">
        <v>0.13</v>
      </c>
      <c r="AA141" s="1122">
        <v>0.15</v>
      </c>
      <c r="AB141" s="2038">
        <v>0.17</v>
      </c>
      <c r="AC141" s="1122">
        <v>0.2</v>
      </c>
      <c r="AD141" s="1122">
        <v>0.22</v>
      </c>
      <c r="AE141" s="2063"/>
      <c r="AF141" s="1118"/>
      <c r="AH141" s="1118"/>
      <c r="AI141" s="1118"/>
      <c r="AJ141" s="1118"/>
      <c r="AK141" s="1118"/>
      <c r="AL141" s="1118"/>
      <c r="AM141" s="1118"/>
      <c r="AN141" s="1118"/>
    </row>
    <row r="142" spans="1:40" ht="13.5" customHeight="1">
      <c r="A142" s="1112"/>
      <c r="B142" s="1087"/>
      <c r="C142" s="1087"/>
      <c r="D142" s="1087"/>
      <c r="E142" s="1087"/>
      <c r="F142" s="1087"/>
      <c r="G142" s="1087"/>
      <c r="H142" s="1087"/>
      <c r="I142" s="1087"/>
      <c r="J142" s="1087"/>
      <c r="K142" s="1087"/>
      <c r="L142" s="1087"/>
      <c r="M142" s="1087"/>
      <c r="N142" s="1087"/>
      <c r="O142" s="1087"/>
      <c r="P142" s="1088"/>
      <c r="Q142" s="1087"/>
      <c r="R142" s="1087"/>
      <c r="S142" s="1087"/>
      <c r="T142" s="1087"/>
      <c r="U142" s="1087"/>
      <c r="V142" s="1087"/>
      <c r="W142" s="1087"/>
      <c r="X142" s="1124"/>
      <c r="Y142" s="1121"/>
      <c r="Z142" s="1121"/>
      <c r="AA142" s="1122"/>
      <c r="AB142" s="2038"/>
      <c r="AC142" s="1122"/>
      <c r="AD142" s="1122"/>
      <c r="AE142" s="2064"/>
      <c r="AF142" s="959"/>
      <c r="AH142" s="959"/>
      <c r="AI142" s="959"/>
      <c r="AJ142" s="959"/>
      <c r="AK142" s="959"/>
      <c r="AL142" s="959"/>
      <c r="AM142" s="959"/>
      <c r="AN142" s="959"/>
    </row>
    <row r="143" spans="1:40" s="1114" customFormat="1" ht="13.5" customHeight="1">
      <c r="A143" s="1112" t="s">
        <v>1542</v>
      </c>
      <c r="B143" s="1087"/>
      <c r="C143" s="1087"/>
      <c r="D143" s="1087"/>
      <c r="E143" s="1087"/>
      <c r="F143" s="1087"/>
      <c r="G143" s="1087"/>
      <c r="H143" s="1087"/>
      <c r="I143" s="1087"/>
      <c r="J143" s="1087"/>
      <c r="K143" s="1087"/>
      <c r="L143" s="1087"/>
      <c r="M143" s="1087"/>
      <c r="N143" s="1087"/>
      <c r="O143" s="1087"/>
      <c r="P143" s="1088"/>
      <c r="Q143" s="1087"/>
      <c r="R143" s="1087"/>
      <c r="S143" s="1087"/>
      <c r="T143" s="1087"/>
      <c r="U143" s="1087"/>
      <c r="V143" s="1087"/>
      <c r="W143" s="1087"/>
      <c r="X143" s="1124"/>
      <c r="Y143" s="1121" t="s">
        <v>1543</v>
      </c>
      <c r="Z143" s="1121"/>
      <c r="AA143" s="1122"/>
      <c r="AB143" s="2038"/>
      <c r="AC143" s="1122"/>
      <c r="AD143" s="1122"/>
      <c r="AE143" s="2063"/>
      <c r="AF143" s="1118"/>
      <c r="AH143" s="1118"/>
      <c r="AI143" s="1118"/>
      <c r="AJ143" s="1118"/>
      <c r="AK143" s="1118"/>
      <c r="AL143" s="1118"/>
      <c r="AM143" s="1118"/>
      <c r="AN143" s="1118"/>
    </row>
    <row r="144" spans="1:40" s="1114" customFormat="1" ht="13.5" customHeight="1">
      <c r="A144" s="1112" t="s">
        <v>1544</v>
      </c>
      <c r="B144" s="1087"/>
      <c r="C144" s="1087"/>
      <c r="D144" s="1087"/>
      <c r="E144" s="1087"/>
      <c r="F144" s="1087"/>
      <c r="G144" s="1087"/>
      <c r="H144" s="1087"/>
      <c r="I144" s="1087"/>
      <c r="J144" s="1087"/>
      <c r="K144" s="1087"/>
      <c r="L144" s="1087"/>
      <c r="M144" s="1087"/>
      <c r="N144" s="1087"/>
      <c r="O144" s="1087"/>
      <c r="P144" s="1088"/>
      <c r="Q144" s="1087"/>
      <c r="R144" s="1087"/>
      <c r="S144" s="1087"/>
      <c r="T144" s="1087"/>
      <c r="U144" s="1087"/>
      <c r="V144" s="1087"/>
      <c r="W144" s="1087"/>
      <c r="X144" s="1088"/>
      <c r="Y144" s="1122">
        <v>0.6</v>
      </c>
      <c r="Z144" s="1122">
        <v>0.6</v>
      </c>
      <c r="AA144" s="1122">
        <v>0.6</v>
      </c>
      <c r="AB144" s="2038">
        <v>0.64</v>
      </c>
      <c r="AC144" s="1122"/>
      <c r="AD144" s="1122">
        <v>0.67</v>
      </c>
      <c r="AE144" s="2063"/>
      <c r="AF144" s="1118"/>
      <c r="AH144" s="1118"/>
      <c r="AI144" s="1118"/>
      <c r="AJ144" s="1118"/>
      <c r="AK144" s="1118"/>
      <c r="AL144" s="1118"/>
      <c r="AM144" s="1118"/>
      <c r="AN144" s="1118"/>
    </row>
    <row r="145" spans="1:40" ht="13.5" customHeight="1">
      <c r="A145" s="1112"/>
      <c r="B145" s="1087"/>
      <c r="C145" s="1087"/>
      <c r="D145" s="1087"/>
      <c r="E145" s="1087"/>
      <c r="F145" s="1087"/>
      <c r="G145" s="1087"/>
      <c r="H145" s="1087"/>
      <c r="I145" s="1087"/>
      <c r="J145" s="1087"/>
      <c r="K145" s="1087"/>
      <c r="L145" s="1087"/>
      <c r="M145" s="1087"/>
      <c r="N145" s="1087"/>
      <c r="O145" s="1087"/>
      <c r="P145" s="1088"/>
      <c r="Q145" s="1087"/>
      <c r="R145" s="1087"/>
      <c r="S145" s="1087"/>
      <c r="T145" s="1087"/>
      <c r="U145" s="1087"/>
      <c r="V145" s="1087"/>
      <c r="W145" s="1087"/>
      <c r="X145" s="1088"/>
      <c r="Y145" s="1122"/>
      <c r="Z145" s="1122"/>
      <c r="AA145" s="1122"/>
      <c r="AB145" s="2038"/>
      <c r="AC145" s="1122"/>
      <c r="AD145" s="1122"/>
      <c r="AE145" s="2064"/>
      <c r="AF145" s="959"/>
      <c r="AH145" s="959"/>
      <c r="AI145" s="959"/>
      <c r="AJ145" s="959"/>
      <c r="AK145" s="959"/>
      <c r="AL145" s="959"/>
      <c r="AM145" s="959"/>
      <c r="AN145" s="959"/>
    </row>
    <row r="146" spans="1:40" s="1114" customFormat="1" ht="13.5" customHeight="1">
      <c r="A146" s="1112" t="s">
        <v>1545</v>
      </c>
      <c r="B146" s="1087"/>
      <c r="C146" s="1087"/>
      <c r="D146" s="1087"/>
      <c r="E146" s="1087"/>
      <c r="F146" s="1087"/>
      <c r="G146" s="1087"/>
      <c r="H146" s="1087"/>
      <c r="I146" s="1087"/>
      <c r="J146" s="1087"/>
      <c r="K146" s="1087"/>
      <c r="L146" s="1087"/>
      <c r="M146" s="1087"/>
      <c r="N146" s="1087"/>
      <c r="O146" s="1087"/>
      <c r="P146" s="1088"/>
      <c r="Q146" s="1087"/>
      <c r="R146" s="1087"/>
      <c r="S146" s="1087"/>
      <c r="T146" s="1087"/>
      <c r="U146" s="1087"/>
      <c r="V146" s="1087"/>
      <c r="W146" s="1087"/>
      <c r="X146" s="1088"/>
      <c r="Y146" s="1122">
        <v>2</v>
      </c>
      <c r="Z146" s="1122">
        <v>1.3</v>
      </c>
      <c r="AA146" s="1122">
        <v>1.2</v>
      </c>
      <c r="AB146" s="2038">
        <v>1.4</v>
      </c>
      <c r="AC146" s="1122"/>
      <c r="AD146" s="1122"/>
      <c r="AE146" s="1118"/>
      <c r="AF146" s="1118"/>
      <c r="AH146" s="1118"/>
      <c r="AI146" s="1118"/>
      <c r="AJ146" s="1118"/>
      <c r="AK146" s="1118"/>
      <c r="AL146" s="1118"/>
      <c r="AM146" s="1118"/>
      <c r="AN146" s="1118"/>
    </row>
    <row r="147" spans="1:40" ht="13.5" customHeight="1">
      <c r="A147" s="1112"/>
      <c r="B147" s="1087"/>
      <c r="C147" s="1087"/>
      <c r="D147" s="1087"/>
      <c r="E147" s="1087"/>
      <c r="F147" s="1087"/>
      <c r="G147" s="1087"/>
      <c r="H147" s="1087"/>
      <c r="I147" s="1087"/>
      <c r="J147" s="1087"/>
      <c r="K147" s="1087"/>
      <c r="L147" s="1087"/>
      <c r="M147" s="1087"/>
      <c r="N147" s="1087"/>
      <c r="O147" s="1087"/>
      <c r="P147" s="1088"/>
      <c r="Q147" s="1087"/>
      <c r="R147" s="1087"/>
      <c r="S147" s="1087"/>
      <c r="T147" s="1087"/>
      <c r="U147" s="1087"/>
      <c r="V147" s="1087"/>
      <c r="W147" s="1087"/>
      <c r="X147" s="1088"/>
      <c r="Y147" s="1122"/>
      <c r="Z147" s="1122"/>
      <c r="AA147" s="1122"/>
      <c r="AB147" s="2038"/>
      <c r="AC147" s="1122"/>
      <c r="AD147" s="1122"/>
      <c r="AE147" s="959"/>
      <c r="AF147" s="959"/>
      <c r="AH147" s="959"/>
      <c r="AI147" s="959"/>
      <c r="AJ147" s="959"/>
      <c r="AK147" s="959"/>
      <c r="AL147" s="959"/>
      <c r="AM147" s="959"/>
      <c r="AN147" s="959"/>
    </row>
    <row r="148" spans="1:40" ht="13.5" customHeight="1">
      <c r="A148" s="1112" t="s">
        <v>1546</v>
      </c>
      <c r="B148" s="1087"/>
      <c r="C148" s="1087"/>
      <c r="D148" s="1087"/>
      <c r="E148" s="1087"/>
      <c r="F148" s="1087"/>
      <c r="G148" s="1087"/>
      <c r="H148" s="1087"/>
      <c r="I148" s="1087"/>
      <c r="J148" s="1087"/>
      <c r="K148" s="1087"/>
      <c r="L148" s="1087"/>
      <c r="M148" s="1087"/>
      <c r="N148" s="1087"/>
      <c r="O148" s="1087"/>
      <c r="P148" s="1088"/>
      <c r="Q148" s="1087"/>
      <c r="R148" s="1087"/>
      <c r="S148" s="1087"/>
      <c r="T148" s="1087"/>
      <c r="U148" s="1087"/>
      <c r="V148" s="1087"/>
      <c r="W148" s="1087"/>
      <c r="X148" s="1088"/>
      <c r="Y148" s="1122"/>
      <c r="Z148" s="1122"/>
      <c r="AA148" s="1122"/>
      <c r="AB148" s="2038"/>
      <c r="AC148" s="1122"/>
      <c r="AD148" s="1122"/>
      <c r="AE148" s="959"/>
      <c r="AF148" s="959"/>
      <c r="AH148" s="959"/>
      <c r="AI148" s="959"/>
      <c r="AJ148" s="959"/>
      <c r="AK148" s="959"/>
      <c r="AL148" s="959"/>
      <c r="AM148" s="959"/>
      <c r="AN148" s="959"/>
    </row>
    <row r="149" spans="1:40" s="1114" customFormat="1" ht="13.5" customHeight="1">
      <c r="A149" s="1119" t="s">
        <v>1547</v>
      </c>
      <c r="B149" s="1087"/>
      <c r="C149" s="1087"/>
      <c r="D149" s="1087"/>
      <c r="E149" s="1087"/>
      <c r="F149" s="1087"/>
      <c r="G149" s="1087"/>
      <c r="H149" s="1087"/>
      <c r="I149" s="1087"/>
      <c r="J149" s="1087"/>
      <c r="K149" s="1087"/>
      <c r="L149" s="1087"/>
      <c r="M149" s="1087"/>
      <c r="N149" s="1087"/>
      <c r="O149" s="1087"/>
      <c r="P149" s="1088"/>
      <c r="Q149" s="1087"/>
      <c r="R149" s="1087"/>
      <c r="S149" s="1087"/>
      <c r="T149" s="1087"/>
      <c r="U149" s="1087"/>
      <c r="V149" s="1087"/>
      <c r="W149" s="1087"/>
      <c r="X149" s="1088"/>
      <c r="Y149" s="1122">
        <v>0.5</v>
      </c>
      <c r="Z149" s="1122"/>
      <c r="AA149" s="1122"/>
      <c r="AB149" s="2038">
        <v>0.4</v>
      </c>
      <c r="AC149" s="1122"/>
      <c r="AD149" s="1122"/>
      <c r="AE149" s="1118"/>
      <c r="AF149" s="1118"/>
      <c r="AH149" s="1118"/>
      <c r="AI149" s="1118"/>
      <c r="AJ149" s="1118"/>
      <c r="AK149" s="1118"/>
      <c r="AL149" s="1118"/>
      <c r="AM149" s="1118"/>
      <c r="AN149" s="1118"/>
    </row>
    <row r="150" spans="1:40" ht="13.5" customHeight="1">
      <c r="A150" s="1112"/>
      <c r="B150" s="1087"/>
      <c r="C150" s="1087"/>
      <c r="D150" s="1087"/>
      <c r="E150" s="1087"/>
      <c r="F150" s="1087"/>
      <c r="G150" s="1087"/>
      <c r="H150" s="1087"/>
      <c r="I150" s="1087"/>
      <c r="J150" s="1087"/>
      <c r="K150" s="1087"/>
      <c r="L150" s="1087"/>
      <c r="M150" s="1087"/>
      <c r="N150" s="1087"/>
      <c r="O150" s="1087"/>
      <c r="P150" s="1088"/>
      <c r="Q150" s="1087"/>
      <c r="R150" s="1087"/>
      <c r="S150" s="1087"/>
      <c r="T150" s="1087"/>
      <c r="U150" s="1087"/>
      <c r="V150" s="1087"/>
      <c r="W150" s="1087"/>
      <c r="X150" s="1088"/>
      <c r="Y150" s="1087"/>
      <c r="Z150" s="1118"/>
      <c r="AA150" s="1122"/>
      <c r="AB150" s="971"/>
      <c r="AC150" s="959"/>
      <c r="AD150" s="959"/>
      <c r="AE150" s="959"/>
      <c r="AF150" s="959"/>
      <c r="AH150" s="959"/>
      <c r="AI150" s="959"/>
      <c r="AJ150" s="959"/>
      <c r="AK150" s="959"/>
      <c r="AL150" s="959"/>
      <c r="AM150" s="959"/>
      <c r="AN150" s="959"/>
    </row>
    <row r="151" spans="1:40" ht="13.5" customHeight="1">
      <c r="A151" s="1120" t="s">
        <v>1548</v>
      </c>
      <c r="B151" s="1087"/>
      <c r="C151" s="1087"/>
      <c r="D151" s="1087"/>
      <c r="E151" s="1087"/>
      <c r="F151" s="1087"/>
      <c r="G151" s="1087"/>
      <c r="H151" s="1087"/>
      <c r="I151" s="1087"/>
      <c r="J151" s="1087"/>
      <c r="K151" s="1087"/>
      <c r="L151" s="1087"/>
      <c r="M151" s="1087"/>
      <c r="N151" s="1087"/>
      <c r="O151" s="1087"/>
      <c r="P151" s="1088"/>
      <c r="Q151" s="1087"/>
      <c r="R151" s="1087"/>
      <c r="S151" s="1087"/>
      <c r="T151" s="1087"/>
      <c r="U151" s="1087"/>
      <c r="V151" s="1087"/>
      <c r="W151" s="1087"/>
      <c r="X151" s="1088"/>
      <c r="Y151" s="1087"/>
      <c r="Z151" s="1118"/>
      <c r="AA151" s="1122"/>
      <c r="AB151" s="971"/>
      <c r="AC151" s="959"/>
      <c r="AD151" s="959"/>
      <c r="AE151" s="959"/>
      <c r="AF151" s="959"/>
      <c r="AH151" s="959"/>
      <c r="AI151" s="959"/>
      <c r="AJ151" s="959"/>
      <c r="AK151" s="959"/>
      <c r="AL151" s="959"/>
      <c r="AM151" s="959"/>
      <c r="AN151" s="959"/>
    </row>
    <row r="152" spans="1:40" s="1114" customFormat="1" ht="13.5" customHeight="1">
      <c r="A152" s="1112" t="s">
        <v>1549</v>
      </c>
      <c r="B152" s="1087"/>
      <c r="C152" s="1087"/>
      <c r="D152" s="1087"/>
      <c r="E152" s="1087"/>
      <c r="F152" s="1087"/>
      <c r="G152" s="1087"/>
      <c r="H152" s="1087"/>
      <c r="I152" s="1087"/>
      <c r="J152" s="1087"/>
      <c r="K152" s="1087"/>
      <c r="L152" s="1087"/>
      <c r="M152" s="1087"/>
      <c r="N152" s="1087"/>
      <c r="O152" s="1087"/>
      <c r="P152" s="1088"/>
      <c r="Q152" s="1087"/>
      <c r="R152" s="1087"/>
      <c r="S152" s="1087"/>
      <c r="T152" s="1087"/>
      <c r="U152" s="1087"/>
      <c r="V152" s="1087"/>
      <c r="W152" s="1087"/>
      <c r="X152" s="1088"/>
      <c r="Y152" s="1121">
        <v>0.4</v>
      </c>
      <c r="Z152" s="1122">
        <v>0.55000000000000004</v>
      </c>
      <c r="AA152" s="1122">
        <v>0.6</v>
      </c>
      <c r="AB152" s="2038">
        <v>0.6</v>
      </c>
      <c r="AC152" s="1122">
        <v>0.6</v>
      </c>
      <c r="AD152" s="1122">
        <v>0.6</v>
      </c>
      <c r="AE152" s="2063"/>
      <c r="AF152" s="1118"/>
      <c r="AH152" s="1118"/>
      <c r="AI152" s="1118"/>
      <c r="AJ152" s="1118"/>
      <c r="AK152" s="1118"/>
      <c r="AL152" s="1118"/>
      <c r="AM152" s="1118"/>
      <c r="AN152" s="1118"/>
    </row>
    <row r="153" spans="1:40" s="1114" customFormat="1">
      <c r="A153" s="1112" t="s">
        <v>2078</v>
      </c>
      <c r="B153" s="1087"/>
      <c r="C153" s="1087"/>
      <c r="D153" s="1087"/>
      <c r="E153" s="1087"/>
      <c r="F153" s="1087"/>
      <c r="G153" s="1087"/>
      <c r="H153" s="1087"/>
      <c r="I153" s="1087"/>
      <c r="J153" s="1087"/>
      <c r="K153" s="1087"/>
      <c r="L153" s="1087"/>
      <c r="M153" s="1087"/>
      <c r="N153" s="1087"/>
      <c r="O153" s="1087"/>
      <c r="P153" s="1088"/>
      <c r="Q153" s="1087"/>
      <c r="R153" s="1087"/>
      <c r="S153" s="1087"/>
      <c r="T153" s="1087"/>
      <c r="U153" s="1087"/>
      <c r="V153" s="1087"/>
      <c r="W153" s="1087"/>
      <c r="X153" s="1088">
        <v>14</v>
      </c>
      <c r="Y153" s="1087">
        <v>21</v>
      </c>
      <c r="Z153" s="1118">
        <v>25</v>
      </c>
      <c r="AA153" s="1118">
        <v>26</v>
      </c>
      <c r="AB153" s="2037">
        <v>29</v>
      </c>
      <c r="AC153" s="1118">
        <v>31</v>
      </c>
      <c r="AD153" s="1118">
        <v>33</v>
      </c>
      <c r="AE153" s="2063">
        <v>34</v>
      </c>
      <c r="AF153" s="1118">
        <v>37</v>
      </c>
      <c r="AH153" s="1118"/>
      <c r="AI153" s="1118"/>
      <c r="AJ153" s="1118"/>
      <c r="AK153" s="1118"/>
      <c r="AL153" s="1118"/>
      <c r="AM153" s="1118"/>
      <c r="AN153" s="1118"/>
    </row>
    <row r="154" spans="1:40" s="1114" customFormat="1">
      <c r="A154" s="1119" t="s">
        <v>1550</v>
      </c>
      <c r="B154" s="1087"/>
      <c r="C154" s="1087"/>
      <c r="D154" s="1087"/>
      <c r="E154" s="1087"/>
      <c r="F154" s="1087"/>
      <c r="G154" s="1087"/>
      <c r="H154" s="1087"/>
      <c r="I154" s="1087"/>
      <c r="J154" s="1087"/>
      <c r="K154" s="1087"/>
      <c r="L154" s="1087"/>
      <c r="M154" s="1087"/>
      <c r="N154" s="1087"/>
      <c r="O154" s="1087"/>
      <c r="P154" s="1088"/>
      <c r="Q154" s="1087"/>
      <c r="R154" s="1087"/>
      <c r="S154" s="1087"/>
      <c r="T154" s="1087"/>
      <c r="U154" s="1087"/>
      <c r="V154" s="1087"/>
      <c r="W154" s="1087"/>
      <c r="X154" s="1088">
        <v>12</v>
      </c>
      <c r="Y154" s="1087">
        <v>20</v>
      </c>
      <c r="Z154" s="1118">
        <v>21</v>
      </c>
      <c r="AA154" s="1118">
        <v>22</v>
      </c>
      <c r="AB154" s="2037">
        <v>25</v>
      </c>
      <c r="AC154" s="1118"/>
      <c r="AD154" s="1118"/>
      <c r="AE154" s="1118"/>
      <c r="AF154" s="1118"/>
      <c r="AH154" s="1118"/>
      <c r="AI154" s="1118"/>
      <c r="AJ154" s="1118"/>
      <c r="AK154" s="1118"/>
      <c r="AL154" s="1118"/>
      <c r="AM154" s="1118"/>
      <c r="AN154" s="1118"/>
    </row>
    <row r="155" spans="1:40" s="1114" customFormat="1">
      <c r="A155" s="1119" t="s">
        <v>1551</v>
      </c>
      <c r="B155" s="1087"/>
      <c r="C155" s="1087"/>
      <c r="D155" s="1087"/>
      <c r="E155" s="1087"/>
      <c r="F155" s="1087"/>
      <c r="G155" s="1087"/>
      <c r="H155" s="1087"/>
      <c r="I155" s="1087"/>
      <c r="J155" s="1087"/>
      <c r="K155" s="1087"/>
      <c r="L155" s="1087"/>
      <c r="M155" s="1087"/>
      <c r="N155" s="1087"/>
      <c r="O155" s="1087"/>
      <c r="P155" s="1088"/>
      <c r="Q155" s="1087"/>
      <c r="R155" s="1087"/>
      <c r="S155" s="1087"/>
      <c r="T155" s="1087"/>
      <c r="U155" s="1087"/>
      <c r="V155" s="1087"/>
      <c r="W155" s="1087"/>
      <c r="X155" s="1088"/>
      <c r="Y155" s="1087">
        <v>1</v>
      </c>
      <c r="Z155" s="1118">
        <v>4</v>
      </c>
      <c r="AA155" s="1118">
        <v>4</v>
      </c>
      <c r="AB155" s="2037">
        <v>4</v>
      </c>
      <c r="AC155" s="1118"/>
      <c r="AD155" s="1118"/>
      <c r="AE155" s="1118"/>
      <c r="AF155" s="1118"/>
      <c r="AH155" s="1118"/>
      <c r="AI155" s="1118"/>
      <c r="AJ155" s="1118"/>
      <c r="AK155" s="1118"/>
      <c r="AL155" s="1118"/>
      <c r="AM155" s="1118"/>
      <c r="AN155" s="1118"/>
    </row>
    <row r="156" spans="1:40" s="1114" customFormat="1">
      <c r="A156" s="1119" t="s">
        <v>1552</v>
      </c>
      <c r="B156" s="1087"/>
      <c r="C156" s="1087"/>
      <c r="D156" s="1087"/>
      <c r="E156" s="1087"/>
      <c r="F156" s="1087"/>
      <c r="G156" s="1087"/>
      <c r="H156" s="1087"/>
      <c r="I156" s="1087"/>
      <c r="J156" s="1087"/>
      <c r="K156" s="1087"/>
      <c r="L156" s="1087"/>
      <c r="M156" s="1087"/>
      <c r="N156" s="1087"/>
      <c r="O156" s="1087"/>
      <c r="P156" s="1088"/>
      <c r="Q156" s="1087"/>
      <c r="R156" s="1087"/>
      <c r="S156" s="1087"/>
      <c r="T156" s="1087"/>
      <c r="U156" s="1087"/>
      <c r="V156" s="1087"/>
      <c r="W156" s="1087"/>
      <c r="X156" s="1088"/>
      <c r="Y156" s="1087"/>
      <c r="Z156" s="1122">
        <v>1</v>
      </c>
      <c r="AA156" s="1122">
        <v>1.5</v>
      </c>
      <c r="AB156" s="2038"/>
      <c r="AC156" s="1122"/>
      <c r="AD156" s="1122"/>
      <c r="AE156" s="1118"/>
      <c r="AF156" s="1118"/>
      <c r="AH156" s="1118"/>
      <c r="AI156" s="1118"/>
      <c r="AJ156" s="1118"/>
      <c r="AK156" s="1118"/>
      <c r="AL156" s="1118"/>
      <c r="AM156" s="1118"/>
      <c r="AN156" s="1118"/>
    </row>
    <row r="157" spans="1:40" s="1114" customFormat="1">
      <c r="A157" s="1119" t="s">
        <v>1553</v>
      </c>
      <c r="B157" s="1087"/>
      <c r="C157" s="1087"/>
      <c r="D157" s="1087"/>
      <c r="E157" s="1087"/>
      <c r="F157" s="1087"/>
      <c r="G157" s="1087"/>
      <c r="H157" s="1087"/>
      <c r="I157" s="1087"/>
      <c r="J157" s="1087"/>
      <c r="K157" s="1087"/>
      <c r="L157" s="1087"/>
      <c r="M157" s="1087"/>
      <c r="N157" s="1087"/>
      <c r="O157" s="1087"/>
      <c r="P157" s="1088"/>
      <c r="Q157" s="1087"/>
      <c r="R157" s="1087"/>
      <c r="S157" s="1087"/>
      <c r="T157" s="1087"/>
      <c r="U157" s="1087"/>
      <c r="V157" s="1087"/>
      <c r="W157" s="1087"/>
      <c r="X157" s="1088"/>
      <c r="Y157" s="1087"/>
      <c r="Z157" s="1118"/>
      <c r="AA157" s="1122"/>
      <c r="AB157" s="2038">
        <v>0.11</v>
      </c>
      <c r="AC157" s="1122"/>
      <c r="AD157" s="1122"/>
      <c r="AE157" s="1118"/>
      <c r="AF157" s="1118"/>
      <c r="AH157" s="1118"/>
      <c r="AI157" s="1118"/>
      <c r="AJ157" s="1118"/>
      <c r="AK157" s="1118"/>
      <c r="AL157" s="1118"/>
      <c r="AM157" s="1118"/>
      <c r="AN157" s="1118"/>
    </row>
    <row r="158" spans="1:40">
      <c r="A158" s="1119"/>
      <c r="B158" s="1087"/>
      <c r="C158" s="1087"/>
      <c r="D158" s="1087"/>
      <c r="E158" s="1087"/>
      <c r="F158" s="1087"/>
      <c r="G158" s="1087"/>
      <c r="H158" s="1087"/>
      <c r="I158" s="1087"/>
      <c r="J158" s="1087"/>
      <c r="K158" s="1087"/>
      <c r="L158" s="1087"/>
      <c r="M158" s="1087"/>
      <c r="N158" s="1087"/>
      <c r="O158" s="1087"/>
      <c r="P158" s="1088"/>
      <c r="Q158" s="1087"/>
      <c r="R158" s="1087"/>
      <c r="S158" s="1087"/>
      <c r="T158" s="1087"/>
      <c r="U158" s="1087"/>
      <c r="V158" s="1087"/>
      <c r="W158" s="1087"/>
      <c r="X158" s="1088"/>
      <c r="Y158" s="1087"/>
      <c r="Z158" s="1118"/>
      <c r="AA158" s="1122"/>
      <c r="AB158" s="971"/>
      <c r="AC158" s="959"/>
      <c r="AD158" s="959"/>
      <c r="AE158" s="959"/>
      <c r="AF158" s="959"/>
      <c r="AH158" s="959"/>
      <c r="AI158" s="959"/>
      <c r="AJ158" s="959"/>
      <c r="AK158" s="959"/>
      <c r="AL158" s="959"/>
      <c r="AM158" s="959"/>
      <c r="AN158" s="959"/>
    </row>
    <row r="159" spans="1:40">
      <c r="A159" s="1112"/>
      <c r="B159" s="1087"/>
      <c r="C159" s="1087"/>
      <c r="D159" s="1087"/>
      <c r="E159" s="1087"/>
      <c r="F159" s="1087"/>
      <c r="G159" s="1087"/>
      <c r="H159" s="1087"/>
      <c r="I159" s="1087"/>
      <c r="J159" s="1087"/>
      <c r="K159" s="1087"/>
      <c r="L159" s="1087"/>
      <c r="M159" s="1087"/>
      <c r="N159" s="1087"/>
      <c r="O159" s="1087"/>
      <c r="P159" s="1088"/>
      <c r="Q159" s="1087"/>
      <c r="R159" s="1087"/>
      <c r="S159" s="1087"/>
      <c r="T159" s="1087"/>
      <c r="U159" s="1087"/>
      <c r="V159" s="1087"/>
      <c r="W159" s="1087"/>
      <c r="X159" s="1088"/>
      <c r="Y159" s="1087"/>
      <c r="Z159" s="1118"/>
      <c r="AA159" s="1118"/>
      <c r="AB159" s="971"/>
      <c r="AC159" s="959"/>
      <c r="AD159" s="959"/>
      <c r="AE159" s="959"/>
      <c r="AF159" s="959"/>
      <c r="AH159" s="959"/>
      <c r="AI159" s="959"/>
      <c r="AJ159" s="959"/>
      <c r="AK159" s="959"/>
      <c r="AL159" s="959"/>
      <c r="AM159" s="959"/>
      <c r="AN159" s="959"/>
    </row>
    <row r="160" spans="1:40" ht="13">
      <c r="A160" s="1123" t="s">
        <v>1554</v>
      </c>
      <c r="B160" s="1087"/>
      <c r="C160" s="1087"/>
      <c r="D160" s="1087"/>
      <c r="E160" s="1087"/>
      <c r="F160" s="1087"/>
      <c r="G160" s="1087"/>
      <c r="H160" s="1087"/>
      <c r="I160" s="1087"/>
      <c r="J160" s="1087"/>
      <c r="K160" s="1087"/>
      <c r="L160" s="1087"/>
      <c r="M160" s="1087"/>
      <c r="N160" s="1087"/>
      <c r="O160" s="1087"/>
      <c r="P160" s="1088"/>
      <c r="Q160" s="1087"/>
      <c r="R160" s="1087"/>
      <c r="S160" s="1087"/>
      <c r="T160" s="1087"/>
      <c r="U160" s="1087"/>
      <c r="V160" s="1087"/>
      <c r="W160" s="1087"/>
      <c r="X160" s="1088"/>
      <c r="Y160" s="1087"/>
      <c r="Z160" s="1118"/>
      <c r="AA160" s="1118"/>
      <c r="AB160" s="971"/>
      <c r="AC160" s="959"/>
      <c r="AD160" s="959"/>
      <c r="AE160" s="959"/>
      <c r="AF160" s="959"/>
      <c r="AH160" s="959"/>
      <c r="AI160" s="959"/>
      <c r="AJ160" s="959"/>
      <c r="AK160" s="959"/>
      <c r="AL160" s="959"/>
      <c r="AM160" s="959"/>
      <c r="AN160" s="959"/>
    </row>
    <row r="161" spans="1:40" ht="13">
      <c r="A161" s="816" t="s">
        <v>1555</v>
      </c>
      <c r="B161" s="1121"/>
      <c r="C161" s="1121"/>
      <c r="D161" s="1121"/>
      <c r="E161" s="1121"/>
      <c r="F161" s="1121"/>
      <c r="G161" s="1121"/>
      <c r="H161" s="1121"/>
      <c r="I161" s="1121"/>
      <c r="J161" s="1121"/>
      <c r="K161" s="1121"/>
      <c r="L161" s="1121"/>
      <c r="M161" s="1121"/>
      <c r="N161" s="1121"/>
      <c r="O161" s="1121"/>
      <c r="P161" s="1124"/>
      <c r="Q161" s="1121"/>
      <c r="R161" s="1121"/>
      <c r="S161" s="1121"/>
      <c r="T161" s="1121"/>
      <c r="U161" s="1121"/>
      <c r="V161" s="1121"/>
      <c r="W161" s="1121"/>
      <c r="X161" s="1124"/>
      <c r="Y161" s="1121"/>
      <c r="Z161" s="1122"/>
      <c r="AA161" s="1122"/>
      <c r="AB161" s="1093"/>
      <c r="AC161" s="960"/>
      <c r="AD161" s="960"/>
      <c r="AE161" s="960"/>
      <c r="AF161" s="960"/>
      <c r="AH161" s="960"/>
      <c r="AI161" s="960"/>
      <c r="AJ161" s="960"/>
      <c r="AK161" s="960"/>
      <c r="AL161" s="960"/>
      <c r="AM161" s="960"/>
      <c r="AN161" s="960"/>
    </row>
    <row r="162" spans="1:40">
      <c r="A162" s="807" t="s">
        <v>1556</v>
      </c>
      <c r="B162" s="1087">
        <v>77864</v>
      </c>
      <c r="C162" s="1087">
        <v>138524</v>
      </c>
      <c r="D162" s="1087">
        <v>80258</v>
      </c>
      <c r="E162" s="1087">
        <v>101964</v>
      </c>
      <c r="F162" s="1087">
        <v>154874</v>
      </c>
      <c r="G162" s="1087">
        <v>262504</v>
      </c>
      <c r="H162" s="1087">
        <v>192505</v>
      </c>
      <c r="I162" s="1087">
        <v>259801</v>
      </c>
      <c r="J162" s="1087">
        <v>308417</v>
      </c>
      <c r="K162" s="1087">
        <v>635555</v>
      </c>
      <c r="L162" s="1087">
        <v>429182</v>
      </c>
      <c r="M162" s="1087">
        <v>459676</v>
      </c>
      <c r="N162" s="1087">
        <v>610958</v>
      </c>
      <c r="O162" s="1087">
        <v>1064316</v>
      </c>
      <c r="P162" s="1088">
        <v>638284</v>
      </c>
      <c r="Q162" s="1087"/>
      <c r="R162" s="1087"/>
      <c r="S162" s="1087"/>
      <c r="T162" s="1087"/>
      <c r="U162" s="1087"/>
      <c r="V162" s="1087"/>
      <c r="W162" s="1087"/>
      <c r="X162" s="1088"/>
      <c r="Y162" s="1087"/>
      <c r="Z162" s="1118"/>
      <c r="AA162" s="1118"/>
      <c r="AB162" s="971"/>
      <c r="AC162" s="959"/>
      <c r="AD162" s="959"/>
      <c r="AE162" s="959"/>
      <c r="AF162" s="959"/>
      <c r="AH162" s="959"/>
      <c r="AI162" s="959"/>
      <c r="AJ162" s="959"/>
      <c r="AK162" s="959"/>
      <c r="AL162" s="959"/>
      <c r="AM162" s="959"/>
      <c r="AN162" s="959"/>
    </row>
    <row r="163" spans="1:40" ht="13">
      <c r="A163" s="809" t="s">
        <v>1557</v>
      </c>
      <c r="B163" s="1121"/>
      <c r="C163" s="1121"/>
      <c r="D163" s="1121"/>
      <c r="E163" s="1121"/>
      <c r="F163" s="1121">
        <v>0.98899999999999999</v>
      </c>
      <c r="G163" s="1121">
        <v>0.89500000000000002</v>
      </c>
      <c r="H163" s="1121">
        <v>1.399</v>
      </c>
      <c r="I163" s="1121">
        <v>1.548</v>
      </c>
      <c r="J163" s="1121">
        <v>0.99099999999999999</v>
      </c>
      <c r="K163" s="1121">
        <v>1.421</v>
      </c>
      <c r="L163" s="1121">
        <v>1.2290000000000001</v>
      </c>
      <c r="M163" s="1121">
        <v>0.76900000000000002</v>
      </c>
      <c r="N163" s="1121">
        <v>0.98099999999999998</v>
      </c>
      <c r="O163" s="1121">
        <v>0.67500000000000004</v>
      </c>
      <c r="P163" s="1124">
        <v>0.48699999999999999</v>
      </c>
      <c r="Q163" s="1121"/>
      <c r="R163" s="1121"/>
      <c r="S163" s="1121"/>
      <c r="T163" s="1121"/>
      <c r="U163" s="1121"/>
      <c r="V163" s="1121"/>
      <c r="W163" s="1121"/>
      <c r="X163" s="1124"/>
      <c r="Y163" s="1121"/>
      <c r="Z163" s="1122"/>
      <c r="AA163" s="1122"/>
      <c r="AB163" s="1093"/>
      <c r="AC163" s="960"/>
      <c r="AD163" s="960"/>
      <c r="AE163" s="960"/>
      <c r="AF163" s="960"/>
      <c r="AH163" s="960"/>
      <c r="AI163" s="960"/>
      <c r="AJ163" s="960"/>
      <c r="AK163" s="960"/>
      <c r="AL163" s="960"/>
      <c r="AM163" s="960"/>
      <c r="AN163" s="960"/>
    </row>
    <row r="164" spans="1:40">
      <c r="A164" s="807" t="s">
        <v>1558</v>
      </c>
      <c r="B164" s="1087">
        <v>194104</v>
      </c>
      <c r="C164" s="1087">
        <v>260575</v>
      </c>
      <c r="D164" s="1087">
        <v>153605</v>
      </c>
      <c r="E164" s="1087">
        <v>112687</v>
      </c>
      <c r="F164" s="1087">
        <v>312364</v>
      </c>
      <c r="G164" s="1087">
        <v>399238</v>
      </c>
      <c r="H164" s="1087">
        <v>250046</v>
      </c>
      <c r="I164" s="1087">
        <v>200213</v>
      </c>
      <c r="J164" s="1087">
        <v>476375</v>
      </c>
      <c r="K164" s="1087">
        <v>663051</v>
      </c>
      <c r="L164" s="1087">
        <v>362182</v>
      </c>
      <c r="M164" s="1087">
        <v>321289</v>
      </c>
      <c r="N164" s="1087">
        <v>634799</v>
      </c>
      <c r="O164" s="1087">
        <v>840450</v>
      </c>
      <c r="P164" s="1088">
        <v>410387</v>
      </c>
      <c r="Q164" s="1087"/>
      <c r="R164" s="1087"/>
      <c r="S164" s="1087"/>
      <c r="T164" s="1087"/>
      <c r="U164" s="1087"/>
      <c r="V164" s="1087"/>
      <c r="W164" s="1087"/>
      <c r="X164" s="1088"/>
      <c r="Y164" s="1087"/>
      <c r="Z164" s="1118"/>
      <c r="AA164" s="1118"/>
      <c r="AB164" s="971"/>
      <c r="AC164" s="959"/>
      <c r="AD164" s="959"/>
      <c r="AE164" s="959"/>
      <c r="AF164" s="959"/>
      <c r="AH164" s="959"/>
      <c r="AI164" s="959"/>
      <c r="AJ164" s="959"/>
      <c r="AK164" s="959"/>
      <c r="AL164" s="959"/>
      <c r="AM164" s="959"/>
      <c r="AN164" s="959"/>
    </row>
    <row r="165" spans="1:40" ht="13">
      <c r="A165" s="809" t="s">
        <v>1559</v>
      </c>
      <c r="B165" s="1121"/>
      <c r="C165" s="1121"/>
      <c r="D165" s="1121"/>
      <c r="E165" s="1121"/>
      <c r="F165" s="1121">
        <v>0.60899999999999999</v>
      </c>
      <c r="G165" s="1121">
        <v>0.53200000000000003</v>
      </c>
      <c r="H165" s="1121">
        <v>0.628</v>
      </c>
      <c r="I165" s="1121">
        <v>0.77700000000000002</v>
      </c>
      <c r="J165" s="1121">
        <v>0.52500000000000002</v>
      </c>
      <c r="K165" s="1121">
        <v>0.66100000000000003</v>
      </c>
      <c r="L165" s="1121">
        <v>0.44800000000000001</v>
      </c>
      <c r="M165" s="1121">
        <v>0.60499999999999998</v>
      </c>
      <c r="N165" s="1121">
        <v>0.33300000000000002</v>
      </c>
      <c r="O165" s="1121">
        <v>0.26800000000000002</v>
      </c>
      <c r="P165" s="1124">
        <v>0.13300000000000001</v>
      </c>
      <c r="Q165" s="1121"/>
      <c r="R165" s="1121"/>
      <c r="S165" s="1121"/>
      <c r="T165" s="1121"/>
      <c r="U165" s="1121"/>
      <c r="V165" s="1121"/>
      <c r="W165" s="1121"/>
      <c r="X165" s="1124"/>
      <c r="Y165" s="1121"/>
      <c r="Z165" s="1122"/>
      <c r="AA165" s="1122"/>
      <c r="AB165" s="1093"/>
      <c r="AC165" s="960"/>
      <c r="AD165" s="960"/>
      <c r="AE165" s="960"/>
      <c r="AF165" s="960"/>
      <c r="AH165" s="960"/>
      <c r="AI165" s="960"/>
      <c r="AJ165" s="960"/>
      <c r="AK165" s="960"/>
      <c r="AL165" s="960"/>
      <c r="AM165" s="960"/>
      <c r="AN165" s="960"/>
    </row>
    <row r="166" spans="1:40">
      <c r="A166" s="807" t="s">
        <v>1560</v>
      </c>
      <c r="B166" s="1087">
        <v>40086</v>
      </c>
      <c r="C166" s="1087">
        <v>72452</v>
      </c>
      <c r="D166" s="1087">
        <v>63247</v>
      </c>
      <c r="E166" s="1087">
        <v>66302</v>
      </c>
      <c r="F166" s="1087">
        <v>81990</v>
      </c>
      <c r="G166" s="1087">
        <v>131196</v>
      </c>
      <c r="H166" s="1087">
        <v>116164</v>
      </c>
      <c r="I166" s="1087">
        <v>199018</v>
      </c>
      <c r="J166" s="1087">
        <v>226475</v>
      </c>
      <c r="K166" s="1087">
        <v>369719</v>
      </c>
      <c r="L166" s="1087">
        <v>319065</v>
      </c>
      <c r="M166" s="1087">
        <v>406542</v>
      </c>
      <c r="N166" s="1087">
        <v>420698</v>
      </c>
      <c r="O166" s="1087">
        <v>539872</v>
      </c>
      <c r="P166" s="1088">
        <v>392065</v>
      </c>
      <c r="Q166" s="1087"/>
      <c r="R166" s="1087"/>
      <c r="S166" s="1087"/>
      <c r="T166" s="1087"/>
      <c r="U166" s="1087"/>
      <c r="V166" s="1087"/>
      <c r="W166" s="1087"/>
      <c r="X166" s="1088"/>
      <c r="Y166" s="1087"/>
      <c r="Z166" s="1118"/>
      <c r="AA166" s="1118"/>
      <c r="AB166" s="971"/>
      <c r="AC166" s="959"/>
      <c r="AD166" s="959"/>
      <c r="AE166" s="959"/>
      <c r="AF166" s="959"/>
      <c r="AH166" s="959"/>
      <c r="AI166" s="959"/>
      <c r="AJ166" s="959"/>
      <c r="AK166" s="959"/>
      <c r="AL166" s="959"/>
      <c r="AM166" s="959"/>
      <c r="AN166" s="959"/>
    </row>
    <row r="167" spans="1:40" ht="13">
      <c r="A167" s="809" t="s">
        <v>1561</v>
      </c>
      <c r="B167" s="1121"/>
      <c r="C167" s="1121"/>
      <c r="D167" s="1121"/>
      <c r="E167" s="1121"/>
      <c r="F167" s="1121">
        <v>1.0449999999999999</v>
      </c>
      <c r="G167" s="1121">
        <v>0.81100000000000005</v>
      </c>
      <c r="H167" s="1121">
        <v>0.83699999999999997</v>
      </c>
      <c r="I167" s="1121">
        <v>2.0019999999999998</v>
      </c>
      <c r="J167" s="1121">
        <v>1.762</v>
      </c>
      <c r="K167" s="1121">
        <v>1.8180000000000001</v>
      </c>
      <c r="L167" s="1121">
        <v>1.7470000000000001</v>
      </c>
      <c r="M167" s="1121">
        <v>1.0429999999999999</v>
      </c>
      <c r="N167" s="1121">
        <v>0.85799999999999998</v>
      </c>
      <c r="O167" s="1121">
        <v>0.46</v>
      </c>
      <c r="P167" s="1124">
        <v>0.22900000000000001</v>
      </c>
      <c r="Q167" s="1121"/>
      <c r="R167" s="1121"/>
      <c r="S167" s="1121"/>
      <c r="T167" s="1121"/>
      <c r="U167" s="1121"/>
      <c r="V167" s="1121"/>
      <c r="W167" s="1121"/>
      <c r="X167" s="1124"/>
      <c r="Y167" s="1121"/>
      <c r="Z167" s="1122"/>
      <c r="AA167" s="1122"/>
      <c r="AB167" s="1093"/>
      <c r="AC167" s="960"/>
      <c r="AD167" s="960"/>
      <c r="AE167" s="960"/>
      <c r="AF167" s="960"/>
      <c r="AH167" s="960"/>
      <c r="AI167" s="960"/>
      <c r="AJ167" s="960"/>
      <c r="AK167" s="960"/>
      <c r="AL167" s="960"/>
      <c r="AM167" s="960"/>
      <c r="AN167" s="960"/>
    </row>
    <row r="168" spans="1:40">
      <c r="B168" s="1114"/>
      <c r="C168" s="1114"/>
      <c r="D168" s="1114"/>
      <c r="E168" s="1114"/>
      <c r="F168" s="1114"/>
      <c r="G168" s="1114"/>
      <c r="H168" s="1114"/>
      <c r="I168" s="1114"/>
      <c r="J168" s="1114"/>
      <c r="K168" s="1114"/>
      <c r="L168" s="1114"/>
      <c r="M168" s="1114"/>
      <c r="N168" s="1114"/>
      <c r="O168" s="1114"/>
      <c r="P168" s="1115"/>
      <c r="Q168" s="1114"/>
      <c r="R168" s="1114"/>
      <c r="S168" s="1114"/>
      <c r="T168" s="1114"/>
      <c r="U168" s="1114"/>
      <c r="V168" s="1114"/>
      <c r="W168" s="1114"/>
      <c r="X168" s="1115"/>
      <c r="Y168" s="1114"/>
      <c r="Z168" s="1116"/>
      <c r="AA168" s="1116"/>
    </row>
    <row r="169" spans="1:40">
      <c r="A169" s="756" t="s">
        <v>1562</v>
      </c>
      <c r="B169" s="1125"/>
      <c r="C169" s="1125"/>
      <c r="D169" s="1114"/>
      <c r="E169" s="1114"/>
      <c r="F169" s="1125"/>
      <c r="G169" s="1125"/>
      <c r="H169" s="1114"/>
      <c r="I169" s="1114"/>
      <c r="J169" s="1114"/>
      <c r="K169" s="1114"/>
      <c r="L169" s="1114"/>
      <c r="M169" s="1114"/>
      <c r="N169" s="1114"/>
      <c r="O169" s="1114"/>
      <c r="P169" s="1115"/>
      <c r="Q169" s="1114"/>
      <c r="R169" s="1114"/>
      <c r="S169" s="1087"/>
      <c r="T169" s="1114"/>
      <c r="U169" s="1114"/>
      <c r="V169" s="1114"/>
      <c r="W169" s="1114"/>
      <c r="X169" s="1115"/>
      <c r="Y169" s="1114"/>
      <c r="Z169" s="1116"/>
      <c r="AA169" s="1116"/>
    </row>
    <row r="170" spans="1:40">
      <c r="A170" s="756" t="s">
        <v>1563</v>
      </c>
      <c r="B170" s="1125"/>
      <c r="C170" s="1125"/>
      <c r="D170" s="1114"/>
      <c r="E170" s="1114"/>
      <c r="F170" s="1125"/>
      <c r="G170" s="1125"/>
      <c r="H170" s="1114"/>
      <c r="I170" s="1114"/>
      <c r="J170" s="1114"/>
      <c r="K170" s="1114"/>
      <c r="L170" s="1114"/>
      <c r="M170" s="1114"/>
      <c r="N170" s="1114"/>
      <c r="O170" s="1114"/>
      <c r="P170" s="1115"/>
      <c r="Q170" s="1114"/>
      <c r="R170" s="1087"/>
      <c r="S170" s="1087"/>
      <c r="T170" s="1114"/>
      <c r="U170" s="1114"/>
      <c r="V170" s="1114"/>
      <c r="W170" s="1114"/>
      <c r="X170" s="1115"/>
      <c r="Y170" s="1114"/>
      <c r="Z170" s="1116"/>
      <c r="AA170" s="1116"/>
    </row>
    <row r="171" spans="1:40">
      <c r="B171" s="1125"/>
      <c r="C171" s="1125"/>
      <c r="D171" s="1114"/>
      <c r="E171" s="1114"/>
      <c r="F171" s="1125"/>
      <c r="G171" s="1125"/>
      <c r="H171" s="1114"/>
      <c r="I171" s="1114"/>
      <c r="J171" s="1114"/>
      <c r="K171" s="1114"/>
      <c r="L171" s="1114"/>
      <c r="M171" s="1114"/>
      <c r="N171" s="1114"/>
      <c r="O171" s="1114"/>
      <c r="P171" s="1115"/>
      <c r="Q171" s="1114"/>
      <c r="R171" s="1114"/>
      <c r="S171" s="1114"/>
      <c r="T171" s="1114"/>
      <c r="U171" s="1114"/>
      <c r="V171" s="1114"/>
      <c r="W171" s="1114"/>
      <c r="X171" s="1115"/>
      <c r="Y171" s="1114"/>
      <c r="Z171" s="1116"/>
      <c r="AA171" s="1116"/>
    </row>
    <row r="172" spans="1:40" ht="13">
      <c r="A172" s="812" t="s">
        <v>1564</v>
      </c>
      <c r="B172" s="1114"/>
      <c r="C172" s="1114"/>
      <c r="D172" s="1114"/>
      <c r="E172" s="1114"/>
      <c r="F172" s="1114"/>
      <c r="G172" s="1114"/>
      <c r="H172" s="1114"/>
      <c r="I172" s="1114"/>
      <c r="J172" s="1114"/>
      <c r="K172" s="1114"/>
      <c r="L172" s="1114"/>
      <c r="M172" s="1114"/>
      <c r="N172" s="1114"/>
      <c r="O172" s="1114"/>
      <c r="P172" s="1115"/>
      <c r="Q172" s="1114"/>
      <c r="R172" s="1114"/>
      <c r="S172" s="1114"/>
      <c r="T172" s="1114"/>
      <c r="U172" s="1114"/>
      <c r="V172" s="1114"/>
      <c r="W172" s="1114"/>
      <c r="X172" s="1115"/>
      <c r="Y172" s="1114"/>
      <c r="Z172" s="1116"/>
      <c r="AA172" s="1116"/>
    </row>
    <row r="173" spans="1:40">
      <c r="A173" s="756" t="s">
        <v>1565</v>
      </c>
      <c r="B173" s="1126"/>
      <c r="C173" s="1126"/>
      <c r="D173" s="1114"/>
      <c r="E173" s="1126"/>
      <c r="F173" s="1126"/>
      <c r="G173" s="1126"/>
      <c r="H173" s="1114"/>
      <c r="I173" s="1126"/>
      <c r="J173" s="1126"/>
      <c r="K173" s="1126"/>
      <c r="L173" s="1127"/>
      <c r="M173" s="1126"/>
      <c r="N173" s="1126"/>
      <c r="O173" s="1126"/>
      <c r="P173" s="1128"/>
      <c r="Q173" s="1126"/>
      <c r="R173" s="1114"/>
      <c r="S173" s="1114"/>
      <c r="T173" s="1114"/>
      <c r="U173" s="1114"/>
      <c r="V173" s="1114"/>
      <c r="W173" s="1114"/>
      <c r="X173" s="1115"/>
      <c r="Y173" s="1114"/>
      <c r="Z173" s="1116"/>
      <c r="AA173" s="1116"/>
    </row>
    <row r="174" spans="1:40" s="1114" customFormat="1">
      <c r="A174" s="756" t="s">
        <v>1566</v>
      </c>
      <c r="B174" s="1126">
        <v>0.6</v>
      </c>
      <c r="C174" s="1126"/>
      <c r="E174" s="1126"/>
      <c r="F174" s="1126"/>
      <c r="G174" s="1126"/>
      <c r="I174" s="1126"/>
      <c r="J174" s="1126"/>
      <c r="M174" s="1126"/>
      <c r="N174" s="1126"/>
      <c r="P174" s="1115"/>
      <c r="S174" s="1126"/>
      <c r="V174" s="1126"/>
      <c r="W174" s="1126"/>
      <c r="X174" s="1132"/>
      <c r="Y174" s="1126"/>
      <c r="Z174" s="1129"/>
      <c r="AA174" s="1129"/>
      <c r="AB174" s="2039">
        <v>0.5</v>
      </c>
      <c r="AC174" s="1129"/>
      <c r="AD174" s="1129"/>
      <c r="AE174" s="1129"/>
      <c r="AF174" s="1129"/>
      <c r="AH174" s="1129"/>
      <c r="AI174" s="1129"/>
      <c r="AJ174" s="1129"/>
      <c r="AK174" s="1129"/>
      <c r="AL174" s="1129"/>
      <c r="AM174" s="1129"/>
      <c r="AN174" s="1129"/>
    </row>
    <row r="175" spans="1:40">
      <c r="A175" s="807"/>
      <c r="B175" s="1114"/>
      <c r="C175" s="1114"/>
      <c r="D175" s="1114"/>
      <c r="E175" s="1114"/>
      <c r="F175" s="1114"/>
      <c r="G175" s="1114"/>
      <c r="H175" s="1114"/>
      <c r="I175" s="1114"/>
      <c r="J175" s="1114"/>
      <c r="K175" s="1114"/>
      <c r="L175" s="1114"/>
      <c r="M175" s="1114"/>
      <c r="N175" s="1114"/>
      <c r="O175" s="1114"/>
      <c r="P175" s="1115"/>
      <c r="Q175" s="1114"/>
      <c r="R175" s="1114"/>
      <c r="S175" s="1114"/>
      <c r="T175" s="1114"/>
      <c r="U175" s="1114"/>
      <c r="V175" s="1114"/>
      <c r="W175" s="1114"/>
      <c r="X175" s="1115"/>
      <c r="Y175" s="1116"/>
      <c r="Z175" s="1116"/>
      <c r="AA175" s="1116"/>
    </row>
    <row r="176" spans="1:40" ht="13">
      <c r="A176" s="809" t="s">
        <v>1567</v>
      </c>
      <c r="B176" s="1114"/>
      <c r="C176" s="1114"/>
      <c r="D176" s="1114"/>
      <c r="E176" s="1114"/>
      <c r="F176" s="1114"/>
      <c r="G176" s="1114"/>
      <c r="H176" s="1114"/>
      <c r="I176" s="1114"/>
      <c r="J176" s="1114"/>
      <c r="K176" s="1114"/>
      <c r="L176" s="1114"/>
      <c r="M176" s="1114"/>
      <c r="N176" s="1114"/>
      <c r="O176" s="1114"/>
      <c r="P176" s="1115"/>
      <c r="Q176" s="1114"/>
      <c r="R176" s="1114"/>
      <c r="S176" s="1114"/>
      <c r="T176" s="1114"/>
      <c r="U176" s="1114"/>
      <c r="V176" s="1114"/>
      <c r="W176" s="1114"/>
      <c r="X176" s="1115"/>
      <c r="Y176" s="1116"/>
      <c r="Z176" s="1116"/>
      <c r="AA176" s="1116"/>
    </row>
    <row r="177" spans="1:40" s="1114" customFormat="1">
      <c r="A177" s="807" t="s">
        <v>1568</v>
      </c>
      <c r="P177" s="1115"/>
      <c r="X177" s="1115"/>
      <c r="Y177" s="1116"/>
      <c r="Z177" s="1129">
        <v>0.33</v>
      </c>
      <c r="AA177" s="1129">
        <v>0.3</v>
      </c>
      <c r="AB177" s="2039">
        <v>0.3</v>
      </c>
      <c r="AC177" s="1129">
        <v>0.3</v>
      </c>
      <c r="AD177" s="1129">
        <v>0.3</v>
      </c>
      <c r="AE177" s="1129">
        <v>0.35</v>
      </c>
      <c r="AF177" s="1129"/>
      <c r="AH177" s="1129"/>
      <c r="AI177" s="1129"/>
      <c r="AJ177" s="1129"/>
      <c r="AK177" s="1129"/>
      <c r="AL177" s="1129"/>
      <c r="AM177" s="1129"/>
      <c r="AN177" s="1129"/>
    </row>
    <row r="178" spans="1:40" s="1114" customFormat="1">
      <c r="A178" s="807" t="s">
        <v>1569</v>
      </c>
      <c r="E178" s="1126"/>
      <c r="I178" s="1126"/>
      <c r="J178" s="1126"/>
      <c r="K178" s="1126"/>
      <c r="M178" s="1126"/>
      <c r="N178" s="1126"/>
      <c r="O178" s="1126"/>
      <c r="P178" s="1115"/>
      <c r="Q178" s="1126"/>
      <c r="T178" s="1126"/>
      <c r="V178" s="1126"/>
      <c r="W178" s="1126"/>
      <c r="X178" s="1132"/>
      <c r="Y178" s="1116"/>
      <c r="Z178" s="1129">
        <v>0.2</v>
      </c>
      <c r="AA178" s="1129">
        <v>0.18</v>
      </c>
      <c r="AB178" s="2039">
        <v>0.15</v>
      </c>
      <c r="AC178" s="1129">
        <v>0.1</v>
      </c>
      <c r="AD178" s="1129">
        <v>0.2</v>
      </c>
      <c r="AE178" s="1129">
        <v>0.2</v>
      </c>
      <c r="AF178" s="1129"/>
      <c r="AH178" s="1129"/>
      <c r="AI178" s="1129"/>
      <c r="AJ178" s="1129"/>
      <c r="AK178" s="1129"/>
      <c r="AL178" s="1129"/>
      <c r="AM178" s="1129"/>
      <c r="AN178" s="1129"/>
    </row>
    <row r="179" spans="1:40" s="1114" customFormat="1" ht="13.5" customHeight="1">
      <c r="A179" s="807" t="s">
        <v>1570</v>
      </c>
      <c r="J179" s="1126"/>
      <c r="N179" s="1126"/>
      <c r="P179" s="1115"/>
      <c r="Q179" s="1126"/>
      <c r="V179" s="1126"/>
      <c r="W179" s="1126"/>
      <c r="X179" s="1132"/>
      <c r="Y179" s="1116"/>
      <c r="Z179" s="1129">
        <v>0.1</v>
      </c>
      <c r="AA179" s="1129">
        <v>0.08</v>
      </c>
      <c r="AB179" s="2039">
        <v>0.1</v>
      </c>
      <c r="AC179" s="1129">
        <v>0.15</v>
      </c>
      <c r="AD179" s="1129">
        <v>0.1</v>
      </c>
      <c r="AE179" s="1129">
        <v>0.1</v>
      </c>
      <c r="AF179" s="1129"/>
      <c r="AH179" s="1129"/>
      <c r="AI179" s="1129"/>
      <c r="AJ179" s="1129"/>
      <c r="AK179" s="1129"/>
      <c r="AL179" s="1129"/>
      <c r="AM179" s="1129"/>
      <c r="AN179" s="1129"/>
    </row>
    <row r="180" spans="1:40" s="1114" customFormat="1">
      <c r="A180" s="807" t="s">
        <v>1571</v>
      </c>
      <c r="J180" s="1126"/>
      <c r="N180" s="1126"/>
      <c r="P180" s="1115"/>
      <c r="Q180" s="1126"/>
      <c r="T180" s="1126"/>
      <c r="V180" s="1126"/>
      <c r="W180" s="1126"/>
      <c r="X180" s="1132"/>
      <c r="Y180" s="1116"/>
      <c r="Z180" s="1129">
        <v>0.1</v>
      </c>
      <c r="AA180" s="1129">
        <v>0.09</v>
      </c>
      <c r="AB180" s="2039">
        <v>0.1</v>
      </c>
      <c r="AC180" s="1129">
        <v>0.1</v>
      </c>
      <c r="AD180" s="1129">
        <v>0.1</v>
      </c>
      <c r="AE180" s="1129">
        <v>0.12</v>
      </c>
      <c r="AF180" s="1129"/>
      <c r="AH180" s="1129"/>
      <c r="AI180" s="1129"/>
      <c r="AJ180" s="1129"/>
      <c r="AK180" s="1129"/>
      <c r="AL180" s="1129"/>
      <c r="AM180" s="1129"/>
      <c r="AN180" s="1129"/>
    </row>
    <row r="181" spans="1:40">
      <c r="A181" s="807" t="s">
        <v>1572</v>
      </c>
      <c r="B181" s="1114"/>
      <c r="C181" s="1114"/>
      <c r="D181" s="1114"/>
      <c r="E181" s="1114"/>
      <c r="F181" s="1114"/>
      <c r="G181" s="1114"/>
      <c r="H181" s="1114"/>
      <c r="I181" s="1114"/>
      <c r="J181" s="1126"/>
      <c r="K181" s="1114"/>
      <c r="L181" s="1114"/>
      <c r="M181" s="1114"/>
      <c r="N181" s="1126"/>
      <c r="O181" s="1114"/>
      <c r="P181" s="1115"/>
      <c r="Q181" s="1126"/>
      <c r="R181" s="1114"/>
      <c r="S181" s="1114"/>
      <c r="T181" s="1126"/>
      <c r="U181" s="1114"/>
      <c r="V181" s="1126"/>
      <c r="W181" s="1126"/>
      <c r="X181" s="1132"/>
      <c r="Y181" s="1116"/>
      <c r="Z181" s="1116"/>
      <c r="AA181" s="1116"/>
      <c r="AB181" s="2039"/>
      <c r="AC181" s="1129"/>
      <c r="AD181" s="1129"/>
      <c r="AE181" s="1130"/>
      <c r="AF181" s="1130"/>
      <c r="AH181" s="1130"/>
      <c r="AI181" s="1130"/>
      <c r="AJ181" s="1130"/>
      <c r="AK181" s="1130"/>
      <c r="AL181" s="1130"/>
      <c r="AM181" s="1130"/>
      <c r="AN181" s="1130"/>
    </row>
    <row r="182" spans="1:40" s="1114" customFormat="1">
      <c r="A182" s="807" t="s">
        <v>1573</v>
      </c>
      <c r="J182" s="1126"/>
      <c r="N182" s="1126"/>
      <c r="P182" s="1115"/>
      <c r="Q182" s="1126"/>
      <c r="T182" s="1126"/>
      <c r="V182" s="1126"/>
      <c r="W182" s="1126"/>
      <c r="X182" s="1115"/>
      <c r="Y182" s="1116"/>
      <c r="Z182" s="1129">
        <v>0.08</v>
      </c>
      <c r="AA182" s="1129">
        <v>0.06</v>
      </c>
      <c r="AB182" s="2039"/>
      <c r="AC182" s="1129"/>
      <c r="AD182" s="1129"/>
      <c r="AE182" s="1129"/>
      <c r="AF182" s="1129"/>
      <c r="AH182" s="1129"/>
      <c r="AI182" s="1129"/>
      <c r="AJ182" s="1129"/>
      <c r="AK182" s="1129"/>
      <c r="AL182" s="1129"/>
      <c r="AM182" s="1129"/>
      <c r="AN182" s="1129"/>
    </row>
    <row r="183" spans="1:40" s="1114" customFormat="1">
      <c r="A183" s="807" t="s">
        <v>1574</v>
      </c>
      <c r="J183" s="1126"/>
      <c r="N183" s="1126"/>
      <c r="P183" s="1115"/>
      <c r="Q183" s="1126"/>
      <c r="T183" s="1126"/>
      <c r="V183" s="1126"/>
      <c r="W183" s="1126"/>
      <c r="X183" s="1115"/>
      <c r="Y183" s="1116"/>
      <c r="Z183" s="1129">
        <v>0.05</v>
      </c>
      <c r="AA183" s="1116"/>
      <c r="AB183" s="2039"/>
      <c r="AC183" s="1129"/>
      <c r="AD183" s="1129"/>
      <c r="AE183" s="1129"/>
      <c r="AF183" s="1129"/>
      <c r="AH183" s="1129"/>
      <c r="AI183" s="1129"/>
      <c r="AJ183" s="1129"/>
      <c r="AK183" s="1129"/>
      <c r="AL183" s="1129"/>
      <c r="AM183" s="1129"/>
      <c r="AN183" s="1129"/>
    </row>
    <row r="184" spans="1:40" s="1114" customFormat="1">
      <c r="A184" s="807" t="s">
        <v>1575</v>
      </c>
      <c r="J184" s="1126"/>
      <c r="N184" s="1126"/>
      <c r="P184" s="1115"/>
      <c r="Q184" s="1126"/>
      <c r="T184" s="1126"/>
      <c r="X184" s="1115"/>
      <c r="Y184" s="1116"/>
      <c r="Z184" s="1129">
        <v>0.04</v>
      </c>
      <c r="AA184" s="1129">
        <v>0.05</v>
      </c>
      <c r="AB184" s="2039">
        <v>0.09</v>
      </c>
      <c r="AC184" s="1129">
        <v>0.05</v>
      </c>
      <c r="AD184" s="1129">
        <v>0.1</v>
      </c>
      <c r="AE184" s="1129">
        <v>0.1</v>
      </c>
      <c r="AF184" s="1129"/>
      <c r="AH184" s="1129"/>
      <c r="AI184" s="1129"/>
      <c r="AJ184" s="1129"/>
      <c r="AK184" s="1129"/>
      <c r="AL184" s="1129"/>
      <c r="AM184" s="1129"/>
      <c r="AN184" s="1129"/>
    </row>
    <row r="185" spans="1:40" s="1114" customFormat="1" ht="13.5" customHeight="1">
      <c r="A185" s="807" t="s">
        <v>1576</v>
      </c>
      <c r="J185" s="1126"/>
      <c r="N185" s="1126"/>
      <c r="P185" s="1115"/>
      <c r="Q185" s="1126"/>
      <c r="V185" s="1126"/>
      <c r="W185" s="1126"/>
      <c r="X185" s="1115"/>
      <c r="Y185" s="1116"/>
      <c r="Z185" s="1129">
        <v>0.05</v>
      </c>
      <c r="AA185" s="1129"/>
      <c r="AB185" s="2039">
        <v>0.05</v>
      </c>
      <c r="AC185" s="1129"/>
      <c r="AD185" s="1129"/>
      <c r="AE185" s="1129"/>
      <c r="AF185" s="1129"/>
      <c r="AH185" s="1129"/>
      <c r="AI185" s="1129"/>
      <c r="AJ185" s="1129"/>
      <c r="AK185" s="1129"/>
      <c r="AL185" s="1129"/>
      <c r="AM185" s="1129"/>
      <c r="AN185" s="1129"/>
    </row>
    <row r="186" spans="1:40" s="1114" customFormat="1" ht="13.5" customHeight="1">
      <c r="A186" s="807" t="s">
        <v>1577</v>
      </c>
      <c r="J186" s="1126"/>
      <c r="N186" s="1126"/>
      <c r="P186" s="1115"/>
      <c r="Q186" s="1126"/>
      <c r="V186" s="1126"/>
      <c r="W186" s="1126"/>
      <c r="X186" s="1115"/>
      <c r="Y186" s="1116"/>
      <c r="Z186" s="1129">
        <v>0.05</v>
      </c>
      <c r="AA186" s="1129"/>
      <c r="AB186" s="2039">
        <v>0.05</v>
      </c>
      <c r="AC186" s="1129"/>
      <c r="AD186" s="1129"/>
      <c r="AE186" s="1129"/>
      <c r="AF186" s="1129"/>
      <c r="AH186" s="1129"/>
      <c r="AI186" s="1129"/>
      <c r="AJ186" s="1129"/>
      <c r="AK186" s="1129"/>
      <c r="AL186" s="1129"/>
      <c r="AM186" s="1129"/>
      <c r="AN186" s="1129"/>
    </row>
    <row r="187" spans="1:40" s="1114" customFormat="1" ht="13.5" customHeight="1">
      <c r="A187" s="807" t="s">
        <v>2022</v>
      </c>
      <c r="J187" s="1126"/>
      <c r="N187" s="1126"/>
      <c r="P187" s="1115"/>
      <c r="Q187" s="1126"/>
      <c r="V187" s="1126"/>
      <c r="W187" s="1126"/>
      <c r="X187" s="1115"/>
      <c r="Y187" s="1116"/>
      <c r="Z187" s="1129"/>
      <c r="AA187" s="1129"/>
      <c r="AB187" s="2039"/>
      <c r="AC187" s="1129">
        <v>0.1</v>
      </c>
      <c r="AD187" s="1129"/>
      <c r="AE187" s="1129"/>
      <c r="AF187" s="1129"/>
      <c r="AH187" s="1129"/>
      <c r="AI187" s="1129"/>
      <c r="AJ187" s="1129"/>
      <c r="AK187" s="1129"/>
      <c r="AL187" s="1129"/>
      <c r="AM187" s="1129"/>
      <c r="AN187" s="1129"/>
    </row>
    <row r="188" spans="1:40" s="1114" customFormat="1" ht="13.5" customHeight="1">
      <c r="A188" s="807" t="s">
        <v>2065</v>
      </c>
      <c r="J188" s="1126"/>
      <c r="N188" s="1126"/>
      <c r="P188" s="1115"/>
      <c r="Q188" s="1126"/>
      <c r="V188" s="1126"/>
      <c r="W188" s="1126"/>
      <c r="X188" s="1115"/>
      <c r="Y188" s="1116"/>
      <c r="Z188" s="1129"/>
      <c r="AA188" s="1129"/>
      <c r="AB188" s="2039"/>
      <c r="AC188" s="1129"/>
      <c r="AD188" s="1129">
        <v>0.05</v>
      </c>
      <c r="AE188" s="1129"/>
      <c r="AF188" s="1129"/>
      <c r="AH188" s="1129"/>
      <c r="AI188" s="1129"/>
      <c r="AJ188" s="1129"/>
      <c r="AK188" s="1129"/>
      <c r="AL188" s="1129"/>
      <c r="AM188" s="1129"/>
      <c r="AN188" s="1129"/>
    </row>
    <row r="189" spans="1:40">
      <c r="A189" s="807"/>
      <c r="B189" s="1114"/>
      <c r="C189" s="1114"/>
      <c r="D189" s="1114"/>
      <c r="E189" s="1114"/>
      <c r="F189" s="1114"/>
      <c r="G189" s="1114"/>
      <c r="H189" s="1114"/>
      <c r="I189" s="1114"/>
      <c r="J189" s="1114"/>
      <c r="K189" s="1114"/>
      <c r="L189" s="1114"/>
      <c r="M189" s="1114"/>
      <c r="N189" s="1114"/>
      <c r="O189" s="1114"/>
      <c r="P189" s="1115"/>
      <c r="Q189" s="1114"/>
      <c r="R189" s="1114"/>
      <c r="S189" s="1114"/>
      <c r="T189" s="1114"/>
      <c r="U189" s="1114"/>
      <c r="V189" s="1114"/>
      <c r="W189" s="1114"/>
      <c r="X189" s="1115"/>
      <c r="Y189" s="1116"/>
      <c r="Z189" s="1116"/>
      <c r="AA189" s="1116"/>
    </row>
    <row r="190" spans="1:40">
      <c r="A190" s="805" t="s">
        <v>1578</v>
      </c>
      <c r="B190" s="1126"/>
      <c r="C190" s="1126"/>
      <c r="D190" s="1114"/>
      <c r="E190" s="1126"/>
      <c r="F190" s="1126"/>
      <c r="G190" s="1126"/>
      <c r="H190" s="1114"/>
      <c r="I190" s="1126"/>
      <c r="J190" s="1126"/>
      <c r="K190" s="1121"/>
      <c r="L190" s="1114"/>
      <c r="M190" s="1126"/>
      <c r="N190" s="1126"/>
      <c r="O190" s="1121"/>
      <c r="P190" s="1115"/>
      <c r="Q190" s="1121"/>
      <c r="R190" s="1131"/>
      <c r="S190" s="1131"/>
      <c r="T190" s="1121"/>
      <c r="U190" s="1126"/>
      <c r="V190" s="1126"/>
      <c r="W190" s="1126"/>
      <c r="X190" s="1132"/>
      <c r="Y190" s="1116"/>
      <c r="Z190" s="1116"/>
      <c r="AA190" s="1116"/>
      <c r="AB190" s="2040"/>
      <c r="AC190" s="1130"/>
      <c r="AD190" s="1130"/>
      <c r="AE190" s="1130"/>
      <c r="AF190" s="1130"/>
      <c r="AH190" s="1130"/>
      <c r="AI190" s="1130"/>
      <c r="AJ190" s="1130"/>
      <c r="AK190" s="1130"/>
      <c r="AL190" s="1130"/>
      <c r="AM190" s="1130"/>
      <c r="AN190" s="1130"/>
    </row>
    <row r="191" spans="1:40">
      <c r="A191" s="805" t="s">
        <v>1579</v>
      </c>
      <c r="B191" s="1126"/>
      <c r="C191" s="1126"/>
      <c r="D191" s="1114"/>
      <c r="E191" s="1126"/>
      <c r="F191" s="1126"/>
      <c r="G191" s="1126"/>
      <c r="H191" s="1114"/>
      <c r="I191" s="1126"/>
      <c r="J191" s="1126"/>
      <c r="K191" s="1126"/>
      <c r="L191" s="1126"/>
      <c r="M191" s="1126"/>
      <c r="N191" s="1126"/>
      <c r="O191" s="1126"/>
      <c r="P191" s="1132"/>
      <c r="Q191" s="1126"/>
      <c r="R191" s="1126"/>
      <c r="S191" s="1126"/>
      <c r="T191" s="1126"/>
      <c r="U191" s="1126"/>
      <c r="V191" s="1126"/>
      <c r="W191" s="1126"/>
      <c r="X191" s="1132"/>
      <c r="Y191" s="1116"/>
      <c r="Z191" s="1116"/>
      <c r="AA191" s="1116"/>
      <c r="AB191" s="2040"/>
      <c r="AC191" s="1130"/>
      <c r="AD191" s="1130"/>
      <c r="AE191" s="1130"/>
      <c r="AF191" s="1130"/>
      <c r="AH191" s="1130"/>
      <c r="AI191" s="1130"/>
      <c r="AJ191" s="1130"/>
      <c r="AK191" s="1130"/>
      <c r="AL191" s="1130"/>
      <c r="AM191" s="1130"/>
      <c r="AN191" s="1130"/>
    </row>
    <row r="192" spans="1:40">
      <c r="A192" s="806"/>
      <c r="B192" s="1114"/>
      <c r="C192" s="1114"/>
      <c r="D192" s="1114"/>
      <c r="E192" s="1114"/>
      <c r="F192" s="1114"/>
      <c r="G192" s="1114"/>
      <c r="H192" s="1114"/>
      <c r="I192" s="1114"/>
      <c r="J192" s="1114"/>
      <c r="K192" s="1114"/>
      <c r="L192" s="1114"/>
      <c r="M192" s="1114"/>
      <c r="N192" s="1114"/>
      <c r="O192" s="1114"/>
      <c r="P192" s="1115"/>
      <c r="Q192" s="1114"/>
      <c r="R192" s="1114"/>
      <c r="S192" s="1114"/>
      <c r="T192" s="1114"/>
      <c r="U192" s="1114"/>
      <c r="V192" s="1114"/>
      <c r="W192" s="1114"/>
      <c r="X192" s="1115"/>
      <c r="Y192" s="1116"/>
      <c r="Z192" s="1116"/>
      <c r="AA192" s="1116"/>
    </row>
    <row r="193" spans="1:40">
      <c r="A193" s="805" t="s">
        <v>1580</v>
      </c>
      <c r="B193" s="1114"/>
      <c r="C193" s="1114"/>
      <c r="D193" s="1114"/>
      <c r="E193" s="1126"/>
      <c r="F193" s="1114"/>
      <c r="G193" s="1114"/>
      <c r="H193" s="1114"/>
      <c r="I193" s="1126"/>
      <c r="J193" s="1126"/>
      <c r="K193" s="1126"/>
      <c r="L193" s="1126"/>
      <c r="M193" s="1126"/>
      <c r="N193" s="1126"/>
      <c r="O193" s="1126"/>
      <c r="P193" s="1132"/>
      <c r="Q193" s="1114"/>
      <c r="R193" s="1126"/>
      <c r="S193" s="1114"/>
      <c r="T193" s="1126"/>
      <c r="U193" s="1126"/>
      <c r="V193" s="1126"/>
      <c r="W193" s="1126"/>
      <c r="X193" s="1132"/>
      <c r="Y193" s="1116"/>
      <c r="Z193" s="1116"/>
      <c r="AA193" s="1116"/>
      <c r="AB193" s="2040"/>
      <c r="AC193" s="1130"/>
      <c r="AD193" s="1130"/>
      <c r="AE193" s="1130"/>
      <c r="AF193" s="1130"/>
      <c r="AH193" s="1130"/>
      <c r="AI193" s="1130"/>
      <c r="AJ193" s="1130"/>
      <c r="AK193" s="1130"/>
      <c r="AL193" s="1130"/>
      <c r="AM193" s="1130"/>
      <c r="AN193" s="1130"/>
    </row>
    <row r="194" spans="1:40">
      <c r="A194" s="805"/>
      <c r="B194" s="1114"/>
      <c r="C194" s="1114"/>
      <c r="D194" s="1114"/>
      <c r="E194" s="1126"/>
      <c r="F194" s="1114"/>
      <c r="G194" s="1114"/>
      <c r="H194" s="1114"/>
      <c r="I194" s="1126"/>
      <c r="J194" s="1126"/>
      <c r="K194" s="1126"/>
      <c r="L194" s="1126"/>
      <c r="M194" s="1126"/>
      <c r="N194" s="1126"/>
      <c r="O194" s="1126"/>
      <c r="P194" s="1132"/>
      <c r="Q194" s="1114"/>
      <c r="R194" s="1114"/>
      <c r="S194" s="1114"/>
      <c r="T194" s="1114"/>
      <c r="U194" s="1114"/>
      <c r="V194" s="1114"/>
      <c r="W194" s="1114"/>
      <c r="X194" s="1115"/>
      <c r="Y194" s="1116"/>
      <c r="Z194" s="1116"/>
      <c r="AA194" s="1116"/>
    </row>
    <row r="195" spans="1:40" ht="13">
      <c r="A195" s="817" t="s">
        <v>1581</v>
      </c>
      <c r="B195" s="1114"/>
      <c r="C195" s="1114"/>
      <c r="D195" s="1114"/>
      <c r="E195" s="1126"/>
      <c r="F195" s="1114"/>
      <c r="G195" s="1114"/>
      <c r="H195" s="1114"/>
      <c r="I195" s="1126"/>
      <c r="J195" s="1126"/>
      <c r="K195" s="1126"/>
      <c r="L195" s="1126"/>
      <c r="M195" s="1126"/>
      <c r="N195" s="1126"/>
      <c r="O195" s="1126"/>
      <c r="P195" s="1132"/>
      <c r="Q195" s="1114"/>
      <c r="R195" s="1114"/>
      <c r="S195" s="1114"/>
      <c r="T195" s="1114"/>
      <c r="U195" s="1114"/>
      <c r="V195" s="1114"/>
      <c r="W195" s="1114"/>
      <c r="X195" s="1115"/>
      <c r="Y195" s="1114"/>
      <c r="Z195" s="1116"/>
      <c r="AA195" s="1116"/>
    </row>
    <row r="196" spans="1:40">
      <c r="A196" s="805" t="s">
        <v>1582</v>
      </c>
      <c r="B196" s="1114"/>
      <c r="C196" s="1114"/>
      <c r="D196" s="1114"/>
      <c r="E196" s="1126"/>
      <c r="F196" s="1114"/>
      <c r="G196" s="1114"/>
      <c r="H196" s="1114"/>
      <c r="I196" s="1126"/>
      <c r="J196" s="1126"/>
      <c r="K196" s="1126"/>
      <c r="L196" s="1126"/>
      <c r="M196" s="1126"/>
      <c r="N196" s="1126"/>
      <c r="O196" s="1126"/>
      <c r="P196" s="1132"/>
      <c r="Q196" s="1114"/>
      <c r="R196" s="1114"/>
      <c r="S196" s="1114"/>
      <c r="T196" s="1114"/>
      <c r="U196" s="1114"/>
      <c r="V196" s="1114"/>
      <c r="W196" s="1114"/>
      <c r="X196" s="1115"/>
      <c r="Y196" s="1114"/>
      <c r="Z196" s="1116"/>
      <c r="AA196" s="1116"/>
    </row>
    <row r="197" spans="1:40">
      <c r="A197" s="805" t="s">
        <v>1583</v>
      </c>
      <c r="B197" s="1114"/>
      <c r="C197" s="1114"/>
      <c r="D197" s="1114"/>
      <c r="E197" s="1126"/>
      <c r="F197" s="1114"/>
      <c r="G197" s="1114"/>
      <c r="H197" s="1114"/>
      <c r="I197" s="1126"/>
      <c r="J197" s="1126"/>
      <c r="K197" s="1126"/>
      <c r="L197" s="1126"/>
      <c r="M197" s="1126"/>
      <c r="N197" s="1126"/>
      <c r="O197" s="1126"/>
      <c r="P197" s="1132"/>
      <c r="Q197" s="1114"/>
      <c r="R197" s="1114"/>
      <c r="S197" s="1126"/>
      <c r="T197" s="1133"/>
      <c r="U197" s="1114"/>
      <c r="V197" s="1114"/>
      <c r="W197" s="1114"/>
      <c r="X197" s="1115"/>
      <c r="Y197" s="1114"/>
      <c r="Z197" s="1116"/>
      <c r="AA197" s="1116"/>
    </row>
    <row r="198" spans="1:40">
      <c r="A198" s="805" t="s">
        <v>1584</v>
      </c>
      <c r="B198" s="1114"/>
      <c r="C198" s="1114"/>
      <c r="D198" s="1114"/>
      <c r="E198" s="1126"/>
      <c r="F198" s="1114"/>
      <c r="G198" s="1114"/>
      <c r="H198" s="1114"/>
      <c r="I198" s="1126"/>
      <c r="J198" s="1126"/>
      <c r="K198" s="1126"/>
      <c r="L198" s="1126"/>
      <c r="M198" s="1126"/>
      <c r="N198" s="1126"/>
      <c r="O198" s="1126"/>
      <c r="P198" s="1132"/>
      <c r="Q198" s="1114"/>
      <c r="R198" s="1114"/>
      <c r="S198" s="1114"/>
      <c r="T198" s="1114"/>
      <c r="U198" s="1114"/>
      <c r="V198" s="1114"/>
      <c r="W198" s="1114"/>
      <c r="X198" s="1115"/>
      <c r="Y198" s="1114"/>
      <c r="Z198" s="1116"/>
      <c r="AA198" s="1116"/>
    </row>
    <row r="199" spans="1:40">
      <c r="A199" s="805" t="s">
        <v>1585</v>
      </c>
      <c r="B199" s="1114"/>
      <c r="C199" s="1114"/>
      <c r="D199" s="1114"/>
      <c r="E199" s="1126"/>
      <c r="F199" s="1114"/>
      <c r="G199" s="1114"/>
      <c r="H199" s="1114"/>
      <c r="I199" s="1126"/>
      <c r="J199" s="1126"/>
      <c r="K199" s="1126"/>
      <c r="L199" s="1126"/>
      <c r="M199" s="1126"/>
      <c r="N199" s="1126"/>
      <c r="O199" s="1126"/>
      <c r="P199" s="1132"/>
      <c r="Q199" s="1126"/>
      <c r="R199" s="1126"/>
      <c r="S199" s="1126"/>
      <c r="T199" s="1133"/>
      <c r="U199" s="1114"/>
      <c r="V199" s="1114"/>
      <c r="W199" s="1114"/>
      <c r="X199" s="1115"/>
      <c r="Y199" s="1114"/>
      <c r="Z199" s="1116"/>
      <c r="AA199" s="1116"/>
    </row>
    <row r="200" spans="1:40">
      <c r="A200" s="805" t="s">
        <v>1586</v>
      </c>
      <c r="B200" s="1114"/>
      <c r="C200" s="1114"/>
      <c r="D200" s="1114"/>
      <c r="E200" s="1126"/>
      <c r="F200" s="1114"/>
      <c r="G200" s="1114"/>
      <c r="H200" s="1114"/>
      <c r="I200" s="1126"/>
      <c r="J200" s="1126"/>
      <c r="K200" s="1126"/>
      <c r="L200" s="1126"/>
      <c r="M200" s="1126"/>
      <c r="N200" s="1126"/>
      <c r="O200" s="1126"/>
      <c r="P200" s="1132"/>
      <c r="Q200" s="1114"/>
      <c r="R200" s="1114"/>
      <c r="S200" s="1114"/>
      <c r="T200" s="1114"/>
      <c r="U200" s="1114"/>
      <c r="V200" s="1114"/>
      <c r="W200" s="1114"/>
      <c r="X200" s="1115"/>
      <c r="Y200" s="1114"/>
      <c r="Z200" s="1116"/>
      <c r="AA200" s="1116"/>
    </row>
    <row r="201" spans="1:40">
      <c r="A201" s="805"/>
      <c r="B201" s="1114"/>
      <c r="C201" s="1114"/>
      <c r="D201" s="1114"/>
      <c r="E201" s="1114"/>
      <c r="F201" s="1114"/>
      <c r="G201" s="1114"/>
      <c r="H201" s="1114"/>
      <c r="I201" s="1114"/>
      <c r="J201" s="1114"/>
      <c r="K201" s="1114"/>
      <c r="L201" s="1114"/>
      <c r="M201" s="1114"/>
      <c r="N201" s="1114"/>
      <c r="O201" s="1114"/>
      <c r="P201" s="1115"/>
      <c r="Q201" s="1114"/>
      <c r="R201" s="1114"/>
      <c r="S201" s="1114"/>
      <c r="T201" s="1114"/>
      <c r="U201" s="1114"/>
      <c r="V201" s="1114"/>
      <c r="W201" s="1114"/>
      <c r="X201" s="1115"/>
      <c r="Y201" s="1114"/>
      <c r="Z201" s="1116"/>
      <c r="AA201" s="1116"/>
    </row>
    <row r="202" spans="1:40" ht="13">
      <c r="A202" s="813" t="s">
        <v>1587</v>
      </c>
      <c r="B202" s="1114"/>
      <c r="C202" s="1114"/>
      <c r="D202" s="1114"/>
      <c r="E202" s="1114"/>
      <c r="F202" s="1114"/>
      <c r="G202" s="1114"/>
      <c r="H202" s="1114"/>
      <c r="I202" s="1114"/>
      <c r="J202" s="1114"/>
      <c r="K202" s="1114"/>
      <c r="L202" s="1114"/>
      <c r="M202" s="1114"/>
      <c r="N202" s="1114"/>
      <c r="O202" s="1114"/>
      <c r="P202" s="1115"/>
      <c r="Q202" s="1114"/>
      <c r="R202" s="1133"/>
      <c r="S202" s="1114"/>
      <c r="T202" s="1114"/>
      <c r="U202" s="1114"/>
      <c r="V202" s="1114"/>
      <c r="W202" s="1114"/>
      <c r="X202" s="1115"/>
      <c r="Y202" s="1114"/>
      <c r="Z202" s="1116"/>
      <c r="AA202" s="1116"/>
    </row>
    <row r="203" spans="1:40" ht="13">
      <c r="A203" s="1134" t="s">
        <v>1588</v>
      </c>
      <c r="B203" s="1114"/>
      <c r="C203" s="1114"/>
      <c r="D203" s="1114"/>
      <c r="E203" s="1114"/>
      <c r="F203" s="1114"/>
      <c r="G203" s="1114"/>
      <c r="H203" s="1114"/>
      <c r="I203" s="1114"/>
      <c r="J203" s="1114"/>
      <c r="K203" s="1114"/>
      <c r="L203" s="1114"/>
      <c r="M203" s="1114"/>
      <c r="N203" s="1114"/>
      <c r="O203" s="1114"/>
      <c r="P203" s="1115"/>
      <c r="Q203" s="1114"/>
      <c r="R203" s="1133"/>
      <c r="S203" s="1114"/>
      <c r="T203" s="1114"/>
      <c r="U203" s="1126"/>
      <c r="V203" s="1133"/>
      <c r="W203" s="1133"/>
      <c r="X203" s="1138"/>
      <c r="Y203" s="1133"/>
      <c r="Z203" s="1135"/>
      <c r="AA203" s="1135"/>
      <c r="AB203" s="2041"/>
      <c r="AC203" s="1136"/>
      <c r="AD203" s="1136"/>
      <c r="AE203" s="1136"/>
      <c r="AF203" s="1136"/>
      <c r="AH203" s="1136"/>
      <c r="AI203" s="1136"/>
      <c r="AJ203" s="1136"/>
      <c r="AK203" s="1136"/>
      <c r="AL203" s="1136"/>
      <c r="AM203" s="1136"/>
      <c r="AN203" s="1136"/>
    </row>
    <row r="204" spans="1:40">
      <c r="A204" s="1137" t="s">
        <v>1589</v>
      </c>
      <c r="B204" s="1114"/>
      <c r="C204" s="1114"/>
      <c r="D204" s="1114"/>
      <c r="E204" s="1114"/>
      <c r="F204" s="1114"/>
      <c r="G204" s="1114"/>
      <c r="H204" s="1114"/>
      <c r="I204" s="1114"/>
      <c r="J204" s="1114"/>
      <c r="K204" s="1114"/>
      <c r="L204" s="1114"/>
      <c r="M204" s="1114"/>
      <c r="N204" s="1114"/>
      <c r="O204" s="1114"/>
      <c r="P204" s="1115"/>
      <c r="Q204" s="1114"/>
      <c r="R204" s="1126"/>
      <c r="S204" s="1114"/>
      <c r="T204" s="1114"/>
      <c r="U204" s="1114"/>
      <c r="V204" s="1114"/>
      <c r="W204" s="1114"/>
      <c r="X204" s="1115"/>
      <c r="Y204" s="1116"/>
      <c r="Z204" s="1116"/>
      <c r="AA204" s="1116"/>
    </row>
    <row r="205" spans="1:40">
      <c r="A205" s="814" t="s">
        <v>1590</v>
      </c>
      <c r="B205" s="1114"/>
      <c r="C205" s="1114"/>
      <c r="D205" s="1114"/>
      <c r="E205" s="1114"/>
      <c r="F205" s="1114"/>
      <c r="G205" s="1114"/>
      <c r="H205" s="1114"/>
      <c r="I205" s="1114"/>
      <c r="J205" s="1114"/>
      <c r="K205" s="1114"/>
      <c r="L205" s="1133"/>
      <c r="M205" s="1114"/>
      <c r="N205" s="1114"/>
      <c r="O205" s="1114"/>
      <c r="P205" s="1138"/>
      <c r="Q205" s="1114"/>
      <c r="R205" s="1133"/>
      <c r="S205" s="1114"/>
      <c r="T205" s="1126"/>
      <c r="U205" s="1126"/>
      <c r="V205" s="1126"/>
      <c r="W205" s="1126"/>
      <c r="X205" s="1132"/>
      <c r="Y205" s="1126"/>
      <c r="Z205" s="1116"/>
      <c r="AA205" s="1116"/>
    </row>
    <row r="206" spans="1:40">
      <c r="A206" s="815" t="s">
        <v>1591</v>
      </c>
      <c r="B206" s="1114"/>
      <c r="C206" s="1114"/>
      <c r="D206" s="1126"/>
      <c r="E206" s="1126"/>
      <c r="F206" s="1114"/>
      <c r="G206" s="1114"/>
      <c r="H206" s="1126"/>
      <c r="I206" s="1126"/>
      <c r="J206" s="1114"/>
      <c r="K206" s="1114"/>
      <c r="L206" s="1133"/>
      <c r="M206" s="1126"/>
      <c r="N206" s="1114"/>
      <c r="O206" s="1114"/>
      <c r="P206" s="1138"/>
      <c r="Q206" s="1126"/>
      <c r="R206" s="1114"/>
      <c r="S206" s="1126"/>
      <c r="T206" s="1126"/>
      <c r="U206" s="1126"/>
      <c r="V206" s="1126"/>
      <c r="W206" s="1126"/>
      <c r="X206" s="1132"/>
      <c r="Y206" s="1126"/>
      <c r="Z206" s="1116"/>
      <c r="AA206" s="1116"/>
    </row>
    <row r="207" spans="1:40">
      <c r="A207" s="815" t="s">
        <v>1592</v>
      </c>
      <c r="B207" s="1133"/>
      <c r="C207" s="1133"/>
      <c r="D207" s="1133"/>
      <c r="E207" s="1133"/>
      <c r="F207" s="1133"/>
      <c r="G207" s="1133"/>
      <c r="H207" s="1133"/>
      <c r="I207" s="1133"/>
      <c r="J207" s="1114"/>
      <c r="K207" s="1114"/>
      <c r="L207" s="1126"/>
      <c r="M207" s="1133"/>
      <c r="N207" s="1114"/>
      <c r="O207" s="1114"/>
      <c r="P207" s="1132"/>
      <c r="Q207" s="1126"/>
      <c r="R207" s="1114"/>
      <c r="S207" s="1126"/>
      <c r="T207" s="1126"/>
      <c r="U207" s="1126"/>
      <c r="V207" s="1126"/>
      <c r="W207" s="1126"/>
      <c r="X207" s="1132"/>
      <c r="Y207" s="1126"/>
      <c r="Z207" s="1116"/>
      <c r="AA207" s="1116"/>
    </row>
    <row r="208" spans="1:40">
      <c r="A208" s="862"/>
      <c r="T208" s="1111"/>
      <c r="U208" s="1111"/>
      <c r="V208" s="1111"/>
      <c r="W208" s="1111"/>
      <c r="X208" s="2033"/>
      <c r="Y208" s="1111"/>
    </row>
    <row r="209" spans="1:32">
      <c r="T209" s="1111"/>
      <c r="U209" s="1111"/>
      <c r="V209" s="1111"/>
      <c r="W209" s="1111"/>
      <c r="X209" s="2033"/>
      <c r="Y209" s="1111"/>
    </row>
    <row r="210" spans="1:32">
      <c r="A210" s="756" t="s">
        <v>2053</v>
      </c>
      <c r="Q210" s="2029">
        <v>284.30599999999998</v>
      </c>
      <c r="R210" s="2029">
        <v>302.85199999999998</v>
      </c>
      <c r="S210" s="2029">
        <v>525.149</v>
      </c>
      <c r="T210" s="2029">
        <v>321.72300000000001</v>
      </c>
      <c r="U210" s="1080">
        <f>U14</f>
        <v>456.041</v>
      </c>
      <c r="V210" s="1080">
        <f t="shared" ref="V210:AC210" si="46">V14</f>
        <v>460.08799999999997</v>
      </c>
      <c r="W210" s="1080">
        <f t="shared" si="46"/>
        <v>806.08500000000004</v>
      </c>
      <c r="X210" s="1081">
        <f t="shared" si="46"/>
        <v>469.88599999999997</v>
      </c>
      <c r="Y210" s="1080">
        <f t="shared" si="46"/>
        <v>480.53299999999996</v>
      </c>
      <c r="Z210" s="1080">
        <f t="shared" si="46"/>
        <v>525.25</v>
      </c>
      <c r="AA210" s="1080">
        <f t="shared" si="46"/>
        <v>763.13099999999997</v>
      </c>
      <c r="AB210" s="1081">
        <f t="shared" si="46"/>
        <v>471.23500000000001</v>
      </c>
      <c r="AC210" s="1080">
        <f t="shared" si="46"/>
        <v>456.85699999999997</v>
      </c>
      <c r="AD210" s="1080">
        <f>AD14</f>
        <v>520.33000000000004</v>
      </c>
      <c r="AE210" s="1080">
        <f>AE14</f>
        <v>852.51699999999994</v>
      </c>
      <c r="AF210" s="1080">
        <f>AF14</f>
        <v>451.28300000000002</v>
      </c>
    </row>
    <row r="211" spans="1:32">
      <c r="A211" s="756" t="s">
        <v>2054</v>
      </c>
      <c r="U211" s="676">
        <f>U210/Q210-1</f>
        <v>0.60404986176865783</v>
      </c>
      <c r="V211" s="676">
        <f t="shared" ref="V211:AF211" si="47">V210/R210-1</f>
        <v>0.51918428803507988</v>
      </c>
      <c r="W211" s="676">
        <f t="shared" si="47"/>
        <v>0.53496436249521562</v>
      </c>
      <c r="X211" s="2034">
        <f t="shared" si="47"/>
        <v>0.46052971034088319</v>
      </c>
      <c r="Y211" s="676">
        <f t="shared" si="47"/>
        <v>5.3705697514039308E-2</v>
      </c>
      <c r="Z211" s="676">
        <f t="shared" si="47"/>
        <v>0.14162942741388607</v>
      </c>
      <c r="AA211" s="676">
        <f t="shared" si="47"/>
        <v>-5.3287184354007366E-2</v>
      </c>
      <c r="AB211" s="2034">
        <f t="shared" si="47"/>
        <v>2.8709091141256859E-3</v>
      </c>
      <c r="AC211" s="676">
        <f t="shared" si="47"/>
        <v>-4.9270289449423799E-2</v>
      </c>
      <c r="AD211" s="676">
        <f t="shared" si="47"/>
        <v>-9.3669681104234792E-3</v>
      </c>
      <c r="AE211" s="676">
        <f t="shared" si="47"/>
        <v>0.11713061060289776</v>
      </c>
      <c r="AF211" s="676">
        <f t="shared" si="47"/>
        <v>-4.2339809224696823E-2</v>
      </c>
    </row>
    <row r="212" spans="1:32">
      <c r="A212" s="756" t="s">
        <v>2055</v>
      </c>
      <c r="Q212" s="844">
        <v>36.511000000000003</v>
      </c>
      <c r="R212" s="844">
        <v>130.41800000000001</v>
      </c>
      <c r="S212" s="844">
        <v>254.06200000000001</v>
      </c>
      <c r="T212" s="844">
        <v>168.46199999999999</v>
      </c>
      <c r="U212" s="1080">
        <f>U17</f>
        <v>251.304</v>
      </c>
      <c r="V212" s="1080">
        <f t="shared" ref="V212:AC212" si="48">V17</f>
        <v>240.55799999999996</v>
      </c>
      <c r="W212" s="1080">
        <f t="shared" si="48"/>
        <v>440.87900000000002</v>
      </c>
      <c r="X212" s="1081">
        <f t="shared" si="48"/>
        <v>235.15299999999996</v>
      </c>
      <c r="Y212" s="1080">
        <f t="shared" si="48"/>
        <v>262.62599999999998</v>
      </c>
      <c r="Z212" s="1080">
        <f t="shared" si="48"/>
        <v>250.77499999999998</v>
      </c>
      <c r="AA212" s="1080">
        <f t="shared" si="48"/>
        <v>391.50899999999996</v>
      </c>
      <c r="AB212" s="1081">
        <f t="shared" si="48"/>
        <v>270.21699999999998</v>
      </c>
      <c r="AC212" s="1080">
        <f t="shared" si="48"/>
        <v>250.83799999999997</v>
      </c>
      <c r="AD212" s="1080">
        <f>AD17</f>
        <v>233.00000000000006</v>
      </c>
      <c r="AE212" s="1080">
        <f>AE17</f>
        <v>380.47699999999992</v>
      </c>
      <c r="AF212" s="1080">
        <f>AF17</f>
        <v>216.66000000000003</v>
      </c>
    </row>
    <row r="213" spans="1:32">
      <c r="A213" s="756" t="s">
        <v>2056</v>
      </c>
      <c r="Q213" s="844">
        <v>590.89400000000001</v>
      </c>
      <c r="R213" s="844">
        <v>842.28800000000001</v>
      </c>
      <c r="S213" s="844">
        <v>775.82600000000002</v>
      </c>
      <c r="T213" s="844">
        <v>704.048</v>
      </c>
    </row>
    <row r="214" spans="1:32">
      <c r="A214" s="756" t="s">
        <v>2058</v>
      </c>
      <c r="Q214" s="844">
        <v>2.1840000000000002</v>
      </c>
      <c r="R214" s="844">
        <v>5.4509999999999996</v>
      </c>
      <c r="S214" s="844">
        <v>3.6179999999999999</v>
      </c>
      <c r="T214" s="844">
        <v>11.07</v>
      </c>
    </row>
    <row r="215" spans="1:32">
      <c r="A215" s="756" t="s">
        <v>2057</v>
      </c>
      <c r="Q215" s="844">
        <f>Q213+Q214</f>
        <v>593.07799999999997</v>
      </c>
      <c r="R215" s="844">
        <f>R213+R214</f>
        <v>847.73900000000003</v>
      </c>
      <c r="S215" s="844">
        <f>S213+S214</f>
        <v>779.44400000000007</v>
      </c>
      <c r="T215" s="844">
        <f>T213+T214</f>
        <v>715.11800000000005</v>
      </c>
    </row>
    <row r="216" spans="1:32">
      <c r="A216" s="756" t="s">
        <v>2059</v>
      </c>
      <c r="Q216" s="844">
        <f>Q212-Q215</f>
        <v>-556.56700000000001</v>
      </c>
      <c r="R216" s="844">
        <f>R212-R215</f>
        <v>-717.32100000000003</v>
      </c>
      <c r="S216" s="844">
        <f>S212-S215</f>
        <v>-525.38200000000006</v>
      </c>
      <c r="T216" s="844">
        <f>T212-T215</f>
        <v>-546.65600000000006</v>
      </c>
      <c r="U216" s="844">
        <f>U41</f>
        <v>-287.78900000000004</v>
      </c>
      <c r="V216" s="844">
        <f t="shared" ref="V216:AC216" si="49">V41</f>
        <v>-271.44000000000011</v>
      </c>
      <c r="W216" s="844">
        <f t="shared" si="49"/>
        <v>-42.776000000000003</v>
      </c>
      <c r="X216" s="852">
        <f t="shared" si="49"/>
        <v>-205.57300000000004</v>
      </c>
      <c r="Y216" s="844">
        <f t="shared" si="49"/>
        <v>-109.71399999999998</v>
      </c>
      <c r="Z216" s="2066">
        <f t="shared" si="49"/>
        <v>-104.60700000000006</v>
      </c>
      <c r="AA216" s="2066">
        <f t="shared" si="49"/>
        <v>-0.18300000000004424</v>
      </c>
      <c r="AB216" s="2067">
        <f t="shared" si="49"/>
        <v>-123.83400000000006</v>
      </c>
      <c r="AC216" s="2066">
        <f t="shared" si="49"/>
        <v>-161.77800000000002</v>
      </c>
      <c r="AD216" s="2066">
        <f>AD41</f>
        <v>-191.81399999999996</v>
      </c>
      <c r="AE216" s="2066">
        <f>AE41</f>
        <v>-46.784000000000098</v>
      </c>
      <c r="AF216" s="2066">
        <f>AF41</f>
        <v>-437.15700000000004</v>
      </c>
    </row>
    <row r="217" spans="1:32">
      <c r="A217" s="756" t="s">
        <v>2060</v>
      </c>
      <c r="Q217" s="676">
        <f>Q216/Q210</f>
        <v>-1.957633676390931</v>
      </c>
      <c r="R217" s="676">
        <f t="shared" ref="R217:AC217" si="50">R216/R210</f>
        <v>-2.3685529565596402</v>
      </c>
      <c r="S217" s="676">
        <f t="shared" si="50"/>
        <v>-1.0004436836021777</v>
      </c>
      <c r="T217" s="676">
        <f t="shared" si="50"/>
        <v>-1.6991511331176199</v>
      </c>
      <c r="U217" s="676">
        <f t="shared" si="50"/>
        <v>-0.63105948807234447</v>
      </c>
      <c r="V217" s="676">
        <f t="shared" si="50"/>
        <v>-0.58997409191285177</v>
      </c>
      <c r="W217" s="676">
        <f t="shared" si="50"/>
        <v>-5.3066363969060337E-2</v>
      </c>
      <c r="X217" s="2034">
        <f t="shared" si="50"/>
        <v>-0.43749547762648822</v>
      </c>
      <c r="Y217" s="676">
        <f t="shared" si="50"/>
        <v>-0.22831730599147196</v>
      </c>
      <c r="Z217" s="676">
        <f t="shared" si="50"/>
        <v>-0.19915659209900058</v>
      </c>
      <c r="AA217" s="676">
        <f t="shared" si="50"/>
        <v>-2.3980155438587116E-4</v>
      </c>
      <c r="AB217" s="2034">
        <f t="shared" si="50"/>
        <v>-0.26278608337665932</v>
      </c>
      <c r="AC217" s="676">
        <f t="shared" si="50"/>
        <v>-0.35411080491269703</v>
      </c>
      <c r="AD217" s="676">
        <f>AD216/AD210</f>
        <v>-0.36863913285799388</v>
      </c>
      <c r="AE217" s="676">
        <f>AE216/AE210</f>
        <v>-5.4877498044027397E-2</v>
      </c>
      <c r="AF217" s="676">
        <f>AF216/AF210</f>
        <v>-0.96869813398687743</v>
      </c>
    </row>
  </sheetData>
  <phoneticPr fontId="11" type="noConversion"/>
  <dataValidations disablePrompts="1" count="1">
    <dataValidation errorStyle="warning" allowBlank="1" showInputMessage="1" showErrorMessage="1" sqref="B58" xr:uid="{00000000-0002-0000-1900-000000000000}"/>
  </dataValidations>
  <pageMargins left="0.7" right="0.7" top="0.75" bottom="0.75" header="0.3" footer="0.3"/>
  <pageSetup paperSize="9" orientation="portrait"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
  <sheetViews>
    <sheetView workbookViewId="0"/>
  </sheetViews>
  <sheetFormatPr defaultRowHeight="15"/>
  <sheetData/>
  <phoneticPr fontId="11" type="noConversion"/>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J182"/>
  <sheetViews>
    <sheetView workbookViewId="0"/>
  </sheetViews>
  <sheetFormatPr defaultColWidth="9" defaultRowHeight="11.5" outlineLevelCol="1"/>
  <cols>
    <col min="1" max="1" width="39.33203125" style="1169" customWidth="1"/>
    <col min="2" max="4" width="9" style="1169" hidden="1" customWidth="1" outlineLevel="1"/>
    <col min="5" max="5" width="9" style="1169" collapsed="1"/>
    <col min="6" max="7" width="9" style="1169"/>
    <col min="8" max="11" width="9" style="1198"/>
    <col min="12" max="12" width="9" style="1169"/>
    <col min="13" max="24" width="9" style="1209" hidden="1" customWidth="1" outlineLevel="1"/>
    <col min="25" max="25" width="9" style="1209" collapsed="1"/>
    <col min="26" max="16384" width="9" style="1209"/>
  </cols>
  <sheetData>
    <row r="1" spans="1:36" s="1169" customFormat="1"/>
    <row r="2" spans="1:36" s="1169" customFormat="1"/>
    <row r="3" spans="1:36" s="1169" customFormat="1" ht="18">
      <c r="A3" s="1170" t="s">
        <v>1617</v>
      </c>
    </row>
    <row r="4" spans="1:36" s="1169" customFormat="1" ht="12">
      <c r="A4" s="1171" t="s">
        <v>1618</v>
      </c>
    </row>
    <row r="5" spans="1:36" s="1172" customFormat="1">
      <c r="F5" s="1173">
        <v>42369</v>
      </c>
      <c r="G5" s="1173">
        <v>42735</v>
      </c>
      <c r="H5" s="1173">
        <v>43100</v>
      </c>
      <c r="I5" s="1173">
        <v>43465</v>
      </c>
      <c r="J5" s="1173"/>
      <c r="K5" s="1173"/>
      <c r="T5" s="1173">
        <v>42004</v>
      </c>
      <c r="U5" s="1173">
        <v>42094</v>
      </c>
      <c r="V5" s="1173">
        <v>42185</v>
      </c>
      <c r="W5" s="1173">
        <v>42277</v>
      </c>
      <c r="X5" s="1173">
        <v>42369</v>
      </c>
      <c r="Y5" s="1173">
        <v>42460</v>
      </c>
      <c r="Z5" s="1173">
        <v>42551</v>
      </c>
      <c r="AA5" s="1173">
        <v>42643</v>
      </c>
      <c r="AB5" s="1173">
        <v>42735</v>
      </c>
      <c r="AC5" s="1173">
        <v>42825</v>
      </c>
      <c r="AD5" s="1173">
        <v>42916</v>
      </c>
      <c r="AE5" s="1173">
        <v>43008</v>
      </c>
      <c r="AF5" s="1173">
        <v>43100</v>
      </c>
      <c r="AG5" s="1173">
        <v>43190</v>
      </c>
      <c r="AH5" s="1173">
        <v>43281</v>
      </c>
      <c r="AI5" s="1173">
        <v>43373</v>
      </c>
      <c r="AJ5" s="1173">
        <v>43465</v>
      </c>
    </row>
    <row r="6" spans="1:36" s="1169" customFormat="1">
      <c r="A6" s="1174"/>
      <c r="B6" s="1175">
        <v>2011</v>
      </c>
      <c r="C6" s="1175">
        <f>B6+1</f>
        <v>2012</v>
      </c>
      <c r="D6" s="1175">
        <f t="shared" ref="D6:I6" si="0">C6+1</f>
        <v>2013</v>
      </c>
      <c r="E6" s="1175">
        <f t="shared" si="0"/>
        <v>2014</v>
      </c>
      <c r="F6" s="1175">
        <f t="shared" si="0"/>
        <v>2015</v>
      </c>
      <c r="G6" s="1175">
        <f t="shared" si="0"/>
        <v>2016</v>
      </c>
      <c r="H6" s="1175">
        <f t="shared" si="0"/>
        <v>2017</v>
      </c>
      <c r="I6" s="1175">
        <f t="shared" si="0"/>
        <v>2018</v>
      </c>
      <c r="J6" s="1176" t="s">
        <v>1619</v>
      </c>
      <c r="K6" s="1176" t="s">
        <v>1619</v>
      </c>
      <c r="L6" s="1177"/>
      <c r="M6" s="1178" t="s">
        <v>1620</v>
      </c>
      <c r="N6" s="1178" t="s">
        <v>1621</v>
      </c>
      <c r="O6" s="1178" t="s">
        <v>1622</v>
      </c>
      <c r="P6" s="1178" t="s">
        <v>1623</v>
      </c>
      <c r="Q6" s="1178" t="s">
        <v>1624</v>
      </c>
      <c r="R6" s="1178" t="s">
        <v>1625</v>
      </c>
      <c r="S6" s="1178" t="s">
        <v>1626</v>
      </c>
      <c r="T6" s="1178" t="s">
        <v>1627</v>
      </c>
      <c r="U6" s="1178" t="s">
        <v>1628</v>
      </c>
      <c r="V6" s="1178" t="s">
        <v>1629</v>
      </c>
      <c r="W6" s="1178" t="s">
        <v>1630</v>
      </c>
      <c r="X6" s="1178" t="s">
        <v>1631</v>
      </c>
      <c r="Y6" s="1175" t="s">
        <v>1632</v>
      </c>
      <c r="Z6" s="1175" t="s">
        <v>1633</v>
      </c>
      <c r="AA6" s="1175" t="s">
        <v>1634</v>
      </c>
      <c r="AB6" s="1175" t="s">
        <v>1635</v>
      </c>
      <c r="AC6" s="1175" t="s">
        <v>1188</v>
      </c>
      <c r="AD6" s="1175" t="s">
        <v>1189</v>
      </c>
      <c r="AE6" s="1175" t="s">
        <v>1190</v>
      </c>
      <c r="AF6" s="1175" t="s">
        <v>1191</v>
      </c>
      <c r="AG6" s="1175" t="s">
        <v>1192</v>
      </c>
      <c r="AH6" s="1175" t="s">
        <v>1193</v>
      </c>
      <c r="AI6" s="1175" t="s">
        <v>1309</v>
      </c>
      <c r="AJ6" s="1175" t="s">
        <v>1430</v>
      </c>
    </row>
    <row r="7" spans="1:36" s="1169" customFormat="1">
      <c r="A7" s="1179" t="s">
        <v>1636</v>
      </c>
      <c r="B7" s="1180"/>
      <c r="C7" s="1180"/>
      <c r="D7" s="1180"/>
      <c r="E7" s="1180"/>
      <c r="F7" s="1180"/>
      <c r="G7" s="1180"/>
      <c r="H7" s="1180"/>
      <c r="I7" s="1180"/>
      <c r="J7" s="1180"/>
      <c r="K7" s="1180"/>
      <c r="M7" s="1180"/>
      <c r="N7" s="1180"/>
      <c r="O7" s="1180"/>
      <c r="P7" s="1180"/>
      <c r="Q7" s="1180"/>
      <c r="R7" s="1180"/>
      <c r="S7" s="1180"/>
      <c r="T7" s="1180"/>
      <c r="U7" s="1180"/>
      <c r="V7" s="1180"/>
      <c r="W7" s="1180"/>
      <c r="X7" s="1180"/>
      <c r="Y7" s="1180"/>
      <c r="Z7" s="1180"/>
      <c r="AA7" s="1180"/>
      <c r="AB7" s="1180"/>
      <c r="AC7" s="1180"/>
      <c r="AD7" s="1180"/>
      <c r="AE7" s="1180"/>
      <c r="AF7" s="1180"/>
      <c r="AG7" s="1180"/>
      <c r="AH7" s="1180"/>
      <c r="AI7" s="1180"/>
      <c r="AJ7" s="1180"/>
    </row>
    <row r="8" spans="1:36" s="1169" customFormat="1">
      <c r="A8" s="1181" t="s">
        <v>1637</v>
      </c>
    </row>
    <row r="9" spans="1:36" s="1169" customFormat="1">
      <c r="A9" s="1169" t="s">
        <v>1638</v>
      </c>
      <c r="B9" s="1182">
        <f>[3]Assumptions!B54</f>
        <v>751.38800000000003</v>
      </c>
      <c r="C9" s="1182">
        <f>[3]Assumptions!C54</f>
        <v>1075.0940439999999</v>
      </c>
      <c r="D9" s="1182">
        <f>[3]Assumptions!D54</f>
        <v>1892.8261279999999</v>
      </c>
      <c r="E9" s="1182">
        <f>[3]Assumptions!E54</f>
        <v>3432.8249999999998</v>
      </c>
      <c r="F9" s="1182">
        <f>[3]Assumptions!F54</f>
        <v>7358.8789999999999</v>
      </c>
      <c r="G9" s="1182">
        <f>[3]Assumptions!G54</f>
        <v>9926.6280000000006</v>
      </c>
      <c r="H9" s="1182">
        <f>[3]Assumptions!H56</f>
        <v>1075.5718602136001</v>
      </c>
      <c r="I9" s="1182">
        <f>[3]Assumptions!I56</f>
        <v>1206.4620989386699</v>
      </c>
      <c r="J9" s="1182">
        <f>[3]Assumptions!J56</f>
        <v>1465.2917512986101</v>
      </c>
      <c r="K9" s="1182">
        <f>[3]Assumptions!K56</f>
        <v>1744.6030007643301</v>
      </c>
      <c r="M9" s="1182">
        <f>[3]Assumptions!N54</f>
        <v>353.06599999999997</v>
      </c>
      <c r="N9" s="1182">
        <f>[3]Assumptions!O54</f>
        <v>374.714046</v>
      </c>
      <c r="O9" s="1182">
        <f>[3]Assumptions!P54</f>
        <v>690.19152399999996</v>
      </c>
      <c r="P9" s="1182">
        <f>[3]Assumptions!Q54</f>
        <v>474.854356</v>
      </c>
      <c r="Q9" s="1182">
        <f>[3]Assumptions!R54</f>
        <v>554.08973300000002</v>
      </c>
      <c r="R9" s="1182">
        <f>[3]Assumptions!S54</f>
        <v>696.74443099999996</v>
      </c>
      <c r="S9" s="1182">
        <f>[3]Assumptions!T54</f>
        <v>1285.951777</v>
      </c>
      <c r="T9" s="1182">
        <f>[3]Assumptions!U54</f>
        <v>896.03953899999999</v>
      </c>
      <c r="U9" s="1182">
        <f>[3]Assumptions!V54</f>
        <v>1201.3724259999999</v>
      </c>
      <c r="V9" s="1182">
        <f>[3]Assumptions!W54</f>
        <v>1466.4668039999999</v>
      </c>
      <c r="W9" s="1182">
        <f>[3]Assumptions!X54</f>
        <v>2886.591085</v>
      </c>
      <c r="X9" s="1182">
        <f>[3]Assumptions!Y54</f>
        <v>1804.4486850000001</v>
      </c>
      <c r="Y9" s="1182">
        <f>[3]Assumptions!Z54</f>
        <v>1914.9559999999999</v>
      </c>
      <c r="Z9" s="1182">
        <f>[3]Assumptions!AA54</f>
        <v>2213.3240000000001</v>
      </c>
      <c r="AA9" s="1182">
        <f>[3]Assumptions!AB54</f>
        <v>3850.23</v>
      </c>
      <c r="AB9" s="1182">
        <f>[3]Assumptions!AC54</f>
        <v>1948.1179999999999</v>
      </c>
      <c r="AC9" s="1182">
        <f>[3]Assumptions!AD54</f>
        <v>2514.3372279999999</v>
      </c>
      <c r="AD9" s="1182">
        <f>[3]Assumptions!AE54</f>
        <v>2727.2578328</v>
      </c>
      <c r="AE9" s="1182">
        <f>[3]Assumptions!AF54</f>
        <v>4758.8842800000002</v>
      </c>
      <c r="AF9" s="1182">
        <f>[3]Assumptions!AG54</f>
        <v>1945.0010112</v>
      </c>
      <c r="AG9" s="1182">
        <f>[3]Assumptions!AH54</f>
        <v>2641.5626917367999</v>
      </c>
      <c r="AH9" s="1182">
        <f>[3]Assumptions!AI54</f>
        <v>3005.7108575288798</v>
      </c>
      <c r="AI9" s="1182">
        <f>[3]Assumptions!AJ54</f>
        <v>4852.634300316</v>
      </c>
      <c r="AJ9" s="1182">
        <f>[3]Assumptions!AK54</f>
        <v>1937.84574772424</v>
      </c>
    </row>
    <row r="10" spans="1:36" s="1169" customFormat="1">
      <c r="A10" s="1169" t="s">
        <v>1639</v>
      </c>
      <c r="B10" s="1182">
        <f>[3]Assumptions!B59</f>
        <v>17.559000000000001</v>
      </c>
      <c r="C10" s="1182">
        <f>[3]Assumptions!C59</f>
        <v>32.359164</v>
      </c>
      <c r="D10" s="1182">
        <f>[3]Assumptions!D59</f>
        <v>48.900512999999997</v>
      </c>
      <c r="E10" s="1182">
        <f>[3]Assumptions!E59</f>
        <v>93.126000000000005</v>
      </c>
      <c r="F10" s="1182">
        <f>[3]Assumptions!F59</f>
        <v>194.16200000000001</v>
      </c>
      <c r="G10" s="1182">
        <f>[3]Assumptions!G59</f>
        <v>253.34899999999999</v>
      </c>
      <c r="H10" s="1182">
        <f>[3]Assumptions!H59</f>
        <v>513.82713978640004</v>
      </c>
      <c r="I10" s="1182">
        <f>[3]Assumptions!I59</f>
        <v>571.00137824554497</v>
      </c>
      <c r="J10" s="1182">
        <f>[3]Assumptions!J59</f>
        <v>656.77307463732302</v>
      </c>
      <c r="K10" s="1182">
        <f>[3]Assumptions!K59</f>
        <v>795.85134092252201</v>
      </c>
      <c r="M10" s="1182">
        <f>[3]Assumptions!N59</f>
        <v>15.48</v>
      </c>
      <c r="N10" s="1182">
        <f>[3]Assumptions!O59</f>
        <v>10.220280000000001</v>
      </c>
      <c r="O10" s="1182">
        <f>[3]Assumptions!P59</f>
        <v>15.919199000000001</v>
      </c>
      <c r="P10" s="1182">
        <f>[3]Assumptions!Q59</f>
        <v>7.281034</v>
      </c>
      <c r="Q10" s="1182">
        <f>[3]Assumptions!R59</f>
        <v>22.795794999999998</v>
      </c>
      <c r="R10" s="1182">
        <f>[3]Assumptions!S59</f>
        <v>16.519318999999999</v>
      </c>
      <c r="S10" s="1182">
        <f>[3]Assumptions!T59</f>
        <v>25.200157000000001</v>
      </c>
      <c r="T10" s="1182">
        <f>[3]Assumptions!U59</f>
        <v>28.610275000000001</v>
      </c>
      <c r="U10" s="1182">
        <f>[3]Assumptions!V59</f>
        <v>40.407127000000003</v>
      </c>
      <c r="V10" s="1182">
        <f>[3]Assumptions!W59</f>
        <v>34.583278999999997</v>
      </c>
      <c r="W10" s="1182">
        <f>[3]Assumptions!X59</f>
        <v>66.973785000000007</v>
      </c>
      <c r="X10" s="1182">
        <f>[3]Assumptions!Y59</f>
        <v>52.197808999999999</v>
      </c>
      <c r="Y10" s="1182">
        <f>[3]Assumptions!Z59</f>
        <v>62.302999999999997</v>
      </c>
      <c r="Z10" s="1182">
        <f>[3]Assumptions!AA59</f>
        <v>67.063000000000002</v>
      </c>
      <c r="AA10" s="1182">
        <f>[3]Assumptions!AB59</f>
        <v>67.397999999999996</v>
      </c>
      <c r="AB10" s="1182">
        <f>[3]Assumptions!AC59</f>
        <v>56.585000000000001</v>
      </c>
      <c r="AC10" s="1182">
        <f>[3]Assumptions!AD59</f>
        <v>117.08596334000001</v>
      </c>
      <c r="AD10" s="1182">
        <f>[3]Assumptions!AE59</f>
        <v>115.6688577104</v>
      </c>
      <c r="AE10" s="1182">
        <f>[3]Assumptions!AF59</f>
        <v>175.7474148</v>
      </c>
      <c r="AF10" s="1182">
        <f>[3]Assumptions!AG59</f>
        <v>105.324903936</v>
      </c>
      <c r="AG10" s="1182">
        <f>[3]Assumptions!AH59</f>
        <v>159.655232360214</v>
      </c>
      <c r="AH10" s="1182">
        <f>[3]Assumptions!AI59</f>
        <v>152.06646853475601</v>
      </c>
      <c r="AI10" s="1182">
        <f>[3]Assumptions!AJ59</f>
        <v>171.72274146998001</v>
      </c>
      <c r="AJ10" s="1182">
        <f>[3]Assumptions!AK59</f>
        <v>140.72345869637499</v>
      </c>
    </row>
    <row r="11" spans="1:36" s="1169" customFormat="1">
      <c r="A11" s="1169" t="s">
        <v>1640</v>
      </c>
      <c r="B11" s="1182">
        <f>[3]Assumptions!B64</f>
        <v>2.6669999999999998</v>
      </c>
      <c r="C11" s="1182">
        <f>[3]Assumptions!C64</f>
        <v>12.874316</v>
      </c>
      <c r="D11" s="1182">
        <f>[3]Assumptions!D64</f>
        <v>20.744091999999998</v>
      </c>
      <c r="E11" s="1182">
        <f>[3]Assumptions!E64</f>
        <v>28.756</v>
      </c>
      <c r="F11" s="1182">
        <f>[3]Assumptions!F64</f>
        <v>127.745</v>
      </c>
      <c r="G11" s="1182">
        <f>[3]Assumptions!G66</f>
        <v>385.60300000000001</v>
      </c>
      <c r="H11" s="1182">
        <f>[3]Assumptions!H66</f>
        <v>602.71500000000003</v>
      </c>
      <c r="I11" s="1182">
        <f>[3]Assumptions!I66</f>
        <v>409.51900000000001</v>
      </c>
      <c r="J11" s="1182">
        <f>[3]Assumptions!J66</f>
        <v>423.91075531001002</v>
      </c>
      <c r="K11" s="1182">
        <f>[3]Assumptions!K66</f>
        <v>445.10629307551</v>
      </c>
      <c r="M11" s="1182">
        <f>[3]Assumptions!N64</f>
        <v>3.6219999999999999</v>
      </c>
      <c r="N11" s="1182">
        <f>[3]Assumptions!O64</f>
        <v>4.8103220000000002</v>
      </c>
      <c r="O11" s="1182">
        <f>[3]Assumptions!P64</f>
        <v>5.3304720000000003</v>
      </c>
      <c r="P11" s="1182">
        <f>[3]Assumptions!Q64</f>
        <v>6.9811719999999999</v>
      </c>
      <c r="Q11" s="1182">
        <f>[3]Assumptions!R64</f>
        <v>5.4551090000000002</v>
      </c>
      <c r="R11" s="1182">
        <f>[3]Assumptions!S64</f>
        <v>6.8277679999999998</v>
      </c>
      <c r="S11" s="1182">
        <f>[3]Assumptions!T64</f>
        <v>7.6214110000000002</v>
      </c>
      <c r="T11" s="1182">
        <f>[3]Assumptions!U64</f>
        <v>8.8520579999999995</v>
      </c>
      <c r="U11" s="1182">
        <f>[3]Assumptions!V64</f>
        <v>11.195373</v>
      </c>
      <c r="V11" s="1182">
        <f>[3]Assumptions!W64</f>
        <v>24.660592999999999</v>
      </c>
      <c r="W11" s="1182">
        <f>[3]Assumptions!X64</f>
        <v>44.591939000000004</v>
      </c>
      <c r="X11" s="1182">
        <f>[3]Assumptions!Y64</f>
        <v>47.297094999999999</v>
      </c>
      <c r="Y11" s="1182">
        <f>[3]Assumptions!Z64</f>
        <v>67.948999999999998</v>
      </c>
      <c r="Z11" s="1182">
        <f>[3]Assumptions!AA64</f>
        <v>85.656999999999996</v>
      </c>
      <c r="AA11" s="1182">
        <f>[3]Assumptions!AB64</f>
        <v>130.04499999999999</v>
      </c>
      <c r="AB11" s="1182">
        <f>[3]Assumptions!AC64</f>
        <v>101.952</v>
      </c>
      <c r="AC11" s="1182">
        <f>[3]Assumptions!AD64</f>
        <v>0</v>
      </c>
      <c r="AD11" s="1182">
        <f>[3]Assumptions!AE64</f>
        <v>0</v>
      </c>
      <c r="AE11" s="1182">
        <f>[3]Assumptions!AF64</f>
        <v>0</v>
      </c>
      <c r="AF11" s="1182">
        <f>[3]Assumptions!AG64</f>
        <v>0</v>
      </c>
      <c r="AG11" s="1182">
        <f>[3]Assumptions!AH64</f>
        <v>0</v>
      </c>
      <c r="AH11" s="1182">
        <f>[3]Assumptions!AI64</f>
        <v>0</v>
      </c>
      <c r="AI11" s="1182">
        <f>[3]Assumptions!AJ64</f>
        <v>0</v>
      </c>
      <c r="AJ11" s="1182">
        <f>[3]Assumptions!AK64</f>
        <v>0</v>
      </c>
    </row>
    <row r="12" spans="1:36" s="1185" customFormat="1">
      <c r="A12" s="1183" t="s">
        <v>1641</v>
      </c>
      <c r="B12" s="1184">
        <f>SUM(B9:B11)</f>
        <v>771.61400000000003</v>
      </c>
      <c r="C12" s="1184">
        <f t="shared" ref="C12:I12" si="1">SUM(C9:C11)</f>
        <v>1120.3275239999998</v>
      </c>
      <c r="D12" s="1184">
        <f t="shared" si="1"/>
        <v>1962.4707329999999</v>
      </c>
      <c r="E12" s="1184">
        <f t="shared" si="1"/>
        <v>3554.7069999999999</v>
      </c>
      <c r="F12" s="1184">
        <f t="shared" si="1"/>
        <v>7680.7860000000001</v>
      </c>
      <c r="G12" s="1184">
        <f t="shared" si="1"/>
        <v>10565.58</v>
      </c>
      <c r="H12" s="1184">
        <f t="shared" si="1"/>
        <v>2192.114</v>
      </c>
      <c r="I12" s="1184">
        <f t="shared" si="1"/>
        <v>2186.982477184215</v>
      </c>
      <c r="J12" s="1184">
        <f>SUM(J9:J11)</f>
        <v>2545.9755812459434</v>
      </c>
      <c r="K12" s="1184">
        <f>SUM(K9:K11)</f>
        <v>2985.560634762362</v>
      </c>
      <c r="M12" s="1186">
        <f t="shared" ref="M12:AJ12" si="2">SUM(M9:M11)</f>
        <v>372.16800000000001</v>
      </c>
      <c r="N12" s="1186">
        <f t="shared" si="2"/>
        <v>389.74464799999998</v>
      </c>
      <c r="O12" s="1186">
        <f t="shared" si="2"/>
        <v>711.44119499999999</v>
      </c>
      <c r="P12" s="1186">
        <f t="shared" si="2"/>
        <v>489.11656199999999</v>
      </c>
      <c r="Q12" s="1186">
        <f t="shared" si="2"/>
        <v>582.34063700000002</v>
      </c>
      <c r="R12" s="1186">
        <f t="shared" si="2"/>
        <v>720.09151799999995</v>
      </c>
      <c r="S12" s="1186">
        <f t="shared" si="2"/>
        <v>1318.7733450000001</v>
      </c>
      <c r="T12" s="1186">
        <f t="shared" si="2"/>
        <v>933.50187200000005</v>
      </c>
      <c r="U12" s="1186">
        <f t="shared" si="2"/>
        <v>1252.9749259999999</v>
      </c>
      <c r="V12" s="1186">
        <f t="shared" si="2"/>
        <v>1525.7106759999999</v>
      </c>
      <c r="W12" s="1186">
        <f t="shared" si="2"/>
        <v>2998.1568090000001</v>
      </c>
      <c r="X12" s="1186">
        <f t="shared" si="2"/>
        <v>1903.943589</v>
      </c>
      <c r="Y12" s="1184">
        <f t="shared" si="2"/>
        <v>2045.2080000000001</v>
      </c>
      <c r="Z12" s="1184">
        <f t="shared" si="2"/>
        <v>2366.0440000000003</v>
      </c>
      <c r="AA12" s="1184">
        <f t="shared" si="2"/>
        <v>4047.6730000000002</v>
      </c>
      <c r="AB12" s="1184">
        <f t="shared" si="2"/>
        <v>2106.6549999999997</v>
      </c>
      <c r="AC12" s="1184">
        <f t="shared" si="2"/>
        <v>2631.4231913399999</v>
      </c>
      <c r="AD12" s="1184">
        <f t="shared" si="2"/>
        <v>2842.9266905104</v>
      </c>
      <c r="AE12" s="1184">
        <f t="shared" si="2"/>
        <v>4934.6316948000003</v>
      </c>
      <c r="AF12" s="1184">
        <f t="shared" si="2"/>
        <v>2050.3259151359998</v>
      </c>
      <c r="AG12" s="1184">
        <f t="shared" si="2"/>
        <v>2801.217924097014</v>
      </c>
      <c r="AH12" s="1184">
        <f t="shared" si="2"/>
        <v>3157.7773260636359</v>
      </c>
      <c r="AI12" s="1184">
        <f t="shared" si="2"/>
        <v>5024.3570417859801</v>
      </c>
      <c r="AJ12" s="1184">
        <f t="shared" si="2"/>
        <v>2078.569206420615</v>
      </c>
    </row>
    <row r="13" spans="1:36" s="1169" customFormat="1">
      <c r="A13" s="1169" t="s">
        <v>1642</v>
      </c>
      <c r="B13" s="1182">
        <f>[3]Assumptions!B78</f>
        <v>-6.0709999999999997</v>
      </c>
      <c r="C13" s="1182">
        <f>[3]Assumptions!C78</f>
        <v>-7.4469440000000002</v>
      </c>
      <c r="D13" s="1182">
        <f>[3]Assumptions!D78</f>
        <v>-12.783319000000001</v>
      </c>
      <c r="E13" s="1182">
        <f>[3]Assumptions!E78</f>
        <v>-19.768000000000001</v>
      </c>
      <c r="F13" s="1182">
        <f>[3]Assumptions!F78</f>
        <v>-35.526000000000003</v>
      </c>
      <c r="G13" s="1182">
        <f>[3]Assumptions!G78</f>
        <v>-17.306999999999999</v>
      </c>
      <c r="H13" s="1182">
        <f>[3]Assumptions!H78</f>
        <v>0</v>
      </c>
      <c r="I13" s="1182">
        <f>[3]Assumptions!I78</f>
        <v>0</v>
      </c>
      <c r="J13" s="1182">
        <f>[3]Assumptions!J78</f>
        <v>0</v>
      </c>
      <c r="K13" s="1182">
        <f>[3]Assumptions!K78</f>
        <v>0</v>
      </c>
      <c r="M13" s="1182">
        <f>[3]Assumptions!N78</f>
        <v>-2.8530000000000002</v>
      </c>
      <c r="N13" s="1182">
        <f>[3]Assumptions!O78</f>
        <v>-2.393567</v>
      </c>
      <c r="O13" s="1182">
        <f>[3]Assumptions!P78</f>
        <v>-4.8305309999999997</v>
      </c>
      <c r="P13" s="1182">
        <f>[3]Assumptions!Q78</f>
        <v>-2.7061500000000001</v>
      </c>
      <c r="Q13" s="1182">
        <f>[3]Assumptions!R78</f>
        <v>-4.1671659999999999</v>
      </c>
      <c r="R13" s="1182">
        <f>[3]Assumptions!S78</f>
        <v>-3.7292960000000002</v>
      </c>
      <c r="S13" s="1182">
        <f>[3]Assumptions!T78</f>
        <v>-7.0683389999999999</v>
      </c>
      <c r="T13" s="1182">
        <f>[3]Assumptions!U78</f>
        <v>-4.8033919999999997</v>
      </c>
      <c r="U13" s="1182">
        <f>[3]Assumptions!V78</f>
        <v>-4.7471370000000004</v>
      </c>
      <c r="V13" s="1182">
        <f>[3]Assumptions!W78</f>
        <v>-7.479031</v>
      </c>
      <c r="W13" s="1182">
        <f>[3]Assumptions!X78</f>
        <v>-14.563243</v>
      </c>
      <c r="X13" s="1182">
        <f>[3]Assumptions!Y78</f>
        <v>-8.7368020000000008</v>
      </c>
      <c r="Y13" s="1182">
        <f>[3]Assumptions!Z78</f>
        <v>-13.552</v>
      </c>
      <c r="Z13" s="1182">
        <f>[3]Assumptions!AA78</f>
        <v>-3.7549999999999999</v>
      </c>
      <c r="AA13" s="1182">
        <f>[3]Assumptions!AB78</f>
        <v>0</v>
      </c>
      <c r="AB13" s="1182">
        <f>[3]Assumptions!AC78</f>
        <v>0</v>
      </c>
      <c r="AC13" s="1182">
        <f>[3]Assumptions!AD78</f>
        <v>0</v>
      </c>
      <c r="AD13" s="1182">
        <f>[3]Assumptions!AE78</f>
        <v>0</v>
      </c>
      <c r="AE13" s="1182">
        <f>[3]Assumptions!AF78</f>
        <v>0</v>
      </c>
      <c r="AF13" s="1182">
        <f>[3]Assumptions!AG78</f>
        <v>0</v>
      </c>
      <c r="AG13" s="1182">
        <f>[3]Assumptions!AH78</f>
        <v>0</v>
      </c>
      <c r="AH13" s="1182">
        <f>[3]Assumptions!AI78</f>
        <v>0</v>
      </c>
      <c r="AI13" s="1182">
        <f>[3]Assumptions!AJ78</f>
        <v>0</v>
      </c>
      <c r="AJ13" s="1182">
        <f>[3]Assumptions!AK78</f>
        <v>0</v>
      </c>
    </row>
    <row r="14" spans="1:36" s="1185" customFormat="1">
      <c r="A14" s="1187" t="s">
        <v>1643</v>
      </c>
      <c r="B14" s="1188">
        <f>B12+B13</f>
        <v>765.54300000000001</v>
      </c>
      <c r="C14" s="1188">
        <f t="shared" ref="C14:I14" si="3">C12+C13</f>
        <v>1112.8805799999998</v>
      </c>
      <c r="D14" s="1188">
        <f t="shared" si="3"/>
        <v>1949.687414</v>
      </c>
      <c r="E14" s="1188">
        <f t="shared" si="3"/>
        <v>3534.9389999999999</v>
      </c>
      <c r="F14" s="1188">
        <f t="shared" si="3"/>
        <v>7645.26</v>
      </c>
      <c r="G14" s="1188">
        <f t="shared" si="3"/>
        <v>10548.272999999999</v>
      </c>
      <c r="H14" s="1188">
        <f t="shared" si="3"/>
        <v>2192.114</v>
      </c>
      <c r="I14" s="1188">
        <f t="shared" si="3"/>
        <v>2186.982477184215</v>
      </c>
      <c r="J14" s="1188">
        <f>J12+J13</f>
        <v>2545.9755812459434</v>
      </c>
      <c r="K14" s="1188">
        <f>K12+K13</f>
        <v>2985.560634762362</v>
      </c>
      <c r="M14" s="1189">
        <f t="shared" ref="M14:AJ14" si="4">M12+M13</f>
        <v>369.315</v>
      </c>
      <c r="N14" s="1189">
        <f t="shared" si="4"/>
        <v>387.35108099999997</v>
      </c>
      <c r="O14" s="1189">
        <f t="shared" si="4"/>
        <v>706.61066400000004</v>
      </c>
      <c r="P14" s="1189">
        <f t="shared" si="4"/>
        <v>486.41041200000001</v>
      </c>
      <c r="Q14" s="1189">
        <f t="shared" si="4"/>
        <v>578.17347100000006</v>
      </c>
      <c r="R14" s="1189">
        <f t="shared" si="4"/>
        <v>716.36222199999997</v>
      </c>
      <c r="S14" s="1189">
        <f t="shared" si="4"/>
        <v>1311.7050060000001</v>
      </c>
      <c r="T14" s="1189">
        <f t="shared" si="4"/>
        <v>928.69848000000002</v>
      </c>
      <c r="U14" s="1189">
        <f t="shared" si="4"/>
        <v>1248.2277889999998</v>
      </c>
      <c r="V14" s="1189">
        <f t="shared" si="4"/>
        <v>1518.2316449999998</v>
      </c>
      <c r="W14" s="1189">
        <f t="shared" si="4"/>
        <v>2983.593566</v>
      </c>
      <c r="X14" s="1189">
        <f t="shared" si="4"/>
        <v>1895.2067870000001</v>
      </c>
      <c r="Y14" s="1188">
        <f t="shared" si="4"/>
        <v>2031.6560000000002</v>
      </c>
      <c r="Z14" s="1188">
        <f t="shared" si="4"/>
        <v>2362.2890000000002</v>
      </c>
      <c r="AA14" s="1188">
        <f t="shared" si="4"/>
        <v>4047.6730000000002</v>
      </c>
      <c r="AB14" s="1188">
        <f t="shared" si="4"/>
        <v>2106.6549999999997</v>
      </c>
      <c r="AC14" s="1188">
        <f t="shared" si="4"/>
        <v>2631.4231913399999</v>
      </c>
      <c r="AD14" s="1188">
        <f t="shared" si="4"/>
        <v>2842.9266905104</v>
      </c>
      <c r="AE14" s="1188">
        <f t="shared" si="4"/>
        <v>4934.6316948000003</v>
      </c>
      <c r="AF14" s="1188">
        <f t="shared" si="4"/>
        <v>2050.3259151359998</v>
      </c>
      <c r="AG14" s="1188">
        <f t="shared" si="4"/>
        <v>2801.217924097014</v>
      </c>
      <c r="AH14" s="1188">
        <f t="shared" si="4"/>
        <v>3157.7773260636359</v>
      </c>
      <c r="AI14" s="1188">
        <f t="shared" si="4"/>
        <v>5024.3570417859801</v>
      </c>
      <c r="AJ14" s="1188">
        <f t="shared" si="4"/>
        <v>2078.569206420615</v>
      </c>
    </row>
    <row r="15" spans="1:36" s="1169" customFormat="1"/>
    <row r="16" spans="1:36" s="1169" customFormat="1">
      <c r="A16" s="1169" t="s">
        <v>1644</v>
      </c>
      <c r="B16" s="1182">
        <f>[3]Assumptions!B85</f>
        <v>-741.71600000000001</v>
      </c>
      <c r="C16" s="1182">
        <f>[3]Assumptions!C85</f>
        <v>-1073.7316290000001</v>
      </c>
      <c r="D16" s="1182">
        <f>[3]Assumptions!D85</f>
        <v>-1829.6653859999999</v>
      </c>
      <c r="E16" s="1182">
        <f>[3]Assumptions!E85</f>
        <v>-3308.0010000000002</v>
      </c>
      <c r="F16" s="1182">
        <f>[3]Assumptions!F85</f>
        <v>-7273.598</v>
      </c>
      <c r="G16" s="1182">
        <f>[3]Assumptions!G85</f>
        <v>-9955.6049999999996</v>
      </c>
      <c r="H16" s="1182">
        <f>[3]Assumptions!H86</f>
        <v>-1023.098</v>
      </c>
      <c r="I16" s="1182">
        <f>[3]Assumptions!I86</f>
        <v>-1063.539</v>
      </c>
      <c r="J16" s="1182">
        <f>[3]Assumptions!J86</f>
        <v>-1171.1487673731301</v>
      </c>
      <c r="K16" s="1182">
        <f>[3]Assumptions!K86</f>
        <v>-1313.64667929544</v>
      </c>
      <c r="M16" s="1182">
        <f>[3]Assumptions!N85</f>
        <v>-342.89</v>
      </c>
      <c r="N16" s="1182">
        <f>[3]Assumptions!O85</f>
        <v>-356.88007900000002</v>
      </c>
      <c r="O16" s="1182">
        <f>[3]Assumptions!P85</f>
        <v>-660.86733400000003</v>
      </c>
      <c r="P16" s="1182">
        <f>[3]Assumptions!Q85</f>
        <v>-469.02741700000001</v>
      </c>
      <c r="Q16" s="1182">
        <f>[3]Assumptions!R85</f>
        <v>-535.87958600000002</v>
      </c>
      <c r="R16" s="1182">
        <f>[3]Assumptions!S85</f>
        <v>-674.31793000000005</v>
      </c>
      <c r="S16" s="1182">
        <f>[3]Assumptions!T85</f>
        <v>-1231.47345</v>
      </c>
      <c r="T16" s="1182">
        <f>[3]Assumptions!U85</f>
        <v>-867.12983099999997</v>
      </c>
      <c r="U16" s="1182">
        <f>[3]Assumptions!V85</f>
        <v>-1197.2413570000001</v>
      </c>
      <c r="V16" s="1182">
        <f>[3]Assumptions!W85</f>
        <v>-1446.475062</v>
      </c>
      <c r="W16" s="1182">
        <f>[3]Assumptions!X85</f>
        <v>-2815.401535</v>
      </c>
      <c r="X16" s="1182">
        <f>[3]Assumptions!Y85</f>
        <v>-1814.4800459999999</v>
      </c>
      <c r="Y16" s="1182">
        <f>[3]Assumptions!Z85</f>
        <v>-1979.741</v>
      </c>
      <c r="Z16" s="1182">
        <f>[3]Assumptions!AA85</f>
        <v>-2241.4589999999998</v>
      </c>
      <c r="AA16" s="1182">
        <f>[3]Assumptions!AB85</f>
        <v>-3811.9290000000001</v>
      </c>
      <c r="AB16" s="1182">
        <f>[3]Assumptions!AC85</f>
        <v>-1922.4760000000001</v>
      </c>
      <c r="AC16" s="1182">
        <f>[3]Assumptions!AD85</f>
        <v>-2479.8911913400002</v>
      </c>
      <c r="AD16" s="1182">
        <f>[3]Assumptions!AE85</f>
        <v>-2722.8566905103999</v>
      </c>
      <c r="AE16" s="1182">
        <f>[3]Assumptions!AF85</f>
        <v>-4695.5626947999999</v>
      </c>
      <c r="AF16" s="1182">
        <f>[3]Assumptions!AG85</f>
        <v>-1994.6959151359999</v>
      </c>
      <c r="AG16" s="1182">
        <f>[3]Assumptions!AH85</f>
        <v>-2616.2189240970101</v>
      </c>
      <c r="AH16" s="1182">
        <f>[3]Assumptions!AI85</f>
        <v>-2994.39332606364</v>
      </c>
      <c r="AI16" s="1182">
        <f>[3]Assumptions!AJ85</f>
        <v>-4762.6420417859799</v>
      </c>
      <c r="AJ16" s="1182">
        <f>[3]Assumptions!AK85</f>
        <v>-1921.5762064206101</v>
      </c>
    </row>
    <row r="17" spans="1:36" s="1185" customFormat="1">
      <c r="A17" s="1185" t="s">
        <v>1645</v>
      </c>
      <c r="B17" s="1186">
        <f t="shared" ref="B17:K17" si="5">B14+B16+B46</f>
        <v>23.826999999999998</v>
      </c>
      <c r="C17" s="1186">
        <f t="shared" si="5"/>
        <v>39.14895099999967</v>
      </c>
      <c r="D17" s="1186">
        <f t="shared" si="5"/>
        <v>120.02202800000009</v>
      </c>
      <c r="E17" s="1186">
        <f t="shared" si="5"/>
        <v>226.13799999999964</v>
      </c>
      <c r="F17" s="1186">
        <f t="shared" si="5"/>
        <v>370.87700000000024</v>
      </c>
      <c r="G17" s="1186">
        <f t="shared" si="5"/>
        <v>591.7769999999997</v>
      </c>
      <c r="H17" s="1186">
        <f t="shared" si="5"/>
        <v>1167.941</v>
      </c>
      <c r="I17" s="1186">
        <f t="shared" si="5"/>
        <v>1121.9604771842151</v>
      </c>
      <c r="J17" s="1186">
        <f t="shared" si="5"/>
        <v>1373.2351448449599</v>
      </c>
      <c r="K17" s="1186">
        <f t="shared" si="5"/>
        <v>1670.1700109304165</v>
      </c>
      <c r="M17" s="1186">
        <f t="shared" ref="M17:AJ17" si="6">M14+M16-M46</f>
        <v>26.425000000000011</v>
      </c>
      <c r="N17" s="1186">
        <f t="shared" si="6"/>
        <v>30.471001999999942</v>
      </c>
      <c r="O17" s="1186">
        <f t="shared" si="6"/>
        <v>45.743330000000014</v>
      </c>
      <c r="P17" s="1186">
        <f t="shared" si="6"/>
        <v>17.382994999999994</v>
      </c>
      <c r="Q17" s="1186">
        <f t="shared" si="6"/>
        <v>42.293885000000046</v>
      </c>
      <c r="R17" s="1186">
        <f t="shared" si="6"/>
        <v>42.69929999999993</v>
      </c>
      <c r="S17" s="1186">
        <f t="shared" si="6"/>
        <v>80.297843000000185</v>
      </c>
      <c r="T17" s="1186">
        <f t="shared" si="6"/>
        <v>61.647234000000047</v>
      </c>
      <c r="U17" s="1186">
        <f t="shared" si="6"/>
        <v>51.151259999999695</v>
      </c>
      <c r="V17" s="1186">
        <f t="shared" si="6"/>
        <v>71.952088999999859</v>
      </c>
      <c r="W17" s="1186">
        <f t="shared" si="6"/>
        <v>168.40551100000005</v>
      </c>
      <c r="X17" s="1186">
        <f t="shared" si="6"/>
        <v>80.937927000000172</v>
      </c>
      <c r="Y17" s="1186">
        <f t="shared" si="6"/>
        <v>52.153000000000191</v>
      </c>
      <c r="Z17" s="1186">
        <f t="shared" si="6"/>
        <v>121.01200000000038</v>
      </c>
      <c r="AA17" s="1186">
        <f t="shared" si="6"/>
        <v>235.93900000000014</v>
      </c>
      <c r="AB17" s="1186">
        <f t="shared" si="6"/>
        <v>184.45499999999964</v>
      </c>
      <c r="AC17" s="1186">
        <f t="shared" si="6"/>
        <v>151.8529999999997</v>
      </c>
      <c r="AD17" s="1186">
        <f t="shared" si="6"/>
        <v>120.36600000000017</v>
      </c>
      <c r="AE17" s="1186">
        <f t="shared" si="6"/>
        <v>239.29700000000042</v>
      </c>
      <c r="AF17" s="1186">
        <f t="shared" si="6"/>
        <v>55.859999999999879</v>
      </c>
      <c r="AG17" s="1186">
        <f t="shared" si="6"/>
        <v>185.22600000000389</v>
      </c>
      <c r="AH17" s="1186">
        <f t="shared" si="6"/>
        <v>163.63399999999592</v>
      </c>
      <c r="AI17" s="1186">
        <f t="shared" si="6"/>
        <v>262.32900000000012</v>
      </c>
      <c r="AJ17" s="1186">
        <f t="shared" si="6"/>
        <v>157.38500000000494</v>
      </c>
    </row>
    <row r="18" spans="1:36" s="1185" customFormat="1">
      <c r="A18" s="1185" t="s">
        <v>1646</v>
      </c>
      <c r="B18" s="1186">
        <f>B14+B16</f>
        <v>23.826999999999998</v>
      </c>
      <c r="C18" s="1186">
        <f t="shared" ref="C18:K18" si="7">C14+C16</f>
        <v>39.14895099999967</v>
      </c>
      <c r="D18" s="1186">
        <f t="shared" si="7"/>
        <v>120.02202800000009</v>
      </c>
      <c r="E18" s="1186">
        <f t="shared" si="7"/>
        <v>226.93799999999965</v>
      </c>
      <c r="F18" s="1186">
        <f t="shared" si="7"/>
        <v>371.66200000000026</v>
      </c>
      <c r="G18" s="1186">
        <f t="shared" si="7"/>
        <v>592.66799999999967</v>
      </c>
      <c r="H18" s="1186">
        <f t="shared" si="7"/>
        <v>1169.0160000000001</v>
      </c>
      <c r="I18" s="1186">
        <f t="shared" si="7"/>
        <v>1123.443477184215</v>
      </c>
      <c r="J18" s="1186">
        <f t="shared" si="7"/>
        <v>1374.8268138728133</v>
      </c>
      <c r="K18" s="1186">
        <f t="shared" si="7"/>
        <v>1671.9139554669221</v>
      </c>
      <c r="M18" s="1186">
        <f t="shared" ref="M18:AJ18" si="8">M14+M16</f>
        <v>26.425000000000011</v>
      </c>
      <c r="N18" s="1186">
        <f t="shared" si="8"/>
        <v>30.471001999999942</v>
      </c>
      <c r="O18" s="1186">
        <f t="shared" si="8"/>
        <v>45.743330000000014</v>
      </c>
      <c r="P18" s="1186">
        <f t="shared" si="8"/>
        <v>17.382994999999994</v>
      </c>
      <c r="Q18" s="1186">
        <f t="shared" si="8"/>
        <v>42.293885000000046</v>
      </c>
      <c r="R18" s="1186">
        <f t="shared" si="8"/>
        <v>42.044291999999928</v>
      </c>
      <c r="S18" s="1186">
        <f t="shared" si="8"/>
        <v>80.231556000000182</v>
      </c>
      <c r="T18" s="1186">
        <f t="shared" si="8"/>
        <v>61.56864900000005</v>
      </c>
      <c r="U18" s="1186">
        <f t="shared" si="8"/>
        <v>50.986431999999695</v>
      </c>
      <c r="V18" s="1186">
        <f t="shared" si="8"/>
        <v>71.756582999999864</v>
      </c>
      <c r="W18" s="1186">
        <f t="shared" si="8"/>
        <v>168.19203100000004</v>
      </c>
      <c r="X18" s="1186">
        <f t="shared" si="8"/>
        <v>80.726741000000175</v>
      </c>
      <c r="Y18" s="1186">
        <f t="shared" si="8"/>
        <v>51.915000000000191</v>
      </c>
      <c r="Z18" s="1186">
        <f t="shared" si="8"/>
        <v>120.83000000000038</v>
      </c>
      <c r="AA18" s="1186">
        <f t="shared" si="8"/>
        <v>235.74400000000014</v>
      </c>
      <c r="AB18" s="1186">
        <f t="shared" si="8"/>
        <v>184.17899999999963</v>
      </c>
      <c r="AC18" s="1186">
        <f t="shared" si="8"/>
        <v>151.5319999999997</v>
      </c>
      <c r="AD18" s="1186">
        <f t="shared" si="8"/>
        <v>120.07000000000016</v>
      </c>
      <c r="AE18" s="1186">
        <f t="shared" si="8"/>
        <v>239.06900000000041</v>
      </c>
      <c r="AF18" s="1186">
        <f t="shared" si="8"/>
        <v>55.629999999999882</v>
      </c>
      <c r="AG18" s="1186">
        <f t="shared" si="8"/>
        <v>184.99900000000389</v>
      </c>
      <c r="AH18" s="1186">
        <f t="shared" si="8"/>
        <v>163.38399999999592</v>
      </c>
      <c r="AI18" s="1186">
        <f t="shared" si="8"/>
        <v>261.71500000000015</v>
      </c>
      <c r="AJ18" s="1186">
        <f t="shared" si="8"/>
        <v>156.99300000000494</v>
      </c>
    </row>
    <row r="19" spans="1:36" s="1169" customFormat="1" ht="12">
      <c r="A19" s="1190" t="s">
        <v>1647</v>
      </c>
      <c r="B19" s="1191">
        <f>B18/B14</f>
        <v>3.112431306928546E-2</v>
      </c>
      <c r="C19" s="1191">
        <f t="shared" ref="C19:I19" si="9">C18/C14</f>
        <v>3.5178034106767932E-2</v>
      </c>
      <c r="D19" s="1191">
        <f t="shared" si="9"/>
        <v>6.1559625988332964E-2</v>
      </c>
      <c r="E19" s="1191">
        <f t="shared" si="9"/>
        <v>6.4198561842226887E-2</v>
      </c>
      <c r="F19" s="1191">
        <f t="shared" si="9"/>
        <v>4.8613389211092921E-2</v>
      </c>
      <c r="G19" s="1191">
        <f t="shared" si="9"/>
        <v>5.6186259115591691E-2</v>
      </c>
      <c r="H19" s="1191">
        <f t="shared" si="9"/>
        <v>0.53328248439634074</v>
      </c>
      <c r="I19" s="1191">
        <f t="shared" si="9"/>
        <v>0.51369569208010835</v>
      </c>
      <c r="J19" s="1191">
        <f>J18/J14</f>
        <v>0.54000000000000148</v>
      </c>
      <c r="K19" s="1191">
        <f>K18/K14</f>
        <v>0.55999999999999972</v>
      </c>
      <c r="M19" s="1191">
        <f t="shared" ref="M19:AJ19" si="10">M18/M14</f>
        <v>7.1551385673476603E-2</v>
      </c>
      <c r="N19" s="1191">
        <f t="shared" si="10"/>
        <v>7.8665075417718902E-2</v>
      </c>
      <c r="O19" s="1191">
        <f t="shared" si="10"/>
        <v>6.473625764583707E-2</v>
      </c>
      <c r="P19" s="1191">
        <f t="shared" si="10"/>
        <v>3.5737300376703272E-2</v>
      </c>
      <c r="Q19" s="1191">
        <f t="shared" si="10"/>
        <v>7.315085717587351E-2</v>
      </c>
      <c r="R19" s="1191">
        <f t="shared" si="10"/>
        <v>5.8691386436623021E-2</v>
      </c>
      <c r="S19" s="1191">
        <f t="shared" si="10"/>
        <v>6.1165853322968998E-2</v>
      </c>
      <c r="T19" s="1191">
        <f t="shared" si="10"/>
        <v>6.6295628049267447E-2</v>
      </c>
      <c r="U19" s="1191">
        <f t="shared" si="10"/>
        <v>4.0847057283387965E-2</v>
      </c>
      <c r="V19" s="1191">
        <f t="shared" si="10"/>
        <v>4.7263263966546995E-2</v>
      </c>
      <c r="W19" s="1191">
        <f t="shared" si="10"/>
        <v>5.6372299805395154E-2</v>
      </c>
      <c r="X19" s="1191">
        <f t="shared" si="10"/>
        <v>4.2595215231254958E-2</v>
      </c>
      <c r="Y19" s="1191">
        <f t="shared" si="10"/>
        <v>2.5553046381867887E-2</v>
      </c>
      <c r="Z19" s="1191">
        <f t="shared" si="10"/>
        <v>5.1149541821513107E-2</v>
      </c>
      <c r="AA19" s="1191">
        <f t="shared" si="10"/>
        <v>5.8241858964397597E-2</v>
      </c>
      <c r="AB19" s="1191">
        <f t="shared" si="10"/>
        <v>8.7427224676085866E-2</v>
      </c>
      <c r="AC19" s="1191">
        <f t="shared" si="10"/>
        <v>5.7585568333778744E-2</v>
      </c>
      <c r="AD19" s="1191">
        <f t="shared" si="10"/>
        <v>4.2234645163658303E-2</v>
      </c>
      <c r="AE19" s="1191">
        <f t="shared" si="10"/>
        <v>4.8447182036285653E-2</v>
      </c>
      <c r="AF19" s="1191">
        <f t="shared" si="10"/>
        <v>2.713227179607194E-2</v>
      </c>
      <c r="AG19" s="1191">
        <f t="shared" si="10"/>
        <v>6.6042344798875011E-2</v>
      </c>
      <c r="AH19" s="1191">
        <f t="shared" si="10"/>
        <v>5.1740190371074753E-2</v>
      </c>
      <c r="AI19" s="1191">
        <f t="shared" si="10"/>
        <v>5.2089251982572041E-2</v>
      </c>
      <c r="AJ19" s="1191">
        <f t="shared" si="10"/>
        <v>7.5529359097142396E-2</v>
      </c>
    </row>
    <row r="20" spans="1:36" s="1169" customFormat="1"/>
    <row r="21" spans="1:36" s="1169" customFormat="1">
      <c r="A21" s="1181" t="s">
        <v>1648</v>
      </c>
    </row>
    <row r="22" spans="1:36" s="1169" customFormat="1">
      <c r="A22" s="1169" t="s">
        <v>1649</v>
      </c>
      <c r="B22" s="1182">
        <f>[3]Assumptions!B103</f>
        <v>-21.385999999999999</v>
      </c>
      <c r="C22" s="1182">
        <f>[3]Assumptions!C103</f>
        <v>-33.369748999999999</v>
      </c>
      <c r="D22" s="1182">
        <f>[3]Assumptions!D103</f>
        <v>-38.994362000000002</v>
      </c>
      <c r="E22" s="1182">
        <f>[3]Assumptions!E103</f>
        <v>-102.90900000000001</v>
      </c>
      <c r="F22" s="1182">
        <f>[3]Assumptions!F103</f>
        <v>-293.94600000000003</v>
      </c>
      <c r="G22" s="1182">
        <f>[3]Assumptions!G103</f>
        <v>-593.95299999999997</v>
      </c>
      <c r="H22" s="1192">
        <f>[3]Assumptions!H103</f>
        <v>-532.71500000000003</v>
      </c>
      <c r="I22" s="1192">
        <f>[3]Assumptions!I103</f>
        <v>-304.31200000000001</v>
      </c>
      <c r="J22" s="1192">
        <f>[3]Assumptions!J103</f>
        <v>-343.70670346820202</v>
      </c>
      <c r="K22" s="1192">
        <f>[3]Assumptions!K103</f>
        <v>-417.97848886673103</v>
      </c>
      <c r="M22" s="1182">
        <f>[3]Assumptions!N103</f>
        <v>-8.0820000000000007</v>
      </c>
      <c r="N22" s="1182">
        <f>[3]Assumptions!O103</f>
        <v>-7.6190949999999997</v>
      </c>
      <c r="O22" s="1182">
        <f>[3]Assumptions!P103</f>
        <v>-9.2998849999999997</v>
      </c>
      <c r="P22" s="1182">
        <f>[3]Assumptions!Q103</f>
        <v>-13.993553</v>
      </c>
      <c r="Q22" s="1182">
        <f>[3]Assumptions!R103</f>
        <v>-16.976928000000001</v>
      </c>
      <c r="R22" s="1182">
        <f>[3]Assumptions!S103</f>
        <v>-20.244319000000001</v>
      </c>
      <c r="S22" s="1182">
        <f>[3]Assumptions!T103</f>
        <v>-27.444405</v>
      </c>
      <c r="T22" s="1182">
        <f>[3]Assumptions!U103</f>
        <v>-38.244228</v>
      </c>
      <c r="U22" s="1182">
        <f>[3]Assumptions!V103</f>
        <v>-42.802106999999999</v>
      </c>
      <c r="V22" s="1182">
        <f>[3]Assumptions!W103</f>
        <v>-60.665165000000002</v>
      </c>
      <c r="W22" s="1182">
        <f>[3]Assumptions!X103</f>
        <v>-85.995779999999996</v>
      </c>
      <c r="X22" s="1182">
        <f>[3]Assumptions!Y103</f>
        <v>-104.482742</v>
      </c>
      <c r="Y22" s="1182">
        <f>[3]Assumptions!Z103</f>
        <v>-120.12</v>
      </c>
      <c r="Z22" s="1182">
        <f>[3]Assumptions!AA103</f>
        <v>-139.571</v>
      </c>
      <c r="AA22" s="1182">
        <f>[3]Assumptions!AB103</f>
        <v>-166.24700000000001</v>
      </c>
      <c r="AB22" s="1182">
        <f>[3]Assumptions!AC103</f>
        <v>-168.01499999999999</v>
      </c>
      <c r="AC22" s="1182">
        <f>[3]Assumptions!AD103</f>
        <v>-157.221</v>
      </c>
      <c r="AD22" s="1182">
        <f>[3]Assumptions!AE103</f>
        <v>-144.447</v>
      </c>
      <c r="AE22" s="1182">
        <f>[3]Assumptions!AF103</f>
        <v>-121.57</v>
      </c>
      <c r="AF22" s="1182">
        <f>[3]Assumptions!AG103</f>
        <v>-109.477</v>
      </c>
      <c r="AG22" s="1182">
        <f>[3]Assumptions!AH103</f>
        <v>-82.394999999999996</v>
      </c>
      <c r="AH22" s="1182">
        <f>[3]Assumptions!AI103</f>
        <v>-74.744</v>
      </c>
      <c r="AI22" s="1182">
        <f>[3]Assumptions!AJ103</f>
        <v>-74.081000000000003</v>
      </c>
      <c r="AJ22" s="1182">
        <f>[3]Assumptions!AK103</f>
        <v>-73.091999999999999</v>
      </c>
    </row>
    <row r="23" spans="1:36" s="1169" customFormat="1">
      <c r="A23" s="1169" t="s">
        <v>1650</v>
      </c>
      <c r="B23" s="1182">
        <f>[3]Assumptions!B109</f>
        <v>-50.588999999999999</v>
      </c>
      <c r="C23" s="1182">
        <f>[3]Assumptions!C109</f>
        <v>-57.993819000000002</v>
      </c>
      <c r="D23" s="1182">
        <f>[3]Assumptions!D109</f>
        <v>-110.070612</v>
      </c>
      <c r="E23" s="1182">
        <f>[3]Assumptions!E109</f>
        <v>-433.334</v>
      </c>
      <c r="F23" s="1182">
        <f>[3]Assumptions!F109</f>
        <v>-1097.8689999999999</v>
      </c>
      <c r="G23" s="1182">
        <f>[3]Assumptions!G109</f>
        <v>-1768.077</v>
      </c>
      <c r="H23" s="1192">
        <f>[3]Assumptions!H109</f>
        <v>-755.85</v>
      </c>
      <c r="I23" s="1192">
        <f>[3]Assumptions!I109</f>
        <v>-640.53899999999999</v>
      </c>
      <c r="J23" s="1192">
        <f>[3]Assumptions!J109</f>
        <v>-738.33291856132303</v>
      </c>
      <c r="K23" s="1192">
        <f>[3]Assumptions!K109</f>
        <v>-865.81258408108499</v>
      </c>
      <c r="M23" s="1182">
        <f>[3]Assumptions!N109</f>
        <v>-13.005000000000001</v>
      </c>
      <c r="N23" s="1182">
        <f>[3]Assumptions!O109</f>
        <v>-19.251024999999998</v>
      </c>
      <c r="O23" s="1182">
        <f>[3]Assumptions!P109</f>
        <v>-39.432685999999997</v>
      </c>
      <c r="P23" s="1182">
        <f>[3]Assumptions!Q109</f>
        <v>-38.381824000000002</v>
      </c>
      <c r="Q23" s="1182">
        <f>[3]Assumptions!R109</f>
        <v>-73.479566000000005</v>
      </c>
      <c r="R23" s="1182">
        <f>[3]Assumptions!S109</f>
        <v>-96.232837000000004</v>
      </c>
      <c r="S23" s="1182">
        <f>[3]Assumptions!T109</f>
        <v>-120.6639</v>
      </c>
      <c r="T23" s="1182">
        <f>[3]Assumptions!U109</f>
        <v>-142.95792800000001</v>
      </c>
      <c r="U23" s="1182">
        <f>[3]Assumptions!V109</f>
        <v>-189.42135099999999</v>
      </c>
      <c r="V23" s="1182">
        <f>[3]Assumptions!W109</f>
        <v>-230.633467</v>
      </c>
      <c r="W23" s="1182">
        <f>[3]Assumptions!X109</f>
        <v>-320.07783899999998</v>
      </c>
      <c r="X23" s="1182">
        <f>[3]Assumptions!Y109</f>
        <v>-357.736581</v>
      </c>
      <c r="Y23" s="1182">
        <f>[3]Assumptions!Z109</f>
        <v>-350.077</v>
      </c>
      <c r="Z23" s="1182">
        <f>[3]Assumptions!AA109</f>
        <v>-588.85799999999995</v>
      </c>
      <c r="AA23" s="1182">
        <f>[3]Assumptions!AB109</f>
        <v>-465.46300000000002</v>
      </c>
      <c r="AB23" s="1182">
        <f>[3]Assumptions!AC109</f>
        <v>-366.226</v>
      </c>
      <c r="AC23" s="1182">
        <f>[3]Assumptions!AD109</f>
        <v>-219.11600000000001</v>
      </c>
      <c r="AD23" s="1182">
        <f>[3]Assumptions!AE109</f>
        <v>-187.298</v>
      </c>
      <c r="AE23" s="1182">
        <f>[3]Assumptions!AF109</f>
        <v>-190.1</v>
      </c>
      <c r="AF23" s="1182">
        <f>[3]Assumptions!AG109</f>
        <v>-159.33600000000001</v>
      </c>
      <c r="AG23" s="1182">
        <f>[3]Assumptions!AH109</f>
        <v>-151.85300000000001</v>
      </c>
      <c r="AH23" s="1182">
        <f>[3]Assumptions!AI109</f>
        <v>-139.244</v>
      </c>
      <c r="AI23" s="1182">
        <f>[3]Assumptions!AJ109</f>
        <v>-174.84399999999999</v>
      </c>
      <c r="AJ23" s="1182">
        <f>[3]Assumptions!AK109</f>
        <v>-174.59800000000001</v>
      </c>
    </row>
    <row r="24" spans="1:36" s="1169" customFormat="1">
      <c r="A24" s="1169" t="s">
        <v>1651</v>
      </c>
      <c r="B24" s="1182">
        <f>[3]Assumptions!B115</f>
        <v>-53.877000000000002</v>
      </c>
      <c r="C24" s="1182">
        <f>[3]Assumptions!C115</f>
        <v>-62.005515000000003</v>
      </c>
      <c r="D24" s="1182">
        <f>[3]Assumptions!D115</f>
        <v>-69.678933000000001</v>
      </c>
      <c r="E24" s="1182">
        <f>[3]Assumptions!E115</f>
        <v>-131.44399999999999</v>
      </c>
      <c r="F24" s="1182">
        <f>[3]Assumptions!F115</f>
        <v>-325.142</v>
      </c>
      <c r="G24" s="1182">
        <f>[3]Assumptions!G115</f>
        <v>-570.63099999999997</v>
      </c>
      <c r="H24" s="1192">
        <f>[3]Assumptions!H115</f>
        <v>-545.44600000000003</v>
      </c>
      <c r="I24" s="1192">
        <f>[3]Assumptions!I115</f>
        <v>-427.42599999999999</v>
      </c>
      <c r="J24" s="1192">
        <f>[3]Assumptions!J115</f>
        <v>-445.54572671803999</v>
      </c>
      <c r="K24" s="1192">
        <f>[3]Assumptions!K115</f>
        <v>-477.68970156197798</v>
      </c>
      <c r="M24" s="1182">
        <f>[3]Assumptions!N115</f>
        <v>-13.260999999999999</v>
      </c>
      <c r="N24" s="1182">
        <f>[3]Assumptions!O115</f>
        <v>-14.774912</v>
      </c>
      <c r="O24" s="1182">
        <f>[3]Assumptions!P115</f>
        <v>-17.027384999999999</v>
      </c>
      <c r="P24" s="1182">
        <f>[3]Assumptions!Q115</f>
        <v>-24.615701999999999</v>
      </c>
      <c r="Q24" s="1182">
        <f>[3]Assumptions!R115</f>
        <v>-19.737451</v>
      </c>
      <c r="R24" s="1182">
        <f>[3]Assumptions!S115</f>
        <v>-25.48404</v>
      </c>
      <c r="S24" s="1182">
        <f>[3]Assumptions!T115</f>
        <v>-37.268751000000002</v>
      </c>
      <c r="T24" s="1182">
        <f>[3]Assumptions!U115</f>
        <v>-48.953119999999998</v>
      </c>
      <c r="U24" s="1182">
        <f>[3]Assumptions!V115</f>
        <v>-50.244419000000001</v>
      </c>
      <c r="V24" s="1182">
        <f>[3]Assumptions!W115</f>
        <v>-62.497241000000002</v>
      </c>
      <c r="W24" s="1182">
        <f>[3]Assumptions!X115</f>
        <v>-86.335065999999998</v>
      </c>
      <c r="X24" s="1182">
        <f>[3]Assumptions!Y115</f>
        <v>-126.065933</v>
      </c>
      <c r="Y24" s="1182">
        <f>[3]Assumptions!Z115</f>
        <v>-122.71</v>
      </c>
      <c r="Z24" s="1182">
        <f>[3]Assumptions!AA115</f>
        <v>-119.31</v>
      </c>
      <c r="AA24" s="1182">
        <f>[3]Assumptions!AB115</f>
        <v>-147.73400000000001</v>
      </c>
      <c r="AB24" s="1182">
        <f>[3]Assumptions!AC115</f>
        <v>-180.87700000000001</v>
      </c>
      <c r="AC24" s="1182">
        <f>[3]Assumptions!AD115</f>
        <v>-127.367</v>
      </c>
      <c r="AD24" s="1182">
        <f>[3]Assumptions!AE115</f>
        <v>-144.898</v>
      </c>
      <c r="AE24" s="1182">
        <f>[3]Assumptions!AF115</f>
        <v>-136.547</v>
      </c>
      <c r="AF24" s="1182">
        <f>[3]Assumptions!AG115</f>
        <v>-136.63399999999999</v>
      </c>
      <c r="AG24" s="1182">
        <f>[3]Assumptions!AH115</f>
        <v>-103.123</v>
      </c>
      <c r="AH24" s="1182">
        <f>[3]Assumptions!AI115</f>
        <v>-106.051</v>
      </c>
      <c r="AI24" s="1182">
        <f>[3]Assumptions!AJ115</f>
        <v>-107.42400000000001</v>
      </c>
      <c r="AJ24" s="1182">
        <f>[3]Assumptions!AK115</f>
        <v>-110.828</v>
      </c>
    </row>
    <row r="25" spans="1:36" s="1169" customFormat="1">
      <c r="A25" s="1169" t="s">
        <v>1652</v>
      </c>
      <c r="B25" s="1182">
        <f>[3]Assumptions!B121</f>
        <v>0</v>
      </c>
      <c r="C25" s="1182">
        <f>[3]Assumptions!C121</f>
        <v>0</v>
      </c>
      <c r="D25" s="1182">
        <f>[3]Assumptions!D121</f>
        <v>0</v>
      </c>
      <c r="E25" s="1182">
        <f>[3]Assumptions!E121</f>
        <v>-38.372999999999998</v>
      </c>
      <c r="F25" s="1182">
        <f>[3]Assumptions!F121</f>
        <v>-64.358000000000004</v>
      </c>
      <c r="G25" s="1182">
        <f>[3]Assumptions!G121</f>
        <v>-91.528000000000006</v>
      </c>
      <c r="H25" s="1192">
        <f>[3]Assumptions!H121</f>
        <v>-97.6</v>
      </c>
      <c r="I25" s="1192">
        <f>[3]Assumptions!I121</f>
        <v>-66.885000000000005</v>
      </c>
      <c r="J25" s="1192">
        <f>[3]Assumptions!J121</f>
        <v>-76.379267437378303</v>
      </c>
      <c r="K25" s="1192">
        <f>[3]Assumptions!K121</f>
        <v>-89.566819042870904</v>
      </c>
      <c r="M25" s="1182">
        <f>[3]Assumptions!N121</f>
        <v>0</v>
      </c>
      <c r="N25" s="1182">
        <f>[3]Assumptions!O121</f>
        <v>0</v>
      </c>
      <c r="O25" s="1182">
        <f>[3]Assumptions!P121</f>
        <v>0</v>
      </c>
      <c r="P25" s="1182">
        <f>[3]Assumptions!Q121</f>
        <v>0</v>
      </c>
      <c r="Q25" s="1182">
        <f>[3]Assumptions!R121</f>
        <v>0</v>
      </c>
      <c r="R25" s="1182">
        <f>[3]Assumptions!S121</f>
        <v>-18.331384</v>
      </c>
      <c r="S25" s="1182">
        <f>[3]Assumptions!T121</f>
        <v>-9.1507500000000004</v>
      </c>
      <c r="T25" s="1182">
        <f>[3]Assumptions!U121</f>
        <v>-10.890663999999999</v>
      </c>
      <c r="U25" s="1182">
        <f>[3]Assumptions!V121</f>
        <v>-12.707164000000001</v>
      </c>
      <c r="V25" s="1182">
        <f>[3]Assumptions!W121</f>
        <v>-11.604544000000001</v>
      </c>
      <c r="W25" s="1182">
        <f>[3]Assumptions!X121</f>
        <v>-17.776712</v>
      </c>
      <c r="X25" s="1182">
        <f>[3]Assumptions!Y121</f>
        <v>-22.269580000000001</v>
      </c>
      <c r="Y25" s="1182">
        <f>[3]Assumptions!Z121</f>
        <v>-21.28</v>
      </c>
      <c r="Z25" s="1182">
        <f>[3]Assumptions!AA121</f>
        <v>-23.149000000000001</v>
      </c>
      <c r="AA25" s="1182">
        <f>[3]Assumptions!AB121</f>
        <v>-21.314</v>
      </c>
      <c r="AB25" s="1182">
        <f>[3]Assumptions!AC121</f>
        <v>-25.785</v>
      </c>
      <c r="AC25" s="1182">
        <f>[3]Assumptions!AD121</f>
        <v>-25.399000000000001</v>
      </c>
      <c r="AD25" s="1182">
        <f>[3]Assumptions!AE121</f>
        <v>-22.585999999999999</v>
      </c>
      <c r="AE25" s="1182">
        <f>[3]Assumptions!AF121</f>
        <v>-31.001000000000001</v>
      </c>
      <c r="AF25" s="1182">
        <f>[3]Assumptions!AG121</f>
        <v>-18.614000000000001</v>
      </c>
      <c r="AG25" s="1182">
        <f>[3]Assumptions!AH121</f>
        <v>-11.784000000000001</v>
      </c>
      <c r="AH25" s="1182">
        <f>[3]Assumptions!AI121</f>
        <v>-24.617000000000001</v>
      </c>
      <c r="AI25" s="1182">
        <f>[3]Assumptions!AJ121</f>
        <v>-19.077000000000002</v>
      </c>
      <c r="AJ25" s="1182">
        <f>[3]Assumptions!AK121</f>
        <v>-11.407</v>
      </c>
    </row>
    <row r="26" spans="1:36" s="1169" customFormat="1">
      <c r="A26" s="1169" t="s">
        <v>1653</v>
      </c>
      <c r="B26" s="1182">
        <f>[3]Assumptions!B126</f>
        <v>0</v>
      </c>
      <c r="C26" s="1182">
        <f>[3]Assumptions!C126</f>
        <v>0</v>
      </c>
      <c r="D26" s="1182">
        <f>[3]Assumptions!D126</f>
        <v>0</v>
      </c>
      <c r="E26" s="1182">
        <f>[3]Assumptions!E126</f>
        <v>0</v>
      </c>
      <c r="F26" s="1182">
        <f>[3]Assumptions!F126</f>
        <v>-56.481000000000002</v>
      </c>
      <c r="G26" s="1182">
        <f>[3]Assumptions!G126</f>
        <v>-141.709</v>
      </c>
      <c r="H26" s="1182">
        <f>[3]Assumptions!H126</f>
        <v>-141.52099999999999</v>
      </c>
      <c r="I26" s="1182">
        <f>[3]Assumptions!I126</f>
        <v>-141.55799999999999</v>
      </c>
      <c r="J26" s="1182">
        <f>[3]Assumptions!J126</f>
        <v>-141.55799999999999</v>
      </c>
      <c r="K26" s="1182">
        <f>[3]Assumptions!K126</f>
        <v>-141.55799999999999</v>
      </c>
      <c r="M26" s="1182">
        <f>[3]Assumptions!N126</f>
        <v>0</v>
      </c>
      <c r="N26" s="1182">
        <f>[3]Assumptions!O126</f>
        <v>0</v>
      </c>
      <c r="O26" s="1182">
        <f>[3]Assumptions!P126</f>
        <v>0</v>
      </c>
      <c r="P26" s="1182">
        <f>[3]Assumptions!Q126</f>
        <v>0</v>
      </c>
      <c r="Q26" s="1182">
        <f>[3]Assumptions!R126</f>
        <v>0</v>
      </c>
      <c r="R26" s="1182">
        <f>[3]Assumptions!S126</f>
        <v>0</v>
      </c>
      <c r="S26" s="1182">
        <f>[3]Assumptions!T126</f>
        <v>0</v>
      </c>
      <c r="T26" s="1182">
        <f>[3]Assumptions!U126</f>
        <v>0</v>
      </c>
      <c r="U26" s="1182">
        <f>[3]Assumptions!V126</f>
        <v>0</v>
      </c>
      <c r="V26" s="1182">
        <f>[3]Assumptions!W126</f>
        <v>-0.75832900000000003</v>
      </c>
      <c r="W26" s="1182">
        <f>[3]Assumptions!X126</f>
        <v>-18.857980000000001</v>
      </c>
      <c r="X26" s="1182">
        <f>[3]Assumptions!Y126</f>
        <v>-36.863999999999997</v>
      </c>
      <c r="Y26" s="1182">
        <f>[3]Assumptions!Z126</f>
        <v>-35.878</v>
      </c>
      <c r="Z26" s="1182">
        <f>[3]Assumptions!AA126</f>
        <v>-35.130000000000003</v>
      </c>
      <c r="AA26" s="1182">
        <f>[3]Assumptions!AB126</f>
        <v>-35.167999999999999</v>
      </c>
      <c r="AB26" s="1182">
        <f>[3]Assumptions!AC126</f>
        <v>-35.533000000000001</v>
      </c>
      <c r="AC26" s="1182">
        <f>[3]Assumptions!AD126</f>
        <v>-35.389000000000003</v>
      </c>
      <c r="AD26" s="1182">
        <f>[3]Assumptions!AE126</f>
        <v>-35.354999999999997</v>
      </c>
      <c r="AE26" s="1182">
        <f>[3]Assumptions!AF126</f>
        <v>-35.438000000000002</v>
      </c>
      <c r="AF26" s="1182">
        <f>[3]Assumptions!AG126</f>
        <v>-35.338999999999999</v>
      </c>
      <c r="AG26" s="1182">
        <f>[3]Assumptions!AH126</f>
        <v>-35.338999999999999</v>
      </c>
      <c r="AH26" s="1182">
        <f>[3]Assumptions!AI126</f>
        <v>-35.343000000000004</v>
      </c>
      <c r="AI26" s="1182">
        <f>[3]Assumptions!AJ126</f>
        <v>-35.343000000000004</v>
      </c>
      <c r="AJ26" s="1182">
        <f>[3]Assumptions!AK126</f>
        <v>-35.533000000000001</v>
      </c>
    </row>
    <row r="27" spans="1:36" s="1169" customFormat="1">
      <c r="A27" s="1169" t="s">
        <v>1640</v>
      </c>
      <c r="B27" s="1182">
        <f>[3]Assumptions!B131</f>
        <v>1.651</v>
      </c>
      <c r="C27" s="1182">
        <f>[3]Assumptions!C131</f>
        <v>0.77372700000000005</v>
      </c>
      <c r="D27" s="1182">
        <f>[3]Assumptions!D131</f>
        <v>1.6885600000000001</v>
      </c>
      <c r="E27" s="1182">
        <f>[3]Assumptions!E131</f>
        <v>6.9020000000000001</v>
      </c>
      <c r="F27" s="1182">
        <f>[3]Assumptions!F131</f>
        <v>12.175000000000001</v>
      </c>
      <c r="G27" s="1182">
        <f>[3]Assumptions!G131</f>
        <v>22.323</v>
      </c>
      <c r="H27" s="1192">
        <f>[3]Assumptions!H131</f>
        <v>21.745999999999999</v>
      </c>
      <c r="I27" s="1192">
        <f>[3]Assumptions!I131</f>
        <v>56.598999999999997</v>
      </c>
      <c r="J27" s="1192">
        <f>[3]Assumptions!J131</f>
        <v>56.598999999999997</v>
      </c>
      <c r="K27" s="1192">
        <f>[3]Assumptions!K131</f>
        <v>56.598999999999997</v>
      </c>
      <c r="M27" s="1182">
        <f>[3]Assumptions!N131</f>
        <v>0.20200000000000001</v>
      </c>
      <c r="N27" s="1182">
        <f>[3]Assumptions!O131</f>
        <v>0.56585600000000003</v>
      </c>
      <c r="O27" s="1182">
        <f>[3]Assumptions!P131</f>
        <v>0.49269200000000002</v>
      </c>
      <c r="P27" s="1182">
        <f>[3]Assumptions!Q131</f>
        <v>0.42792799999999998</v>
      </c>
      <c r="Q27" s="1182">
        <f>[3]Assumptions!R131</f>
        <v>1.374411</v>
      </c>
      <c r="R27" s="1182">
        <f>[3]Assumptions!S131</f>
        <v>1.138325</v>
      </c>
      <c r="S27" s="1182">
        <f>[3]Assumptions!T131</f>
        <v>1.3924749999999999</v>
      </c>
      <c r="T27" s="1182">
        <f>[3]Assumptions!U131</f>
        <v>2.9966020000000002</v>
      </c>
      <c r="U27" s="1182">
        <f>[3]Assumptions!V131</f>
        <v>1.357313</v>
      </c>
      <c r="V27" s="1182">
        <f>[3]Assumptions!W131</f>
        <v>2.318899</v>
      </c>
      <c r="W27" s="1182">
        <f>[3]Assumptions!X131</f>
        <v>2.1621480000000002</v>
      </c>
      <c r="X27" s="1182">
        <f>[3]Assumptions!Y131</f>
        <v>6.3366400000000001</v>
      </c>
      <c r="Y27" s="1182">
        <f>[3]Assumptions!Z131</f>
        <v>2.1840000000000002</v>
      </c>
      <c r="Z27" s="1182">
        <f>[3]Assumptions!AA131</f>
        <v>5.4509999999999996</v>
      </c>
      <c r="AA27" s="1182">
        <f>[3]Assumptions!AB131</f>
        <v>3.6179999999999999</v>
      </c>
      <c r="AB27" s="1182">
        <f>[3]Assumptions!AC131</f>
        <v>11.07</v>
      </c>
      <c r="AC27" s="1182">
        <f>[3]Assumptions!AD131</f>
        <v>5.2229999999999999</v>
      </c>
      <c r="AD27" s="1182">
        <f>[3]Assumptions!AE131</f>
        <v>5.4210000000000003</v>
      </c>
      <c r="AE27" s="1182">
        <f>[3]Assumptions!AF131</f>
        <v>7.7569999999999997</v>
      </c>
      <c r="AF27" s="1182">
        <f>[3]Assumptions!AG131</f>
        <v>3.3450000000000002</v>
      </c>
      <c r="AG27" s="1182">
        <f>[3]Assumptions!AH131</f>
        <v>0.73499999999999999</v>
      </c>
      <c r="AH27" s="1182">
        <f>[3]Assumptions!AI131</f>
        <v>8.0779999999999994</v>
      </c>
      <c r="AI27" s="1182">
        <f>[3]Assumptions!AJ131</f>
        <v>15.656000000000001</v>
      </c>
      <c r="AJ27" s="1182">
        <f>[3]Assumptions!AK131</f>
        <v>32.130000000000003</v>
      </c>
    </row>
    <row r="28" spans="1:36" s="1185" customFormat="1">
      <c r="A28" s="1183" t="s">
        <v>1654</v>
      </c>
      <c r="B28" s="1193">
        <f>SUM(B22:B27)</f>
        <v>-124.20100000000001</v>
      </c>
      <c r="C28" s="1193">
        <f t="shared" ref="C28:I28" si="11">SUM(C22:C27)</f>
        <v>-152.59535599999998</v>
      </c>
      <c r="D28" s="1193">
        <f t="shared" si="11"/>
        <v>-217.05534700000001</v>
      </c>
      <c r="E28" s="1193">
        <f t="shared" si="11"/>
        <v>-699.15800000000002</v>
      </c>
      <c r="F28" s="1193">
        <f t="shared" si="11"/>
        <v>-1825.6210000000001</v>
      </c>
      <c r="G28" s="1193">
        <f t="shared" si="11"/>
        <v>-3143.5749999999994</v>
      </c>
      <c r="H28" s="1194">
        <f t="shared" si="11"/>
        <v>-2051.386</v>
      </c>
      <c r="I28" s="1194">
        <f t="shared" si="11"/>
        <v>-1524.1210000000001</v>
      </c>
      <c r="J28" s="1194">
        <f>SUM(J22:J27)</f>
        <v>-1688.9236161849435</v>
      </c>
      <c r="K28" s="1194">
        <f>SUM(K22:K27)</f>
        <v>-1936.006593552665</v>
      </c>
      <c r="M28" s="1195">
        <f t="shared" ref="M28:AJ28" si="12">SUM(M22:M27)</f>
        <v>-34.146000000000001</v>
      </c>
      <c r="N28" s="1195">
        <f t="shared" si="12"/>
        <v>-41.079176000000004</v>
      </c>
      <c r="O28" s="1195">
        <f t="shared" si="12"/>
        <v>-65.267263999999983</v>
      </c>
      <c r="P28" s="1195">
        <f t="shared" si="12"/>
        <v>-76.563151000000005</v>
      </c>
      <c r="Q28" s="1195">
        <f t="shared" si="12"/>
        <v>-108.81953400000002</v>
      </c>
      <c r="R28" s="1195">
        <f t="shared" si="12"/>
        <v>-159.15425499999998</v>
      </c>
      <c r="S28" s="1195">
        <f t="shared" si="12"/>
        <v>-193.13533100000001</v>
      </c>
      <c r="T28" s="1195">
        <f t="shared" si="12"/>
        <v>-238.04933800000001</v>
      </c>
      <c r="U28" s="1195">
        <f t="shared" si="12"/>
        <v>-293.81772799999999</v>
      </c>
      <c r="V28" s="1195">
        <f t="shared" si="12"/>
        <v>-363.83984700000002</v>
      </c>
      <c r="W28" s="1195">
        <f t="shared" si="12"/>
        <v>-526.88122899999996</v>
      </c>
      <c r="X28" s="1195">
        <f t="shared" si="12"/>
        <v>-641.08219600000007</v>
      </c>
      <c r="Y28" s="1193">
        <f t="shared" si="12"/>
        <v>-647.88100000000009</v>
      </c>
      <c r="Z28" s="1193">
        <f t="shared" si="12"/>
        <v>-900.56700000000001</v>
      </c>
      <c r="AA28" s="1193">
        <f t="shared" si="12"/>
        <v>-832.30799999999999</v>
      </c>
      <c r="AB28" s="1193">
        <f t="shared" si="12"/>
        <v>-765.36599999999987</v>
      </c>
      <c r="AC28" s="1193">
        <f t="shared" si="12"/>
        <v>-559.26900000000012</v>
      </c>
      <c r="AD28" s="1193">
        <f t="shared" si="12"/>
        <v>-529.16300000000001</v>
      </c>
      <c r="AE28" s="1193">
        <f t="shared" si="12"/>
        <v>-506.89899999999994</v>
      </c>
      <c r="AF28" s="1193">
        <f t="shared" si="12"/>
        <v>-456.05499999999995</v>
      </c>
      <c r="AG28" s="1193">
        <f t="shared" si="12"/>
        <v>-383.75899999999996</v>
      </c>
      <c r="AH28" s="1193">
        <f t="shared" si="12"/>
        <v>-371.92100000000005</v>
      </c>
      <c r="AI28" s="1193">
        <f t="shared" si="12"/>
        <v>-395.11300000000006</v>
      </c>
      <c r="AJ28" s="1193">
        <f t="shared" si="12"/>
        <v>-373.32800000000003</v>
      </c>
    </row>
    <row r="29" spans="1:36" s="1169" customFormat="1">
      <c r="A29" s="1169" t="s">
        <v>1655</v>
      </c>
      <c r="B29" s="1196">
        <f t="shared" ref="B29:K29" si="13">B28+B17</f>
        <v>-100.37400000000001</v>
      </c>
      <c r="C29" s="1196">
        <f t="shared" si="13"/>
        <v>-113.44640500000031</v>
      </c>
      <c r="D29" s="1196">
        <f t="shared" si="13"/>
        <v>-97.033318999999921</v>
      </c>
      <c r="E29" s="1196">
        <f t="shared" si="13"/>
        <v>-473.02000000000038</v>
      </c>
      <c r="F29" s="1196">
        <f t="shared" si="13"/>
        <v>-1454.7439999999999</v>
      </c>
      <c r="G29" s="1196">
        <f t="shared" si="13"/>
        <v>-2551.7979999999998</v>
      </c>
      <c r="H29" s="1197">
        <f t="shared" si="13"/>
        <v>-883.44499999999994</v>
      </c>
      <c r="I29" s="1197">
        <f t="shared" si="13"/>
        <v>-402.16052281578504</v>
      </c>
      <c r="J29" s="1197">
        <f t="shared" si="13"/>
        <v>-315.68847133998361</v>
      </c>
      <c r="K29" s="1197">
        <f t="shared" si="13"/>
        <v>-265.83658262224844</v>
      </c>
      <c r="M29" s="1196">
        <f t="shared" ref="M29:AJ29" si="14">M28+M17</f>
        <v>-7.7209999999999894</v>
      </c>
      <c r="N29" s="1196">
        <f t="shared" si="14"/>
        <v>-10.608174000000062</v>
      </c>
      <c r="O29" s="1196">
        <f t="shared" si="14"/>
        <v>-19.523933999999969</v>
      </c>
      <c r="P29" s="1196">
        <f t="shared" si="14"/>
        <v>-59.180156000000011</v>
      </c>
      <c r="Q29" s="1196">
        <f t="shared" si="14"/>
        <v>-66.525648999999973</v>
      </c>
      <c r="R29" s="1196">
        <f t="shared" si="14"/>
        <v>-116.45495500000004</v>
      </c>
      <c r="S29" s="1196">
        <f t="shared" si="14"/>
        <v>-112.83748799999982</v>
      </c>
      <c r="T29" s="1196">
        <f t="shared" si="14"/>
        <v>-176.40210399999995</v>
      </c>
      <c r="U29" s="1196">
        <f t="shared" si="14"/>
        <v>-242.66646800000029</v>
      </c>
      <c r="V29" s="1196">
        <f t="shared" si="14"/>
        <v>-291.88775800000019</v>
      </c>
      <c r="W29" s="1196">
        <f t="shared" si="14"/>
        <v>-358.47571799999992</v>
      </c>
      <c r="X29" s="1196">
        <f t="shared" si="14"/>
        <v>-560.14426899999989</v>
      </c>
      <c r="Y29" s="1196">
        <f t="shared" si="14"/>
        <v>-595.72799999999984</v>
      </c>
      <c r="Z29" s="1196">
        <f t="shared" si="14"/>
        <v>-779.55499999999961</v>
      </c>
      <c r="AA29" s="1196">
        <f t="shared" si="14"/>
        <v>-596.36899999999991</v>
      </c>
      <c r="AB29" s="1196">
        <f t="shared" si="14"/>
        <v>-580.91100000000029</v>
      </c>
      <c r="AC29" s="1196">
        <f t="shared" si="14"/>
        <v>-407.41600000000039</v>
      </c>
      <c r="AD29" s="1196">
        <f t="shared" si="14"/>
        <v>-408.79699999999985</v>
      </c>
      <c r="AE29" s="1196">
        <f t="shared" si="14"/>
        <v>-267.60199999999952</v>
      </c>
      <c r="AF29" s="1196">
        <f t="shared" si="14"/>
        <v>-400.19500000000005</v>
      </c>
      <c r="AG29" s="1196">
        <f t="shared" si="14"/>
        <v>-198.53299999999606</v>
      </c>
      <c r="AH29" s="1196">
        <f t="shared" si="14"/>
        <v>-208.28700000000413</v>
      </c>
      <c r="AI29" s="1196">
        <f t="shared" si="14"/>
        <v>-132.78399999999993</v>
      </c>
      <c r="AJ29" s="1196">
        <f t="shared" si="14"/>
        <v>-215.9429999999951</v>
      </c>
    </row>
    <row r="30" spans="1:36" s="1185" customFormat="1">
      <c r="A30" s="1187" t="s">
        <v>1656</v>
      </c>
      <c r="B30" s="1188">
        <f t="shared" ref="B30:K30" si="15">B28-B25+B18-B26</f>
        <v>-100.37400000000001</v>
      </c>
      <c r="C30" s="1188">
        <f t="shared" si="15"/>
        <v>-113.44640500000031</v>
      </c>
      <c r="D30" s="1188">
        <f t="shared" si="15"/>
        <v>-97.033318999999921</v>
      </c>
      <c r="E30" s="1188">
        <f t="shared" si="15"/>
        <v>-433.84700000000032</v>
      </c>
      <c r="F30" s="1188">
        <f t="shared" si="15"/>
        <v>-1333.12</v>
      </c>
      <c r="G30" s="1188">
        <f t="shared" si="15"/>
        <v>-2317.67</v>
      </c>
      <c r="H30" s="1188">
        <f t="shared" si="15"/>
        <v>-643.24900000000002</v>
      </c>
      <c r="I30" s="1188">
        <f t="shared" si="15"/>
        <v>-192.23452281578511</v>
      </c>
      <c r="J30" s="1188">
        <f t="shared" si="15"/>
        <v>-96.159534874751898</v>
      </c>
      <c r="K30" s="1188">
        <f t="shared" si="15"/>
        <v>-32.967819042871952</v>
      </c>
      <c r="M30" s="1189">
        <f t="shared" ref="M30:AJ30" si="16">M28-M25+M18</f>
        <v>-7.7209999999999894</v>
      </c>
      <c r="N30" s="1189">
        <f t="shared" si="16"/>
        <v>-10.608174000000062</v>
      </c>
      <c r="O30" s="1189">
        <f t="shared" si="16"/>
        <v>-19.523933999999969</v>
      </c>
      <c r="P30" s="1189">
        <f t="shared" si="16"/>
        <v>-59.180156000000011</v>
      </c>
      <c r="Q30" s="1189">
        <f t="shared" si="16"/>
        <v>-66.525648999999973</v>
      </c>
      <c r="R30" s="1189">
        <f t="shared" si="16"/>
        <v>-98.778579000000036</v>
      </c>
      <c r="S30" s="1189">
        <f t="shared" si="16"/>
        <v>-103.75302499999984</v>
      </c>
      <c r="T30" s="1189">
        <f t="shared" si="16"/>
        <v>-165.59002499999997</v>
      </c>
      <c r="U30" s="1189">
        <f t="shared" si="16"/>
        <v>-230.12413200000032</v>
      </c>
      <c r="V30" s="1189">
        <f t="shared" si="16"/>
        <v>-280.47872000000018</v>
      </c>
      <c r="W30" s="1189">
        <f t="shared" si="16"/>
        <v>-340.91248599999994</v>
      </c>
      <c r="X30" s="1189">
        <f t="shared" si="16"/>
        <v>-538.08587499999987</v>
      </c>
      <c r="Y30" s="1188">
        <f t="shared" si="16"/>
        <v>-574.68599999999992</v>
      </c>
      <c r="Z30" s="1188">
        <f t="shared" si="16"/>
        <v>-756.58799999999962</v>
      </c>
      <c r="AA30" s="1188">
        <f t="shared" si="16"/>
        <v>-575.24999999999989</v>
      </c>
      <c r="AB30" s="1188">
        <f t="shared" si="16"/>
        <v>-555.40200000000027</v>
      </c>
      <c r="AC30" s="1188">
        <f t="shared" si="16"/>
        <v>-382.33800000000042</v>
      </c>
      <c r="AD30" s="1188">
        <f t="shared" si="16"/>
        <v>-386.50699999999983</v>
      </c>
      <c r="AE30" s="1188">
        <f t="shared" si="16"/>
        <v>-236.82899999999955</v>
      </c>
      <c r="AF30" s="1188">
        <f t="shared" si="16"/>
        <v>-381.81100000000009</v>
      </c>
      <c r="AG30" s="1188">
        <f t="shared" si="16"/>
        <v>-186.97599999999608</v>
      </c>
      <c r="AH30" s="1188">
        <f t="shared" si="16"/>
        <v>-183.92000000000411</v>
      </c>
      <c r="AI30" s="1188">
        <f t="shared" si="16"/>
        <v>-114.32099999999991</v>
      </c>
      <c r="AJ30" s="1188">
        <f t="shared" si="16"/>
        <v>-204.92799999999511</v>
      </c>
    </row>
    <row r="31" spans="1:36" s="1169" customFormat="1">
      <c r="H31" s="1198"/>
      <c r="I31" s="1198"/>
      <c r="J31" s="1198"/>
      <c r="K31" s="1198"/>
    </row>
    <row r="32" spans="1:36" s="1169" customFormat="1">
      <c r="A32" s="1181" t="s">
        <v>1657</v>
      </c>
      <c r="H32" s="1198"/>
      <c r="I32" s="1198"/>
      <c r="J32" s="1198"/>
      <c r="K32" s="1198"/>
    </row>
    <row r="33" spans="1:36" s="1169" customFormat="1">
      <c r="A33" s="1169" t="s">
        <v>1658</v>
      </c>
      <c r="B33" s="1182">
        <f>[3]Assumptions!B142</f>
        <v>2.2869999999999999</v>
      </c>
      <c r="C33" s="1182">
        <f>[3]Assumptions!C142</f>
        <v>7.431724</v>
      </c>
      <c r="D33" s="1182">
        <f>[3]Assumptions!D142</f>
        <v>16.163339000000001</v>
      </c>
      <c r="E33" s="1182">
        <f>[3]Assumptions!E142</f>
        <v>31.283999999999999</v>
      </c>
      <c r="F33" s="1182">
        <f>[3]Assumptions!F142</f>
        <v>76.516000000000005</v>
      </c>
      <c r="G33" s="1182">
        <f>[3]Assumptions!G142</f>
        <v>87.305000000000007</v>
      </c>
      <c r="H33" s="1192">
        <f>[3]Assumptions!H142</f>
        <v>130.25</v>
      </c>
      <c r="I33" s="1192">
        <f>[3]Assumptions!I142</f>
        <v>152.929</v>
      </c>
      <c r="J33" s="1192">
        <f>[3]Assumptions!J142</f>
        <v>148.67593653183201</v>
      </c>
      <c r="K33" s="1192">
        <f>[3]Assumptions!K142</f>
        <v>147.217794840745</v>
      </c>
      <c r="M33" s="1182">
        <f>[3]Assumptions!N142</f>
        <v>1.8859999999999999</v>
      </c>
      <c r="N33" s="1182">
        <f>[3]Assumptions!O142</f>
        <v>3.0286029999999999</v>
      </c>
      <c r="O33" s="1182">
        <f>[3]Assumptions!P142</f>
        <v>5.7552149999999997</v>
      </c>
      <c r="P33" s="1182">
        <f>[3]Assumptions!Q142</f>
        <v>5.4939140000000002</v>
      </c>
      <c r="Q33" s="1182">
        <f>[3]Assumptions!R142</f>
        <v>6.5950340000000001</v>
      </c>
      <c r="R33" s="1182">
        <f>[3]Assumptions!S142</f>
        <v>5.584263</v>
      </c>
      <c r="S33" s="1182">
        <f>[3]Assumptions!T142</f>
        <v>10.483114</v>
      </c>
      <c r="T33" s="1182">
        <f>[3]Assumptions!U142</f>
        <v>8.6211819999999992</v>
      </c>
      <c r="U33" s="1182">
        <f>[3]Assumptions!V142</f>
        <v>9.5829310000000003</v>
      </c>
      <c r="V33" s="1182">
        <f>[3]Assumptions!W142</f>
        <v>16.505216999999998</v>
      </c>
      <c r="W33" s="1182">
        <f>[3]Assumptions!X142</f>
        <v>28.579813999999999</v>
      </c>
      <c r="X33" s="1182">
        <f>[3]Assumptions!Y142</f>
        <v>21.848037999999999</v>
      </c>
      <c r="Y33" s="1182">
        <f>[3]Assumptions!Z142</f>
        <v>17.984000000000002</v>
      </c>
      <c r="Z33" s="1182">
        <f>[3]Assumptions!AA142</f>
        <v>20.942</v>
      </c>
      <c r="AA33" s="1182">
        <f>[3]Assumptions!AB142</f>
        <v>26.675000000000001</v>
      </c>
      <c r="AB33" s="1182">
        <f>[3]Assumptions!AC142</f>
        <v>21.704000000000001</v>
      </c>
      <c r="AC33" s="1182">
        <f>[3]Assumptions!AD142</f>
        <v>22.954000000000001</v>
      </c>
      <c r="AD33" s="1182">
        <f>[3]Assumptions!AE142</f>
        <v>23.006</v>
      </c>
      <c r="AE33" s="1182">
        <f>[3]Assumptions!AF142</f>
        <v>39.863999999999997</v>
      </c>
      <c r="AF33" s="1182">
        <f>[3]Assumptions!AG142</f>
        <v>44.426000000000002</v>
      </c>
      <c r="AG33" s="1182">
        <f>[3]Assumptions!AH142</f>
        <v>39.473999999999997</v>
      </c>
      <c r="AH33" s="1182">
        <f>[3]Assumptions!AI142</f>
        <v>44.591999999999999</v>
      </c>
      <c r="AI33" s="1182">
        <f>[3]Assumptions!AJ142</f>
        <v>38.167000000000002</v>
      </c>
      <c r="AJ33" s="1182">
        <f>[3]Assumptions!AK142</f>
        <v>30.696000000000002</v>
      </c>
    </row>
    <row r="34" spans="1:36" s="1169" customFormat="1">
      <c r="A34" s="1169" t="s">
        <v>1659</v>
      </c>
      <c r="B34" s="1182">
        <f>[3]Assumptions!B146</f>
        <v>6.5289999999999999</v>
      </c>
      <c r="C34" s="1182">
        <f>[3]Assumptions!C146</f>
        <v>-0.74067799999999995</v>
      </c>
      <c r="D34" s="1182">
        <f>[3]Assumptions!D146</f>
        <v>1.2864679999999999</v>
      </c>
      <c r="E34" s="1182">
        <f>[3]Assumptions!E146</f>
        <v>-5.3339999999999996</v>
      </c>
      <c r="F34" s="1182">
        <f>[3]Assumptions!F146</f>
        <v>-83.117999999999995</v>
      </c>
      <c r="G34" s="1182">
        <f>[3]Assumptions!G146</f>
        <v>-9.734</v>
      </c>
      <c r="H34" s="1192">
        <f>[3]Assumptions!H146</f>
        <v>-2.3940000000000001</v>
      </c>
      <c r="I34" s="1192">
        <f>[3]Assumptions!I146</f>
        <v>-11.728999999999999</v>
      </c>
      <c r="J34" s="1192">
        <f>[3]Assumptions!J146</f>
        <v>-11.728999999999999</v>
      </c>
      <c r="K34" s="1192">
        <f>[3]Assumptions!K146</f>
        <v>-11.728999999999999</v>
      </c>
      <c r="M34" s="1182">
        <f>[3]Assumptions!N146</f>
        <v>0.42599999999999999</v>
      </c>
      <c r="N34" s="1182">
        <f>[3]Assumptions!O146</f>
        <v>0.24837600000000001</v>
      </c>
      <c r="O34" s="1182">
        <f>[3]Assumptions!P146</f>
        <v>0.59024100000000002</v>
      </c>
      <c r="P34" s="1182">
        <f>[3]Assumptions!Q146</f>
        <v>2.2046E-2</v>
      </c>
      <c r="Q34" s="1182">
        <f>[3]Assumptions!R146</f>
        <v>-2.7522449999999998</v>
      </c>
      <c r="R34" s="1182">
        <f>[3]Assumptions!S146</f>
        <v>-1.7461869999999999</v>
      </c>
      <c r="S34" s="1182">
        <f>[3]Assumptions!T146</f>
        <v>-0.77204200000000001</v>
      </c>
      <c r="T34" s="1182">
        <f>[3]Assumptions!U146</f>
        <v>-6.3170000000000004E-2</v>
      </c>
      <c r="U34" s="1182">
        <f>[3]Assumptions!V146</f>
        <v>0.246611</v>
      </c>
      <c r="V34" s="1182">
        <f>[3]Assumptions!W146</f>
        <v>29.722429999999999</v>
      </c>
      <c r="W34" s="1182">
        <f>[3]Assumptions!X146</f>
        <v>-103.545323</v>
      </c>
      <c r="X34" s="1182">
        <f>[3]Assumptions!Y146</f>
        <v>-9.5417179999999995</v>
      </c>
      <c r="Y34" s="1182">
        <f>[3]Assumptions!Z146</f>
        <v>-0.161</v>
      </c>
      <c r="Z34" s="1182">
        <f>[3]Assumptions!AA146</f>
        <v>-8.2850000000000001</v>
      </c>
      <c r="AA34" s="1182">
        <f>[3]Assumptions!AB146</f>
        <v>0.41399999999999998</v>
      </c>
      <c r="AB34" s="1182">
        <f>[3]Assumptions!AC146</f>
        <v>-1.702</v>
      </c>
      <c r="AC34" s="1182">
        <f>[3]Assumptions!AD146</f>
        <v>-1.37</v>
      </c>
      <c r="AD34" s="1182">
        <f>[3]Assumptions!AE146</f>
        <v>-0.92300000000000004</v>
      </c>
      <c r="AE34" s="1182">
        <f>[3]Assumptions!AF146</f>
        <v>1.9079999999999999</v>
      </c>
      <c r="AF34" s="1182">
        <f>[3]Assumptions!AG146</f>
        <v>-2.0089999999999999</v>
      </c>
      <c r="AG34" s="1182">
        <f>[3]Assumptions!AH146</f>
        <v>5.9770000000000003</v>
      </c>
      <c r="AH34" s="1182">
        <f>[3]Assumptions!AI146</f>
        <v>-6.633</v>
      </c>
      <c r="AI34" s="1182">
        <f>[3]Assumptions!AJ146</f>
        <v>-9.0299999999999994</v>
      </c>
      <c r="AJ34" s="1182">
        <f>[3]Assumptions!AK146</f>
        <v>-2.0430000000000001</v>
      </c>
    </row>
    <row r="35" spans="1:36" s="1169" customFormat="1">
      <c r="A35" s="1169" t="s">
        <v>1660</v>
      </c>
      <c r="B35" s="1182">
        <f>[3]Assumptions!B147</f>
        <v>-0.39200000000000002</v>
      </c>
      <c r="C35" s="1182">
        <f>[3]Assumptions!C147</f>
        <v>-0.35667399999999999</v>
      </c>
      <c r="D35" s="1182">
        <f>[3]Assumptions!D147</f>
        <v>-4.8566999999999999E-2</v>
      </c>
      <c r="E35" s="1182">
        <f>[3]Assumptions!E147</f>
        <v>-0.78800000000000003</v>
      </c>
      <c r="F35" s="1182">
        <f>[3]Assumptions!F147</f>
        <v>-1.3360000000000001</v>
      </c>
      <c r="G35" s="1182">
        <f>[3]Assumptions!G147</f>
        <v>-2.5529999999999999</v>
      </c>
      <c r="H35" s="1192">
        <f>[3]Assumptions!H147</f>
        <v>-0.121</v>
      </c>
      <c r="I35" s="1192">
        <f>[3]Assumptions!I147</f>
        <v>8.5760000000000005</v>
      </c>
      <c r="J35" s="1192">
        <f>[3]Assumptions!J147</f>
        <v>0</v>
      </c>
      <c r="K35" s="1192">
        <f>[3]Assumptions!K147</f>
        <v>0</v>
      </c>
      <c r="M35" s="1182">
        <f>[3]Assumptions!N147</f>
        <v>0.01</v>
      </c>
      <c r="N35" s="1182">
        <f>[3]Assumptions!O147</f>
        <v>-4.1674999999999997E-2</v>
      </c>
      <c r="O35" s="1182">
        <f>[3]Assumptions!P147</f>
        <v>9.8879999999999992E-3</v>
      </c>
      <c r="P35" s="1182">
        <f>[3]Assumptions!Q147</f>
        <v>-2.7503E-2</v>
      </c>
      <c r="Q35" s="1182">
        <f>[3]Assumptions!R147</f>
        <v>-5.1429000000000002E-2</v>
      </c>
      <c r="R35" s="1182">
        <f>[3]Assumptions!S147</f>
        <v>-0.37020399999999998</v>
      </c>
      <c r="S35" s="1182">
        <f>[3]Assumptions!T147</f>
        <v>-0.24915699999999999</v>
      </c>
      <c r="T35" s="1182">
        <f>[3]Assumptions!U147</f>
        <v>-0.116934</v>
      </c>
      <c r="U35" s="1182">
        <f>[3]Assumptions!V147</f>
        <v>-5.4295000000000003E-2</v>
      </c>
      <c r="V35" s="1182">
        <f>[3]Assumptions!W147</f>
        <v>-0.48656199999999999</v>
      </c>
      <c r="W35" s="1182">
        <f>[3]Assumptions!X147</f>
        <v>-0.68399500000000002</v>
      </c>
      <c r="X35" s="1182">
        <f>[3]Assumptions!Y147</f>
        <v>-0.111148</v>
      </c>
      <c r="Y35" s="1182">
        <f>[3]Assumptions!Z147</f>
        <v>-6.0000000000000001E-3</v>
      </c>
      <c r="Z35" s="1182">
        <f>[3]Assumptions!AA147</f>
        <v>0.193</v>
      </c>
      <c r="AA35" s="1182">
        <f>[3]Assumptions!AB147</f>
        <v>-0.43</v>
      </c>
      <c r="AB35" s="1182">
        <f>[3]Assumptions!AC147</f>
        <v>-2.31</v>
      </c>
      <c r="AC35" s="1182">
        <f>[3]Assumptions!AD147</f>
        <v>0.42899999999999999</v>
      </c>
      <c r="AD35" s="1182">
        <f>[3]Assumptions!AE147</f>
        <v>-0.22900000000000001</v>
      </c>
      <c r="AE35" s="1182">
        <f>[3]Assumptions!AF147</f>
        <v>-0.17399999999999999</v>
      </c>
      <c r="AF35" s="1182">
        <f>[3]Assumptions!AG147</f>
        <v>-0.14699999999999999</v>
      </c>
      <c r="AG35" s="1182">
        <f>[3]Assumptions!AH147</f>
        <v>7.9450000000000003</v>
      </c>
      <c r="AH35" s="1182">
        <f>[3]Assumptions!AI147</f>
        <v>-0.157</v>
      </c>
      <c r="AI35" s="1182">
        <f>[3]Assumptions!AJ147</f>
        <v>1.2929999999999999</v>
      </c>
      <c r="AJ35" s="1182">
        <f>[3]Assumptions!AK147</f>
        <v>-0.505</v>
      </c>
    </row>
    <row r="36" spans="1:36" s="1185" customFormat="1">
      <c r="A36" s="1183" t="s">
        <v>1661</v>
      </c>
      <c r="B36" s="1193">
        <f>B29+B33+B34+B35</f>
        <v>-91.95</v>
      </c>
      <c r="C36" s="1193">
        <f t="shared" ref="C36:I36" si="17">C29+C33+C34+C35</f>
        <v>-107.11203300000031</v>
      </c>
      <c r="D36" s="1193">
        <f t="shared" si="17"/>
        <v>-79.632078999999919</v>
      </c>
      <c r="E36" s="1193">
        <f t="shared" si="17"/>
        <v>-447.8580000000004</v>
      </c>
      <c r="F36" s="1193">
        <f t="shared" si="17"/>
        <v>-1462.6819999999998</v>
      </c>
      <c r="G36" s="1193">
        <f t="shared" si="17"/>
        <v>-2476.7799999999997</v>
      </c>
      <c r="H36" s="1194">
        <f t="shared" si="17"/>
        <v>-755.70999999999992</v>
      </c>
      <c r="I36" s="1194">
        <f t="shared" si="17"/>
        <v>-252.38452281578506</v>
      </c>
      <c r="J36" s="1194">
        <f>J29+J33+J34+J35</f>
        <v>-178.74153480815158</v>
      </c>
      <c r="K36" s="1194">
        <f>K29+K33+K34+K35</f>
        <v>-130.34778778150343</v>
      </c>
      <c r="M36" s="1195">
        <f t="shared" ref="M36:AJ36" si="18">M29+M33+M34+M35</f>
        <v>-5.3989999999999894</v>
      </c>
      <c r="N36" s="1195">
        <f t="shared" si="18"/>
        <v>-7.3728700000000611</v>
      </c>
      <c r="O36" s="1195">
        <f t="shared" si="18"/>
        <v>-13.168589999999968</v>
      </c>
      <c r="P36" s="1195">
        <f t="shared" si="18"/>
        <v>-53.691699000000007</v>
      </c>
      <c r="Q36" s="1195">
        <f t="shared" si="18"/>
        <v>-62.734288999999976</v>
      </c>
      <c r="R36" s="1195">
        <f t="shared" si="18"/>
        <v>-112.98708300000006</v>
      </c>
      <c r="S36" s="1195">
        <f t="shared" si="18"/>
        <v>-103.37557299999982</v>
      </c>
      <c r="T36" s="1195">
        <f t="shared" si="18"/>
        <v>-167.96102599999995</v>
      </c>
      <c r="U36" s="1195">
        <f t="shared" si="18"/>
        <v>-232.89122100000029</v>
      </c>
      <c r="V36" s="1195">
        <f t="shared" si="18"/>
        <v>-246.14667300000016</v>
      </c>
      <c r="W36" s="1195">
        <f t="shared" si="18"/>
        <v>-434.12522199999989</v>
      </c>
      <c r="X36" s="1195">
        <f t="shared" si="18"/>
        <v>-547.94909699999982</v>
      </c>
      <c r="Y36" s="1193">
        <f t="shared" si="18"/>
        <v>-577.91099999999972</v>
      </c>
      <c r="Z36" s="1193">
        <f t="shared" si="18"/>
        <v>-766.70499999999959</v>
      </c>
      <c r="AA36" s="1193">
        <f t="shared" si="18"/>
        <v>-569.70999999999992</v>
      </c>
      <c r="AB36" s="1193">
        <f t="shared" si="18"/>
        <v>-563.21900000000028</v>
      </c>
      <c r="AC36" s="1193">
        <f t="shared" si="18"/>
        <v>-385.40300000000042</v>
      </c>
      <c r="AD36" s="1193">
        <f t="shared" si="18"/>
        <v>-386.94299999999981</v>
      </c>
      <c r="AE36" s="1193">
        <f t="shared" si="18"/>
        <v>-226.00399999999954</v>
      </c>
      <c r="AF36" s="1193">
        <f t="shared" si="18"/>
        <v>-357.92500000000007</v>
      </c>
      <c r="AG36" s="1193">
        <f t="shared" si="18"/>
        <v>-145.13699999999608</v>
      </c>
      <c r="AH36" s="1193">
        <f t="shared" si="18"/>
        <v>-170.48500000000416</v>
      </c>
      <c r="AI36" s="1193">
        <f t="shared" si="18"/>
        <v>-102.35399999999993</v>
      </c>
      <c r="AJ36" s="1193">
        <f t="shared" si="18"/>
        <v>-187.7949999999951</v>
      </c>
    </row>
    <row r="37" spans="1:36" s="1169" customFormat="1">
      <c r="H37" s="1198"/>
      <c r="I37" s="1198"/>
      <c r="J37" s="1198"/>
      <c r="K37" s="1198"/>
    </row>
    <row r="38" spans="1:36" s="1169" customFormat="1">
      <c r="A38" s="1169" t="s">
        <v>1662</v>
      </c>
      <c r="B38" s="1182">
        <f>[3]Assumptions!B150</f>
        <v>0</v>
      </c>
      <c r="C38" s="1182">
        <f>[3]Assumptions!C150</f>
        <v>-7.7890000000000001E-2</v>
      </c>
      <c r="D38" s="1182">
        <f>[3]Assumptions!D150</f>
        <v>0</v>
      </c>
      <c r="E38" s="1182">
        <f>[3]Assumptions!E150</f>
        <v>0</v>
      </c>
      <c r="F38" s="1182">
        <f>[3]Assumptions!F150</f>
        <v>0.58899999999999997</v>
      </c>
      <c r="G38" s="1182">
        <f>[3]Assumptions!G150</f>
        <v>1.7110000000000001</v>
      </c>
      <c r="H38" s="1192">
        <f>[3]Assumptions!H150</f>
        <v>-15.625</v>
      </c>
      <c r="I38" s="1192">
        <f>[3]Assumptions!I150</f>
        <v>-0.153</v>
      </c>
      <c r="J38" s="1192">
        <f>[3]Assumptions!J150</f>
        <v>0</v>
      </c>
      <c r="K38" s="1192">
        <f>[3]Assumptions!K150</f>
        <v>0</v>
      </c>
      <c r="M38" s="1182">
        <f>[3]Assumptions!N150</f>
        <v>0</v>
      </c>
      <c r="N38" s="1182">
        <f>[3]Assumptions!O150</f>
        <v>0</v>
      </c>
      <c r="O38" s="1182">
        <f>[3]Assumptions!P150</f>
        <v>0</v>
      </c>
      <c r="P38" s="1182">
        <f>[3]Assumptions!Q150</f>
        <v>0</v>
      </c>
      <c r="Q38" s="1182">
        <f>[3]Assumptions!R150</f>
        <v>0</v>
      </c>
      <c r="R38" s="1182">
        <f>[3]Assumptions!S150</f>
        <v>0</v>
      </c>
      <c r="S38" s="1182">
        <f>[3]Assumptions!T150</f>
        <v>0</v>
      </c>
      <c r="T38" s="1182">
        <f>[3]Assumptions!U150</f>
        <v>0</v>
      </c>
      <c r="U38" s="1182">
        <f>[3]Assumptions!V150</f>
        <v>0</v>
      </c>
      <c r="V38" s="1182">
        <f>[3]Assumptions!W150</f>
        <v>0.189582</v>
      </c>
      <c r="W38" s="1182">
        <f>[3]Assumptions!X150</f>
        <v>0.61529199999999995</v>
      </c>
      <c r="X38" s="1182">
        <f>[3]Assumptions!Y150</f>
        <v>-0.21587400000000001</v>
      </c>
      <c r="Y38" s="1182">
        <f>[3]Assumptions!Z150</f>
        <v>0.56799999999999995</v>
      </c>
      <c r="Z38" s="1182">
        <f>[3]Assumptions!AA150</f>
        <v>0.14499999999999999</v>
      </c>
      <c r="AA38" s="1182">
        <f>[3]Assumptions!AB150</f>
        <v>-1.6120000000000001</v>
      </c>
      <c r="AB38" s="1182">
        <f>[3]Assumptions!AC150</f>
        <v>2.61</v>
      </c>
      <c r="AC38" s="1182">
        <f>[3]Assumptions!AD150</f>
        <v>-1.4059999999999999</v>
      </c>
      <c r="AD38" s="1182">
        <f>[3]Assumptions!AE150</f>
        <v>-4.0670000000000002</v>
      </c>
      <c r="AE38" s="1182">
        <f>[3]Assumptions!AF150</f>
        <v>-2.5830000000000002</v>
      </c>
      <c r="AF38" s="1182">
        <f>[3]Assumptions!AG150</f>
        <v>-7.569</v>
      </c>
      <c r="AG38" s="1182">
        <f>[3]Assumptions!AH150</f>
        <v>-3.8279999999999998</v>
      </c>
      <c r="AH38" s="1182">
        <f>[3]Assumptions!AI150</f>
        <v>0.52400000000000002</v>
      </c>
      <c r="AI38" s="1182">
        <f>[3]Assumptions!AJ150</f>
        <v>1.1259999999999999</v>
      </c>
      <c r="AJ38" s="1182">
        <f>[3]Assumptions!AK150</f>
        <v>2.0249999999999999</v>
      </c>
    </row>
    <row r="39" spans="1:36" s="1185" customFormat="1">
      <c r="A39" s="1187" t="s">
        <v>1663</v>
      </c>
      <c r="B39" s="1199">
        <f>B36+B38</f>
        <v>-91.95</v>
      </c>
      <c r="C39" s="1199">
        <f t="shared" ref="C39:I39" si="19">C36+C38</f>
        <v>-107.18992300000031</v>
      </c>
      <c r="D39" s="1199">
        <f t="shared" si="19"/>
        <v>-79.632078999999919</v>
      </c>
      <c r="E39" s="1199">
        <f t="shared" si="19"/>
        <v>-447.8580000000004</v>
      </c>
      <c r="F39" s="1199">
        <f t="shared" si="19"/>
        <v>-1462.0929999999998</v>
      </c>
      <c r="G39" s="1199">
        <f t="shared" si="19"/>
        <v>-2475.069</v>
      </c>
      <c r="H39" s="1200">
        <f t="shared" si="19"/>
        <v>-771.33499999999992</v>
      </c>
      <c r="I39" s="1200">
        <f t="shared" si="19"/>
        <v>-252.53752281578505</v>
      </c>
      <c r="J39" s="1200">
        <f>J36+J38</f>
        <v>-178.74153480815158</v>
      </c>
      <c r="K39" s="1200">
        <f>K36+K38</f>
        <v>-130.34778778150343</v>
      </c>
      <c r="M39" s="1201">
        <f t="shared" ref="M39:AJ39" si="20">M36+M38</f>
        <v>-5.3989999999999894</v>
      </c>
      <c r="N39" s="1201">
        <f t="shared" si="20"/>
        <v>-7.3728700000000611</v>
      </c>
      <c r="O39" s="1201">
        <f t="shared" si="20"/>
        <v>-13.168589999999968</v>
      </c>
      <c r="P39" s="1201">
        <f t="shared" si="20"/>
        <v>-53.691699000000007</v>
      </c>
      <c r="Q39" s="1201">
        <f t="shared" si="20"/>
        <v>-62.734288999999976</v>
      </c>
      <c r="R39" s="1201">
        <f t="shared" si="20"/>
        <v>-112.98708300000006</v>
      </c>
      <c r="S39" s="1201">
        <f t="shared" si="20"/>
        <v>-103.37557299999982</v>
      </c>
      <c r="T39" s="1201">
        <f t="shared" si="20"/>
        <v>-167.96102599999995</v>
      </c>
      <c r="U39" s="1201">
        <f t="shared" si="20"/>
        <v>-232.89122100000029</v>
      </c>
      <c r="V39" s="1201">
        <f t="shared" si="20"/>
        <v>-245.95709100000016</v>
      </c>
      <c r="W39" s="1201">
        <f t="shared" si="20"/>
        <v>-433.50992999999988</v>
      </c>
      <c r="X39" s="1201">
        <f t="shared" si="20"/>
        <v>-548.16497099999981</v>
      </c>
      <c r="Y39" s="1199">
        <f t="shared" si="20"/>
        <v>-577.34299999999973</v>
      </c>
      <c r="Z39" s="1199">
        <f t="shared" si="20"/>
        <v>-766.5599999999996</v>
      </c>
      <c r="AA39" s="1199">
        <f t="shared" si="20"/>
        <v>-571.32199999999989</v>
      </c>
      <c r="AB39" s="1199">
        <f t="shared" si="20"/>
        <v>-560.60900000000026</v>
      </c>
      <c r="AC39" s="1199">
        <f t="shared" si="20"/>
        <v>-386.80900000000042</v>
      </c>
      <c r="AD39" s="1199">
        <f t="shared" si="20"/>
        <v>-391.00999999999982</v>
      </c>
      <c r="AE39" s="1199">
        <f t="shared" si="20"/>
        <v>-228.58699999999953</v>
      </c>
      <c r="AF39" s="1199">
        <f t="shared" si="20"/>
        <v>-365.49400000000009</v>
      </c>
      <c r="AG39" s="1199">
        <f t="shared" si="20"/>
        <v>-148.96499999999608</v>
      </c>
      <c r="AH39" s="1199">
        <f t="shared" si="20"/>
        <v>-169.96100000000416</v>
      </c>
      <c r="AI39" s="1199">
        <f t="shared" si="20"/>
        <v>-101.22799999999992</v>
      </c>
      <c r="AJ39" s="1199">
        <f t="shared" si="20"/>
        <v>-185.76999999999509</v>
      </c>
    </row>
    <row r="40" spans="1:36" s="1169" customFormat="1">
      <c r="A40" s="1169" t="s">
        <v>1664</v>
      </c>
      <c r="B40" s="1182">
        <f>[3]Assumptions!B153</f>
        <v>0</v>
      </c>
      <c r="C40" s="1182">
        <f>[3]Assumptions!C153</f>
        <v>0</v>
      </c>
      <c r="D40" s="1182">
        <f>[3]Assumptions!D153</f>
        <v>0</v>
      </c>
      <c r="E40" s="1182">
        <f>[3]Assumptions!E153</f>
        <v>0</v>
      </c>
      <c r="F40" s="1182">
        <f>[3]Assumptions!F153</f>
        <v>3.0059999999999998</v>
      </c>
      <c r="G40" s="1182">
        <f>[3]Assumptions!G153</f>
        <v>14.913</v>
      </c>
      <c r="H40" s="1192">
        <f>[3]Assumptions!H153</f>
        <v>1.8620000000000001</v>
      </c>
      <c r="I40" s="1192">
        <f>[3]Assumptions!I153</f>
        <v>14.037000000000001</v>
      </c>
      <c r="J40" s="1192">
        <f>[3]Assumptions!J153</f>
        <v>14.037000000000001</v>
      </c>
      <c r="K40" s="1192">
        <f>[3]Assumptions!K153</f>
        <v>14.037000000000001</v>
      </c>
      <c r="M40" s="1182">
        <f>[3]Assumptions!N153</f>
        <v>0</v>
      </c>
      <c r="N40" s="1182">
        <f>[3]Assumptions!O153</f>
        <v>0</v>
      </c>
      <c r="O40" s="1182">
        <f>[3]Assumptions!P153</f>
        <v>0</v>
      </c>
      <c r="P40" s="1182">
        <f>[3]Assumptions!Q153</f>
        <v>0</v>
      </c>
      <c r="Q40" s="1182">
        <f>[3]Assumptions!R153</f>
        <v>0</v>
      </c>
      <c r="R40" s="1182">
        <f>[3]Assumptions!S153</f>
        <v>0</v>
      </c>
      <c r="S40" s="1182">
        <f>[3]Assumptions!T153</f>
        <v>0</v>
      </c>
      <c r="T40" s="1182">
        <f>[3]Assumptions!U153</f>
        <v>0</v>
      </c>
      <c r="U40" s="1182">
        <f>[3]Assumptions!V153</f>
        <v>0</v>
      </c>
      <c r="V40" s="1182">
        <f>[3]Assumptions!W153</f>
        <v>9.0211E-2</v>
      </c>
      <c r="W40" s="1182">
        <f>[3]Assumptions!X153</f>
        <v>0.41879300000000003</v>
      </c>
      <c r="X40" s="1182">
        <f>[3]Assumptions!Y153</f>
        <v>2.4969960000000002</v>
      </c>
      <c r="Y40" s="1182">
        <f>[3]Assumptions!Z153</f>
        <v>2.7970000000000002</v>
      </c>
      <c r="Z40" s="1182">
        <f>[3]Assumptions!AA153</f>
        <v>2.1160000000000001</v>
      </c>
      <c r="AA40" s="1182">
        <f>[3]Assumptions!AB153</f>
        <v>3.234</v>
      </c>
      <c r="AB40" s="1182">
        <f>[3]Assumptions!AC153</f>
        <v>6.766</v>
      </c>
      <c r="AC40" s="1182">
        <f>[3]Assumptions!AD153</f>
        <v>0.751</v>
      </c>
      <c r="AD40" s="1182">
        <f>[3]Assumptions!AE153</f>
        <v>1.627</v>
      </c>
      <c r="AE40" s="1182">
        <f>[3]Assumptions!AF153</f>
        <v>-0.60899999999999999</v>
      </c>
      <c r="AF40" s="1182">
        <f>[3]Assumptions!AG153</f>
        <v>9.2999999999999999E-2</v>
      </c>
      <c r="AG40" s="1182">
        <f>[3]Assumptions!AH153</f>
        <v>-1.2989999999999999</v>
      </c>
      <c r="AH40" s="1182">
        <f>[3]Assumptions!AI153</f>
        <v>1.7210000000000001</v>
      </c>
      <c r="AI40" s="1182">
        <f>[3]Assumptions!AJ153</f>
        <v>4.1040000000000001</v>
      </c>
      <c r="AJ40" s="1182">
        <f>[3]Assumptions!AK153</f>
        <v>9.5109999999999992</v>
      </c>
    </row>
    <row r="41" spans="1:36" s="1169" customFormat="1">
      <c r="A41" s="1169" t="s">
        <v>1665</v>
      </c>
      <c r="B41" s="1182">
        <f>[3]Assumptions!B154</f>
        <v>-30.928999999999998</v>
      </c>
      <c r="C41" s="1182">
        <f>[3]Assumptions!C154</f>
        <v>0</v>
      </c>
      <c r="D41" s="1182">
        <f>[3]Assumptions!D154</f>
        <v>-59.428400000000003</v>
      </c>
      <c r="E41" s="1182">
        <f>[3]Assumptions!E154</f>
        <v>-15.606</v>
      </c>
      <c r="F41" s="1182">
        <f>[3]Assumptions!F154</f>
        <v>0</v>
      </c>
      <c r="G41" s="1182">
        <f>[3]Assumptions!G154</f>
        <v>-0.106</v>
      </c>
      <c r="H41" s="1192">
        <f>[3]Assumptions!H154</f>
        <v>-1.462</v>
      </c>
      <c r="I41" s="1192">
        <f>[3]Assumptions!I154</f>
        <v>-2.6</v>
      </c>
      <c r="J41" s="1192">
        <f>[3]Assumptions!J154</f>
        <v>-4.5880000000000001</v>
      </c>
      <c r="K41" s="1192">
        <f>[3]Assumptions!K154</f>
        <v>-2.7250000000000001</v>
      </c>
      <c r="M41" s="1182">
        <f>[3]Assumptions!N154</f>
        <v>0</v>
      </c>
      <c r="N41" s="1182">
        <f>[3]Assumptions!O154</f>
        <v>0</v>
      </c>
      <c r="O41" s="1182">
        <f>[3]Assumptions!P154</f>
        <v>-59.428400000000003</v>
      </c>
      <c r="P41" s="1182">
        <f>[3]Assumptions!Q154</f>
        <v>0</v>
      </c>
      <c r="Q41" s="1182">
        <f>[3]Assumptions!R154</f>
        <v>0</v>
      </c>
      <c r="R41" s="1182">
        <f>[3]Assumptions!S154</f>
        <v>-15.605907999999999</v>
      </c>
      <c r="S41" s="1182">
        <f>[3]Assumptions!T154</f>
        <v>0</v>
      </c>
      <c r="T41" s="1182">
        <f>[3]Assumptions!U154</f>
        <v>0</v>
      </c>
      <c r="U41" s="1182">
        <f>[3]Assumptions!V154</f>
        <v>0</v>
      </c>
      <c r="V41" s="1182">
        <f>[3]Assumptions!W154</f>
        <v>0</v>
      </c>
      <c r="W41" s="1182">
        <f>[3]Assumptions!X154</f>
        <v>0</v>
      </c>
      <c r="X41" s="1182">
        <f>[3]Assumptions!Y154</f>
        <v>0</v>
      </c>
      <c r="Y41" s="1182">
        <f>[3]Assumptions!Z154</f>
        <v>0</v>
      </c>
      <c r="Z41" s="1182">
        <f>[3]Assumptions!AA154</f>
        <v>0</v>
      </c>
      <c r="AA41" s="1182">
        <f>[3]Assumptions!AB154</f>
        <v>0</v>
      </c>
      <c r="AB41" s="1182">
        <f>[3]Assumptions!AC154</f>
        <v>-0.106</v>
      </c>
      <c r="AC41" s="1182">
        <f>[3]Assumptions!AD154</f>
        <v>-1.3560000000000001</v>
      </c>
      <c r="AD41" s="1182">
        <f>[3]Assumptions!AE154</f>
        <v>-1.4350000000000001</v>
      </c>
      <c r="AE41" s="1182">
        <f>[3]Assumptions!AF154</f>
        <v>-1.6910000000000001</v>
      </c>
      <c r="AF41" s="1182">
        <f>[3]Assumptions!AG154</f>
        <v>1.7569999999999999</v>
      </c>
      <c r="AG41" s="1182">
        <f>[3]Assumptions!AH154</f>
        <v>-1.8089999999999999</v>
      </c>
      <c r="AH41" s="1182">
        <f>[3]Assumptions!AI154</f>
        <v>1.478</v>
      </c>
      <c r="AI41" s="1182">
        <f>[3]Assumptions!AJ154</f>
        <v>-1.0349999999999999</v>
      </c>
      <c r="AJ41" s="1182">
        <f>[3]Assumptions!AK154</f>
        <v>-1.234</v>
      </c>
    </row>
    <row r="42" spans="1:36" s="1185" customFormat="1">
      <c r="A42" s="1185" t="s">
        <v>1666</v>
      </c>
      <c r="B42" s="1195">
        <f>B39+B40+B41</f>
        <v>-122.879</v>
      </c>
      <c r="C42" s="1195">
        <f t="shared" ref="C42:I42" si="21">C39+C40+C41</f>
        <v>-107.18992300000031</v>
      </c>
      <c r="D42" s="1195">
        <f t="shared" si="21"/>
        <v>-139.06047899999993</v>
      </c>
      <c r="E42" s="1195">
        <f t="shared" si="21"/>
        <v>-463.4640000000004</v>
      </c>
      <c r="F42" s="1195">
        <f t="shared" si="21"/>
        <v>-1459.0869999999998</v>
      </c>
      <c r="G42" s="1195">
        <f t="shared" si="21"/>
        <v>-2460.2620000000002</v>
      </c>
      <c r="H42" s="1202">
        <f t="shared" si="21"/>
        <v>-770.93499999999995</v>
      </c>
      <c r="I42" s="1202">
        <f t="shared" si="21"/>
        <v>-241.10052281578504</v>
      </c>
      <c r="J42" s="1202">
        <f>J39+J40+J41</f>
        <v>-169.29253480815157</v>
      </c>
      <c r="K42" s="1202">
        <f>K39+K40+K41</f>
        <v>-119.03578778150342</v>
      </c>
      <c r="M42" s="1195">
        <f t="shared" ref="M42:AJ42" si="22">M39+M40+M41</f>
        <v>-5.3989999999999894</v>
      </c>
      <c r="N42" s="1195">
        <f t="shared" si="22"/>
        <v>-7.3728700000000611</v>
      </c>
      <c r="O42" s="1195">
        <f t="shared" si="22"/>
        <v>-72.596989999999977</v>
      </c>
      <c r="P42" s="1195">
        <f t="shared" si="22"/>
        <v>-53.691699000000007</v>
      </c>
      <c r="Q42" s="1195">
        <f t="shared" si="22"/>
        <v>-62.734288999999976</v>
      </c>
      <c r="R42" s="1195">
        <f t="shared" si="22"/>
        <v>-128.59299100000004</v>
      </c>
      <c r="S42" s="1195">
        <f t="shared" si="22"/>
        <v>-103.37557299999982</v>
      </c>
      <c r="T42" s="1195">
        <f t="shared" si="22"/>
        <v>-167.96102599999995</v>
      </c>
      <c r="U42" s="1195">
        <f t="shared" si="22"/>
        <v>-232.89122100000029</v>
      </c>
      <c r="V42" s="1195">
        <f t="shared" si="22"/>
        <v>-245.86688000000015</v>
      </c>
      <c r="W42" s="1195">
        <f t="shared" si="22"/>
        <v>-433.09113699999989</v>
      </c>
      <c r="X42" s="1195">
        <f t="shared" si="22"/>
        <v>-545.66797499999984</v>
      </c>
      <c r="Y42" s="1195">
        <f t="shared" si="22"/>
        <v>-574.54599999999971</v>
      </c>
      <c r="Z42" s="1195">
        <f t="shared" si="22"/>
        <v>-764.44399999999962</v>
      </c>
      <c r="AA42" s="1195">
        <f t="shared" si="22"/>
        <v>-568.08799999999985</v>
      </c>
      <c r="AB42" s="1195">
        <f t="shared" si="22"/>
        <v>-553.9490000000003</v>
      </c>
      <c r="AC42" s="1195">
        <f t="shared" si="22"/>
        <v>-387.41400000000044</v>
      </c>
      <c r="AD42" s="1195">
        <f t="shared" si="22"/>
        <v>-390.81799999999981</v>
      </c>
      <c r="AE42" s="1195">
        <f t="shared" si="22"/>
        <v>-230.88699999999955</v>
      </c>
      <c r="AF42" s="1195">
        <f t="shared" si="22"/>
        <v>-363.64400000000006</v>
      </c>
      <c r="AG42" s="1195">
        <f t="shared" si="22"/>
        <v>-152.07299999999609</v>
      </c>
      <c r="AH42" s="1195">
        <f t="shared" si="22"/>
        <v>-166.76200000000415</v>
      </c>
      <c r="AI42" s="1195">
        <f t="shared" si="22"/>
        <v>-98.158999999999921</v>
      </c>
      <c r="AJ42" s="1195">
        <f t="shared" si="22"/>
        <v>-177.49299999999511</v>
      </c>
    </row>
    <row r="43" spans="1:36" s="1185" customFormat="1">
      <c r="A43" s="1187" t="s">
        <v>1667</v>
      </c>
      <c r="B43" s="1199">
        <f>B42-B50-B57</f>
        <v>-122.879</v>
      </c>
      <c r="C43" s="1199">
        <f t="shared" ref="C43:K43" si="23">C42-C50-C57</f>
        <v>-107.18992300000031</v>
      </c>
      <c r="D43" s="1199">
        <f t="shared" si="23"/>
        <v>-139.06047899999993</v>
      </c>
      <c r="E43" s="1199">
        <f t="shared" si="23"/>
        <v>-424.29100000000039</v>
      </c>
      <c r="F43" s="1199">
        <f t="shared" si="23"/>
        <v>-1337.1709999999998</v>
      </c>
      <c r="G43" s="1199">
        <f t="shared" si="23"/>
        <v>-2226.4260000000004</v>
      </c>
      <c r="H43" s="1199">
        <f t="shared" si="23"/>
        <v>-530.73900000000003</v>
      </c>
      <c r="I43" s="1199">
        <f t="shared" si="23"/>
        <v>-31.174522815785053</v>
      </c>
      <c r="J43" s="1199">
        <f t="shared" si="23"/>
        <v>56.660812049686243</v>
      </c>
      <c r="K43" s="1199">
        <f t="shared" si="23"/>
        <v>114.99169015871178</v>
      </c>
      <c r="M43" s="1201">
        <f t="shared" ref="M43:AJ43" si="24">M42-M50-M57</f>
        <v>-5.3989999999999894</v>
      </c>
      <c r="N43" s="1201">
        <f t="shared" si="24"/>
        <v>-7.3728700000000611</v>
      </c>
      <c r="O43" s="1201">
        <f t="shared" si="24"/>
        <v>-72.596989999999977</v>
      </c>
      <c r="P43" s="1201">
        <f t="shared" si="24"/>
        <v>-53.691699000000007</v>
      </c>
      <c r="Q43" s="1201">
        <f t="shared" si="24"/>
        <v>-62.734288999999976</v>
      </c>
      <c r="R43" s="1201">
        <f t="shared" si="24"/>
        <v>-109.60659900000005</v>
      </c>
      <c r="S43" s="1201">
        <f t="shared" si="24"/>
        <v>-94.158535999999813</v>
      </c>
      <c r="T43" s="1201">
        <f t="shared" si="24"/>
        <v>-156.99177699999996</v>
      </c>
      <c r="U43" s="1201">
        <f t="shared" si="24"/>
        <v>-220.01922900000028</v>
      </c>
      <c r="V43" s="1201">
        <f t="shared" si="24"/>
        <v>-233.30850100000015</v>
      </c>
      <c r="W43" s="1201">
        <f t="shared" si="24"/>
        <v>-396.24296499999991</v>
      </c>
      <c r="X43" s="1201">
        <f t="shared" si="24"/>
        <v>-486.03120899999982</v>
      </c>
      <c r="Y43" s="1199">
        <f t="shared" si="24"/>
        <v>-517.44199999999967</v>
      </c>
      <c r="Z43" s="1199">
        <f t="shared" si="24"/>
        <v>-705.98299999999961</v>
      </c>
      <c r="AA43" s="1199">
        <f t="shared" si="24"/>
        <v>-511.41099999999983</v>
      </c>
      <c r="AB43" s="1199">
        <f t="shared" si="24"/>
        <v>-492.35500000000025</v>
      </c>
      <c r="AC43" s="1199">
        <f t="shared" si="24"/>
        <v>-326.3050000000004</v>
      </c>
      <c r="AD43" s="1199">
        <f t="shared" si="24"/>
        <v>-332.58099999999979</v>
      </c>
      <c r="AE43" s="1199">
        <f t="shared" si="24"/>
        <v>-164.21999999999957</v>
      </c>
      <c r="AF43" s="1199">
        <f t="shared" si="24"/>
        <v>-309.46100000000007</v>
      </c>
      <c r="AG43" s="1199">
        <f t="shared" si="24"/>
        <v>-104.72299999999609</v>
      </c>
      <c r="AH43" s="1199">
        <f t="shared" si="24"/>
        <v>-106.55200000000417</v>
      </c>
      <c r="AI43" s="1199">
        <f t="shared" si="24"/>
        <v>-43.124999999999922</v>
      </c>
      <c r="AJ43" s="1199">
        <f t="shared" si="24"/>
        <v>-130.16099999999511</v>
      </c>
    </row>
    <row r="44" spans="1:36" s="1169" customFormat="1">
      <c r="H44" s="1198"/>
      <c r="I44" s="1198"/>
      <c r="J44" s="1198"/>
      <c r="K44" s="1198"/>
    </row>
    <row r="45" spans="1:36" s="1169" customFormat="1">
      <c r="A45" s="1181" t="s">
        <v>1652</v>
      </c>
      <c r="H45" s="1198"/>
      <c r="I45" s="1198"/>
      <c r="J45" s="1198"/>
      <c r="K45" s="1198"/>
    </row>
    <row r="46" spans="1:36" s="1169" customFormat="1">
      <c r="A46" s="1169" t="s">
        <v>1668</v>
      </c>
      <c r="B46" s="1182">
        <f>[3]Assumptions!B160</f>
        <v>0</v>
      </c>
      <c r="C46" s="1182">
        <f>[3]Assumptions!C160</f>
        <v>0</v>
      </c>
      <c r="D46" s="1182">
        <f>[3]Assumptions!D160</f>
        <v>0</v>
      </c>
      <c r="E46" s="1182">
        <f>[3]Assumptions!E160</f>
        <v>-0.8</v>
      </c>
      <c r="F46" s="1182">
        <f>[3]Assumptions!F160</f>
        <v>-0.78500000000000003</v>
      </c>
      <c r="G46" s="1182">
        <f>[3]Assumptions!G160</f>
        <v>-0.89100000000000001</v>
      </c>
      <c r="H46" s="1192">
        <f>[3]Assumptions!H160</f>
        <v>-1.075</v>
      </c>
      <c r="I46" s="1192">
        <f>[3]Assumptions!I160</f>
        <v>-1.4830000000000001</v>
      </c>
      <c r="J46" s="1192">
        <f>[3]Assumptions!J160</f>
        <v>-1.59166902785348</v>
      </c>
      <c r="K46" s="1192">
        <f>[3]Assumptions!K160</f>
        <v>-1.7439445365056001</v>
      </c>
      <c r="M46" s="1182">
        <f>[3]Assumptions!N160</f>
        <v>0</v>
      </c>
      <c r="N46" s="1182">
        <f>[3]Assumptions!O160</f>
        <v>0</v>
      </c>
      <c r="O46" s="1182">
        <f>[3]Assumptions!P160</f>
        <v>0</v>
      </c>
      <c r="P46" s="1182">
        <f>[3]Assumptions!Q160</f>
        <v>0</v>
      </c>
      <c r="Q46" s="1182">
        <f>[3]Assumptions!R160</f>
        <v>0</v>
      </c>
      <c r="R46" s="1182">
        <f>[3]Assumptions!S160</f>
        <v>-0.65500800000000003</v>
      </c>
      <c r="S46" s="1182">
        <f>[3]Assumptions!T160</f>
        <v>-6.6286999999999999E-2</v>
      </c>
      <c r="T46" s="1182">
        <f>[3]Assumptions!U160</f>
        <v>-7.8585000000000002E-2</v>
      </c>
      <c r="U46" s="1182">
        <f>[3]Assumptions!V160</f>
        <v>-0.164828</v>
      </c>
      <c r="V46" s="1182">
        <f>[3]Assumptions!W160</f>
        <v>-0.19550600000000001</v>
      </c>
      <c r="W46" s="1182">
        <f>[3]Assumptions!X160</f>
        <v>-0.21348</v>
      </c>
      <c r="X46" s="1182">
        <f>[3]Assumptions!Y160</f>
        <v>-0.21118600000000001</v>
      </c>
      <c r="Y46" s="1182">
        <f>[3]Assumptions!Z160</f>
        <v>-0.23799999999999999</v>
      </c>
      <c r="Z46" s="1182">
        <f>[3]Assumptions!AA160</f>
        <v>-0.182</v>
      </c>
      <c r="AA46" s="1182">
        <f>[3]Assumptions!AB160</f>
        <v>-0.19500000000000001</v>
      </c>
      <c r="AB46" s="1182">
        <f>[3]Assumptions!AC160</f>
        <v>-0.27600000000000002</v>
      </c>
      <c r="AC46" s="1182">
        <f>[3]Assumptions!AD160</f>
        <v>-0.32100000000000001</v>
      </c>
      <c r="AD46" s="1182">
        <f>[3]Assumptions!AE160</f>
        <v>-0.29599999999999999</v>
      </c>
      <c r="AE46" s="1182">
        <f>[3]Assumptions!AF160</f>
        <v>-0.22800000000000001</v>
      </c>
      <c r="AF46" s="1182">
        <f>[3]Assumptions!AG160</f>
        <v>-0.23</v>
      </c>
      <c r="AG46" s="1182">
        <f>[3]Assumptions!AH160</f>
        <v>-0.22700000000000001</v>
      </c>
      <c r="AH46" s="1182">
        <f>[3]Assumptions!AI160</f>
        <v>-0.25</v>
      </c>
      <c r="AI46" s="1182">
        <f>[3]Assumptions!AJ160</f>
        <v>-0.61399999999999999</v>
      </c>
      <c r="AJ46" s="1182">
        <f>[3]Assumptions!AK160</f>
        <v>-0.39200000000000002</v>
      </c>
    </row>
    <row r="47" spans="1:36" s="1169" customFormat="1">
      <c r="A47" s="1169" t="s">
        <v>1649</v>
      </c>
      <c r="B47" s="1182">
        <f>[3]Assumptions!B163</f>
        <v>0</v>
      </c>
      <c r="C47" s="1182">
        <f>[3]Assumptions!C163</f>
        <v>0</v>
      </c>
      <c r="D47" s="1182">
        <f>[3]Assumptions!D163</f>
        <v>0</v>
      </c>
      <c r="E47" s="1182">
        <f>[3]Assumptions!E163</f>
        <v>-1.972</v>
      </c>
      <c r="F47" s="1182">
        <f>[3]Assumptions!F163</f>
        <v>-3.5379999999999998</v>
      </c>
      <c r="G47" s="1182">
        <f>[3]Assumptions!G163</f>
        <v>-5.702</v>
      </c>
      <c r="H47" s="1192">
        <f>[3]Assumptions!H163</f>
        <v>-6.8639999999999999</v>
      </c>
      <c r="I47" s="1192">
        <f>[3]Assumptions!I163</f>
        <v>-9.1240000000000006</v>
      </c>
      <c r="J47" s="1192">
        <f>[3]Assumptions!J163</f>
        <v>-9.7925746528221094</v>
      </c>
      <c r="K47" s="1192">
        <f>[3]Assumptions!K163</f>
        <v>-10.7294335475908</v>
      </c>
      <c r="M47" s="1182">
        <f>[3]Assumptions!N163</f>
        <v>0</v>
      </c>
      <c r="N47" s="1182">
        <f>[3]Assumptions!O163</f>
        <v>0</v>
      </c>
      <c r="O47" s="1182">
        <f>[3]Assumptions!P163</f>
        <v>0</v>
      </c>
      <c r="P47" s="1182">
        <f>[3]Assumptions!Q163</f>
        <v>0</v>
      </c>
      <c r="Q47" s="1182">
        <f>[3]Assumptions!R163</f>
        <v>0</v>
      </c>
      <c r="R47" s="1182">
        <f>[3]Assumptions!S163</f>
        <v>-1.2325159999999999</v>
      </c>
      <c r="S47" s="1182">
        <f>[3]Assumptions!T163</f>
        <v>-0.265963</v>
      </c>
      <c r="T47" s="1182">
        <f>[3]Assumptions!U163</f>
        <v>-0.47317599999999999</v>
      </c>
      <c r="U47" s="1182">
        <f>[3]Assumptions!V163</f>
        <v>-0.70542400000000005</v>
      </c>
      <c r="V47" s="1182">
        <f>[3]Assumptions!W163</f>
        <v>-0.86577099999999996</v>
      </c>
      <c r="W47" s="1182">
        <f>[3]Assumptions!X163</f>
        <v>-0.837924</v>
      </c>
      <c r="X47" s="1182">
        <f>[3]Assumptions!Y163</f>
        <v>-1.128881</v>
      </c>
      <c r="Y47" s="1182">
        <f>[3]Assumptions!Z163</f>
        <v>-1.3169999999999999</v>
      </c>
      <c r="Z47" s="1182">
        <f>[3]Assumptions!AA163</f>
        <v>-1.2889999999999999</v>
      </c>
      <c r="AA47" s="1182">
        <f>[3]Assumptions!AB163</f>
        <v>-1.387</v>
      </c>
      <c r="AB47" s="1182">
        <f>[3]Assumptions!AC163</f>
        <v>-1.7090000000000001</v>
      </c>
      <c r="AC47" s="1182">
        <f>[3]Assumptions!AD163</f>
        <v>-1.7829999999999999</v>
      </c>
      <c r="AD47" s="1182">
        <f>[3]Assumptions!AE163</f>
        <v>-1.752</v>
      </c>
      <c r="AE47" s="1182">
        <f>[3]Assumptions!AF163</f>
        <v>-2.0049999999999999</v>
      </c>
      <c r="AF47" s="1182">
        <f>[3]Assumptions!AG163</f>
        <v>-1.3240000000000001</v>
      </c>
      <c r="AG47" s="1182">
        <f>[3]Assumptions!AH163</f>
        <v>-1.26</v>
      </c>
      <c r="AH47" s="1182">
        <f>[3]Assumptions!AI163</f>
        <v>-1.901</v>
      </c>
      <c r="AI47" s="1182">
        <f>[3]Assumptions!AJ163</f>
        <v>-3.79</v>
      </c>
      <c r="AJ47" s="1182">
        <f>[3]Assumptions!AK163</f>
        <v>-2.173</v>
      </c>
    </row>
    <row r="48" spans="1:36" s="1169" customFormat="1">
      <c r="A48" s="1169" t="s">
        <v>1650</v>
      </c>
      <c r="B48" s="1182">
        <f>[3]Assumptions!B166</f>
        <v>0</v>
      </c>
      <c r="C48" s="1182">
        <f>[3]Assumptions!C166</f>
        <v>0</v>
      </c>
      <c r="D48" s="1182">
        <f>[3]Assumptions!D166</f>
        <v>0</v>
      </c>
      <c r="E48" s="1182">
        <f>[3]Assumptions!E166</f>
        <v>-0.85699999999999998</v>
      </c>
      <c r="F48" s="1182">
        <f>[3]Assumptions!F166</f>
        <v>-1.1359999999999999</v>
      </c>
      <c r="G48" s="1182">
        <f>[3]Assumptions!G166</f>
        <v>-1.39</v>
      </c>
      <c r="H48" s="1192">
        <f>[3]Assumptions!H166</f>
        <v>-1.65</v>
      </c>
      <c r="I48" s="1192">
        <f>[3]Assumptions!I166</f>
        <v>-0.93500000000000005</v>
      </c>
      <c r="J48" s="1192">
        <f>[3]Assumptions!J166</f>
        <v>-1.0035135138523299</v>
      </c>
      <c r="K48" s="1192">
        <f>[3]Assumptions!K166</f>
        <v>-1.0995199876147901</v>
      </c>
      <c r="M48" s="1182">
        <f>[3]Assumptions!N166</f>
        <v>0</v>
      </c>
      <c r="N48" s="1182">
        <f>[3]Assumptions!O166</f>
        <v>0</v>
      </c>
      <c r="O48" s="1182">
        <f>[3]Assumptions!P166</f>
        <v>0</v>
      </c>
      <c r="P48" s="1182">
        <f>[3]Assumptions!Q166</f>
        <v>0</v>
      </c>
      <c r="Q48" s="1182">
        <f>[3]Assumptions!R166</f>
        <v>0</v>
      </c>
      <c r="R48" s="1182">
        <f>[3]Assumptions!S166</f>
        <v>-0.68136099999999999</v>
      </c>
      <c r="S48" s="1182">
        <f>[3]Assumptions!T166</f>
        <v>-4.1889000000000003E-2</v>
      </c>
      <c r="T48" s="1182">
        <f>[3]Assumptions!U166</f>
        <v>-0.133608</v>
      </c>
      <c r="U48" s="1182">
        <f>[3]Assumptions!V166</f>
        <v>-0.23</v>
      </c>
      <c r="V48" s="1182">
        <f>[3]Assumptions!W166</f>
        <v>-0.29816199999999998</v>
      </c>
      <c r="W48" s="1182">
        <f>[3]Assumptions!X166</f>
        <v>-0.30527700000000002</v>
      </c>
      <c r="X48" s="1182">
        <f>[3]Assumptions!Y166</f>
        <v>-0.30256100000000002</v>
      </c>
      <c r="Y48" s="1182">
        <f>[3]Assumptions!Z166</f>
        <v>-0.32300000000000001</v>
      </c>
      <c r="Z48" s="1182">
        <f>[3]Assumptions!AA166</f>
        <v>-0.32800000000000001</v>
      </c>
      <c r="AA48" s="1182">
        <f>[3]Assumptions!AB166</f>
        <v>-0.32</v>
      </c>
      <c r="AB48" s="1182">
        <f>[3]Assumptions!AC166</f>
        <v>-0.41899999999999998</v>
      </c>
      <c r="AC48" s="1182">
        <f>[3]Assumptions!AD166</f>
        <v>-0.47699999999999998</v>
      </c>
      <c r="AD48" s="1182">
        <f>[3]Assumptions!AE166</f>
        <v>-0.42699999999999999</v>
      </c>
      <c r="AE48" s="1182">
        <f>[3]Assumptions!AF166</f>
        <v>-0.54500000000000004</v>
      </c>
      <c r="AF48" s="1182">
        <f>[3]Assumptions!AG166</f>
        <v>-0.20100000000000001</v>
      </c>
      <c r="AG48" s="1182">
        <f>[3]Assumptions!AH166</f>
        <v>0.185</v>
      </c>
      <c r="AH48" s="1182">
        <f>[3]Assumptions!AI166</f>
        <v>-0.23100000000000001</v>
      </c>
      <c r="AI48" s="1182">
        <f>[3]Assumptions!AJ166</f>
        <v>-0.55600000000000005</v>
      </c>
      <c r="AJ48" s="1182">
        <f>[3]Assumptions!AK166</f>
        <v>-0.33300000000000002</v>
      </c>
    </row>
    <row r="49" spans="1:36" s="1169" customFormat="1">
      <c r="A49" s="1169" t="s">
        <v>1651</v>
      </c>
      <c r="B49" s="1182">
        <f>[3]Assumptions!B169</f>
        <v>0</v>
      </c>
      <c r="C49" s="1182">
        <f>[3]Assumptions!C169</f>
        <v>0</v>
      </c>
      <c r="D49" s="1182">
        <f>[3]Assumptions!D169</f>
        <v>0</v>
      </c>
      <c r="E49" s="1182">
        <f>[3]Assumptions!E169</f>
        <v>-35.543999999999997</v>
      </c>
      <c r="F49" s="1182">
        <f>[3]Assumptions!F169</f>
        <v>-59.683999999999997</v>
      </c>
      <c r="G49" s="1182">
        <f>[3]Assumptions!G169</f>
        <v>-84.436000000000007</v>
      </c>
      <c r="H49" s="1192">
        <f>[3]Assumptions!H169</f>
        <v>-89.085999999999999</v>
      </c>
      <c r="I49" s="1192">
        <f>[3]Assumptions!I169</f>
        <v>-56.826000000000001</v>
      </c>
      <c r="J49" s="1192">
        <f>[3]Assumptions!J169</f>
        <v>-72.007589663309901</v>
      </c>
      <c r="K49" s="1192">
        <f>[3]Assumptions!K169</f>
        <v>-78.896579868504006</v>
      </c>
      <c r="M49" s="1182">
        <f>[3]Assumptions!N169</f>
        <v>0</v>
      </c>
      <c r="N49" s="1182">
        <f>[3]Assumptions!O169</f>
        <v>0</v>
      </c>
      <c r="O49" s="1182">
        <f>[3]Assumptions!P169</f>
        <v>0</v>
      </c>
      <c r="P49" s="1182">
        <f>[3]Assumptions!Q169</f>
        <v>0</v>
      </c>
      <c r="Q49" s="1182">
        <f>[3]Assumptions!R169</f>
        <v>0</v>
      </c>
      <c r="R49" s="1182">
        <f>[3]Assumptions!S169</f>
        <v>-16.417507000000001</v>
      </c>
      <c r="S49" s="1182">
        <f>[3]Assumptions!T169</f>
        <v>-8.8428979999999999</v>
      </c>
      <c r="T49" s="1182">
        <f>[3]Assumptions!U169</f>
        <v>-10.28388</v>
      </c>
      <c r="U49" s="1182">
        <f>[3]Assumptions!V169</f>
        <v>-11.771739999999999</v>
      </c>
      <c r="V49" s="1182">
        <f>[3]Assumptions!W169</f>
        <v>-10.440611000000001</v>
      </c>
      <c r="W49" s="1182">
        <f>[3]Assumptions!X169</f>
        <v>-16.633510999999999</v>
      </c>
      <c r="X49" s="1182">
        <f>[3]Assumptions!Y169</f>
        <v>-20.838138000000001</v>
      </c>
      <c r="Y49" s="1182">
        <f>[3]Assumptions!Z169</f>
        <v>-19.64</v>
      </c>
      <c r="Z49" s="1182">
        <f>[3]Assumptions!AA169</f>
        <v>-21.532</v>
      </c>
      <c r="AA49" s="1182">
        <f>[3]Assumptions!AB169</f>
        <v>-19.606999999999999</v>
      </c>
      <c r="AB49" s="1182">
        <f>[3]Assumptions!AC169</f>
        <v>-23.657</v>
      </c>
      <c r="AC49" s="1182">
        <f>[3]Assumptions!AD169</f>
        <v>-23.138999999999999</v>
      </c>
      <c r="AD49" s="1182">
        <f>[3]Assumptions!AE169</f>
        <v>-20.407</v>
      </c>
      <c r="AE49" s="1182">
        <f>[3]Assumptions!AF169</f>
        <v>-28.451000000000001</v>
      </c>
      <c r="AF49" s="1182">
        <f>[3]Assumptions!AG169</f>
        <v>-17.088999999999999</v>
      </c>
      <c r="AG49" s="1182">
        <f>[3]Assumptions!AH169</f>
        <v>-10.709</v>
      </c>
      <c r="AH49" s="1182">
        <f>[3]Assumptions!AI169</f>
        <v>-22.484999999999999</v>
      </c>
      <c r="AI49" s="1182">
        <f>[3]Assumptions!AJ169</f>
        <v>-14.731</v>
      </c>
      <c r="AJ49" s="1182">
        <f>[3]Assumptions!AK169</f>
        <v>-8.9009999999999998</v>
      </c>
    </row>
    <row r="50" spans="1:36" s="1185" customFormat="1">
      <c r="A50" s="1183" t="s">
        <v>1280</v>
      </c>
      <c r="B50" s="1184">
        <f>SUM(B46:B49)</f>
        <v>0</v>
      </c>
      <c r="C50" s="1184">
        <f t="shared" ref="C50:I50" si="25">SUM(C46:C49)</f>
        <v>0</v>
      </c>
      <c r="D50" s="1184">
        <f t="shared" si="25"/>
        <v>0</v>
      </c>
      <c r="E50" s="1184">
        <f t="shared" si="25"/>
        <v>-39.172999999999995</v>
      </c>
      <c r="F50" s="1184">
        <f t="shared" si="25"/>
        <v>-65.143000000000001</v>
      </c>
      <c r="G50" s="1184">
        <f t="shared" si="25"/>
        <v>-92.419000000000011</v>
      </c>
      <c r="H50" s="1203">
        <f t="shared" si="25"/>
        <v>-98.674999999999997</v>
      </c>
      <c r="I50" s="1203">
        <f t="shared" si="25"/>
        <v>-68.367999999999995</v>
      </c>
      <c r="J50" s="1203">
        <f>SUM(J46:J49)</f>
        <v>-84.395346857837822</v>
      </c>
      <c r="K50" s="1203">
        <f>SUM(K46:K49)</f>
        <v>-92.469477940215199</v>
      </c>
      <c r="M50" s="1184">
        <f t="shared" ref="M50:AJ50" si="26">SUM(M46:M49)</f>
        <v>0</v>
      </c>
      <c r="N50" s="1184">
        <f t="shared" si="26"/>
        <v>0</v>
      </c>
      <c r="O50" s="1184">
        <f t="shared" si="26"/>
        <v>0</v>
      </c>
      <c r="P50" s="1184">
        <f t="shared" si="26"/>
        <v>0</v>
      </c>
      <c r="Q50" s="1184">
        <f t="shared" si="26"/>
        <v>0</v>
      </c>
      <c r="R50" s="1184">
        <f t="shared" si="26"/>
        <v>-18.986392000000002</v>
      </c>
      <c r="S50" s="1184">
        <f t="shared" si="26"/>
        <v>-9.2170369999999995</v>
      </c>
      <c r="T50" s="1184">
        <f t="shared" si="26"/>
        <v>-10.969249</v>
      </c>
      <c r="U50" s="1184">
        <f t="shared" si="26"/>
        <v>-12.871991999999999</v>
      </c>
      <c r="V50" s="1184">
        <f t="shared" si="26"/>
        <v>-11.800050000000001</v>
      </c>
      <c r="W50" s="1184">
        <f t="shared" si="26"/>
        <v>-17.990192</v>
      </c>
      <c r="X50" s="1184">
        <f t="shared" si="26"/>
        <v>-22.480766000000003</v>
      </c>
      <c r="Y50" s="1184">
        <f t="shared" si="26"/>
        <v>-21.518000000000001</v>
      </c>
      <c r="Z50" s="1184">
        <f t="shared" si="26"/>
        <v>-23.331</v>
      </c>
      <c r="AA50" s="1184">
        <f t="shared" si="26"/>
        <v>-21.509</v>
      </c>
      <c r="AB50" s="1184">
        <f t="shared" si="26"/>
        <v>-26.061</v>
      </c>
      <c r="AC50" s="1184">
        <f t="shared" si="26"/>
        <v>-25.72</v>
      </c>
      <c r="AD50" s="1184">
        <f t="shared" si="26"/>
        <v>-22.882000000000001</v>
      </c>
      <c r="AE50" s="1184">
        <f t="shared" si="26"/>
        <v>-31.228999999999999</v>
      </c>
      <c r="AF50" s="1184">
        <f t="shared" si="26"/>
        <v>-18.843999999999998</v>
      </c>
      <c r="AG50" s="1184">
        <f t="shared" si="26"/>
        <v>-12.010999999999999</v>
      </c>
      <c r="AH50" s="1184">
        <f t="shared" si="26"/>
        <v>-24.866999999999997</v>
      </c>
      <c r="AI50" s="1184">
        <f t="shared" si="26"/>
        <v>-19.690999999999999</v>
      </c>
      <c r="AJ50" s="1184">
        <f t="shared" si="26"/>
        <v>-11.798999999999999</v>
      </c>
    </row>
    <row r="51" spans="1:36" s="1169" customFormat="1">
      <c r="A51" s="1204"/>
      <c r="B51" s="1205"/>
      <c r="C51" s="1205"/>
      <c r="D51" s="1205"/>
      <c r="E51" s="1205"/>
      <c r="F51" s="1205"/>
      <c r="G51" s="1205"/>
      <c r="H51" s="1206"/>
      <c r="I51" s="1206"/>
      <c r="J51" s="1206"/>
      <c r="K51" s="1206"/>
      <c r="M51" s="1205"/>
      <c r="N51" s="1205"/>
      <c r="O51" s="1205"/>
      <c r="P51" s="1205"/>
      <c r="Q51" s="1205"/>
      <c r="R51" s="1205"/>
      <c r="S51" s="1205"/>
      <c r="T51" s="1205"/>
      <c r="U51" s="1205"/>
      <c r="V51" s="1205"/>
      <c r="W51" s="1205"/>
      <c r="X51" s="1205"/>
      <c r="Y51" s="1205"/>
      <c r="Z51" s="1205"/>
      <c r="AA51" s="1205"/>
      <c r="AB51" s="1205"/>
      <c r="AC51" s="1205"/>
      <c r="AD51" s="1205"/>
      <c r="AE51" s="1205"/>
      <c r="AF51" s="1205"/>
      <c r="AG51" s="1205"/>
      <c r="AH51" s="1205"/>
      <c r="AI51" s="1205"/>
      <c r="AJ51" s="1205"/>
    </row>
    <row r="52" spans="1:36" s="1169" customFormat="1">
      <c r="A52" s="1181" t="s">
        <v>1653</v>
      </c>
      <c r="H52" s="1198"/>
      <c r="I52" s="1198"/>
      <c r="J52" s="1198"/>
      <c r="K52" s="1198"/>
    </row>
    <row r="53" spans="1:36" s="1169" customFormat="1">
      <c r="A53" s="1169" t="s">
        <v>1668</v>
      </c>
      <c r="B53" s="1182">
        <f>[3]Assumptions!B175</f>
        <v>0</v>
      </c>
      <c r="C53" s="1182">
        <f>[3]Assumptions!C175</f>
        <v>0</v>
      </c>
      <c r="D53" s="1182">
        <f>[3]Assumptions!D175</f>
        <v>0</v>
      </c>
      <c r="E53" s="1182">
        <f>[3]Assumptions!E175</f>
        <v>0</v>
      </c>
      <c r="F53" s="1182">
        <f>[3]Assumptions!F175</f>
        <v>-0.29199999999999998</v>
      </c>
      <c r="G53" s="1182">
        <f>[3]Assumptions!G175</f>
        <v>0.29199999999999998</v>
      </c>
      <c r="H53" s="1192">
        <f>[3]Assumptions!H175</f>
        <v>0</v>
      </c>
      <c r="I53" s="1192">
        <f>[3]Assumptions!I175</f>
        <v>0</v>
      </c>
      <c r="J53" s="1192">
        <f>[3]Assumptions!J175</f>
        <v>0</v>
      </c>
      <c r="K53" s="1192">
        <f>[3]Assumptions!K175</f>
        <v>0</v>
      </c>
      <c r="M53" s="1182">
        <f>[3]Assumptions!N175</f>
        <v>0</v>
      </c>
      <c r="N53" s="1182">
        <f>[3]Assumptions!O175</f>
        <v>0</v>
      </c>
      <c r="O53" s="1182">
        <f>[3]Assumptions!P175</f>
        <v>0</v>
      </c>
      <c r="P53" s="1182">
        <f>[3]Assumptions!Q175</f>
        <v>0</v>
      </c>
      <c r="Q53" s="1182">
        <f>[3]Assumptions!R175</f>
        <v>0</v>
      </c>
      <c r="R53" s="1182">
        <f>[3]Assumptions!S175</f>
        <v>0</v>
      </c>
      <c r="S53" s="1182">
        <f>[3]Assumptions!T175</f>
        <v>0</v>
      </c>
      <c r="T53" s="1182">
        <f>[3]Assumptions!U175</f>
        <v>0</v>
      </c>
      <c r="U53" s="1182">
        <f>[3]Assumptions!V175</f>
        <v>0</v>
      </c>
      <c r="V53" s="1182">
        <f>[3]Assumptions!W175</f>
        <v>0</v>
      </c>
      <c r="W53" s="1182">
        <f>[3]Assumptions!X175</f>
        <v>0</v>
      </c>
      <c r="X53" s="1182">
        <f>[3]Assumptions!Y175</f>
        <v>-0.29199999999999998</v>
      </c>
      <c r="Y53" s="1182">
        <f>[3]Assumptions!Z175</f>
        <v>0.29199999999999998</v>
      </c>
      <c r="Z53" s="1182">
        <f>[3]Assumptions!AA175</f>
        <v>0</v>
      </c>
      <c r="AA53" s="1182">
        <f>[3]Assumptions!AB175</f>
        <v>0</v>
      </c>
      <c r="AB53" s="1182">
        <f>[3]Assumptions!AC175</f>
        <v>0</v>
      </c>
      <c r="AC53" s="1182">
        <f>[3]Assumptions!AD175</f>
        <v>0</v>
      </c>
      <c r="AD53" s="1182">
        <f>[3]Assumptions!AE175</f>
        <v>0</v>
      </c>
      <c r="AE53" s="1182">
        <f>[3]Assumptions!AF175</f>
        <v>0</v>
      </c>
      <c r="AF53" s="1182">
        <f>[3]Assumptions!AG175</f>
        <v>0</v>
      </c>
      <c r="AG53" s="1182">
        <f>[3]Assumptions!AH175</f>
        <v>0</v>
      </c>
      <c r="AH53" s="1182">
        <f>[3]Assumptions!AI175</f>
        <v>0</v>
      </c>
      <c r="AI53" s="1182">
        <f>[3]Assumptions!AJ175</f>
        <v>0</v>
      </c>
      <c r="AJ53" s="1182">
        <f>[3]Assumptions!AK175</f>
        <v>0</v>
      </c>
    </row>
    <row r="54" spans="1:36" s="1169" customFormat="1">
      <c r="A54" s="1169" t="s">
        <v>1649</v>
      </c>
      <c r="B54" s="1182">
        <f>[3]Assumptions!B176</f>
        <v>0</v>
      </c>
      <c r="C54" s="1182">
        <f>[3]Assumptions!C176</f>
        <v>0</v>
      </c>
      <c r="D54" s="1182">
        <f>[3]Assumptions!D176</f>
        <v>0</v>
      </c>
      <c r="E54" s="1182">
        <f>[3]Assumptions!E176</f>
        <v>0</v>
      </c>
      <c r="F54" s="1182">
        <f>[3]Assumptions!F176</f>
        <v>-0.71499999999999997</v>
      </c>
      <c r="G54" s="1182">
        <f>[3]Assumptions!G176</f>
        <v>-1.7470000000000001</v>
      </c>
      <c r="H54" s="1192">
        <f>[3]Assumptions!H176</f>
        <v>-1.5960000000000001</v>
      </c>
      <c r="I54" s="1192">
        <f>[3]Assumptions!I176</f>
        <v>-1.786</v>
      </c>
      <c r="J54" s="1192">
        <f>[3]Assumptions!J176</f>
        <v>-1.786</v>
      </c>
      <c r="K54" s="1192">
        <f>[3]Assumptions!K176</f>
        <v>-1.786</v>
      </c>
      <c r="M54" s="1182">
        <f>[3]Assumptions!N176</f>
        <v>0</v>
      </c>
      <c r="N54" s="1182">
        <f>[3]Assumptions!O176</f>
        <v>0</v>
      </c>
      <c r="O54" s="1182">
        <f>[3]Assumptions!P176</f>
        <v>0</v>
      </c>
      <c r="P54" s="1182">
        <f>[3]Assumptions!Q176</f>
        <v>0</v>
      </c>
      <c r="Q54" s="1182">
        <f>[3]Assumptions!R176</f>
        <v>0</v>
      </c>
      <c r="R54" s="1182">
        <f>[3]Assumptions!S176</f>
        <v>0</v>
      </c>
      <c r="S54" s="1182">
        <f>[3]Assumptions!T176</f>
        <v>0</v>
      </c>
      <c r="T54" s="1182">
        <f>[3]Assumptions!U176</f>
        <v>0</v>
      </c>
      <c r="U54" s="1182">
        <f>[3]Assumptions!V176</f>
        <v>0</v>
      </c>
      <c r="V54" s="1182">
        <f>[3]Assumptions!W176</f>
        <v>0</v>
      </c>
      <c r="W54" s="1182">
        <f>[3]Assumptions!X176</f>
        <v>-0.31620599999999999</v>
      </c>
      <c r="X54" s="1182">
        <f>[3]Assumptions!Y176</f>
        <v>-0.39900000000000002</v>
      </c>
      <c r="Y54" s="1182">
        <f>[3]Assumptions!Z176</f>
        <v>-0.55000000000000004</v>
      </c>
      <c r="Z54" s="1182">
        <f>[3]Assumptions!AA176</f>
        <v>-0.39900000000000002</v>
      </c>
      <c r="AA54" s="1182">
        <f>[3]Assumptions!AB176</f>
        <v>-0.39900000000000002</v>
      </c>
      <c r="AB54" s="1182">
        <f>[3]Assumptions!AC176</f>
        <v>-0.39900000000000002</v>
      </c>
      <c r="AC54" s="1182">
        <f>[3]Assumptions!AD176</f>
        <v>-0.39900000000000002</v>
      </c>
      <c r="AD54" s="1182">
        <f>[3]Assumptions!AE176</f>
        <v>-0.39900000000000002</v>
      </c>
      <c r="AE54" s="1182">
        <f>[3]Assumptions!AF176</f>
        <v>-0.39900000000000002</v>
      </c>
      <c r="AF54" s="1182">
        <f>[3]Assumptions!AG176</f>
        <v>-0.39900000000000002</v>
      </c>
      <c r="AG54" s="1182">
        <f>[3]Assumptions!AH176</f>
        <v>-0.39900000000000002</v>
      </c>
      <c r="AH54" s="1182">
        <f>[3]Assumptions!AI176</f>
        <v>-0.39900000000000002</v>
      </c>
      <c r="AI54" s="1182">
        <f>[3]Assumptions!AJ176</f>
        <v>-0.39900000000000002</v>
      </c>
      <c r="AJ54" s="1182">
        <f>[3]Assumptions!AK176</f>
        <v>-0.58899999999999997</v>
      </c>
    </row>
    <row r="55" spans="1:36" s="1169" customFormat="1">
      <c r="A55" s="1169" t="s">
        <v>1650</v>
      </c>
      <c r="B55" s="1182">
        <f>[3]Assumptions!B177</f>
        <v>0</v>
      </c>
      <c r="C55" s="1182">
        <f>[3]Assumptions!C177</f>
        <v>0</v>
      </c>
      <c r="D55" s="1182">
        <f>[3]Assumptions!D177</f>
        <v>0</v>
      </c>
      <c r="E55" s="1182">
        <f>[3]Assumptions!E177</f>
        <v>0</v>
      </c>
      <c r="F55" s="1182">
        <f>[3]Assumptions!F177</f>
        <v>-55.15</v>
      </c>
      <c r="G55" s="1182">
        <f>[3]Assumptions!G177</f>
        <v>-136.239</v>
      </c>
      <c r="H55" s="1192">
        <f>[3]Assumptions!H177</f>
        <v>-136.65199999999999</v>
      </c>
      <c r="I55" s="1192">
        <f>[3]Assumptions!I177</f>
        <v>-136.65199999999999</v>
      </c>
      <c r="J55" s="1192">
        <f>[3]Assumptions!J177</f>
        <v>-136.65199999999999</v>
      </c>
      <c r="K55" s="1192">
        <f>[3]Assumptions!K177</f>
        <v>-136.65199999999999</v>
      </c>
      <c r="M55" s="1182">
        <f>[3]Assumptions!N177</f>
        <v>0</v>
      </c>
      <c r="N55" s="1182">
        <f>[3]Assumptions!O177</f>
        <v>0</v>
      </c>
      <c r="O55" s="1182">
        <f>[3]Assumptions!P177</f>
        <v>0</v>
      </c>
      <c r="P55" s="1182">
        <f>[3]Assumptions!Q177</f>
        <v>0</v>
      </c>
      <c r="Q55" s="1182">
        <f>[3]Assumptions!R177</f>
        <v>0</v>
      </c>
      <c r="R55" s="1182">
        <f>[3]Assumptions!S177</f>
        <v>0</v>
      </c>
      <c r="S55" s="1182">
        <f>[3]Assumptions!T177</f>
        <v>0</v>
      </c>
      <c r="T55" s="1182">
        <f>[3]Assumptions!U177</f>
        <v>0</v>
      </c>
      <c r="U55" s="1182">
        <f>[3]Assumptions!V177</f>
        <v>0</v>
      </c>
      <c r="V55" s="1182">
        <f>[3]Assumptions!W177</f>
        <v>-0.75832900000000003</v>
      </c>
      <c r="W55" s="1182">
        <f>[3]Assumptions!X177</f>
        <v>-17.611433000000002</v>
      </c>
      <c r="X55" s="1182">
        <f>[3]Assumptions!Y177</f>
        <v>-36.78</v>
      </c>
      <c r="Y55" s="1182">
        <f>[3]Assumptions!Z177</f>
        <v>-33.847999999999999</v>
      </c>
      <c r="Z55" s="1182">
        <f>[3]Assumptions!AA177</f>
        <v>-34.11</v>
      </c>
      <c r="AA55" s="1182">
        <f>[3]Assumptions!AB177</f>
        <v>-34.113</v>
      </c>
      <c r="AB55" s="1182">
        <f>[3]Assumptions!AC177</f>
        <v>-34.167999999999999</v>
      </c>
      <c r="AC55" s="1182">
        <f>[3]Assumptions!AD177</f>
        <v>-34.162999999999997</v>
      </c>
      <c r="AD55" s="1182">
        <f>[3]Assumptions!AE177</f>
        <v>-34.162999999999997</v>
      </c>
      <c r="AE55" s="1182">
        <f>[3]Assumptions!AF177</f>
        <v>-34.162999999999997</v>
      </c>
      <c r="AF55" s="1182">
        <f>[3]Assumptions!AG177</f>
        <v>-34.162999999999997</v>
      </c>
      <c r="AG55" s="1182">
        <f>[3]Assumptions!AH177</f>
        <v>-34.162999999999997</v>
      </c>
      <c r="AH55" s="1182">
        <f>[3]Assumptions!AI177</f>
        <v>-34.162999999999997</v>
      </c>
      <c r="AI55" s="1182">
        <f>[3]Assumptions!AJ177</f>
        <v>-34.162999999999997</v>
      </c>
      <c r="AJ55" s="1182">
        <f>[3]Assumptions!AK177</f>
        <v>-34.162999999999997</v>
      </c>
    </row>
    <row r="56" spans="1:36" s="1169" customFormat="1">
      <c r="A56" s="1169" t="s">
        <v>1651</v>
      </c>
      <c r="B56" s="1182">
        <f>[3]Assumptions!B178</f>
        <v>0</v>
      </c>
      <c r="C56" s="1182">
        <f>[3]Assumptions!C178</f>
        <v>0</v>
      </c>
      <c r="D56" s="1182">
        <f>[3]Assumptions!D178</f>
        <v>0</v>
      </c>
      <c r="E56" s="1182">
        <f>[3]Assumptions!E178</f>
        <v>0</v>
      </c>
      <c r="F56" s="1182">
        <f>[3]Assumptions!F178</f>
        <v>-0.61599999999999999</v>
      </c>
      <c r="G56" s="1182">
        <f>[3]Assumptions!G178</f>
        <v>-3.7229999999999999</v>
      </c>
      <c r="H56" s="1192">
        <f>[3]Assumptions!H178</f>
        <v>-3.2730000000000001</v>
      </c>
      <c r="I56" s="1192">
        <f>[3]Assumptions!I178</f>
        <v>-3.12</v>
      </c>
      <c r="J56" s="1192">
        <f>[3]Assumptions!J178</f>
        <v>-3.12</v>
      </c>
      <c r="K56" s="1192">
        <f>[3]Assumptions!K178</f>
        <v>-3.12</v>
      </c>
      <c r="M56" s="1182">
        <f>[3]Assumptions!N178</f>
        <v>0</v>
      </c>
      <c r="N56" s="1182">
        <f>[3]Assumptions!O178</f>
        <v>0</v>
      </c>
      <c r="O56" s="1182">
        <f>[3]Assumptions!P178</f>
        <v>0</v>
      </c>
      <c r="P56" s="1182">
        <f>[3]Assumptions!Q178</f>
        <v>0</v>
      </c>
      <c r="Q56" s="1182">
        <f>[3]Assumptions!R178</f>
        <v>0</v>
      </c>
      <c r="R56" s="1182">
        <f>[3]Assumptions!S178</f>
        <v>0</v>
      </c>
      <c r="S56" s="1182">
        <f>[3]Assumptions!T178</f>
        <v>0</v>
      </c>
      <c r="T56" s="1182">
        <f>[3]Assumptions!U178</f>
        <v>0</v>
      </c>
      <c r="U56" s="1182">
        <f>[3]Assumptions!V178</f>
        <v>0</v>
      </c>
      <c r="V56" s="1182">
        <f>[3]Assumptions!W178</f>
        <v>0</v>
      </c>
      <c r="W56" s="1182">
        <f>[3]Assumptions!X178</f>
        <v>-0.93034099999999997</v>
      </c>
      <c r="X56" s="1182">
        <f>[3]Assumptions!Y178</f>
        <v>0.315</v>
      </c>
      <c r="Y56" s="1182">
        <f>[3]Assumptions!Z178</f>
        <v>-1.48</v>
      </c>
      <c r="Z56" s="1182">
        <f>[3]Assumptions!AA178</f>
        <v>-0.621</v>
      </c>
      <c r="AA56" s="1182">
        <f>[3]Assumptions!AB178</f>
        <v>-0.65600000000000003</v>
      </c>
      <c r="AB56" s="1182">
        <f>[3]Assumptions!AC178</f>
        <v>-0.96599999999999997</v>
      </c>
      <c r="AC56" s="1182">
        <f>[3]Assumptions!AD178</f>
        <v>-0.82699999999999996</v>
      </c>
      <c r="AD56" s="1182">
        <f>[3]Assumptions!AE178</f>
        <v>-0.79300000000000004</v>
      </c>
      <c r="AE56" s="1182">
        <f>[3]Assumptions!AF178</f>
        <v>-0.876</v>
      </c>
      <c r="AF56" s="1182">
        <f>[3]Assumptions!AG178</f>
        <v>-0.77700000000000002</v>
      </c>
      <c r="AG56" s="1182">
        <f>[3]Assumptions!AH178</f>
        <v>-0.77700000000000002</v>
      </c>
      <c r="AH56" s="1182">
        <f>[3]Assumptions!AI178</f>
        <v>-0.78100000000000003</v>
      </c>
      <c r="AI56" s="1182">
        <f>[3]Assumptions!AJ178</f>
        <v>-0.78100000000000003</v>
      </c>
      <c r="AJ56" s="1182">
        <f>[3]Assumptions!AK178</f>
        <v>-0.78100000000000003</v>
      </c>
    </row>
    <row r="57" spans="1:36" s="1169" customFormat="1">
      <c r="A57" s="1183" t="s">
        <v>1280</v>
      </c>
      <c r="B57" s="1184">
        <f>SUM(B53:B56)</f>
        <v>0</v>
      </c>
      <c r="C57" s="1184">
        <f t="shared" ref="C57:K57" si="27">SUM(C53:C56)</f>
        <v>0</v>
      </c>
      <c r="D57" s="1184">
        <f t="shared" si="27"/>
        <v>0</v>
      </c>
      <c r="E57" s="1184">
        <f t="shared" si="27"/>
        <v>0</v>
      </c>
      <c r="F57" s="1184">
        <f t="shared" si="27"/>
        <v>-56.772999999999996</v>
      </c>
      <c r="G57" s="1184">
        <f t="shared" si="27"/>
        <v>-141.41700000000003</v>
      </c>
      <c r="H57" s="1184">
        <f t="shared" si="27"/>
        <v>-141.52099999999999</v>
      </c>
      <c r="I57" s="1184">
        <f t="shared" si="27"/>
        <v>-141.55799999999999</v>
      </c>
      <c r="J57" s="1184">
        <f t="shared" si="27"/>
        <v>-141.55799999999999</v>
      </c>
      <c r="K57" s="1184">
        <f t="shared" si="27"/>
        <v>-141.55799999999999</v>
      </c>
      <c r="M57" s="1184">
        <f t="shared" ref="M57:AJ57" si="28">SUM(M53:M56)</f>
        <v>0</v>
      </c>
      <c r="N57" s="1184">
        <f t="shared" si="28"/>
        <v>0</v>
      </c>
      <c r="O57" s="1184">
        <f t="shared" si="28"/>
        <v>0</v>
      </c>
      <c r="P57" s="1184">
        <f t="shared" si="28"/>
        <v>0</v>
      </c>
      <c r="Q57" s="1184">
        <f t="shared" si="28"/>
        <v>0</v>
      </c>
      <c r="R57" s="1184">
        <f t="shared" si="28"/>
        <v>0</v>
      </c>
      <c r="S57" s="1184">
        <f t="shared" si="28"/>
        <v>0</v>
      </c>
      <c r="T57" s="1184">
        <f t="shared" si="28"/>
        <v>0</v>
      </c>
      <c r="U57" s="1184">
        <f t="shared" si="28"/>
        <v>0</v>
      </c>
      <c r="V57" s="1184">
        <f t="shared" si="28"/>
        <v>-0.75832900000000003</v>
      </c>
      <c r="W57" s="1184">
        <f t="shared" si="28"/>
        <v>-18.857980000000001</v>
      </c>
      <c r="X57" s="1184">
        <f t="shared" si="28"/>
        <v>-37.156000000000006</v>
      </c>
      <c r="Y57" s="1184">
        <f t="shared" si="28"/>
        <v>-35.585999999999999</v>
      </c>
      <c r="Z57" s="1184">
        <f t="shared" si="28"/>
        <v>-35.130000000000003</v>
      </c>
      <c r="AA57" s="1184">
        <f t="shared" si="28"/>
        <v>-35.167999999999999</v>
      </c>
      <c r="AB57" s="1184">
        <f t="shared" si="28"/>
        <v>-35.533000000000001</v>
      </c>
      <c r="AC57" s="1184">
        <f t="shared" si="28"/>
        <v>-35.388999999999996</v>
      </c>
      <c r="AD57" s="1184">
        <f t="shared" si="28"/>
        <v>-35.354999999999997</v>
      </c>
      <c r="AE57" s="1184">
        <f t="shared" si="28"/>
        <v>-35.437999999999995</v>
      </c>
      <c r="AF57" s="1184">
        <f t="shared" si="28"/>
        <v>-35.338999999999999</v>
      </c>
      <c r="AG57" s="1184">
        <f t="shared" si="28"/>
        <v>-35.338999999999999</v>
      </c>
      <c r="AH57" s="1184">
        <f t="shared" si="28"/>
        <v>-35.342999999999996</v>
      </c>
      <c r="AI57" s="1184">
        <f t="shared" si="28"/>
        <v>-35.342999999999996</v>
      </c>
      <c r="AJ57" s="1184">
        <f t="shared" si="28"/>
        <v>-35.532999999999994</v>
      </c>
    </row>
    <row r="58" spans="1:36" s="1169" customFormat="1">
      <c r="A58" s="1204"/>
      <c r="H58" s="1198"/>
      <c r="I58" s="1198"/>
      <c r="J58" s="1198"/>
      <c r="K58" s="1198"/>
    </row>
    <row r="59" spans="1:36" s="1169" customFormat="1">
      <c r="A59" s="1179" t="s">
        <v>1669</v>
      </c>
      <c r="B59" s="1180"/>
      <c r="C59" s="1180"/>
      <c r="D59" s="1180"/>
      <c r="E59" s="1180"/>
      <c r="F59" s="1180"/>
      <c r="G59" s="1180"/>
      <c r="H59" s="1207"/>
      <c r="I59" s="1207"/>
      <c r="J59" s="1207"/>
      <c r="K59" s="1207"/>
      <c r="M59" s="1180"/>
      <c r="N59" s="1180"/>
      <c r="O59" s="1180"/>
      <c r="P59" s="1180"/>
      <c r="Q59" s="1180"/>
      <c r="R59" s="1180"/>
      <c r="S59" s="1180"/>
      <c r="T59" s="1180"/>
      <c r="U59" s="1180"/>
      <c r="V59" s="1180"/>
      <c r="W59" s="1180"/>
      <c r="X59" s="1180"/>
      <c r="Y59" s="1180"/>
      <c r="Z59" s="1180"/>
      <c r="AA59" s="1180"/>
      <c r="AB59" s="1180"/>
      <c r="AC59" s="1180"/>
      <c r="AD59" s="1180"/>
      <c r="AE59" s="1180"/>
      <c r="AF59" s="1180"/>
      <c r="AG59" s="1180"/>
      <c r="AH59" s="1180"/>
      <c r="AI59" s="1180"/>
      <c r="AJ59" s="1180"/>
    </row>
    <row r="60" spans="1:36" s="1169" customFormat="1">
      <c r="A60" s="1181" t="s">
        <v>1670</v>
      </c>
      <c r="H60" s="1198"/>
      <c r="I60" s="1198"/>
      <c r="J60" s="1198"/>
      <c r="K60" s="1198"/>
    </row>
    <row r="61" spans="1:36">
      <c r="A61" s="1169" t="s">
        <v>1671</v>
      </c>
      <c r="B61" s="1208">
        <v>332.10080799999997</v>
      </c>
      <c r="C61" s="1208">
        <v>299.23753599999998</v>
      </c>
      <c r="D61" s="1208">
        <v>419.40283499999998</v>
      </c>
      <c r="E61" s="1208">
        <v>1457.7223759999999</v>
      </c>
      <c r="F61" s="1208">
        <v>2101.2170000000001</v>
      </c>
      <c r="G61" s="1208">
        <v>1085.2360000000001</v>
      </c>
      <c r="H61" s="1208">
        <v>484.101</v>
      </c>
      <c r="I61" s="1192">
        <f t="shared" ref="I61:I66" si="29">AJ61</f>
        <v>560.35599999999999</v>
      </c>
      <c r="J61" s="1192">
        <f>J142</f>
        <v>606.90855204968591</v>
      </c>
      <c r="K61" s="1192">
        <f>K142</f>
        <v>731.55702220839794</v>
      </c>
      <c r="N61" s="1210"/>
      <c r="O61" s="1210"/>
      <c r="P61" s="1210">
        <v>419.40283499999998</v>
      </c>
      <c r="Q61" s="1210"/>
      <c r="R61" s="1210">
        <v>1195.931456</v>
      </c>
      <c r="S61" s="1210">
        <v>650.38904400000001</v>
      </c>
      <c r="T61" s="1210">
        <v>1457.7223759999999</v>
      </c>
      <c r="U61" s="1210">
        <v>1174.121594</v>
      </c>
      <c r="V61" s="1210">
        <v>3145.3606329999998</v>
      </c>
      <c r="W61" s="1210">
        <v>2615.3596670000002</v>
      </c>
      <c r="X61" s="1210">
        <v>2101.2170000000001</v>
      </c>
      <c r="Y61" s="1210">
        <v>2057.8009999999999</v>
      </c>
      <c r="Z61" s="1210">
        <v>1237.7380000000001</v>
      </c>
      <c r="AA61" s="1210">
        <v>1447.7439999999999</v>
      </c>
      <c r="AB61" s="1210">
        <f t="shared" ref="AB61:AB66" si="30">G61</f>
        <v>1085.2360000000001</v>
      </c>
      <c r="AC61" s="1210">
        <v>754.33199999999999</v>
      </c>
      <c r="AD61" s="1210">
        <v>1072.126</v>
      </c>
      <c r="AE61" s="1210">
        <v>847.98400000000004</v>
      </c>
      <c r="AF61" s="1210">
        <f t="shared" ref="AF61:AF66" si="31">H61</f>
        <v>484.101</v>
      </c>
      <c r="AG61" s="1210">
        <v>612.26900000000001</v>
      </c>
      <c r="AH61" s="1210">
        <v>642.03399999999999</v>
      </c>
      <c r="AI61" s="1210">
        <f>614224/1000</f>
        <v>614.22400000000005</v>
      </c>
      <c r="AJ61" s="1210">
        <f>560.356</f>
        <v>560.35599999999999</v>
      </c>
    </row>
    <row r="62" spans="1:36">
      <c r="A62" s="1169" t="s">
        <v>1672</v>
      </c>
      <c r="B62" s="1208">
        <v>11.53</v>
      </c>
      <c r="C62" s="1208">
        <v>6.875</v>
      </c>
      <c r="D62" s="1208">
        <v>9.25</v>
      </c>
      <c r="E62" s="1208">
        <v>44.03</v>
      </c>
      <c r="F62" s="1208">
        <v>338.99700000000001</v>
      </c>
      <c r="G62" s="1208">
        <v>124.56100000000001</v>
      </c>
      <c r="H62" s="1208">
        <v>91.81</v>
      </c>
      <c r="I62" s="1192">
        <f t="shared" si="29"/>
        <v>270.67</v>
      </c>
      <c r="J62" s="1192">
        <f>I62</f>
        <v>270.67</v>
      </c>
      <c r="K62" s="1192">
        <f>J62</f>
        <v>270.67</v>
      </c>
      <c r="N62" s="1210"/>
      <c r="O62" s="1210"/>
      <c r="P62" s="1210">
        <v>9.25</v>
      </c>
      <c r="Q62" s="1210"/>
      <c r="R62" s="1210">
        <v>13.87</v>
      </c>
      <c r="S62" s="1210">
        <v>21.03</v>
      </c>
      <c r="T62" s="1210">
        <v>44.03</v>
      </c>
      <c r="U62" s="1210">
        <v>46.898359999999997</v>
      </c>
      <c r="V62" s="1210">
        <v>261.23624699999999</v>
      </c>
      <c r="W62" s="1210">
        <v>308.42031400000002</v>
      </c>
      <c r="X62" s="1210">
        <v>338.99700000000001</v>
      </c>
      <c r="Y62" s="1210">
        <v>145.089</v>
      </c>
      <c r="Z62" s="1210">
        <v>137.19999999999999</v>
      </c>
      <c r="AA62" s="1210">
        <v>122.13200000000001</v>
      </c>
      <c r="AB62" s="1210">
        <f t="shared" si="30"/>
        <v>124.56100000000001</v>
      </c>
      <c r="AC62" s="1210">
        <v>96.968000000000004</v>
      </c>
      <c r="AD62" s="1210">
        <v>120.404</v>
      </c>
      <c r="AE62" s="1210">
        <v>90.552999999999997</v>
      </c>
      <c r="AF62" s="1210">
        <f t="shared" si="31"/>
        <v>91.81</v>
      </c>
      <c r="AG62" s="1210">
        <v>145.904</v>
      </c>
      <c r="AH62" s="1210">
        <v>170.13</v>
      </c>
      <c r="AI62" s="1210">
        <f>208365/1000</f>
        <v>208.36500000000001</v>
      </c>
      <c r="AJ62" s="1210">
        <v>270.67</v>
      </c>
    </row>
    <row r="63" spans="1:36">
      <c r="A63" s="1169" t="s">
        <v>1673</v>
      </c>
      <c r="B63" s="1208">
        <v>0</v>
      </c>
      <c r="C63" s="1208">
        <v>30</v>
      </c>
      <c r="D63" s="1208">
        <v>327</v>
      </c>
      <c r="E63" s="1208">
        <v>468.57</v>
      </c>
      <c r="F63" s="1208">
        <v>1226.415</v>
      </c>
      <c r="G63" s="1208">
        <v>3603.4969999999998</v>
      </c>
      <c r="H63" s="1208">
        <v>3084.634</v>
      </c>
      <c r="I63" s="1192">
        <f t="shared" si="29"/>
        <v>859.21100000000001</v>
      </c>
      <c r="J63" s="1192">
        <f>I63-J119</f>
        <v>859.21100000000001</v>
      </c>
      <c r="K63" s="1192">
        <f>J63-K119</f>
        <v>859.21100000000001</v>
      </c>
      <c r="N63" s="1210"/>
      <c r="O63" s="1210"/>
      <c r="P63" s="1210">
        <v>327</v>
      </c>
      <c r="Q63" s="1210"/>
      <c r="R63" s="1210">
        <v>334</v>
      </c>
      <c r="S63" s="1210">
        <v>831.57500000000005</v>
      </c>
      <c r="T63" s="1210">
        <v>468.57</v>
      </c>
      <c r="U63" s="1210">
        <v>683.56600000000003</v>
      </c>
      <c r="V63" s="1210">
        <v>981.83399999999995</v>
      </c>
      <c r="W63" s="1210">
        <v>1648.6898920000001</v>
      </c>
      <c r="X63" s="1210">
        <v>1226.415</v>
      </c>
      <c r="Y63" s="1210">
        <v>3480.6129999999998</v>
      </c>
      <c r="Z63" s="1210">
        <v>4563.08</v>
      </c>
      <c r="AA63" s="1210">
        <v>3939.5239999999999</v>
      </c>
      <c r="AB63" s="1210">
        <f t="shared" si="30"/>
        <v>3603.4969999999998</v>
      </c>
      <c r="AC63" s="1210">
        <v>3373.5839999999998</v>
      </c>
      <c r="AD63" s="1210">
        <v>3323.0630000000001</v>
      </c>
      <c r="AE63" s="1210">
        <v>3443.9839999999999</v>
      </c>
      <c r="AF63" s="1210">
        <f t="shared" si="31"/>
        <v>3084.634</v>
      </c>
      <c r="AG63" s="1210">
        <v>2379.9459999999999</v>
      </c>
      <c r="AH63" s="1210">
        <v>1094.607</v>
      </c>
      <c r="AI63" s="1210">
        <f>1038799/1000</f>
        <v>1038.799</v>
      </c>
      <c r="AJ63" s="1210">
        <v>859.21100000000001</v>
      </c>
    </row>
    <row r="64" spans="1:36">
      <c r="A64" s="1169" t="s">
        <v>1674</v>
      </c>
      <c r="B64" s="1208">
        <v>1.652272</v>
      </c>
      <c r="C64" s="1208">
        <v>6.2254480000000001</v>
      </c>
      <c r="D64" s="1208">
        <v>1.651087</v>
      </c>
      <c r="E64" s="1208">
        <v>8.6444810000000007</v>
      </c>
      <c r="F64" s="1208">
        <v>113.252</v>
      </c>
      <c r="G64" s="1208">
        <v>235.673</v>
      </c>
      <c r="H64" s="1208">
        <v>286.62700000000001</v>
      </c>
      <c r="I64" s="1192">
        <f t="shared" si="29"/>
        <v>347.54700000000003</v>
      </c>
      <c r="J64" s="1192">
        <f>I64</f>
        <v>347.54700000000003</v>
      </c>
      <c r="K64" s="1192">
        <f>J64</f>
        <v>347.54700000000003</v>
      </c>
      <c r="N64" s="1210"/>
      <c r="O64" s="1210"/>
      <c r="P64" s="1210">
        <v>1.651087</v>
      </c>
      <c r="Q64" s="1210"/>
      <c r="R64" s="1210">
        <v>9.4525900000000007</v>
      </c>
      <c r="S64" s="1210">
        <v>9.5474829999999997</v>
      </c>
      <c r="T64" s="1210">
        <v>8.6444810000000007</v>
      </c>
      <c r="U64" s="1210">
        <v>28.939529</v>
      </c>
      <c r="V64" s="1210">
        <v>65.122667000000007</v>
      </c>
      <c r="W64" s="1210">
        <v>109.473488</v>
      </c>
      <c r="X64" s="1210">
        <v>113.252</v>
      </c>
      <c r="Y64" s="1210">
        <v>148.393</v>
      </c>
      <c r="Z64" s="1210">
        <v>231.893</v>
      </c>
      <c r="AA64" s="1210">
        <v>300.35700000000003</v>
      </c>
      <c r="AB64" s="1210">
        <f t="shared" si="30"/>
        <v>235.673</v>
      </c>
      <c r="AC64" s="1210">
        <v>264.54500000000002</v>
      </c>
      <c r="AD64" s="1210">
        <v>329.851</v>
      </c>
      <c r="AE64" s="1210">
        <v>443.072</v>
      </c>
      <c r="AF64" s="1210">
        <f t="shared" si="31"/>
        <v>286.62700000000001</v>
      </c>
      <c r="AG64" s="1210">
        <v>327.75900000000001</v>
      </c>
      <c r="AH64" s="1210">
        <v>425.84199999999998</v>
      </c>
      <c r="AI64" s="1210">
        <f>508841/1000</f>
        <v>508.84100000000001</v>
      </c>
      <c r="AJ64" s="1210">
        <f>347.547</f>
        <v>347.54700000000003</v>
      </c>
    </row>
    <row r="65" spans="1:36">
      <c r="A65" s="1169" t="s">
        <v>1675</v>
      </c>
      <c r="B65" s="1208">
        <v>56.634565000000002</v>
      </c>
      <c r="C65" s="1208">
        <v>127.049842</v>
      </c>
      <c r="D65" s="1208">
        <v>286.560247</v>
      </c>
      <c r="E65" s="1208">
        <v>575.29690600000004</v>
      </c>
      <c r="F65" s="1208">
        <f>1285.607+60.004</f>
        <v>1345.6109999999999</v>
      </c>
      <c r="G65" s="1208">
        <f>1632.329+390.33</f>
        <v>2022.6589999999999</v>
      </c>
      <c r="H65" s="1208">
        <f>171.331+939.463</f>
        <v>1110.7939999999999</v>
      </c>
      <c r="I65" s="1192">
        <f t="shared" si="29"/>
        <v>1673.5840000000001</v>
      </c>
      <c r="J65" s="1192">
        <f>I65*1.25</f>
        <v>2091.98</v>
      </c>
      <c r="K65" s="1192">
        <f>J65*1.25</f>
        <v>2614.9749999999999</v>
      </c>
      <c r="N65" s="1210"/>
      <c r="O65" s="1210"/>
      <c r="P65" s="1210">
        <v>286.560247</v>
      </c>
      <c r="Q65" s="1210"/>
      <c r="R65" s="1210">
        <v>287.90148399999998</v>
      </c>
      <c r="S65" s="1210">
        <v>350.81490700000001</v>
      </c>
      <c r="T65" s="1210">
        <v>575.29690600000004</v>
      </c>
      <c r="U65" s="1210">
        <v>749.18590300000005</v>
      </c>
      <c r="V65" s="1210">
        <v>1131.0697479999999</v>
      </c>
      <c r="W65" s="1210">
        <v>1949.1867520000001</v>
      </c>
      <c r="X65" s="1210">
        <f>1285.607+60.004</f>
        <v>1345.6109999999999</v>
      </c>
      <c r="Y65" s="1210">
        <f>1408.581+379.866</f>
        <v>1788.4469999999999</v>
      </c>
      <c r="Z65" s="1210">
        <f>1444.274+421.506</f>
        <v>1865.7799999999997</v>
      </c>
      <c r="AA65" s="1210">
        <f>1460.756+361.409</f>
        <v>1822.165</v>
      </c>
      <c r="AB65" s="1210">
        <f t="shared" si="30"/>
        <v>2022.6589999999999</v>
      </c>
      <c r="AC65" s="1210">
        <f>328.548+906.153</f>
        <v>1234.701</v>
      </c>
      <c r="AD65" s="1210">
        <f>1005.555+299.14</f>
        <v>1304.6949999999999</v>
      </c>
      <c r="AE65" s="1210">
        <f>1352.965+219.103</f>
        <v>1572.068</v>
      </c>
      <c r="AF65" s="1210">
        <f t="shared" si="31"/>
        <v>1110.7939999999999</v>
      </c>
      <c r="AG65" s="1210">
        <v>990.80600000000004</v>
      </c>
      <c r="AH65" s="1210">
        <v>1643.8989999999999</v>
      </c>
      <c r="AI65" s="1210">
        <f>(699831+1747378)/1000</f>
        <v>2447.2089999999998</v>
      </c>
      <c r="AJ65" s="1210">
        <v>1673.5840000000001</v>
      </c>
    </row>
    <row r="66" spans="1:36">
      <c r="A66" s="1169" t="s">
        <v>1676</v>
      </c>
      <c r="B66" s="1208">
        <v>0</v>
      </c>
      <c r="C66" s="1208">
        <v>0</v>
      </c>
      <c r="D66" s="1208">
        <v>0</v>
      </c>
      <c r="E66" s="1208">
        <v>0</v>
      </c>
      <c r="F66" s="1208">
        <v>413.86099999999999</v>
      </c>
      <c r="G66" s="1208">
        <v>449.52800000000002</v>
      </c>
      <c r="H66" s="1208">
        <v>31.337</v>
      </c>
      <c r="I66" s="1192">
        <f t="shared" si="29"/>
        <v>696.52</v>
      </c>
      <c r="J66" s="1192">
        <f>I66</f>
        <v>696.52</v>
      </c>
      <c r="K66" s="1192">
        <f>J66</f>
        <v>696.52</v>
      </c>
      <c r="N66" s="1210"/>
      <c r="O66" s="1210"/>
      <c r="P66" s="1210"/>
      <c r="Q66" s="1210"/>
      <c r="R66" s="1210"/>
      <c r="S66" s="1210"/>
      <c r="T66" s="1210"/>
      <c r="U66" s="1210"/>
      <c r="V66" s="1210"/>
      <c r="W66" s="1210"/>
      <c r="X66" s="1210">
        <v>413.86099999999999</v>
      </c>
      <c r="Y66" s="1210"/>
      <c r="Z66" s="1210">
        <v>515.68899999999996</v>
      </c>
      <c r="AA66" s="1210">
        <v>508.85700000000003</v>
      </c>
      <c r="AB66" s="1210">
        <f t="shared" si="30"/>
        <v>449.52800000000002</v>
      </c>
      <c r="AC66" s="1210">
        <v>569.01</v>
      </c>
      <c r="AD66" s="1210">
        <v>390.64800000000002</v>
      </c>
      <c r="AE66" s="1210">
        <v>301.68799999999999</v>
      </c>
      <c r="AF66" s="1210">
        <f t="shared" si="31"/>
        <v>31.337</v>
      </c>
      <c r="AG66" s="1210">
        <f>114.31+6.708</f>
        <v>121.018</v>
      </c>
      <c r="AH66" s="1210">
        <v>619.65800000000002</v>
      </c>
      <c r="AI66" s="1210"/>
      <c r="AJ66" s="1210">
        <v>696.52</v>
      </c>
    </row>
    <row r="67" spans="1:36" s="1212" customFormat="1">
      <c r="A67" s="1183" t="s">
        <v>1677</v>
      </c>
      <c r="B67" s="1193">
        <f>SUM(B61:B66)</f>
        <v>401.91764499999994</v>
      </c>
      <c r="C67" s="1193">
        <f t="shared" ref="C67:H67" si="32">SUM(C61:C66)</f>
        <v>469.38782600000002</v>
      </c>
      <c r="D67" s="1193">
        <f t="shared" si="32"/>
        <v>1043.8641689999999</v>
      </c>
      <c r="E67" s="1193">
        <f t="shared" si="32"/>
        <v>2554.2637629999999</v>
      </c>
      <c r="F67" s="1193">
        <f t="shared" si="32"/>
        <v>5539.3530000000001</v>
      </c>
      <c r="G67" s="1193">
        <f t="shared" si="32"/>
        <v>7521.1539999999995</v>
      </c>
      <c r="H67" s="1193">
        <f t="shared" si="32"/>
        <v>5089.3030000000008</v>
      </c>
      <c r="I67" s="1193">
        <f>SUM(I61:I66)</f>
        <v>4407.8880000000008</v>
      </c>
      <c r="J67" s="1193">
        <f>SUM(J61:J66)</f>
        <v>4872.8365520496864</v>
      </c>
      <c r="K67" s="1193">
        <f>SUM(K61:K66)</f>
        <v>5520.4800222083977</v>
      </c>
      <c r="L67" s="1185"/>
      <c r="M67" s="1211"/>
      <c r="N67" s="1211"/>
      <c r="O67" s="1211"/>
      <c r="P67" s="1211">
        <f>SUM(P61:P65)</f>
        <v>1043.8641689999999</v>
      </c>
      <c r="Q67" s="1211"/>
      <c r="R67" s="1211">
        <f t="shared" ref="R67:W67" si="33">SUM(R61:R65)</f>
        <v>1841.15553</v>
      </c>
      <c r="S67" s="1211">
        <f t="shared" si="33"/>
        <v>1863.356434</v>
      </c>
      <c r="T67" s="1211">
        <f t="shared" si="33"/>
        <v>2554.2637629999999</v>
      </c>
      <c r="U67" s="1211">
        <f t="shared" si="33"/>
        <v>2682.7113859999999</v>
      </c>
      <c r="V67" s="1211">
        <f t="shared" si="33"/>
        <v>5584.6232949999994</v>
      </c>
      <c r="W67" s="1211">
        <f t="shared" si="33"/>
        <v>6631.1301129999993</v>
      </c>
      <c r="X67" s="1211">
        <f>SUM(X61:X66)</f>
        <v>5539.3530000000001</v>
      </c>
      <c r="Y67" s="1211">
        <f>SUM(Y61:Y65)</f>
        <v>7620.3429999999998</v>
      </c>
      <c r="Z67" s="1211">
        <f t="shared" ref="Z67:AJ67" si="34">SUM(Z61:Z66)</f>
        <v>8551.3799999999992</v>
      </c>
      <c r="AA67" s="1211">
        <f t="shared" si="34"/>
        <v>8140.7789999999995</v>
      </c>
      <c r="AB67" s="1211">
        <f t="shared" si="34"/>
        <v>7521.1539999999995</v>
      </c>
      <c r="AC67" s="1211">
        <f t="shared" si="34"/>
        <v>6293.14</v>
      </c>
      <c r="AD67" s="1211">
        <f t="shared" si="34"/>
        <v>6540.7869999999994</v>
      </c>
      <c r="AE67" s="1211">
        <f t="shared" si="34"/>
        <v>6699.3490000000002</v>
      </c>
      <c r="AF67" s="1211">
        <f t="shared" si="34"/>
        <v>5089.3030000000008</v>
      </c>
      <c r="AG67" s="1211">
        <f t="shared" si="34"/>
        <v>4577.7019999999993</v>
      </c>
      <c r="AH67" s="1211">
        <f t="shared" si="34"/>
        <v>4596.17</v>
      </c>
      <c r="AI67" s="1211">
        <f t="shared" si="34"/>
        <v>4817.4380000000001</v>
      </c>
      <c r="AJ67" s="1211">
        <f t="shared" si="34"/>
        <v>4407.8880000000008</v>
      </c>
    </row>
    <row r="68" spans="1:36">
      <c r="B68" s="1182"/>
      <c r="C68" s="1182"/>
      <c r="D68" s="1182"/>
      <c r="E68" s="1182"/>
      <c r="F68" s="1182"/>
      <c r="G68" s="1208"/>
      <c r="H68" s="1208"/>
      <c r="I68" s="1192"/>
      <c r="J68" s="1192"/>
      <c r="K68" s="1192"/>
      <c r="N68" s="1210"/>
      <c r="O68" s="1210"/>
      <c r="P68" s="1210"/>
      <c r="Q68" s="1210"/>
      <c r="R68" s="1210"/>
      <c r="S68" s="1210"/>
      <c r="T68" s="1210"/>
      <c r="U68" s="1210"/>
      <c r="V68" s="1210"/>
      <c r="W68" s="1210"/>
      <c r="X68" s="1210"/>
      <c r="Y68" s="1210"/>
      <c r="Z68" s="1210"/>
      <c r="AA68" s="1210"/>
      <c r="AB68" s="1210"/>
      <c r="AC68" s="1210"/>
      <c r="AD68" s="1210"/>
      <c r="AE68" s="1210"/>
      <c r="AF68" s="1210"/>
      <c r="AG68" s="1210"/>
      <c r="AH68" s="1210"/>
      <c r="AI68" s="1210"/>
      <c r="AJ68" s="1210"/>
    </row>
    <row r="69" spans="1:36">
      <c r="A69" s="1181" t="s">
        <v>1678</v>
      </c>
      <c r="B69" s="1182"/>
      <c r="C69" s="1182"/>
      <c r="D69" s="1182"/>
      <c r="E69" s="1182"/>
      <c r="F69" s="1182"/>
      <c r="G69" s="1208"/>
      <c r="H69" s="1208"/>
      <c r="I69" s="1192"/>
      <c r="J69" s="1192"/>
      <c r="K69" s="1192"/>
      <c r="N69" s="1210"/>
      <c r="O69" s="1210"/>
      <c r="P69" s="1210"/>
      <c r="Q69" s="1210"/>
      <c r="R69" s="1210"/>
      <c r="S69" s="1210"/>
      <c r="T69" s="1210"/>
      <c r="U69" s="1210"/>
      <c r="V69" s="1210"/>
      <c r="W69" s="1210"/>
      <c r="X69" s="1210"/>
      <c r="Y69" s="1210"/>
      <c r="Z69" s="1210"/>
      <c r="AA69" s="1210"/>
      <c r="AB69" s="1210"/>
      <c r="AC69" s="1210"/>
      <c r="AD69" s="1210"/>
      <c r="AE69" s="1210"/>
      <c r="AF69" s="1210"/>
      <c r="AG69" s="1210"/>
      <c r="AH69" s="1210"/>
      <c r="AI69" s="1210"/>
      <c r="AJ69" s="1210"/>
    </row>
    <row r="70" spans="1:36">
      <c r="A70" s="1169" t="s">
        <v>1679</v>
      </c>
      <c r="B70" s="1182"/>
      <c r="C70" s="1182"/>
      <c r="D70" s="1182"/>
      <c r="E70" s="1182"/>
      <c r="F70" s="1182">
        <v>0</v>
      </c>
      <c r="G70" s="1208">
        <v>58.764000000000003</v>
      </c>
      <c r="H70" s="1208">
        <v>484.99099999999999</v>
      </c>
      <c r="I70" s="1192">
        <f t="shared" ref="I70:I75" si="35">AJ70</f>
        <v>1302.5060000000001</v>
      </c>
      <c r="J70" s="1192">
        <f>I70</f>
        <v>1302.5060000000001</v>
      </c>
      <c r="K70" s="1192">
        <f>J70</f>
        <v>1302.5060000000001</v>
      </c>
      <c r="N70" s="1210"/>
      <c r="O70" s="1210"/>
      <c r="P70" s="1210">
        <v>0</v>
      </c>
      <c r="Q70" s="1210"/>
      <c r="R70" s="1210">
        <v>0</v>
      </c>
      <c r="S70" s="1210">
        <v>0</v>
      </c>
      <c r="T70" s="1210">
        <v>0</v>
      </c>
      <c r="U70" s="1210">
        <v>0</v>
      </c>
      <c r="V70" s="1210">
        <v>0</v>
      </c>
      <c r="W70" s="1210">
        <v>0</v>
      </c>
      <c r="X70" s="1210">
        <v>0</v>
      </c>
      <c r="Y70" s="1210">
        <v>0</v>
      </c>
      <c r="Z70" s="1210">
        <v>0</v>
      </c>
      <c r="AA70" s="1210">
        <v>0</v>
      </c>
      <c r="AB70" s="1210">
        <f t="shared" ref="AB70:AB76" si="36">G70</f>
        <v>58.764000000000003</v>
      </c>
      <c r="AC70" s="1210">
        <v>58.764000000000003</v>
      </c>
      <c r="AD70" s="1210">
        <v>73.763999999999996</v>
      </c>
      <c r="AE70" s="1210">
        <v>97.763999999999996</v>
      </c>
      <c r="AF70" s="1210">
        <f t="shared" ref="AF70:AF75" si="37">H70</f>
        <v>484.99099999999999</v>
      </c>
      <c r="AG70" s="1210">
        <v>993.31899999999996</v>
      </c>
      <c r="AH70" s="1210">
        <v>1326.268</v>
      </c>
      <c r="AI70" s="1210">
        <f>1330386/1000</f>
        <v>1330.386</v>
      </c>
      <c r="AJ70" s="1210">
        <v>1302.5060000000001</v>
      </c>
    </row>
    <row r="71" spans="1:36">
      <c r="A71" s="1169" t="s">
        <v>1680</v>
      </c>
      <c r="B71" s="1208">
        <v>21.381878</v>
      </c>
      <c r="C71" s="1208">
        <v>28.782865000000001</v>
      </c>
      <c r="D71" s="1208">
        <v>24.851303000000001</v>
      </c>
      <c r="E71" s="1208">
        <v>72.310289999999995</v>
      </c>
      <c r="F71" s="1208">
        <v>145.19</v>
      </c>
      <c r="G71" s="1208">
        <v>177.81700000000001</v>
      </c>
      <c r="H71" s="1208">
        <v>147.27799999999999</v>
      </c>
      <c r="I71" s="1192">
        <f t="shared" si="35"/>
        <v>187.36</v>
      </c>
      <c r="J71" s="1192">
        <f>J178+J179</f>
        <v>272.98246000000012</v>
      </c>
      <c r="K71" s="1192">
        <f>K178+K179</f>
        <v>328.00492000000008</v>
      </c>
      <c r="N71" s="1210"/>
      <c r="O71" s="1210"/>
      <c r="P71" s="1210">
        <v>24.851303000000001</v>
      </c>
      <c r="Q71" s="1210"/>
      <c r="R71" s="1210">
        <v>32.052354000000001</v>
      </c>
      <c r="S71" s="1210">
        <v>50.885945</v>
      </c>
      <c r="T71" s="1210">
        <v>72.310289999999995</v>
      </c>
      <c r="U71" s="1210">
        <v>76.430657999999994</v>
      </c>
      <c r="V71" s="1210">
        <v>91.645770999999996</v>
      </c>
      <c r="W71" s="1210">
        <v>124.976575</v>
      </c>
      <c r="X71" s="1210">
        <v>145.19</v>
      </c>
      <c r="Y71" s="1210">
        <v>152.74299999999999</v>
      </c>
      <c r="Z71" s="1210">
        <v>168.34100000000001</v>
      </c>
      <c r="AA71" s="1210">
        <v>197.09299999999999</v>
      </c>
      <c r="AB71" s="1210">
        <f t="shared" si="36"/>
        <v>177.81700000000001</v>
      </c>
      <c r="AC71" s="1210">
        <v>162.88800000000001</v>
      </c>
      <c r="AD71" s="1210">
        <v>153.26599999999999</v>
      </c>
      <c r="AE71" s="1210">
        <v>147.852</v>
      </c>
      <c r="AF71" s="1210">
        <f t="shared" si="37"/>
        <v>147.27799999999999</v>
      </c>
      <c r="AG71" s="1210">
        <v>148.91900000000001</v>
      </c>
      <c r="AH71" s="1210">
        <v>158.89400000000001</v>
      </c>
      <c r="AI71" s="1210">
        <f>172767/1000</f>
        <v>172.767</v>
      </c>
      <c r="AJ71" s="1210">
        <v>187.36</v>
      </c>
    </row>
    <row r="72" spans="1:36">
      <c r="A72" s="1169" t="s">
        <v>1681</v>
      </c>
      <c r="B72" s="1208">
        <v>0</v>
      </c>
      <c r="C72" s="1208">
        <v>0</v>
      </c>
      <c r="D72" s="1208">
        <v>0</v>
      </c>
      <c r="E72" s="1208">
        <v>0</v>
      </c>
      <c r="F72" s="1208">
        <v>715.548</v>
      </c>
      <c r="G72" s="1208">
        <v>592.26700000000005</v>
      </c>
      <c r="H72" s="1208">
        <v>461.63400000000001</v>
      </c>
      <c r="I72" s="1192">
        <f t="shared" si="35"/>
        <v>317.88499999999999</v>
      </c>
      <c r="J72" s="1192">
        <f>I72+J57</f>
        <v>176.327</v>
      </c>
      <c r="K72" s="1192">
        <f>J72+K57</f>
        <v>34.769000000000005</v>
      </c>
      <c r="N72" s="1210"/>
      <c r="O72" s="1210"/>
      <c r="P72" s="1210">
        <v>0</v>
      </c>
      <c r="Q72" s="1210"/>
      <c r="R72" s="1210">
        <v>0</v>
      </c>
      <c r="S72" s="1210">
        <v>0</v>
      </c>
      <c r="T72" s="1210">
        <v>3.0754649999999999</v>
      </c>
      <c r="U72" s="1210"/>
      <c r="V72" s="1210">
        <v>700.48570299999994</v>
      </c>
      <c r="W72" s="1210">
        <v>749.69935399999997</v>
      </c>
      <c r="X72" s="1210">
        <v>715.548</v>
      </c>
      <c r="Y72" s="1210">
        <v>682.52300000000002</v>
      </c>
      <c r="Z72" s="1210">
        <v>647.072</v>
      </c>
      <c r="AA72" s="1210">
        <v>622.38300000000004</v>
      </c>
      <c r="AB72" s="1210">
        <f t="shared" si="36"/>
        <v>592.26700000000005</v>
      </c>
      <c r="AC72" s="1210">
        <v>565.87699999999995</v>
      </c>
      <c r="AD72" s="1210">
        <v>534.27200000000005</v>
      </c>
      <c r="AE72" s="1210">
        <v>497.71800000000002</v>
      </c>
      <c r="AF72" s="1210">
        <f t="shared" si="37"/>
        <v>461.63400000000001</v>
      </c>
      <c r="AG72" s="1210">
        <v>426.07600000000002</v>
      </c>
      <c r="AH72" s="1210">
        <v>389.56900000000002</v>
      </c>
      <c r="AI72" s="1210">
        <f>353982/1000</f>
        <v>353.98200000000003</v>
      </c>
      <c r="AJ72" s="1210">
        <v>317.88499999999999</v>
      </c>
    </row>
    <row r="73" spans="1:36">
      <c r="A73" s="1169" t="s">
        <v>1682</v>
      </c>
      <c r="B73" s="1208">
        <v>0</v>
      </c>
      <c r="C73" s="1208">
        <v>0</v>
      </c>
      <c r="D73" s="1208">
        <v>0</v>
      </c>
      <c r="E73" s="1208">
        <v>0</v>
      </c>
      <c r="F73" s="1208">
        <v>136.56899999999999</v>
      </c>
      <c r="G73" s="1208">
        <v>147.63900000000001</v>
      </c>
      <c r="H73" s="1208">
        <v>147.63900000000001</v>
      </c>
      <c r="I73" s="1192">
        <f t="shared" si="35"/>
        <v>159.40899999999999</v>
      </c>
      <c r="J73" s="1192">
        <f t="shared" ref="I73:K76" si="38">I73</f>
        <v>159.40899999999999</v>
      </c>
      <c r="K73" s="1192">
        <f t="shared" si="38"/>
        <v>159.40899999999999</v>
      </c>
      <c r="N73" s="1210"/>
      <c r="O73" s="1210"/>
      <c r="P73" s="1210">
        <v>0</v>
      </c>
      <c r="Q73" s="1210"/>
      <c r="R73" s="1210">
        <v>0</v>
      </c>
      <c r="S73" s="1210">
        <v>0</v>
      </c>
      <c r="T73" s="1210">
        <v>0</v>
      </c>
      <c r="U73" s="1210"/>
      <c r="V73" s="1210">
        <v>34.626358000000003</v>
      </c>
      <c r="W73" s="1210">
        <v>123.91866</v>
      </c>
      <c r="X73" s="1210">
        <v>136.56899999999999</v>
      </c>
      <c r="Y73" s="1210">
        <v>136.56899999999999</v>
      </c>
      <c r="Z73" s="1210">
        <v>136.24</v>
      </c>
      <c r="AA73" s="1210">
        <v>147.63900000000001</v>
      </c>
      <c r="AB73" s="1210">
        <f t="shared" si="36"/>
        <v>147.63900000000001</v>
      </c>
      <c r="AC73" s="1210">
        <v>147.63900000000001</v>
      </c>
      <c r="AD73" s="1210">
        <v>147.63900000000001</v>
      </c>
      <c r="AE73" s="1210">
        <v>147.63900000000001</v>
      </c>
      <c r="AF73" s="1210">
        <f t="shared" si="37"/>
        <v>147.63900000000001</v>
      </c>
      <c r="AG73" s="1210">
        <v>147.63900000000001</v>
      </c>
      <c r="AH73" s="1210">
        <v>147.63900000000001</v>
      </c>
      <c r="AI73" s="1210">
        <f>155680/1000</f>
        <v>155.68</v>
      </c>
      <c r="AJ73" s="1210">
        <v>159.40899999999999</v>
      </c>
    </row>
    <row r="74" spans="1:36">
      <c r="A74" s="1169" t="s">
        <v>1676</v>
      </c>
      <c r="B74" s="1208">
        <v>0</v>
      </c>
      <c r="C74" s="1208">
        <v>0</v>
      </c>
      <c r="D74" s="1208">
        <v>0</v>
      </c>
      <c r="E74" s="1208">
        <v>0</v>
      </c>
      <c r="F74" s="1208">
        <v>0</v>
      </c>
      <c r="G74" s="1208">
        <v>562.64300000000003</v>
      </c>
      <c r="H74" s="1208">
        <v>170.505</v>
      </c>
      <c r="I74" s="1192">
        <f t="shared" si="35"/>
        <v>0</v>
      </c>
      <c r="J74" s="1192">
        <f t="shared" si="38"/>
        <v>0</v>
      </c>
      <c r="K74" s="1192">
        <f t="shared" si="38"/>
        <v>0</v>
      </c>
      <c r="N74" s="1210"/>
      <c r="O74" s="1210"/>
      <c r="P74" s="1210"/>
      <c r="Q74" s="1210"/>
      <c r="R74" s="1210"/>
      <c r="S74" s="1210"/>
      <c r="T74" s="1210"/>
      <c r="U74" s="1210"/>
      <c r="V74" s="1210"/>
      <c r="W74" s="1210"/>
      <c r="X74" s="1210">
        <v>300.267</v>
      </c>
      <c r="Y74" s="1210"/>
      <c r="Z74" s="1210">
        <v>725.83799999999997</v>
      </c>
      <c r="AA74" s="1210">
        <v>835.97900000000004</v>
      </c>
      <c r="AB74" s="1210">
        <f t="shared" si="36"/>
        <v>562.64300000000003</v>
      </c>
      <c r="AC74" s="1210">
        <v>414.512</v>
      </c>
      <c r="AD74" s="1210">
        <v>383</v>
      </c>
      <c r="AE74" s="1210">
        <v>204.608</v>
      </c>
      <c r="AF74" s="1210">
        <f t="shared" si="37"/>
        <v>170.505</v>
      </c>
      <c r="AG74" s="1210">
        <v>106.569</v>
      </c>
      <c r="AH74" s="1210">
        <v>0</v>
      </c>
      <c r="AI74" s="1210">
        <v>0</v>
      </c>
      <c r="AJ74" s="1210">
        <v>0</v>
      </c>
    </row>
    <row r="75" spans="1:36">
      <c r="A75" s="1169" t="s">
        <v>1683</v>
      </c>
      <c r="B75" s="1208">
        <v>4.4669590000000001</v>
      </c>
      <c r="C75" s="1208">
        <v>4.6677340000000003</v>
      </c>
      <c r="D75" s="1208">
        <v>6.6573039999999999</v>
      </c>
      <c r="E75" s="1208">
        <v>18.443279</v>
      </c>
      <c r="F75" s="1208">
        <v>649.48099999999999</v>
      </c>
      <c r="G75" s="1208">
        <v>46.468000000000004</v>
      </c>
      <c r="H75" s="1208">
        <v>156.45500000000001</v>
      </c>
      <c r="I75" s="1192">
        <f t="shared" si="35"/>
        <v>181.875</v>
      </c>
      <c r="J75" s="1192">
        <f t="shared" si="38"/>
        <v>181.875</v>
      </c>
      <c r="K75" s="1192">
        <f t="shared" si="38"/>
        <v>181.875</v>
      </c>
      <c r="N75" s="1210"/>
      <c r="O75" s="1210"/>
      <c r="P75" s="1210">
        <v>6.6573039999999999</v>
      </c>
      <c r="Q75" s="1210"/>
      <c r="R75" s="1210">
        <v>18.138753000000001</v>
      </c>
      <c r="S75" s="1210">
        <v>17.578137999999999</v>
      </c>
      <c r="T75" s="1210">
        <v>15.367813999999999</v>
      </c>
      <c r="U75" s="1210">
        <v>83.370874999999998</v>
      </c>
      <c r="V75" s="1210">
        <v>93.287014999999997</v>
      </c>
      <c r="W75" s="1210">
        <v>50.365158000000001</v>
      </c>
      <c r="X75" s="1210">
        <v>349.214</v>
      </c>
      <c r="Y75" s="1210">
        <v>603.36599999999999</v>
      </c>
      <c r="Z75" s="1210">
        <v>38.648000000000003</v>
      </c>
      <c r="AA75" s="1210">
        <v>64.25</v>
      </c>
      <c r="AB75" s="1210">
        <f t="shared" si="36"/>
        <v>46.468000000000004</v>
      </c>
      <c r="AC75" s="1210">
        <v>49.972999999999999</v>
      </c>
      <c r="AD75" s="1210">
        <v>99.653000000000006</v>
      </c>
      <c r="AE75" s="1210">
        <v>152.72900000000001</v>
      </c>
      <c r="AF75" s="1210">
        <f t="shared" si="37"/>
        <v>156.45500000000001</v>
      </c>
      <c r="AG75" s="1210">
        <v>166.55799999999999</v>
      </c>
      <c r="AH75" s="1210">
        <v>179.483</v>
      </c>
      <c r="AI75" s="1210">
        <f>173900/1000</f>
        <v>173.9</v>
      </c>
      <c r="AJ75" s="1210">
        <f>81.039+100.836</f>
        <v>181.875</v>
      </c>
    </row>
    <row r="76" spans="1:36">
      <c r="A76" s="1169" t="s">
        <v>1684</v>
      </c>
      <c r="B76" s="1208">
        <v>0</v>
      </c>
      <c r="C76" s="1208">
        <v>0</v>
      </c>
      <c r="D76" s="1208">
        <v>0</v>
      </c>
      <c r="E76" s="1208">
        <v>0</v>
      </c>
      <c r="F76" s="1208">
        <v>0</v>
      </c>
      <c r="G76" s="1208">
        <v>64.902000000000001</v>
      </c>
      <c r="H76" s="1208">
        <v>0</v>
      </c>
      <c r="I76" s="1192">
        <f t="shared" si="38"/>
        <v>0</v>
      </c>
      <c r="J76" s="1192">
        <f t="shared" si="38"/>
        <v>0</v>
      </c>
      <c r="K76" s="1192">
        <f t="shared" si="38"/>
        <v>0</v>
      </c>
      <c r="N76" s="1210"/>
      <c r="O76" s="1210"/>
      <c r="P76" s="1210"/>
      <c r="Q76" s="1210"/>
      <c r="R76" s="1210"/>
      <c r="S76" s="1210"/>
      <c r="T76" s="1210"/>
      <c r="U76" s="1210"/>
      <c r="V76" s="1210"/>
      <c r="W76" s="1210"/>
      <c r="X76" s="1210">
        <v>0</v>
      </c>
      <c r="Y76" s="1210">
        <v>316.10300000000001</v>
      </c>
      <c r="Z76" s="1210">
        <v>256.44099999999997</v>
      </c>
      <c r="AA76" s="1210">
        <v>152.76900000000001</v>
      </c>
      <c r="AB76" s="1210">
        <f t="shared" si="36"/>
        <v>64.902000000000001</v>
      </c>
      <c r="AC76" s="1213">
        <v>0</v>
      </c>
      <c r="AD76" s="1213">
        <v>0</v>
      </c>
      <c r="AE76" s="1213">
        <v>0</v>
      </c>
      <c r="AF76" s="1213">
        <v>0</v>
      </c>
      <c r="AG76" s="1213">
        <v>0</v>
      </c>
      <c r="AH76" s="1213">
        <v>0</v>
      </c>
      <c r="AI76" s="1213">
        <v>0</v>
      </c>
      <c r="AJ76" s="1213">
        <v>0</v>
      </c>
    </row>
    <row r="77" spans="1:36" s="1212" customFormat="1">
      <c r="A77" s="1183" t="s">
        <v>1685</v>
      </c>
      <c r="B77" s="1193">
        <f t="shared" ref="B77:G77" si="39">SUM(B70:B76)</f>
        <v>25.848837</v>
      </c>
      <c r="C77" s="1193">
        <f t="shared" si="39"/>
        <v>33.450599000000004</v>
      </c>
      <c r="D77" s="1193">
        <f t="shared" si="39"/>
        <v>31.508607000000001</v>
      </c>
      <c r="E77" s="1193">
        <f t="shared" si="39"/>
        <v>90.753568999999999</v>
      </c>
      <c r="F77" s="1193">
        <f t="shared" si="39"/>
        <v>1646.788</v>
      </c>
      <c r="G77" s="1193">
        <f t="shared" si="39"/>
        <v>1650.5000000000002</v>
      </c>
      <c r="H77" s="1193">
        <f>SUM(H70:H76)</f>
        <v>1568.502</v>
      </c>
      <c r="I77" s="1193">
        <f>SUM(I70:I76)</f>
        <v>2149.0349999999999</v>
      </c>
      <c r="J77" s="1193">
        <f>SUM(J70:J76)</f>
        <v>2093.0994600000004</v>
      </c>
      <c r="K77" s="1193">
        <f>SUM(K70:K76)</f>
        <v>2006.5639200000001</v>
      </c>
      <c r="L77" s="1185"/>
      <c r="M77" s="1211"/>
      <c r="N77" s="1211"/>
      <c r="O77" s="1211"/>
      <c r="P77" s="1211">
        <f>SUM(P70:P76)</f>
        <v>31.508607000000001</v>
      </c>
      <c r="Q77" s="1211"/>
      <c r="R77" s="1211">
        <f>SUM(R70:R76)</f>
        <v>50.191107000000002</v>
      </c>
      <c r="S77" s="1211">
        <f t="shared" ref="S77:AJ77" si="40">SUM(S70:S76)</f>
        <v>68.464083000000002</v>
      </c>
      <c r="T77" s="1211">
        <f t="shared" si="40"/>
        <v>90.753568999999985</v>
      </c>
      <c r="U77" s="1211">
        <f t="shared" si="40"/>
        <v>159.80153300000001</v>
      </c>
      <c r="V77" s="1211">
        <f t="shared" si="40"/>
        <v>920.04484699999989</v>
      </c>
      <c r="W77" s="1211">
        <f t="shared" si="40"/>
        <v>1048.9597470000001</v>
      </c>
      <c r="X77" s="1211">
        <f t="shared" si="40"/>
        <v>1646.788</v>
      </c>
      <c r="Y77" s="1211">
        <f t="shared" si="40"/>
        <v>1891.3040000000001</v>
      </c>
      <c r="Z77" s="1211">
        <f t="shared" si="40"/>
        <v>1972.58</v>
      </c>
      <c r="AA77" s="1211">
        <f t="shared" si="40"/>
        <v>2020.1130000000001</v>
      </c>
      <c r="AB77" s="1211">
        <f t="shared" si="40"/>
        <v>1650.5000000000002</v>
      </c>
      <c r="AC77" s="1211">
        <f t="shared" si="40"/>
        <v>1399.653</v>
      </c>
      <c r="AD77" s="1211">
        <f t="shared" si="40"/>
        <v>1391.5940000000001</v>
      </c>
      <c r="AE77" s="1211">
        <f t="shared" si="40"/>
        <v>1248.3100000000002</v>
      </c>
      <c r="AF77" s="1211">
        <f t="shared" si="40"/>
        <v>1568.502</v>
      </c>
      <c r="AG77" s="1211">
        <f t="shared" si="40"/>
        <v>1989.08</v>
      </c>
      <c r="AH77" s="1211">
        <f t="shared" si="40"/>
        <v>2201.8530000000001</v>
      </c>
      <c r="AI77" s="1211">
        <f t="shared" si="40"/>
        <v>2186.7150000000001</v>
      </c>
      <c r="AJ77" s="1211">
        <f t="shared" si="40"/>
        <v>2149.0349999999999</v>
      </c>
    </row>
    <row r="78" spans="1:36" s="1212" customFormat="1">
      <c r="A78" s="1187" t="s">
        <v>4</v>
      </c>
      <c r="B78" s="1199">
        <f t="shared" ref="B78:G78" si="41">B67+B77</f>
        <v>427.76648199999994</v>
      </c>
      <c r="C78" s="1199">
        <f t="shared" si="41"/>
        <v>502.83842500000003</v>
      </c>
      <c r="D78" s="1199">
        <f t="shared" si="41"/>
        <v>1075.3727759999999</v>
      </c>
      <c r="E78" s="1199">
        <f t="shared" si="41"/>
        <v>2645.0173319999999</v>
      </c>
      <c r="F78" s="1199">
        <f t="shared" si="41"/>
        <v>7186.1409999999996</v>
      </c>
      <c r="G78" s="1199">
        <f t="shared" si="41"/>
        <v>9171.6540000000005</v>
      </c>
      <c r="H78" s="1199">
        <f>H67+H77</f>
        <v>6657.8050000000003</v>
      </c>
      <c r="I78" s="1199">
        <f>I67+I77</f>
        <v>6556.9230000000007</v>
      </c>
      <c r="J78" s="1199">
        <f>J67+J77</f>
        <v>6965.9360120496867</v>
      </c>
      <c r="K78" s="1199">
        <f>K67+K77</f>
        <v>7527.0439422083982</v>
      </c>
      <c r="L78" s="1185"/>
      <c r="M78" s="1214"/>
      <c r="N78" s="1214"/>
      <c r="O78" s="1214"/>
      <c r="P78" s="1214">
        <f>P77+P67</f>
        <v>1075.3727759999999</v>
      </c>
      <c r="Q78" s="1214"/>
      <c r="R78" s="1214">
        <f t="shared" ref="R78:AJ78" si="42">R77+R67</f>
        <v>1891.3466370000001</v>
      </c>
      <c r="S78" s="1214">
        <f t="shared" si="42"/>
        <v>1931.8205170000001</v>
      </c>
      <c r="T78" s="1214">
        <f t="shared" si="42"/>
        <v>2645.0173319999999</v>
      </c>
      <c r="U78" s="1214">
        <f t="shared" si="42"/>
        <v>2842.5129189999998</v>
      </c>
      <c r="V78" s="1214">
        <f t="shared" si="42"/>
        <v>6504.6681419999995</v>
      </c>
      <c r="W78" s="1214">
        <f t="shared" si="42"/>
        <v>7680.0898599999991</v>
      </c>
      <c r="X78" s="1214">
        <f t="shared" si="42"/>
        <v>7186.1409999999996</v>
      </c>
      <c r="Y78" s="1215">
        <f t="shared" si="42"/>
        <v>9511.6470000000008</v>
      </c>
      <c r="Z78" s="1215">
        <f t="shared" si="42"/>
        <v>10523.96</v>
      </c>
      <c r="AA78" s="1215">
        <f t="shared" si="42"/>
        <v>10160.892</v>
      </c>
      <c r="AB78" s="1215">
        <f t="shared" si="42"/>
        <v>9171.6540000000005</v>
      </c>
      <c r="AC78" s="1215">
        <f t="shared" si="42"/>
        <v>7692.7930000000006</v>
      </c>
      <c r="AD78" s="1215">
        <f t="shared" si="42"/>
        <v>7932.3809999999994</v>
      </c>
      <c r="AE78" s="1215">
        <f t="shared" si="42"/>
        <v>7947.6590000000006</v>
      </c>
      <c r="AF78" s="1215">
        <f t="shared" si="42"/>
        <v>6657.8050000000003</v>
      </c>
      <c r="AG78" s="1215">
        <f t="shared" si="42"/>
        <v>6566.7819999999992</v>
      </c>
      <c r="AH78" s="1215">
        <f t="shared" si="42"/>
        <v>6798.0230000000001</v>
      </c>
      <c r="AI78" s="1215">
        <f t="shared" si="42"/>
        <v>7004.1530000000002</v>
      </c>
      <c r="AJ78" s="1215">
        <f t="shared" si="42"/>
        <v>6556.9230000000007</v>
      </c>
    </row>
    <row r="79" spans="1:36">
      <c r="B79" s="1182"/>
      <c r="C79" s="1182"/>
      <c r="D79" s="1182"/>
      <c r="E79" s="1182"/>
      <c r="F79" s="1182"/>
      <c r="G79" s="1208"/>
      <c r="H79" s="1208"/>
      <c r="I79" s="1192"/>
      <c r="J79" s="1192"/>
      <c r="K79" s="1192"/>
      <c r="N79" s="1210"/>
      <c r="O79" s="1210"/>
      <c r="P79" s="1210"/>
      <c r="Q79" s="1210"/>
      <c r="R79" s="1210"/>
      <c r="S79" s="1210"/>
      <c r="T79" s="1210"/>
      <c r="U79" s="1210"/>
      <c r="V79" s="1210"/>
      <c r="W79" s="1210"/>
      <c r="X79" s="1210"/>
      <c r="Y79" s="1210"/>
      <c r="Z79" s="1210"/>
      <c r="AA79" s="1210"/>
      <c r="AB79" s="1210"/>
      <c r="AC79" s="1210"/>
      <c r="AD79" s="1210"/>
      <c r="AE79" s="1210"/>
      <c r="AF79" s="1210"/>
      <c r="AG79" s="1210"/>
      <c r="AH79" s="1210"/>
      <c r="AI79" s="1210"/>
      <c r="AJ79" s="1210"/>
    </row>
    <row r="80" spans="1:36" s="1212" customFormat="1">
      <c r="A80" s="1181" t="s">
        <v>1686</v>
      </c>
      <c r="B80" s="1195"/>
      <c r="C80" s="1195"/>
      <c r="D80" s="1195"/>
      <c r="E80" s="1195"/>
      <c r="F80" s="1195"/>
      <c r="G80" s="1216"/>
      <c r="H80" s="1216"/>
      <c r="I80" s="1202"/>
      <c r="J80" s="1202"/>
      <c r="K80" s="1202"/>
      <c r="L80" s="1185"/>
      <c r="N80" s="1217"/>
      <c r="O80" s="1217"/>
      <c r="P80" s="1217"/>
      <c r="Q80" s="1217"/>
      <c r="R80" s="1217"/>
      <c r="S80" s="1217"/>
      <c r="T80" s="1217"/>
      <c r="U80" s="1217"/>
      <c r="V80" s="1217"/>
      <c r="W80" s="1217"/>
      <c r="X80" s="1217"/>
      <c r="Y80" s="1217"/>
      <c r="Z80" s="1217"/>
      <c r="AA80" s="1217"/>
      <c r="AB80" s="1217"/>
      <c r="AC80" s="1217"/>
      <c r="AD80" s="1217"/>
      <c r="AE80" s="1217"/>
      <c r="AF80" s="1217"/>
      <c r="AG80" s="1217"/>
      <c r="AH80" s="1217"/>
      <c r="AI80" s="1217"/>
      <c r="AJ80" s="1217"/>
    </row>
    <row r="81" spans="1:36" s="1212" customFormat="1">
      <c r="A81" s="1169" t="s">
        <v>1687</v>
      </c>
      <c r="B81" s="1216">
        <v>0</v>
      </c>
      <c r="C81" s="1216">
        <v>0</v>
      </c>
      <c r="D81" s="1216">
        <v>0</v>
      </c>
      <c r="E81" s="1216">
        <v>0</v>
      </c>
      <c r="F81" s="1216">
        <v>0</v>
      </c>
      <c r="G81" s="1216">
        <v>0</v>
      </c>
      <c r="H81" s="1216">
        <f>G81</f>
        <v>0</v>
      </c>
      <c r="I81" s="1192">
        <f t="shared" ref="I81:I89" si="43">AJ81</f>
        <v>0</v>
      </c>
      <c r="J81" s="1202">
        <f>I81</f>
        <v>0</v>
      </c>
      <c r="K81" s="1202">
        <f>J81</f>
        <v>0</v>
      </c>
      <c r="L81" s="1185"/>
      <c r="N81" s="1217"/>
      <c r="O81" s="1217"/>
      <c r="P81" s="1217"/>
      <c r="Q81" s="1217"/>
      <c r="R81" s="1210">
        <v>0</v>
      </c>
      <c r="S81" s="1210">
        <v>0</v>
      </c>
      <c r="T81" s="1210">
        <v>0</v>
      </c>
      <c r="U81" s="1210">
        <v>0</v>
      </c>
      <c r="V81" s="1210">
        <v>5</v>
      </c>
      <c r="W81" s="1210">
        <v>10</v>
      </c>
      <c r="X81" s="1210">
        <v>0</v>
      </c>
      <c r="Y81" s="1210">
        <v>0</v>
      </c>
      <c r="Z81" s="1210">
        <v>0</v>
      </c>
      <c r="AA81" s="1210">
        <v>0</v>
      </c>
      <c r="AB81" s="1210">
        <f t="shared" ref="AB81:AC89" si="44">G81</f>
        <v>0</v>
      </c>
      <c r="AC81" s="1210">
        <f t="shared" si="44"/>
        <v>0</v>
      </c>
      <c r="AD81" s="1210">
        <v>0</v>
      </c>
      <c r="AE81" s="1210">
        <v>0</v>
      </c>
      <c r="AF81" s="1210">
        <f t="shared" ref="AF81:AF89" si="45">H81</f>
        <v>0</v>
      </c>
      <c r="AG81" s="1210">
        <v>0</v>
      </c>
      <c r="AH81" s="1210">
        <v>0</v>
      </c>
      <c r="AI81" s="1210">
        <v>0</v>
      </c>
      <c r="AJ81" s="1210">
        <v>0</v>
      </c>
    </row>
    <row r="82" spans="1:36">
      <c r="A82" s="1169" t="s">
        <v>1688</v>
      </c>
      <c r="B82" s="1208">
        <v>55.821997000000003</v>
      </c>
      <c r="C82" s="1208">
        <v>127.240021</v>
      </c>
      <c r="D82" s="1208">
        <v>288.96493099999998</v>
      </c>
      <c r="E82" s="1208">
        <v>382.70432299999999</v>
      </c>
      <c r="F82" s="1208">
        <v>767.30700000000002</v>
      </c>
      <c r="G82" s="1208">
        <v>1022.704</v>
      </c>
      <c r="H82" s="1208">
        <v>852.5</v>
      </c>
      <c r="I82" s="1192">
        <f t="shared" si="43"/>
        <v>1305.6099999999999</v>
      </c>
      <c r="J82" s="1192">
        <f>I82*1.2</f>
        <v>1566.7319999999997</v>
      </c>
      <c r="K82" s="1192">
        <f>J82*1.2</f>
        <v>1880.0783999999996</v>
      </c>
      <c r="N82" s="1210"/>
      <c r="O82" s="1210"/>
      <c r="P82" s="1210">
        <v>288.96493099999998</v>
      </c>
      <c r="Q82" s="1210"/>
      <c r="R82" s="1210">
        <v>402.05948599999999</v>
      </c>
      <c r="S82" s="1210">
        <v>443.00584900000001</v>
      </c>
      <c r="T82" s="1210">
        <v>382.70432299999999</v>
      </c>
      <c r="U82" s="1210">
        <v>702.41910600000006</v>
      </c>
      <c r="V82" s="1210">
        <v>940.80516599999999</v>
      </c>
      <c r="W82" s="1210">
        <v>1792.6594950000001</v>
      </c>
      <c r="X82" s="1210">
        <f>767.307+28.762</f>
        <v>796.06899999999996</v>
      </c>
      <c r="Y82" s="1210">
        <f>854.9+47.212</f>
        <v>902.11199999999997</v>
      </c>
      <c r="Z82" s="1210">
        <f>1209.67+46.73</f>
        <v>1256.4000000000001</v>
      </c>
      <c r="AA82" s="1210">
        <f>1290.681+90.949</f>
        <v>1381.63</v>
      </c>
      <c r="AB82" s="1210">
        <f t="shared" si="44"/>
        <v>1022.704</v>
      </c>
      <c r="AC82" s="1210">
        <v>959.48900000000003</v>
      </c>
      <c r="AD82" s="1210">
        <v>1170.809</v>
      </c>
      <c r="AE82" s="1210">
        <v>1473.376</v>
      </c>
      <c r="AF82" s="1210">
        <f t="shared" si="45"/>
        <v>852.5</v>
      </c>
      <c r="AG82" s="1210">
        <v>1161.4870000000001</v>
      </c>
      <c r="AH82" s="1210">
        <v>1306.6320000000001</v>
      </c>
      <c r="AI82" s="1210">
        <f>1630842/1000</f>
        <v>1630.8420000000001</v>
      </c>
      <c r="AJ82" s="1210">
        <v>1305.6099999999999</v>
      </c>
    </row>
    <row r="83" spans="1:36">
      <c r="A83" s="1169" t="s">
        <v>1689</v>
      </c>
      <c r="B83" s="1208">
        <v>22.019204999999999</v>
      </c>
      <c r="C83" s="1208">
        <v>29.236367999999999</v>
      </c>
      <c r="D83" s="1208">
        <v>47.388095999999997</v>
      </c>
      <c r="E83" s="1208">
        <v>78.739361000000002</v>
      </c>
      <c r="F83" s="1208">
        <v>147.38900000000001</v>
      </c>
      <c r="G83" s="1208">
        <v>192.45500000000001</v>
      </c>
      <c r="H83" s="1208">
        <v>187.56100000000001</v>
      </c>
      <c r="I83" s="1192">
        <f t="shared" si="43"/>
        <v>104.48</v>
      </c>
      <c r="J83" s="1192">
        <f>I83*1.1</f>
        <v>114.92800000000001</v>
      </c>
      <c r="K83" s="1192">
        <f>J83*1.1</f>
        <v>126.42080000000003</v>
      </c>
      <c r="N83" s="1210"/>
      <c r="O83" s="1210"/>
      <c r="P83" s="1210">
        <v>47.388095999999997</v>
      </c>
      <c r="Q83" s="1210"/>
      <c r="R83" s="1210">
        <v>54.733274000000002</v>
      </c>
      <c r="S83" s="1210">
        <v>69.487204000000006</v>
      </c>
      <c r="T83" s="1210">
        <v>78.739361000000002</v>
      </c>
      <c r="U83" s="1210">
        <v>72.225729999999999</v>
      </c>
      <c r="V83" s="1210">
        <v>89.318714999999997</v>
      </c>
      <c r="W83" s="1210">
        <v>115.134618</v>
      </c>
      <c r="X83" s="1210">
        <v>147.38900000000001</v>
      </c>
      <c r="Y83" s="1210">
        <v>129.672</v>
      </c>
      <c r="Z83" s="1210">
        <v>162.30000000000001</v>
      </c>
      <c r="AA83" s="1210">
        <v>187.63399999999999</v>
      </c>
      <c r="AB83" s="1210">
        <f t="shared" si="44"/>
        <v>192.45500000000001</v>
      </c>
      <c r="AC83" s="1210">
        <v>150.46799999999999</v>
      </c>
      <c r="AD83" s="1210">
        <v>171.15199999999999</v>
      </c>
      <c r="AE83" s="1210">
        <v>166.68100000000001</v>
      </c>
      <c r="AF83" s="1210">
        <f t="shared" si="45"/>
        <v>187.56100000000001</v>
      </c>
      <c r="AG83" s="1210">
        <v>83.540999999999997</v>
      </c>
      <c r="AH83" s="1210">
        <v>108.928</v>
      </c>
      <c r="AI83" s="1210">
        <f>110551/1000</f>
        <v>110.551</v>
      </c>
      <c r="AJ83" s="1210">
        <v>104.48</v>
      </c>
    </row>
    <row r="84" spans="1:36">
      <c r="A84" s="1169" t="s">
        <v>1690</v>
      </c>
      <c r="B84" s="1208">
        <v>0.82206699999999999</v>
      </c>
      <c r="C84" s="1208">
        <v>0.598831</v>
      </c>
      <c r="D84" s="1208">
        <v>1.3239609999999999</v>
      </c>
      <c r="E84" s="1208">
        <v>3.8840439999999998</v>
      </c>
      <c r="F84" s="1208">
        <v>8.4290000000000003</v>
      </c>
      <c r="G84" s="1208">
        <v>11.619</v>
      </c>
      <c r="H84" s="1208">
        <v>32.036000000000001</v>
      </c>
      <c r="I84" s="1192">
        <f t="shared" si="43"/>
        <v>23.315999999999999</v>
      </c>
      <c r="J84" s="1192">
        <f t="shared" ref="J84:K87" si="46">I84</f>
        <v>23.315999999999999</v>
      </c>
      <c r="K84" s="1192">
        <f t="shared" si="46"/>
        <v>23.315999999999999</v>
      </c>
      <c r="N84" s="1210"/>
      <c r="O84" s="1210"/>
      <c r="P84" s="1210">
        <v>1.3239609999999999</v>
      </c>
      <c r="Q84" s="1210"/>
      <c r="R84" s="1210">
        <v>2.5258069999999999</v>
      </c>
      <c r="S84" s="1210">
        <v>3.2644449999999998</v>
      </c>
      <c r="T84" s="1210">
        <v>3.8840439999999998</v>
      </c>
      <c r="U84" s="1210">
        <v>5.2208110000000003</v>
      </c>
      <c r="V84" s="1210">
        <v>6.0258630000000002</v>
      </c>
      <c r="W84" s="1210">
        <v>9.3091380000000008</v>
      </c>
      <c r="X84" s="1210">
        <v>8.4290000000000003</v>
      </c>
      <c r="Y84" s="1210">
        <v>12.238</v>
      </c>
      <c r="Z84" s="1210">
        <v>7.931</v>
      </c>
      <c r="AA84" s="1210">
        <v>15.978999999999999</v>
      </c>
      <c r="AB84" s="1210">
        <f t="shared" si="44"/>
        <v>11.619</v>
      </c>
      <c r="AC84" s="1210">
        <v>15.842000000000001</v>
      </c>
      <c r="AD84" s="1210">
        <v>17.602</v>
      </c>
      <c r="AE84" s="1210">
        <v>29.228000000000002</v>
      </c>
      <c r="AF84" s="1210">
        <f t="shared" si="45"/>
        <v>32.036000000000001</v>
      </c>
      <c r="AG84" s="1210">
        <v>99.822000000000003</v>
      </c>
      <c r="AH84" s="1210">
        <v>13.904</v>
      </c>
      <c r="AI84" s="1210">
        <f>15535/1000</f>
        <v>15.535</v>
      </c>
      <c r="AJ84" s="1210">
        <v>23.315999999999999</v>
      </c>
    </row>
    <row r="85" spans="1:36">
      <c r="A85" s="1169" t="s">
        <v>1251</v>
      </c>
      <c r="B85" s="1208">
        <v>157.918781</v>
      </c>
      <c r="C85" s="1208">
        <v>244.21361200000001</v>
      </c>
      <c r="D85" s="1208">
        <v>396.73796800000002</v>
      </c>
      <c r="E85" s="1208">
        <v>638.82779100000005</v>
      </c>
      <c r="F85" s="1208">
        <v>1223.3130000000001</v>
      </c>
      <c r="G85" s="1208">
        <v>1806.4929999999999</v>
      </c>
      <c r="H85" s="1208">
        <v>1210.615</v>
      </c>
      <c r="I85" s="1192">
        <f t="shared" si="43"/>
        <v>1058.9459999999999</v>
      </c>
      <c r="J85" s="1192">
        <f>I85*1.2</f>
        <v>1270.7351999999998</v>
      </c>
      <c r="K85" s="1192">
        <f>J85*1.2</f>
        <v>1524.8822399999997</v>
      </c>
      <c r="N85" s="1210"/>
      <c r="O85" s="1210"/>
      <c r="P85" s="1210">
        <v>396.73796800000002</v>
      </c>
      <c r="Q85" s="1210"/>
      <c r="R85" s="1210">
        <v>566.46255900000006</v>
      </c>
      <c r="S85" s="1210">
        <v>633.30977299999995</v>
      </c>
      <c r="T85" s="1210">
        <v>638.82779100000005</v>
      </c>
      <c r="U85" s="1210">
        <v>733.24757799999998</v>
      </c>
      <c r="V85" s="1210">
        <v>1194.814157</v>
      </c>
      <c r="W85" s="1210">
        <v>1318.588591</v>
      </c>
      <c r="X85" s="1210">
        <v>1223.3130000000001</v>
      </c>
      <c r="Y85" s="1210">
        <v>1192.5619999999999</v>
      </c>
      <c r="Z85" s="1210">
        <v>1859.941</v>
      </c>
      <c r="AA85" s="1210">
        <v>1690.5050000000001</v>
      </c>
      <c r="AB85" s="1210">
        <f t="shared" si="44"/>
        <v>1806.4929999999999</v>
      </c>
      <c r="AC85" s="1210">
        <v>924.11199999999997</v>
      </c>
      <c r="AD85" s="1210">
        <v>1412.644</v>
      </c>
      <c r="AE85" s="1210">
        <v>1341.2840000000001</v>
      </c>
      <c r="AF85" s="1210">
        <f t="shared" si="45"/>
        <v>1210.615</v>
      </c>
      <c r="AG85" s="1210">
        <v>1033.2929999999999</v>
      </c>
      <c r="AH85" s="1210">
        <v>1395.309</v>
      </c>
      <c r="AI85" s="1210">
        <f>1079211/1000</f>
        <v>1079.211</v>
      </c>
      <c r="AJ85" s="1210">
        <v>1058.9459999999999</v>
      </c>
    </row>
    <row r="86" spans="1:36">
      <c r="A86" s="1169" t="s">
        <v>1691</v>
      </c>
      <c r="B86" s="1208">
        <v>12.14818</v>
      </c>
      <c r="C86" s="1208">
        <v>20.934476</v>
      </c>
      <c r="D86" s="1208">
        <v>29.732089999999999</v>
      </c>
      <c r="E86" s="1208">
        <v>109.860116</v>
      </c>
      <c r="F86" s="1208">
        <f>1026.282+28.762</f>
        <v>1055.0439999999999</v>
      </c>
      <c r="G86" s="1208">
        <f>589.288+32.526</f>
        <v>621.81399999999996</v>
      </c>
      <c r="H86" s="1208">
        <f>373.69+86.923</f>
        <v>460.613</v>
      </c>
      <c r="I86" s="1192">
        <f t="shared" si="43"/>
        <v>610.303</v>
      </c>
      <c r="J86" s="1192">
        <f t="shared" si="46"/>
        <v>610.303</v>
      </c>
      <c r="K86" s="1192">
        <f t="shared" si="46"/>
        <v>610.303</v>
      </c>
      <c r="N86" s="1210"/>
      <c r="O86" s="1210"/>
      <c r="P86" s="1210">
        <v>29.732089999999999</v>
      </c>
      <c r="Q86" s="1210"/>
      <c r="R86" s="1210">
        <v>73.586843999999999</v>
      </c>
      <c r="S86" s="1210">
        <v>84.941001</v>
      </c>
      <c r="T86" s="1210">
        <v>109.860116</v>
      </c>
      <c r="U86" s="1210">
        <v>110.947532</v>
      </c>
      <c r="V86" s="1210">
        <v>167.45072200000001</v>
      </c>
      <c r="W86" s="1210">
        <v>543.05365600000005</v>
      </c>
      <c r="X86" s="1210">
        <v>1026.2819999999999</v>
      </c>
      <c r="Y86" s="1210">
        <v>1180.5160000000001</v>
      </c>
      <c r="Z86" s="1210">
        <f>611.722</f>
        <v>611.72199999999998</v>
      </c>
      <c r="AA86" s="1210">
        <v>569.024</v>
      </c>
      <c r="AB86" s="1210">
        <f t="shared" si="44"/>
        <v>621.81399999999996</v>
      </c>
      <c r="AC86" s="1210">
        <f>470.5+87.506</f>
        <v>558.00599999999997</v>
      </c>
      <c r="AD86" s="1210">
        <f>441.911+77.786</f>
        <v>519.697</v>
      </c>
      <c r="AE86" s="1210">
        <f>417.723+109.305</f>
        <v>527.02800000000002</v>
      </c>
      <c r="AF86" s="1210">
        <f t="shared" si="45"/>
        <v>460.613</v>
      </c>
      <c r="AG86" s="1210">
        <v>399.541</v>
      </c>
      <c r="AH86" s="1210">
        <v>408.541</v>
      </c>
      <c r="AI86" s="1210">
        <f>560254/1000</f>
        <v>560.25400000000002</v>
      </c>
      <c r="AJ86" s="1210">
        <f>533.144+77.159</f>
        <v>610.303</v>
      </c>
    </row>
    <row r="87" spans="1:36">
      <c r="A87" s="1169" t="s">
        <v>1692</v>
      </c>
      <c r="B87" s="1208">
        <v>0</v>
      </c>
      <c r="C87" s="1208">
        <v>0</v>
      </c>
      <c r="D87" s="1208">
        <v>0</v>
      </c>
      <c r="E87" s="1208">
        <v>0</v>
      </c>
      <c r="F87" s="1208">
        <v>589.15099999999995</v>
      </c>
      <c r="G87" s="1208">
        <v>871.91399999999999</v>
      </c>
      <c r="H87" s="1208">
        <v>177.971</v>
      </c>
      <c r="I87" s="1192">
        <f t="shared" si="43"/>
        <v>0</v>
      </c>
      <c r="J87" s="1192">
        <f t="shared" si="46"/>
        <v>0</v>
      </c>
      <c r="K87" s="1192">
        <f t="shared" si="46"/>
        <v>0</v>
      </c>
      <c r="N87" s="1210"/>
      <c r="O87" s="1210"/>
      <c r="P87" s="1210"/>
      <c r="Q87" s="1210"/>
      <c r="R87" s="1210"/>
      <c r="S87" s="1210"/>
      <c r="T87" s="1210"/>
      <c r="U87" s="1210"/>
      <c r="V87" s="1210"/>
      <c r="W87" s="1210"/>
      <c r="X87" s="1210">
        <v>589.15099999999995</v>
      </c>
      <c r="Y87" s="1210"/>
      <c r="Z87" s="1210">
        <v>1155.4159999999999</v>
      </c>
      <c r="AA87" s="1210">
        <v>1267.771</v>
      </c>
      <c r="AB87" s="1210">
        <f t="shared" si="44"/>
        <v>871.91399999999999</v>
      </c>
      <c r="AC87" s="1210">
        <v>768.97299999999996</v>
      </c>
      <c r="AD87" s="1210">
        <v>682.245</v>
      </c>
      <c r="AE87" s="1210">
        <v>496.05799999999999</v>
      </c>
      <c r="AF87" s="1210">
        <f t="shared" si="45"/>
        <v>177.971</v>
      </c>
      <c r="AG87" s="1210">
        <f>18.101+141.012</f>
        <v>159.113</v>
      </c>
      <c r="AH87" s="1210">
        <v>107.9</v>
      </c>
      <c r="AI87" s="1210">
        <f>80749/1000</f>
        <v>80.748999999999995</v>
      </c>
      <c r="AJ87" s="1210">
        <v>0</v>
      </c>
    </row>
    <row r="88" spans="1:36" s="1212" customFormat="1">
      <c r="A88" s="1183" t="s">
        <v>1693</v>
      </c>
      <c r="B88" s="1193">
        <f t="shared" ref="B88:G88" si="47">SUM(B81:B87)</f>
        <v>248.73023000000001</v>
      </c>
      <c r="C88" s="1193">
        <f t="shared" si="47"/>
        <v>422.22330799999997</v>
      </c>
      <c r="D88" s="1193">
        <f t="shared" si="47"/>
        <v>764.14704600000005</v>
      </c>
      <c r="E88" s="1193">
        <f t="shared" si="47"/>
        <v>1214.015635</v>
      </c>
      <c r="F88" s="1193">
        <f t="shared" si="47"/>
        <v>3790.6329999999998</v>
      </c>
      <c r="G88" s="1193">
        <f t="shared" si="47"/>
        <v>4526.9989999999998</v>
      </c>
      <c r="H88" s="1193">
        <f>SUM(H81:H87)</f>
        <v>2921.2959999999998</v>
      </c>
      <c r="I88" s="1193">
        <f>SUM(I81:I87)</f>
        <v>3102.6549999999997</v>
      </c>
      <c r="J88" s="1193">
        <f>SUM(J81:J87)</f>
        <v>3586.0141999999996</v>
      </c>
      <c r="K88" s="1193">
        <f>SUM(K81:K87)</f>
        <v>4165.0004399999998</v>
      </c>
      <c r="L88" s="1185"/>
      <c r="M88" s="1211"/>
      <c r="N88" s="1211"/>
      <c r="O88" s="1211"/>
      <c r="P88" s="1211">
        <f>SUM(P82:P86)</f>
        <v>764.14704600000005</v>
      </c>
      <c r="Q88" s="1211"/>
      <c r="R88" s="1211">
        <f>SUM(R81:R86)</f>
        <v>1099.36797</v>
      </c>
      <c r="S88" s="1211">
        <f>SUM(S82:S86)</f>
        <v>1234.0082719999998</v>
      </c>
      <c r="T88" s="1211">
        <f>SUM(T82:T86)</f>
        <v>1214.015635</v>
      </c>
      <c r="U88" s="1211">
        <f>SUM(U82:U86)</f>
        <v>1624.060757</v>
      </c>
      <c r="V88" s="1211">
        <f>SUM(V81:V86)</f>
        <v>2403.4146230000001</v>
      </c>
      <c r="W88" s="1211">
        <f>SUM(W81:W86)</f>
        <v>3788.7454980000002</v>
      </c>
      <c r="X88" s="1211">
        <f>SUM(X81:X87)</f>
        <v>3790.6329999999998</v>
      </c>
      <c r="Y88" s="1211">
        <f>SUM(Y81:Y86)</f>
        <v>3417.1</v>
      </c>
      <c r="Z88" s="1211">
        <f t="shared" ref="Z88:AJ88" si="48">SUM(Z81:Z87)</f>
        <v>5053.71</v>
      </c>
      <c r="AA88" s="1211">
        <f t="shared" si="48"/>
        <v>5112.5430000000006</v>
      </c>
      <c r="AB88" s="1211">
        <f t="shared" si="48"/>
        <v>4526.9989999999998</v>
      </c>
      <c r="AC88" s="1211">
        <f t="shared" si="48"/>
        <v>3376.89</v>
      </c>
      <c r="AD88" s="1211">
        <f t="shared" si="48"/>
        <v>3974.1490000000003</v>
      </c>
      <c r="AE88" s="1211">
        <f t="shared" si="48"/>
        <v>4033.6550000000007</v>
      </c>
      <c r="AF88" s="1211">
        <f t="shared" si="48"/>
        <v>2921.2959999999998</v>
      </c>
      <c r="AG88" s="1211">
        <f t="shared" si="48"/>
        <v>2936.797</v>
      </c>
      <c r="AH88" s="1211">
        <f t="shared" si="48"/>
        <v>3341.2140000000004</v>
      </c>
      <c r="AI88" s="1211">
        <f t="shared" si="48"/>
        <v>3477.1419999999998</v>
      </c>
      <c r="AJ88" s="1211">
        <f t="shared" si="48"/>
        <v>3102.6549999999997</v>
      </c>
    </row>
    <row r="89" spans="1:36">
      <c r="A89" s="1169" t="s">
        <v>1694</v>
      </c>
      <c r="B89" s="1208">
        <v>2.2077770000000001</v>
      </c>
      <c r="C89" s="1208">
        <v>11.038886</v>
      </c>
      <c r="D89" s="1208">
        <v>19.870001999999999</v>
      </c>
      <c r="E89" s="1208">
        <v>22.278479000000001</v>
      </c>
      <c r="F89" s="1208">
        <v>57.784999999999997</v>
      </c>
      <c r="G89" s="1208">
        <v>54.927999999999997</v>
      </c>
      <c r="H89" s="1208">
        <v>42.481000000000002</v>
      </c>
      <c r="I89" s="1192">
        <f t="shared" si="43"/>
        <v>40.415999999999997</v>
      </c>
      <c r="J89" s="1192">
        <f>I89</f>
        <v>40.415999999999997</v>
      </c>
      <c r="K89" s="1192">
        <f>J89</f>
        <v>40.415999999999997</v>
      </c>
      <c r="N89" s="1210"/>
      <c r="O89" s="1210"/>
      <c r="P89" s="1210">
        <v>19.870001999999999</v>
      </c>
      <c r="Q89" s="1210"/>
      <c r="R89" s="1210">
        <v>24.285558000000002</v>
      </c>
      <c r="S89" s="1210">
        <v>23.339359000000002</v>
      </c>
      <c r="T89" s="1210">
        <v>22.278479000000001</v>
      </c>
      <c r="U89" s="1210">
        <v>21.217599</v>
      </c>
      <c r="V89" s="1210">
        <v>31.456386999999999</v>
      </c>
      <c r="W89" s="1210">
        <v>64.230401999999998</v>
      </c>
      <c r="X89" s="1210">
        <v>57.784999999999997</v>
      </c>
      <c r="Y89" s="1210">
        <v>58.595999999999997</v>
      </c>
      <c r="Z89" s="1210">
        <v>57.069000000000003</v>
      </c>
      <c r="AA89" s="1210">
        <v>66.286000000000001</v>
      </c>
      <c r="AB89" s="1210">
        <f t="shared" si="44"/>
        <v>54.927999999999997</v>
      </c>
      <c r="AC89" s="1210">
        <v>53.287999999999997</v>
      </c>
      <c r="AD89" s="1210">
        <v>52.048999999999999</v>
      </c>
      <c r="AE89" s="1210">
        <v>42.81</v>
      </c>
      <c r="AF89" s="1210">
        <f t="shared" si="45"/>
        <v>42.481000000000002</v>
      </c>
      <c r="AG89" s="1210">
        <v>40.841999999999999</v>
      </c>
      <c r="AH89" s="1210">
        <v>43.965000000000003</v>
      </c>
      <c r="AI89" s="1210">
        <f>46796/1000</f>
        <v>46.795999999999999</v>
      </c>
      <c r="AJ89" s="1210">
        <v>40.415999999999997</v>
      </c>
    </row>
    <row r="90" spans="1:36" s="1212" customFormat="1">
      <c r="A90" s="1187" t="s">
        <v>1253</v>
      </c>
      <c r="B90" s="1199">
        <f t="shared" ref="B90:K90" si="49">B88+B89</f>
        <v>250.938007</v>
      </c>
      <c r="C90" s="1199">
        <f t="shared" si="49"/>
        <v>433.26219399999997</v>
      </c>
      <c r="D90" s="1199">
        <f t="shared" si="49"/>
        <v>784.01704800000005</v>
      </c>
      <c r="E90" s="1199">
        <f t="shared" si="49"/>
        <v>1236.294114</v>
      </c>
      <c r="F90" s="1199">
        <f t="shared" si="49"/>
        <v>3848.4179999999997</v>
      </c>
      <c r="G90" s="1199">
        <f t="shared" si="49"/>
        <v>4581.9269999999997</v>
      </c>
      <c r="H90" s="1199">
        <f t="shared" si="49"/>
        <v>2963.777</v>
      </c>
      <c r="I90" s="1199">
        <f t="shared" si="49"/>
        <v>3143.0709999999999</v>
      </c>
      <c r="J90" s="1199">
        <f t="shared" si="49"/>
        <v>3626.4301999999998</v>
      </c>
      <c r="K90" s="1199">
        <f t="shared" si="49"/>
        <v>4205.41644</v>
      </c>
      <c r="L90" s="1185"/>
      <c r="M90" s="1214"/>
      <c r="N90" s="1214"/>
      <c r="O90" s="1214"/>
      <c r="P90" s="1214">
        <f>P88+P89</f>
        <v>784.01704800000005</v>
      </c>
      <c r="Q90" s="1214"/>
      <c r="R90" s="1214">
        <f>R88+R89</f>
        <v>1123.6535280000001</v>
      </c>
      <c r="S90" s="1214">
        <f t="shared" ref="S90:AJ90" si="50">S88+S89</f>
        <v>1257.3476309999999</v>
      </c>
      <c r="T90" s="1214">
        <f t="shared" si="50"/>
        <v>1236.294114</v>
      </c>
      <c r="U90" s="1214">
        <f t="shared" si="50"/>
        <v>1645.278356</v>
      </c>
      <c r="V90" s="1214">
        <f t="shared" si="50"/>
        <v>2434.8710100000003</v>
      </c>
      <c r="W90" s="1214">
        <f t="shared" si="50"/>
        <v>3852.9759000000004</v>
      </c>
      <c r="X90" s="1214">
        <f t="shared" si="50"/>
        <v>3848.4179999999997</v>
      </c>
      <c r="Y90" s="1215">
        <f t="shared" si="50"/>
        <v>3475.6959999999999</v>
      </c>
      <c r="Z90" s="1215">
        <f t="shared" si="50"/>
        <v>5110.7790000000005</v>
      </c>
      <c r="AA90" s="1215">
        <f t="shared" si="50"/>
        <v>5178.8290000000006</v>
      </c>
      <c r="AB90" s="1215">
        <f t="shared" si="50"/>
        <v>4581.9269999999997</v>
      </c>
      <c r="AC90" s="1215">
        <f t="shared" si="50"/>
        <v>3430.1779999999999</v>
      </c>
      <c r="AD90" s="1215">
        <f t="shared" si="50"/>
        <v>4026.1980000000003</v>
      </c>
      <c r="AE90" s="1215">
        <f t="shared" si="50"/>
        <v>4076.4650000000006</v>
      </c>
      <c r="AF90" s="1215">
        <f t="shared" si="50"/>
        <v>2963.777</v>
      </c>
      <c r="AG90" s="1215">
        <f t="shared" si="50"/>
        <v>2977.6390000000001</v>
      </c>
      <c r="AH90" s="1215">
        <f t="shared" si="50"/>
        <v>3385.1790000000005</v>
      </c>
      <c r="AI90" s="1215">
        <f t="shared" si="50"/>
        <v>3523.9379999999996</v>
      </c>
      <c r="AJ90" s="1215">
        <f t="shared" si="50"/>
        <v>3143.0709999999999</v>
      </c>
    </row>
    <row r="91" spans="1:36">
      <c r="B91" s="1208"/>
      <c r="C91" s="1208"/>
      <c r="D91" s="1208"/>
      <c r="E91" s="1208"/>
      <c r="F91" s="1208"/>
      <c r="G91" s="1208"/>
      <c r="H91" s="1208"/>
      <c r="I91" s="1192"/>
      <c r="J91" s="1192"/>
      <c r="K91" s="1192"/>
      <c r="N91" s="1210"/>
      <c r="O91" s="1210"/>
      <c r="P91" s="1210"/>
      <c r="Q91" s="1210"/>
      <c r="R91" s="1210"/>
      <c r="S91" s="1210"/>
      <c r="T91" s="1210"/>
      <c r="U91" s="1210"/>
      <c r="V91" s="1210"/>
      <c r="W91" s="1210"/>
      <c r="X91" s="1210"/>
      <c r="Y91" s="1210"/>
      <c r="Z91" s="1210"/>
      <c r="AA91" s="1210"/>
      <c r="AB91" s="1210"/>
      <c r="AC91" s="1210"/>
      <c r="AD91" s="1210"/>
      <c r="AE91" s="1210"/>
      <c r="AF91" s="1210"/>
      <c r="AG91" s="1210"/>
      <c r="AH91" s="1210"/>
      <c r="AI91" s="1210"/>
      <c r="AJ91" s="1210"/>
    </row>
    <row r="92" spans="1:36">
      <c r="A92" s="1185" t="s">
        <v>1695</v>
      </c>
      <c r="B92" s="1208">
        <v>350.74385000000001</v>
      </c>
      <c r="C92" s="1208">
        <v>350.74385000000001</v>
      </c>
      <c r="D92" s="1208">
        <v>716.44124299999999</v>
      </c>
      <c r="E92" s="1208">
        <v>0</v>
      </c>
      <c r="F92" s="1208">
        <v>0</v>
      </c>
      <c r="G92" s="1208">
        <v>90.072000000000003</v>
      </c>
      <c r="H92" s="1208">
        <v>96.718999999999994</v>
      </c>
      <c r="I92" s="1192">
        <f>AJ92</f>
        <v>69.319000000000003</v>
      </c>
      <c r="J92" s="1192">
        <f>I92</f>
        <v>69.319000000000003</v>
      </c>
      <c r="K92" s="1192">
        <f>J92</f>
        <v>69.319000000000003</v>
      </c>
      <c r="N92" s="1210"/>
      <c r="O92" s="1210"/>
      <c r="P92" s="1210">
        <v>716.44124299999999</v>
      </c>
      <c r="Q92" s="1210"/>
      <c r="R92" s="1210"/>
      <c r="S92" s="1210"/>
      <c r="T92" s="1210"/>
      <c r="U92" s="1210"/>
      <c r="V92" s="1210"/>
      <c r="W92" s="1210"/>
      <c r="X92" s="1210"/>
      <c r="Y92" s="1213">
        <v>0</v>
      </c>
      <c r="Z92" s="1213">
        <v>0</v>
      </c>
      <c r="AA92" s="1213">
        <v>0</v>
      </c>
      <c r="AB92" s="1210">
        <f>G92</f>
        <v>90.072000000000003</v>
      </c>
      <c r="AC92" s="1210">
        <v>91.703000000000003</v>
      </c>
      <c r="AD92" s="1210">
        <v>93.364000000000004</v>
      </c>
      <c r="AE92" s="1210">
        <v>95.054000000000002</v>
      </c>
      <c r="AF92" s="1210">
        <f>H92</f>
        <v>96.718999999999994</v>
      </c>
      <c r="AG92" s="1210">
        <v>98.528000000000006</v>
      </c>
      <c r="AH92" s="1210">
        <v>67.05</v>
      </c>
      <c r="AI92" s="1210">
        <f>68086/1000</f>
        <v>68.085999999999999</v>
      </c>
      <c r="AJ92" s="1210">
        <v>69.319000000000003</v>
      </c>
    </row>
    <row r="93" spans="1:36">
      <c r="B93" s="1208"/>
      <c r="C93" s="1208"/>
      <c r="D93" s="1208"/>
      <c r="E93" s="1208"/>
      <c r="F93" s="1208"/>
      <c r="G93" s="1208"/>
      <c r="H93" s="1208"/>
      <c r="I93" s="1192"/>
      <c r="J93" s="1192"/>
      <c r="K93" s="1192"/>
      <c r="N93" s="1210"/>
      <c r="O93" s="1210"/>
      <c r="P93" s="1210"/>
      <c r="Q93" s="1210"/>
      <c r="R93" s="1210"/>
      <c r="S93" s="1210"/>
      <c r="T93" s="1210"/>
      <c r="U93" s="1210"/>
      <c r="V93" s="1210"/>
      <c r="W93" s="1210"/>
      <c r="X93" s="1210"/>
      <c r="Y93" s="1210"/>
      <c r="Z93" s="1210"/>
      <c r="AA93" s="1210"/>
      <c r="AB93" s="1210"/>
      <c r="AC93" s="1210"/>
      <c r="AD93" s="1210"/>
      <c r="AE93" s="1210"/>
      <c r="AF93" s="1210"/>
      <c r="AG93" s="1210"/>
      <c r="AH93" s="1210"/>
      <c r="AI93" s="1210"/>
      <c r="AJ93" s="1210"/>
    </row>
    <row r="94" spans="1:36">
      <c r="A94" s="1181" t="s">
        <v>1696</v>
      </c>
      <c r="B94" s="1208"/>
      <c r="C94" s="1208"/>
      <c r="D94" s="1208"/>
      <c r="E94" s="1208"/>
      <c r="F94" s="1208"/>
      <c r="G94" s="1208"/>
      <c r="H94" s="1208"/>
      <c r="I94" s="1192"/>
      <c r="J94" s="1192"/>
      <c r="K94" s="1192"/>
      <c r="N94" s="1210"/>
      <c r="O94" s="1210"/>
      <c r="P94" s="1210"/>
      <c r="Q94" s="1210"/>
      <c r="R94" s="1210"/>
      <c r="S94" s="1210"/>
      <c r="T94" s="1210"/>
      <c r="U94" s="1210"/>
      <c r="V94" s="1210"/>
      <c r="W94" s="1210"/>
      <c r="X94" s="1210"/>
      <c r="Y94" s="1210"/>
      <c r="Z94" s="1210"/>
      <c r="AA94" s="1210"/>
      <c r="AB94" s="1210"/>
      <c r="AC94" s="1210"/>
      <c r="AD94" s="1210"/>
      <c r="AE94" s="1210"/>
      <c r="AF94" s="1210"/>
      <c r="AG94" s="1210"/>
      <c r="AH94" s="1210"/>
      <c r="AI94" s="1210"/>
      <c r="AJ94" s="1210"/>
    </row>
    <row r="95" spans="1:36">
      <c r="A95" s="1169" t="s">
        <v>1697</v>
      </c>
      <c r="B95" s="1208">
        <v>1.7756999999999998E-2</v>
      </c>
      <c r="C95" s="1208">
        <v>1.7756999999999998E-2</v>
      </c>
      <c r="D95" s="1208">
        <v>1.7756999999999998E-2</v>
      </c>
      <c r="E95" s="1208">
        <v>0.121068</v>
      </c>
      <c r="F95" s="1208">
        <v>0.18099999999999999</v>
      </c>
      <c r="G95" s="1208">
        <f>0.242-19.708</f>
        <v>-19.465999999999998</v>
      </c>
      <c r="H95" s="1208">
        <f>0.248-185.419</f>
        <v>-185.17100000000002</v>
      </c>
      <c r="I95" s="1192">
        <f t="shared" ref="I95:I100" si="51">AJ95</f>
        <v>-304.286</v>
      </c>
      <c r="J95" s="1192">
        <f>I95</f>
        <v>-304.286</v>
      </c>
      <c r="K95" s="1192">
        <f>J95</f>
        <v>-304.286</v>
      </c>
      <c r="N95" s="1210"/>
      <c r="O95" s="1210"/>
      <c r="P95" s="1210">
        <v>1.7756999999999998E-2</v>
      </c>
      <c r="Q95" s="1210"/>
      <c r="R95" s="1210">
        <v>9.7092999999999999E-2</v>
      </c>
      <c r="S95" s="1210">
        <v>9.7092999999999999E-2</v>
      </c>
      <c r="T95" s="1210">
        <v>0.121068</v>
      </c>
      <c r="U95" s="1210">
        <v>0.122018</v>
      </c>
      <c r="V95" s="1210">
        <v>0.18073800000000001</v>
      </c>
      <c r="W95" s="1210">
        <v>0.18093200000000001</v>
      </c>
      <c r="X95" s="1210">
        <v>0.18099999999999999</v>
      </c>
      <c r="Y95" s="1210">
        <v>0.24099999999999999</v>
      </c>
      <c r="Z95" s="1210">
        <v>0.24099999999999999</v>
      </c>
      <c r="AA95" s="1210">
        <f>0.242-0.617</f>
        <v>-0.375</v>
      </c>
      <c r="AB95" s="1208">
        <f t="shared" ref="AB95:AB100" si="52">G95</f>
        <v>-19.465999999999998</v>
      </c>
      <c r="AC95" s="1208">
        <f>0.242-67.077</f>
        <v>-66.834999999999994</v>
      </c>
      <c r="AD95" s="1208">
        <f>0.242-129.102</f>
        <v>-128.86000000000001</v>
      </c>
      <c r="AE95" s="1208">
        <f>0.248-185.419</f>
        <v>-185.17100000000002</v>
      </c>
      <c r="AF95" s="1208">
        <f t="shared" ref="AF95:AF100" si="53">H95</f>
        <v>-185.17100000000002</v>
      </c>
      <c r="AG95" s="1208">
        <f>0.248-203.717</f>
        <v>-203.46900000000002</v>
      </c>
      <c r="AH95" s="1208">
        <f>-301.374+0.249</f>
        <v>-301.125</v>
      </c>
      <c r="AI95" s="1208">
        <f>0.248-299.209</f>
        <v>-298.96100000000001</v>
      </c>
      <c r="AJ95" s="1208">
        <f>0.249-304.535</f>
        <v>-304.286</v>
      </c>
    </row>
    <row r="96" spans="1:36">
      <c r="A96" s="1169" t="s">
        <v>1698</v>
      </c>
      <c r="B96" s="1208">
        <v>0.2</v>
      </c>
      <c r="C96" s="1208">
        <v>0.2</v>
      </c>
      <c r="D96" s="1208">
        <v>0.2</v>
      </c>
      <c r="E96" s="1208">
        <v>2298.726639</v>
      </c>
      <c r="F96" s="1208">
        <v>5482.6369999999997</v>
      </c>
      <c r="G96" s="1208">
        <v>8855.991</v>
      </c>
      <c r="H96" s="1208">
        <v>9013.7929999999997</v>
      </c>
      <c r="I96" s="1192">
        <f t="shared" si="51"/>
        <v>9061.9789999999994</v>
      </c>
      <c r="J96" s="1192">
        <f>I96-J50</f>
        <v>9146.3743468578377</v>
      </c>
      <c r="K96" s="1192">
        <f>J96-K50</f>
        <v>9238.8438247980521</v>
      </c>
      <c r="N96" s="1210"/>
      <c r="O96" s="1210"/>
      <c r="P96" s="1210">
        <v>0.2</v>
      </c>
      <c r="Q96" s="1210"/>
      <c r="R96" s="1210">
        <v>1383.1404</v>
      </c>
      <c r="S96" s="1210">
        <v>1392.9132830000001</v>
      </c>
      <c r="T96" s="1210">
        <v>2298.726639</v>
      </c>
      <c r="U96" s="1210">
        <v>2315.0206629999998</v>
      </c>
      <c r="V96" s="1210">
        <v>5437.8072549999997</v>
      </c>
      <c r="W96" s="1210">
        <v>5456.6233769999999</v>
      </c>
      <c r="X96" s="1210">
        <v>5482.6369999999997</v>
      </c>
      <c r="Y96" s="1210">
        <v>8780.6540000000005</v>
      </c>
      <c r="Z96" s="1210">
        <v>8804.4380000000001</v>
      </c>
      <c r="AA96" s="1210">
        <v>8826.99</v>
      </c>
      <c r="AB96" s="1210">
        <f t="shared" si="52"/>
        <v>8855.991</v>
      </c>
      <c r="AC96" s="1210">
        <v>8878.0049999999992</v>
      </c>
      <c r="AD96" s="1210">
        <v>8900.4169999999995</v>
      </c>
      <c r="AE96" s="1210">
        <v>8983.7109999999993</v>
      </c>
      <c r="AF96" s="1210">
        <f t="shared" si="53"/>
        <v>9013.7929999999997</v>
      </c>
      <c r="AG96" s="1210">
        <v>9025.3539999999994</v>
      </c>
      <c r="AH96" s="1210">
        <v>9036.5609999999997</v>
      </c>
      <c r="AI96" s="1210">
        <f>9054015/1000</f>
        <v>9054.0149999999994</v>
      </c>
      <c r="AJ96" s="1210">
        <v>9061.9789999999994</v>
      </c>
    </row>
    <row r="97" spans="1:36">
      <c r="A97" s="1169" t="s">
        <v>1699</v>
      </c>
      <c r="B97" s="1208">
        <v>-14.803532000000001</v>
      </c>
      <c r="C97" s="1208">
        <v>-14.865853</v>
      </c>
      <c r="D97" s="1208">
        <v>-19.723269999999999</v>
      </c>
      <c r="E97" s="1208">
        <v>-21.080728000000001</v>
      </c>
      <c r="F97" s="1208">
        <v>167.02500000000001</v>
      </c>
      <c r="G97" s="1208">
        <v>400.92500000000001</v>
      </c>
      <c r="H97" s="1208">
        <v>272.38600000000002</v>
      </c>
      <c r="I97" s="1192">
        <f t="shared" si="51"/>
        <v>284.07900000000001</v>
      </c>
      <c r="J97" s="1192">
        <f>I97</f>
        <v>284.07900000000001</v>
      </c>
      <c r="K97" s="1192">
        <f>J97</f>
        <v>284.07900000000001</v>
      </c>
      <c r="N97" s="1210"/>
      <c r="O97" s="1210"/>
      <c r="P97" s="1210">
        <v>-19.723269999999999</v>
      </c>
      <c r="Q97" s="1210"/>
      <c r="R97" s="1210">
        <v>-17.982094</v>
      </c>
      <c r="S97" s="1210">
        <v>-17.533339999999999</v>
      </c>
      <c r="T97" s="1210">
        <v>-21.080728000000001</v>
      </c>
      <c r="U97" s="1210">
        <v>-15.808308</v>
      </c>
      <c r="V97" s="1210">
        <v>-21.408453999999999</v>
      </c>
      <c r="W97" s="1210">
        <v>128.84160199999999</v>
      </c>
      <c r="X97" s="1210">
        <v>167.02500000000001</v>
      </c>
      <c r="Y97" s="1210">
        <v>109.974</v>
      </c>
      <c r="Z97" s="1210">
        <v>229.90199999999999</v>
      </c>
      <c r="AA97" s="1210">
        <v>259.40199999999999</v>
      </c>
      <c r="AB97" s="1210">
        <f t="shared" si="52"/>
        <v>400.92500000000001</v>
      </c>
      <c r="AC97" s="1210">
        <v>381.73500000000001</v>
      </c>
      <c r="AD97" s="1210">
        <v>333.29899999999998</v>
      </c>
      <c r="AE97" s="1210">
        <v>297.15600000000001</v>
      </c>
      <c r="AF97" s="1210">
        <f t="shared" si="53"/>
        <v>272.38600000000002</v>
      </c>
      <c r="AG97" s="1210">
        <v>243.934</v>
      </c>
      <c r="AH97" s="1210">
        <v>267.73599999999999</v>
      </c>
      <c r="AI97" s="1210">
        <f>284078/1000</f>
        <v>284.07799999999997</v>
      </c>
      <c r="AJ97" s="1210">
        <v>284.07900000000001</v>
      </c>
    </row>
    <row r="98" spans="1:36">
      <c r="A98" s="1169" t="s">
        <v>1700</v>
      </c>
      <c r="B98" s="1208">
        <v>-159.3296</v>
      </c>
      <c r="C98" s="1208">
        <v>-266.51952299999999</v>
      </c>
      <c r="D98" s="1208">
        <v>-405.58000199999998</v>
      </c>
      <c r="E98" s="1208">
        <v>-869.04376100000002</v>
      </c>
      <c r="F98" s="1208">
        <v>-2328.4229999999998</v>
      </c>
      <c r="G98" s="1208">
        <v>-4738.5929999999998</v>
      </c>
      <c r="H98" s="1208">
        <v>-5505.8969999999999</v>
      </c>
      <c r="I98" s="1192">
        <f t="shared" si="51"/>
        <v>-5691.4089999999997</v>
      </c>
      <c r="J98" s="1192">
        <f>I98+J42-J41</f>
        <v>-5856.1135348081516</v>
      </c>
      <c r="K98" s="1192">
        <f>J98+K42-K41</f>
        <v>-5972.4243225896544</v>
      </c>
      <c r="N98" s="1210"/>
      <c r="O98" s="1210"/>
      <c r="P98" s="1210">
        <v>-405.58000199999998</v>
      </c>
      <c r="Q98" s="1210"/>
      <c r="R98" s="1210">
        <v>-597.56228999999996</v>
      </c>
      <c r="S98" s="1210">
        <v>-701.00414999999998</v>
      </c>
      <c r="T98" s="1210">
        <v>-869.04376100000002</v>
      </c>
      <c r="U98" s="1210">
        <v>-1102.0998099999999</v>
      </c>
      <c r="V98" s="1210">
        <v>-1348.162196</v>
      </c>
      <c r="W98" s="1210">
        <v>-1781.466813</v>
      </c>
      <c r="X98" s="1210">
        <v>-2328.4229999999998</v>
      </c>
      <c r="Y98" s="1208">
        <v>-2867.9389999999999</v>
      </c>
      <c r="Z98" s="1208">
        <v>-3632.7469999999998</v>
      </c>
      <c r="AA98" s="1208">
        <v>-4201.2240000000002</v>
      </c>
      <c r="AB98" s="1208">
        <f t="shared" si="52"/>
        <v>-4738.5929999999998</v>
      </c>
      <c r="AC98" s="1208">
        <v>-5025.4750000000004</v>
      </c>
      <c r="AD98" s="1208">
        <v>-5294.6660000000002</v>
      </c>
      <c r="AE98" s="1208">
        <v>-5322.7939999999999</v>
      </c>
      <c r="AF98" s="1208">
        <f t="shared" si="53"/>
        <v>-5505.8969999999999</v>
      </c>
      <c r="AG98" s="1208">
        <v>-5579.701</v>
      </c>
      <c r="AH98" s="1208">
        <v>-5661.0550000000003</v>
      </c>
      <c r="AI98" s="1208">
        <f>-5629830/1000</f>
        <v>-5629.83</v>
      </c>
      <c r="AJ98" s="1208">
        <f>-5691.409</f>
        <v>-5691.4089999999997</v>
      </c>
    </row>
    <row r="99" spans="1:36" s="1212" customFormat="1">
      <c r="A99" s="1187" t="s">
        <v>1701</v>
      </c>
      <c r="B99" s="1199">
        <f t="shared" ref="B99:G99" si="54">SUM(B95:B98)</f>
        <v>-173.91537500000001</v>
      </c>
      <c r="C99" s="1199">
        <f t="shared" si="54"/>
        <v>-281.167619</v>
      </c>
      <c r="D99" s="1199">
        <f t="shared" si="54"/>
        <v>-425.08551499999999</v>
      </c>
      <c r="E99" s="1199">
        <f t="shared" si="54"/>
        <v>1408.7232180000001</v>
      </c>
      <c r="F99" s="1199">
        <f t="shared" si="54"/>
        <v>3321.4199999999992</v>
      </c>
      <c r="G99" s="1199">
        <f t="shared" si="54"/>
        <v>4498.8569999999991</v>
      </c>
      <c r="H99" s="1199">
        <f>SUM(H95:H98)</f>
        <v>3595.1109999999999</v>
      </c>
      <c r="I99" s="1199">
        <f>SUM(I95:I98)</f>
        <v>3350.3629999999994</v>
      </c>
      <c r="J99" s="1199">
        <f>SUM(J95:J98)</f>
        <v>3270.0538120496858</v>
      </c>
      <c r="K99" s="1199">
        <f>SUM(K95:K98)</f>
        <v>3246.2125022083974</v>
      </c>
      <c r="L99" s="1185"/>
      <c r="M99" s="1211"/>
      <c r="N99" s="1211"/>
      <c r="O99" s="1211"/>
      <c r="P99" s="1211">
        <f>SUM(P95:P98)</f>
        <v>-425.08551499999999</v>
      </c>
      <c r="Q99" s="1211"/>
      <c r="R99" s="1211">
        <f>SUM(R95:R98)</f>
        <v>767.69310900000016</v>
      </c>
      <c r="S99" s="1211">
        <f>SUM(S95:S98)</f>
        <v>674.47288600000024</v>
      </c>
      <c r="T99" s="1211">
        <f t="shared" ref="T99:AJ99" si="55">SUM(T95:T98)</f>
        <v>1408.7232180000001</v>
      </c>
      <c r="U99" s="1211">
        <f t="shared" si="55"/>
        <v>1197.2345629999998</v>
      </c>
      <c r="V99" s="1211">
        <f t="shared" si="55"/>
        <v>4068.4173429999992</v>
      </c>
      <c r="W99" s="1211">
        <f t="shared" si="55"/>
        <v>3804.1790980000005</v>
      </c>
      <c r="X99" s="1211">
        <f t="shared" si="55"/>
        <v>3321.4199999999992</v>
      </c>
      <c r="Y99" s="1211">
        <f t="shared" si="55"/>
        <v>6022.93</v>
      </c>
      <c r="Z99" s="1211">
        <f t="shared" si="55"/>
        <v>5401.8340000000007</v>
      </c>
      <c r="AA99" s="1211">
        <f t="shared" si="55"/>
        <v>4884.7929999999997</v>
      </c>
      <c r="AB99" s="1211">
        <f t="shared" si="55"/>
        <v>4498.8569999999991</v>
      </c>
      <c r="AC99" s="1211">
        <f t="shared" si="55"/>
        <v>4167.43</v>
      </c>
      <c r="AD99" s="1211">
        <f t="shared" si="55"/>
        <v>3810.1899999999996</v>
      </c>
      <c r="AE99" s="1211">
        <f t="shared" si="55"/>
        <v>3772.902</v>
      </c>
      <c r="AF99" s="1211">
        <f t="shared" si="55"/>
        <v>3595.1109999999999</v>
      </c>
      <c r="AG99" s="1211">
        <f t="shared" si="55"/>
        <v>3486.1179999999995</v>
      </c>
      <c r="AH99" s="1211">
        <f t="shared" si="55"/>
        <v>3342.1170000000002</v>
      </c>
      <c r="AI99" s="1211">
        <f t="shared" si="55"/>
        <v>3409.3019999999997</v>
      </c>
      <c r="AJ99" s="1211">
        <f t="shared" si="55"/>
        <v>3350.3629999999994</v>
      </c>
    </row>
    <row r="100" spans="1:36">
      <c r="A100" s="1169" t="s">
        <v>1702</v>
      </c>
      <c r="B100" s="1208">
        <v>0</v>
      </c>
      <c r="C100" s="1208">
        <v>0</v>
      </c>
      <c r="D100" s="1208">
        <v>0</v>
      </c>
      <c r="E100" s="1208">
        <v>0</v>
      </c>
      <c r="F100" s="1208">
        <v>16.303000000000001</v>
      </c>
      <c r="G100" s="1208">
        <v>0.79800000000000004</v>
      </c>
      <c r="H100" s="1208">
        <v>2.198</v>
      </c>
      <c r="I100" s="1192">
        <f t="shared" si="51"/>
        <v>-5.83</v>
      </c>
      <c r="J100" s="1192">
        <f>I100-J40+J133</f>
        <v>0.13299999999999912</v>
      </c>
      <c r="K100" s="1192">
        <f>J100-K40+K133</f>
        <v>6.0959999999999983</v>
      </c>
      <c r="N100" s="1210"/>
      <c r="O100" s="1210"/>
      <c r="P100" s="1210">
        <v>0</v>
      </c>
      <c r="Q100" s="1210"/>
      <c r="R100" s="1210">
        <v>0</v>
      </c>
      <c r="S100" s="1210">
        <v>0</v>
      </c>
      <c r="T100" s="1210">
        <v>0</v>
      </c>
      <c r="U100" s="1210">
        <v>0</v>
      </c>
      <c r="V100" s="1210">
        <v>1.3797889999999999</v>
      </c>
      <c r="W100" s="1210">
        <v>22.934861999999999</v>
      </c>
      <c r="X100" s="1210">
        <v>16.303000000000001</v>
      </c>
      <c r="Y100" s="1210">
        <v>13.021000000000001</v>
      </c>
      <c r="Z100" s="1210">
        <v>11.347</v>
      </c>
      <c r="AA100" s="1210">
        <v>97.27</v>
      </c>
      <c r="AB100" s="1210">
        <f t="shared" si="52"/>
        <v>0.79800000000000004</v>
      </c>
      <c r="AC100" s="1210">
        <v>3.4820000000000002</v>
      </c>
      <c r="AD100" s="1210">
        <v>2.629</v>
      </c>
      <c r="AE100" s="1210">
        <v>3.238</v>
      </c>
      <c r="AF100" s="1210">
        <f t="shared" si="53"/>
        <v>2.198</v>
      </c>
      <c r="AG100" s="1210">
        <v>4.4969999999999999</v>
      </c>
      <c r="AH100" s="1210">
        <v>3.677</v>
      </c>
      <c r="AI100" s="1210">
        <f>2827/1000</f>
        <v>2.827</v>
      </c>
      <c r="AJ100" s="1210">
        <v>-5.83</v>
      </c>
    </row>
    <row r="101" spans="1:36" s="1212" customFormat="1">
      <c r="A101" s="1183" t="s">
        <v>1703</v>
      </c>
      <c r="B101" s="1184">
        <f t="shared" ref="B101:K101" si="56">B99+B100+B92</f>
        <v>176.828475</v>
      </c>
      <c r="C101" s="1184">
        <f t="shared" si="56"/>
        <v>69.576231000000007</v>
      </c>
      <c r="D101" s="1184">
        <f t="shared" si="56"/>
        <v>291.355728</v>
      </c>
      <c r="E101" s="1184">
        <f t="shared" si="56"/>
        <v>1408.7232180000001</v>
      </c>
      <c r="F101" s="1184">
        <f t="shared" si="56"/>
        <v>3337.722999999999</v>
      </c>
      <c r="G101" s="1184">
        <f t="shared" si="56"/>
        <v>4589.726999999999</v>
      </c>
      <c r="H101" s="1184">
        <f t="shared" si="56"/>
        <v>3694.0279999999998</v>
      </c>
      <c r="I101" s="1184">
        <f t="shared" si="56"/>
        <v>3413.8519999999994</v>
      </c>
      <c r="J101" s="1184">
        <f t="shared" si="56"/>
        <v>3339.5058120496856</v>
      </c>
      <c r="K101" s="1184">
        <f t="shared" si="56"/>
        <v>3321.6275022083973</v>
      </c>
      <c r="L101" s="1185"/>
      <c r="P101" s="1212">
        <f>P99+P90+P92</f>
        <v>1075.3727760000002</v>
      </c>
      <c r="R101" s="1212">
        <f>R99+R90+R100+R92</f>
        <v>1891.3466370000001</v>
      </c>
      <c r="S101" s="1212">
        <f t="shared" ref="S101:AJ101" si="57">S99+S90+S100+S92</f>
        <v>1931.8205170000001</v>
      </c>
      <c r="T101" s="1212">
        <f t="shared" si="57"/>
        <v>2645.0173320000004</v>
      </c>
      <c r="U101" s="1212">
        <f t="shared" si="57"/>
        <v>2842.5129189999998</v>
      </c>
      <c r="V101" s="1212">
        <f t="shared" si="57"/>
        <v>6504.6681419999995</v>
      </c>
      <c r="W101" s="1212">
        <f t="shared" si="57"/>
        <v>7680.089860000001</v>
      </c>
      <c r="X101" s="1212">
        <f t="shared" si="57"/>
        <v>7186.1409999999987</v>
      </c>
      <c r="Y101" s="1211">
        <f t="shared" si="57"/>
        <v>9511.6470000000008</v>
      </c>
      <c r="Z101" s="1211">
        <f t="shared" si="57"/>
        <v>10523.960000000001</v>
      </c>
      <c r="AA101" s="1211">
        <f t="shared" si="57"/>
        <v>10160.892</v>
      </c>
      <c r="AB101" s="1211">
        <f t="shared" si="57"/>
        <v>9171.6540000000005</v>
      </c>
      <c r="AC101" s="1211">
        <f t="shared" si="57"/>
        <v>7692.7930000000006</v>
      </c>
      <c r="AD101" s="1211">
        <f t="shared" si="57"/>
        <v>7932.3809999999994</v>
      </c>
      <c r="AE101" s="1211">
        <f t="shared" si="57"/>
        <v>7947.6590000000006</v>
      </c>
      <c r="AF101" s="1211">
        <f t="shared" si="57"/>
        <v>6657.8050000000003</v>
      </c>
      <c r="AG101" s="1211">
        <f t="shared" si="57"/>
        <v>6566.7820000000002</v>
      </c>
      <c r="AH101" s="1211">
        <f t="shared" si="57"/>
        <v>6798.0230000000001</v>
      </c>
      <c r="AI101" s="1211">
        <f t="shared" si="57"/>
        <v>7004.1530000000002</v>
      </c>
      <c r="AJ101" s="1211">
        <f t="shared" si="57"/>
        <v>6556.9229999999998</v>
      </c>
    </row>
    <row r="102" spans="1:36" s="1221" customFormat="1" ht="12">
      <c r="A102" s="1218" t="s">
        <v>1704</v>
      </c>
      <c r="B102" s="1219">
        <f>B101+B90-B78</f>
        <v>0</v>
      </c>
      <c r="C102" s="1219">
        <f t="shared" ref="C102:K102" si="58">C101+C90-C78</f>
        <v>0</v>
      </c>
      <c r="D102" s="1219">
        <f t="shared" si="58"/>
        <v>0</v>
      </c>
      <c r="E102" s="1219">
        <f t="shared" si="58"/>
        <v>0</v>
      </c>
      <c r="F102" s="1219">
        <f t="shared" si="58"/>
        <v>0</v>
      </c>
      <c r="G102" s="1219">
        <f t="shared" si="58"/>
        <v>0</v>
      </c>
      <c r="H102" s="1219">
        <f t="shared" si="58"/>
        <v>0</v>
      </c>
      <c r="I102" s="1220">
        <f t="shared" si="58"/>
        <v>0</v>
      </c>
      <c r="J102" s="1220">
        <f t="shared" si="58"/>
        <v>0</v>
      </c>
      <c r="K102" s="1220">
        <f t="shared" si="58"/>
        <v>0</v>
      </c>
      <c r="L102" s="1218"/>
      <c r="P102" s="1219">
        <f>P78-P101</f>
        <v>0</v>
      </c>
      <c r="R102" s="1219">
        <f t="shared" ref="R102:AJ102" si="59">R78-R101</f>
        <v>0</v>
      </c>
      <c r="S102" s="1219">
        <f t="shared" si="59"/>
        <v>0</v>
      </c>
      <c r="T102" s="1219">
        <f t="shared" si="59"/>
        <v>0</v>
      </c>
      <c r="U102" s="1219">
        <f t="shared" si="59"/>
        <v>0</v>
      </c>
      <c r="V102" s="1219">
        <f t="shared" si="59"/>
        <v>0</v>
      </c>
      <c r="W102" s="1219">
        <f t="shared" si="59"/>
        <v>0</v>
      </c>
      <c r="X102" s="1219">
        <f t="shared" si="59"/>
        <v>0</v>
      </c>
      <c r="Y102" s="1219">
        <f t="shared" si="59"/>
        <v>0</v>
      </c>
      <c r="Z102" s="1219">
        <f t="shared" si="59"/>
        <v>0</v>
      </c>
      <c r="AA102" s="1219">
        <f t="shared" si="59"/>
        <v>0</v>
      </c>
      <c r="AB102" s="1219">
        <f t="shared" si="59"/>
        <v>0</v>
      </c>
      <c r="AC102" s="1219">
        <f t="shared" si="59"/>
        <v>0</v>
      </c>
      <c r="AD102" s="1219">
        <f t="shared" si="59"/>
        <v>0</v>
      </c>
      <c r="AE102" s="1219">
        <f t="shared" si="59"/>
        <v>0</v>
      </c>
      <c r="AF102" s="1219">
        <f t="shared" si="59"/>
        <v>0</v>
      </c>
      <c r="AG102" s="1219">
        <f t="shared" si="59"/>
        <v>0</v>
      </c>
      <c r="AH102" s="1219">
        <f t="shared" si="59"/>
        <v>0</v>
      </c>
      <c r="AI102" s="1219">
        <f t="shared" si="59"/>
        <v>0</v>
      </c>
      <c r="AJ102" s="1219">
        <f t="shared" si="59"/>
        <v>0</v>
      </c>
    </row>
    <row r="104" spans="1:36">
      <c r="A104" s="1179" t="s">
        <v>1705</v>
      </c>
      <c r="B104" s="1180"/>
      <c r="C104" s="1180"/>
      <c r="D104" s="1180"/>
      <c r="E104" s="1180"/>
      <c r="F104" s="1180"/>
      <c r="G104" s="1180"/>
      <c r="H104" s="1207"/>
      <c r="I104" s="1207"/>
      <c r="J104" s="1207"/>
      <c r="K104" s="1207"/>
      <c r="M104" s="1222"/>
      <c r="N104" s="1222"/>
      <c r="O104" s="1222"/>
      <c r="P104" s="1222"/>
      <c r="Q104" s="1222"/>
      <c r="R104" s="1222"/>
      <c r="S104" s="1222"/>
      <c r="T104" s="1222"/>
      <c r="U104" s="1222"/>
      <c r="V104" s="1222"/>
      <c r="W104" s="1222"/>
      <c r="X104" s="1222"/>
      <c r="Y104" s="1222"/>
      <c r="Z104" s="1222"/>
      <c r="AA104" s="1222"/>
      <c r="AB104" s="1222"/>
      <c r="AC104" s="1222"/>
      <c r="AD104" s="1222"/>
      <c r="AE104" s="1222"/>
      <c r="AF104" s="1222"/>
      <c r="AG104" s="1222"/>
      <c r="AH104" s="1222"/>
      <c r="AI104" s="1222"/>
      <c r="AJ104" s="1222"/>
    </row>
    <row r="105" spans="1:36" s="1212" customFormat="1">
      <c r="A105" s="1185" t="s">
        <v>1663</v>
      </c>
      <c r="B105" s="1223">
        <f>[67]CFS!E$58</f>
        <v>-91.949864000000005</v>
      </c>
      <c r="C105" s="1223">
        <f>[67]CFS!F$58</f>
        <v>-107.18992299999999</v>
      </c>
      <c r="D105" s="1223">
        <f>[67]CFS!G$58</f>
        <v>-79.632079000000004</v>
      </c>
      <c r="E105" s="1223">
        <v>-447.858</v>
      </c>
      <c r="F105" s="1223">
        <v>-1462.385</v>
      </c>
      <c r="G105" s="1223">
        <v>-2442.5949999999998</v>
      </c>
      <c r="H105" s="1223">
        <v>-771.31600000000003</v>
      </c>
      <c r="I105" s="1224">
        <f>I$39</f>
        <v>-252.53752281578505</v>
      </c>
      <c r="J105" s="1224">
        <f>J$39</f>
        <v>-178.74153480815158</v>
      </c>
      <c r="K105" s="1224">
        <f>K$39</f>
        <v>-130.34778778150343</v>
      </c>
      <c r="L105" s="1185"/>
    </row>
    <row r="106" spans="1:36">
      <c r="A106" s="1225" t="s">
        <v>1706</v>
      </c>
      <c r="H106" s="1169"/>
    </row>
    <row r="107" spans="1:36">
      <c r="A107" s="1226" t="s">
        <v>1707</v>
      </c>
      <c r="B107" s="1208">
        <v>6.1432760000000002</v>
      </c>
      <c r="C107" s="1208">
        <v>10.111622000000001</v>
      </c>
      <c r="D107" s="1208">
        <v>8.7644230000000007</v>
      </c>
      <c r="E107" s="1208">
        <v>10.869</v>
      </c>
      <c r="F107" s="1208">
        <v>28.041</v>
      </c>
      <c r="G107" s="1208">
        <v>66.510000000000005</v>
      </c>
      <c r="H107" s="1208">
        <v>65.703999999999994</v>
      </c>
      <c r="I107" s="1192">
        <f>I181</f>
        <v>83.96327081746854</v>
      </c>
      <c r="J107" s="1192">
        <f>J181</f>
        <v>94.37754000000001</v>
      </c>
      <c r="K107" s="1192">
        <f>K181</f>
        <v>124.97754000000002</v>
      </c>
    </row>
    <row r="108" spans="1:36">
      <c r="A108" s="1226" t="s">
        <v>1708</v>
      </c>
      <c r="B108" s="1208">
        <v>0.59953100000000004</v>
      </c>
      <c r="C108" s="1208">
        <v>0.60975599999999996</v>
      </c>
      <c r="D108" s="1208">
        <v>0.48163800000000001</v>
      </c>
      <c r="E108" s="1208">
        <v>0.98399999999999999</v>
      </c>
      <c r="F108" s="1208">
        <v>57.81</v>
      </c>
      <c r="G108" s="1208">
        <v>145.06299999999999</v>
      </c>
      <c r="H108" s="1208">
        <v>150.09200000000001</v>
      </c>
      <c r="I108" s="1192">
        <f>-I57</f>
        <v>141.55799999999999</v>
      </c>
      <c r="J108" s="1192">
        <f>-J57</f>
        <v>141.55799999999999</v>
      </c>
      <c r="K108" s="1192">
        <f>-K57</f>
        <v>141.55799999999999</v>
      </c>
    </row>
    <row r="109" spans="1:36">
      <c r="A109" s="1226" t="s">
        <v>1709</v>
      </c>
      <c r="B109" s="1208">
        <v>0</v>
      </c>
      <c r="C109" s="1208">
        <v>0</v>
      </c>
      <c r="D109" s="1208">
        <v>0</v>
      </c>
      <c r="E109" s="1208">
        <v>0</v>
      </c>
      <c r="F109" s="1208">
        <v>0</v>
      </c>
      <c r="G109" s="1208">
        <v>30.919</v>
      </c>
      <c r="H109" s="1208">
        <v>45.808</v>
      </c>
      <c r="I109" s="1192"/>
      <c r="J109" s="1192"/>
      <c r="K109" s="1192"/>
    </row>
    <row r="110" spans="1:36">
      <c r="A110" s="1226" t="s">
        <v>1710</v>
      </c>
      <c r="B110" s="1208">
        <v>0</v>
      </c>
      <c r="C110" s="1208">
        <v>0</v>
      </c>
      <c r="D110" s="1208">
        <v>0</v>
      </c>
      <c r="E110" s="1208">
        <v>0</v>
      </c>
      <c r="F110" s="1208">
        <v>0</v>
      </c>
      <c r="G110" s="1208">
        <v>-1.2250000000000001</v>
      </c>
      <c r="H110" s="1208">
        <v>5.5720000000000001</v>
      </c>
      <c r="I110" s="1192"/>
      <c r="J110" s="1192"/>
      <c r="K110" s="1192"/>
    </row>
    <row r="111" spans="1:36">
      <c r="A111" s="1226" t="s">
        <v>1711</v>
      </c>
      <c r="B111" s="1208">
        <v>-6.5293190000000001</v>
      </c>
      <c r="C111" s="1208">
        <v>0.74067799999999995</v>
      </c>
      <c r="D111" s="1208">
        <v>-1.2864679999999999</v>
      </c>
      <c r="E111" s="1208">
        <v>2.7290000000000001</v>
      </c>
      <c r="F111" s="1208">
        <v>106.271</v>
      </c>
      <c r="G111" s="1208">
        <v>7.5970000000000004</v>
      </c>
      <c r="H111" s="1208">
        <v>0.67300000000000004</v>
      </c>
      <c r="I111" s="1192"/>
      <c r="J111" s="1192"/>
      <c r="K111" s="1192"/>
    </row>
    <row r="112" spans="1:36">
      <c r="A112" s="1226" t="s">
        <v>1712</v>
      </c>
      <c r="B112" s="1208">
        <v>6.2200000000000005E-4</v>
      </c>
      <c r="C112" s="1208">
        <v>0.35634100000000002</v>
      </c>
      <c r="D112" s="1208">
        <v>0.113968</v>
      </c>
      <c r="E112" s="1208">
        <v>6.2E-2</v>
      </c>
      <c r="F112" s="1208">
        <v>0.21</v>
      </c>
      <c r="G112" s="1208">
        <v>0.85899999999999999</v>
      </c>
      <c r="H112" s="1208">
        <v>0.56200000000000006</v>
      </c>
      <c r="I112" s="1192"/>
      <c r="J112" s="1192"/>
      <c r="K112" s="1192"/>
    </row>
    <row r="113" spans="1:12">
      <c r="A113" s="1226" t="s">
        <v>1652</v>
      </c>
      <c r="B113" s="1208">
        <v>0</v>
      </c>
      <c r="C113" s="1208">
        <v>0</v>
      </c>
      <c r="D113" s="1208">
        <v>0</v>
      </c>
      <c r="E113" s="1208">
        <v>39.173000000000002</v>
      </c>
      <c r="F113" s="1208">
        <v>65.143000000000001</v>
      </c>
      <c r="G113" s="1208">
        <v>92.418999999999997</v>
      </c>
      <c r="H113" s="1208">
        <v>98.674999999999997</v>
      </c>
      <c r="I113" s="1192">
        <f>-I50</f>
        <v>68.367999999999995</v>
      </c>
      <c r="J113" s="1192">
        <f>-J50</f>
        <v>84.395346857837822</v>
      </c>
      <c r="K113" s="1192">
        <f>-K50</f>
        <v>92.469477940215199</v>
      </c>
    </row>
    <row r="114" spans="1:12">
      <c r="A114" s="1226" t="s">
        <v>1713</v>
      </c>
      <c r="B114" s="1208">
        <v>0</v>
      </c>
      <c r="C114" s="1208">
        <v>0</v>
      </c>
      <c r="D114" s="1208">
        <v>0</v>
      </c>
      <c r="E114" s="1208">
        <v>0</v>
      </c>
      <c r="F114" s="1208">
        <v>-1.0569999999999999</v>
      </c>
      <c r="G114" s="1208">
        <v>-2.3220000000000001</v>
      </c>
      <c r="H114" s="1208">
        <v>-2.3140000000000001</v>
      </c>
      <c r="I114" s="1192"/>
      <c r="J114" s="1192"/>
      <c r="K114" s="1192"/>
    </row>
    <row r="115" spans="1:12">
      <c r="A115" s="1226" t="s">
        <v>1714</v>
      </c>
      <c r="B115" s="1182">
        <f t="shared" ref="B115:H115" si="60">B116-SUM(B107:B114)-B105</f>
        <v>128.005416</v>
      </c>
      <c r="C115" s="1182">
        <f t="shared" si="60"/>
        <v>110.03478399999997</v>
      </c>
      <c r="D115" s="1182">
        <f t="shared" si="60"/>
        <v>188.29476800000003</v>
      </c>
      <c r="E115" s="1182">
        <f t="shared" si="60"/>
        <v>122.93899999999991</v>
      </c>
      <c r="F115" s="1182">
        <f t="shared" si="60"/>
        <v>691.23199999999997</v>
      </c>
      <c r="G115" s="1182">
        <f t="shared" si="60"/>
        <v>-136.66899999999941</v>
      </c>
      <c r="H115" s="1182">
        <f t="shared" si="60"/>
        <v>-12.105000000000018</v>
      </c>
      <c r="I115" s="1182">
        <f>SUM(H64:H66)-SUM(I64:I66)+SUM(I82:I86)-SUM(H82:H86)+I66</f>
        <v>-233.04300000000012</v>
      </c>
      <c r="J115" s="1182">
        <f>SUM(I64:I66)-SUM(J64:J66)+SUM(J82:J86)-SUM(I82:I86)</f>
        <v>64.963199999999688</v>
      </c>
      <c r="K115" s="1182">
        <f>SUM(J64:J66)-SUM(K64:K66)+SUM(K82:K86)-SUM(J82:J86)</f>
        <v>55.991240000000289</v>
      </c>
    </row>
    <row r="116" spans="1:12" s="1212" customFormat="1">
      <c r="A116" s="1187" t="s">
        <v>1715</v>
      </c>
      <c r="B116" s="1227">
        <v>36.269661999999983</v>
      </c>
      <c r="C116" s="1227">
        <v>14.663257999999988</v>
      </c>
      <c r="D116" s="1227">
        <v>116.73625000000001</v>
      </c>
      <c r="E116" s="1227">
        <v>-271.10200000000009</v>
      </c>
      <c r="F116" s="1227">
        <v>-514.73500000000001</v>
      </c>
      <c r="G116" s="1227">
        <v>-2239.4439999999991</v>
      </c>
      <c r="H116" s="1227">
        <v>-418.649</v>
      </c>
      <c r="I116" s="1200">
        <f>SUM(I107:I115,I105)</f>
        <v>-191.69125199831666</v>
      </c>
      <c r="J116" s="1200">
        <f>SUM(J107:J115,J105)</f>
        <v>206.55255204968591</v>
      </c>
      <c r="K116" s="1200">
        <f>SUM(K107:K115,K105)</f>
        <v>284.64847015871209</v>
      </c>
      <c r="L116" s="1185"/>
    </row>
    <row r="117" spans="1:12">
      <c r="B117" s="1182"/>
      <c r="C117" s="1182"/>
      <c r="D117" s="1182"/>
      <c r="E117" s="1182"/>
      <c r="H117" s="1169"/>
    </row>
    <row r="118" spans="1:12">
      <c r="A118" s="1169" t="s">
        <v>1716</v>
      </c>
      <c r="B118" s="1208">
        <v>0</v>
      </c>
      <c r="C118" s="1208">
        <v>-224</v>
      </c>
      <c r="D118" s="1208">
        <v>-451.8</v>
      </c>
      <c r="E118" s="1208">
        <v>-547.57500000000005</v>
      </c>
      <c r="F118" s="1208">
        <v>-1139.691</v>
      </c>
      <c r="G118" s="1208">
        <v>-5097.3090000000002</v>
      </c>
      <c r="H118" s="1208">
        <v>-2488.0100000000002</v>
      </c>
      <c r="I118" s="1192"/>
      <c r="J118" s="1192"/>
      <c r="K118" s="1192"/>
    </row>
    <row r="119" spans="1:12">
      <c r="A119" s="1169" t="s">
        <v>1717</v>
      </c>
      <c r="B119" s="1208">
        <v>0</v>
      </c>
      <c r="C119" s="1208">
        <v>194</v>
      </c>
      <c r="D119" s="1208">
        <v>154.80000000000001</v>
      </c>
      <c r="E119" s="1208">
        <v>405</v>
      </c>
      <c r="F119" s="1208">
        <v>442.13600000000002</v>
      </c>
      <c r="G119" s="1208">
        <v>2847.2840000000001</v>
      </c>
      <c r="H119" s="1208">
        <v>3271.86</v>
      </c>
      <c r="I119" s="1228"/>
      <c r="J119" s="1228"/>
      <c r="K119" s="1228"/>
    </row>
    <row r="120" spans="1:12">
      <c r="A120" s="1169" t="s">
        <v>1718</v>
      </c>
      <c r="B120" s="1208">
        <v>-5.28</v>
      </c>
      <c r="C120" s="1208">
        <v>4.6550000000000002</v>
      </c>
      <c r="D120" s="1208">
        <v>-2.375</v>
      </c>
      <c r="E120" s="1208">
        <v>-34.78</v>
      </c>
      <c r="F120" s="1208">
        <v>-294.387</v>
      </c>
      <c r="G120" s="1208">
        <v>214.43600000000001</v>
      </c>
      <c r="H120" s="1208">
        <v>3.7519999999999998</v>
      </c>
      <c r="I120" s="1192">
        <f>H62-I62</f>
        <v>-178.86</v>
      </c>
      <c r="J120" s="1192">
        <f>I62-J62</f>
        <v>0</v>
      </c>
      <c r="K120" s="1192">
        <f>J62-K62</f>
        <v>0</v>
      </c>
    </row>
    <row r="121" spans="1:12">
      <c r="A121" s="1169" t="s">
        <v>1719</v>
      </c>
      <c r="B121" s="1208">
        <v>-15.405834</v>
      </c>
      <c r="C121" s="1208">
        <v>-21.440852</v>
      </c>
      <c r="D121" s="1208">
        <v>-4.842892</v>
      </c>
      <c r="E121" s="1208">
        <v>-50.622275999999999</v>
      </c>
      <c r="F121" s="1208">
        <v>-155.47800000000001</v>
      </c>
      <c r="G121" s="1208">
        <v>-117.89400000000001</v>
      </c>
      <c r="H121" s="1208">
        <v>-160.49700000000001</v>
      </c>
      <c r="I121" s="1228">
        <v>-150</v>
      </c>
      <c r="J121" s="1228">
        <v>-180</v>
      </c>
      <c r="K121" s="1228">
        <v>-180</v>
      </c>
    </row>
    <row r="122" spans="1:12">
      <c r="A122" s="1169" t="s">
        <v>1720</v>
      </c>
      <c r="B122" s="1208">
        <v>0</v>
      </c>
      <c r="C122" s="1208">
        <v>0</v>
      </c>
      <c r="D122" s="1208">
        <v>0</v>
      </c>
      <c r="E122" s="1208">
        <v>0</v>
      </c>
      <c r="F122" s="1208">
        <v>0.155</v>
      </c>
      <c r="G122" s="1208">
        <v>0</v>
      </c>
      <c r="H122" s="1208">
        <v>0</v>
      </c>
      <c r="I122" s="1192"/>
      <c r="J122" s="1192"/>
      <c r="K122" s="1192"/>
    </row>
    <row r="123" spans="1:12">
      <c r="A123" s="1169" t="s">
        <v>1721</v>
      </c>
      <c r="B123" s="1208">
        <v>0</v>
      </c>
      <c r="C123" s="1208">
        <v>0</v>
      </c>
      <c r="D123" s="1208">
        <v>0</v>
      </c>
      <c r="E123" s="1208">
        <v>0</v>
      </c>
      <c r="F123" s="1208">
        <v>-60.149000000000001</v>
      </c>
      <c r="G123" s="1208">
        <v>-16.501000000000001</v>
      </c>
      <c r="H123" s="1208">
        <v>-0.111</v>
      </c>
      <c r="I123" s="1192"/>
      <c r="J123" s="1192"/>
      <c r="K123" s="1192"/>
    </row>
    <row r="124" spans="1:12">
      <c r="A124" s="1169" t="s">
        <v>1722</v>
      </c>
      <c r="B124" s="1208">
        <v>0</v>
      </c>
      <c r="C124" s="1208">
        <v>0</v>
      </c>
      <c r="D124" s="1208">
        <v>0</v>
      </c>
      <c r="E124" s="1208">
        <v>0</v>
      </c>
      <c r="F124" s="1208">
        <v>-718.61900000000003</v>
      </c>
      <c r="G124" s="1208">
        <v>-807.21</v>
      </c>
      <c r="H124" s="1208"/>
      <c r="I124" s="1192"/>
      <c r="J124" s="1192"/>
      <c r="K124" s="1192"/>
    </row>
    <row r="125" spans="1:12">
      <c r="A125" s="1169" t="s">
        <v>1723</v>
      </c>
      <c r="B125" s="1208">
        <v>0</v>
      </c>
      <c r="C125" s="1208">
        <v>0</v>
      </c>
      <c r="D125" s="1208">
        <v>0</v>
      </c>
      <c r="E125" s="1208">
        <v>0</v>
      </c>
      <c r="F125" s="1208">
        <v>10.685</v>
      </c>
      <c r="G125" s="1208">
        <v>538.48500000000001</v>
      </c>
      <c r="H125" s="1208"/>
      <c r="I125" s="1192"/>
      <c r="J125" s="1192"/>
      <c r="K125" s="1192"/>
    </row>
    <row r="126" spans="1:12">
      <c r="A126" s="1169" t="s">
        <v>1640</v>
      </c>
      <c r="B126" s="1208"/>
      <c r="C126" s="1208"/>
      <c r="D126" s="1208"/>
      <c r="E126" s="1208"/>
      <c r="F126" s="1208"/>
      <c r="G126" s="1208">
        <f>-18.038-57.5</f>
        <v>-75.537999999999997</v>
      </c>
      <c r="H126" s="1208">
        <f>H127-SUM(H118:H125)</f>
        <v>21.312000000000239</v>
      </c>
      <c r="I126" s="1192"/>
      <c r="J126" s="1192"/>
      <c r="K126" s="1192"/>
    </row>
    <row r="127" spans="1:12" s="1212" customFormat="1">
      <c r="A127" s="1187" t="s">
        <v>1724</v>
      </c>
      <c r="B127" s="1227">
        <f t="shared" ref="B127:J127" si="61">SUM(B118:B126)</f>
        <v>-20.685834</v>
      </c>
      <c r="C127" s="1227">
        <f t="shared" si="61"/>
        <v>-46.785851999999998</v>
      </c>
      <c r="D127" s="1227">
        <f t="shared" si="61"/>
        <v>-304.21789200000001</v>
      </c>
      <c r="E127" s="1227">
        <f t="shared" si="61"/>
        <v>-227.97727600000005</v>
      </c>
      <c r="F127" s="1227">
        <f t="shared" si="61"/>
        <v>-1915.3480000000004</v>
      </c>
      <c r="G127" s="1227">
        <f t="shared" si="61"/>
        <v>-2514.2470000000003</v>
      </c>
      <c r="H127" s="1227">
        <v>648.30600000000004</v>
      </c>
      <c r="I127" s="1200">
        <f t="shared" si="61"/>
        <v>-328.86</v>
      </c>
      <c r="J127" s="1200">
        <f t="shared" si="61"/>
        <v>-180</v>
      </c>
      <c r="K127" s="1200">
        <f>SUM(K118:K126)</f>
        <v>-180</v>
      </c>
      <c r="L127" s="1185"/>
    </row>
    <row r="128" spans="1:12">
      <c r="B128" s="1208"/>
      <c r="C128" s="1208"/>
      <c r="D128" s="1208"/>
      <c r="E128" s="1208"/>
      <c r="H128" s="1169"/>
    </row>
    <row r="129" spans="1:36">
      <c r="A129" s="1169" t="s">
        <v>1725</v>
      </c>
      <c r="B129" s="1208">
        <v>-32.809002</v>
      </c>
      <c r="C129" s="1208">
        <v>0</v>
      </c>
      <c r="D129" s="1208">
        <v>0</v>
      </c>
      <c r="E129" s="1208">
        <v>0</v>
      </c>
      <c r="F129" s="1208">
        <v>0</v>
      </c>
      <c r="G129" s="1208">
        <v>-19.707999999999998</v>
      </c>
      <c r="H129" s="1208">
        <v>-166.149</v>
      </c>
      <c r="I129" s="1192"/>
      <c r="J129" s="1192"/>
      <c r="K129" s="1192"/>
    </row>
    <row r="130" spans="1:36">
      <c r="A130" s="1169" t="s">
        <v>1726</v>
      </c>
      <c r="B130" s="1208">
        <v>290.25569100000001</v>
      </c>
      <c r="C130" s="1208">
        <v>0</v>
      </c>
      <c r="D130" s="1208">
        <v>306.36047300000001</v>
      </c>
      <c r="E130" s="1208">
        <v>0</v>
      </c>
      <c r="F130" s="1208">
        <v>0</v>
      </c>
      <c r="G130" s="1208">
        <v>0</v>
      </c>
      <c r="H130" s="1208">
        <v>67.343999999999994</v>
      </c>
      <c r="I130" s="1192"/>
      <c r="J130" s="1192"/>
      <c r="K130" s="1192"/>
    </row>
    <row r="131" spans="1:36">
      <c r="A131" s="1169" t="s">
        <v>1727</v>
      </c>
      <c r="B131" s="1208">
        <v>0</v>
      </c>
      <c r="C131" s="1208">
        <v>0</v>
      </c>
      <c r="D131" s="1208">
        <v>0</v>
      </c>
      <c r="E131" s="1208">
        <v>1538.0614970000001</v>
      </c>
      <c r="F131" s="1208">
        <v>2430.223</v>
      </c>
      <c r="G131" s="1208">
        <v>3275.835</v>
      </c>
      <c r="H131" s="1208"/>
      <c r="I131" s="1192"/>
      <c r="J131" s="1192"/>
      <c r="K131" s="1192"/>
    </row>
    <row r="132" spans="1:36">
      <c r="A132" s="1169" t="s">
        <v>1728</v>
      </c>
      <c r="B132" s="1208">
        <v>0</v>
      </c>
      <c r="C132" s="1208">
        <v>0</v>
      </c>
      <c r="D132" s="1208">
        <v>0</v>
      </c>
      <c r="E132" s="1208">
        <v>2.3351609999999998</v>
      </c>
      <c r="F132" s="1208">
        <v>12.637</v>
      </c>
      <c r="G132" s="1208">
        <v>8.4830000000000005</v>
      </c>
      <c r="H132" s="1208"/>
      <c r="I132" s="1192"/>
      <c r="J132" s="1192"/>
      <c r="K132" s="1192"/>
    </row>
    <row r="133" spans="1:36">
      <c r="A133" s="1169" t="s">
        <v>1729</v>
      </c>
      <c r="B133" s="1208">
        <v>0</v>
      </c>
      <c r="C133" s="1208">
        <v>0</v>
      </c>
      <c r="D133" s="1208">
        <v>0</v>
      </c>
      <c r="E133" s="1208">
        <v>0</v>
      </c>
      <c r="F133" s="1208">
        <v>0</v>
      </c>
      <c r="G133" s="1208">
        <v>90</v>
      </c>
      <c r="H133" s="1208">
        <v>3.5990000000000002</v>
      </c>
      <c r="I133" s="1228">
        <v>20</v>
      </c>
      <c r="J133" s="1228">
        <v>20</v>
      </c>
      <c r="K133" s="1228">
        <v>20</v>
      </c>
    </row>
    <row r="134" spans="1:36">
      <c r="A134" s="1169" t="s">
        <v>1730</v>
      </c>
      <c r="B134" s="1208">
        <v>0</v>
      </c>
      <c r="C134" s="1208">
        <v>0</v>
      </c>
      <c r="D134" s="1208">
        <v>0</v>
      </c>
      <c r="E134" s="1208">
        <v>0</v>
      </c>
      <c r="F134" s="1208">
        <v>-15</v>
      </c>
      <c r="G134" s="1208">
        <v>0</v>
      </c>
      <c r="H134" s="1208"/>
      <c r="I134" s="1192"/>
      <c r="J134" s="1192"/>
      <c r="K134" s="1192"/>
    </row>
    <row r="135" spans="1:36">
      <c r="A135" s="1169" t="s">
        <v>1731</v>
      </c>
      <c r="B135" s="1208">
        <v>0</v>
      </c>
      <c r="C135" s="1208">
        <v>0</v>
      </c>
      <c r="D135" s="1208">
        <v>0</v>
      </c>
      <c r="E135" s="1208">
        <v>0</v>
      </c>
      <c r="F135" s="1208">
        <v>579.47400000000005</v>
      </c>
      <c r="G135" s="1208">
        <v>274.69799999999998</v>
      </c>
      <c r="H135" s="1208">
        <v>-682.76</v>
      </c>
      <c r="I135" s="1192"/>
      <c r="J135" s="1192"/>
      <c r="K135" s="1192"/>
    </row>
    <row r="136" spans="1:36">
      <c r="A136" s="1169" t="s">
        <v>1732</v>
      </c>
      <c r="B136" s="1208">
        <v>0</v>
      </c>
      <c r="C136" s="1208">
        <v>0</v>
      </c>
      <c r="D136" s="1208">
        <v>0</v>
      </c>
      <c r="E136" s="1208">
        <v>0</v>
      </c>
      <c r="F136" s="1208">
        <v>-1.496</v>
      </c>
      <c r="G136" s="1208">
        <v>0</v>
      </c>
      <c r="H136" s="1208"/>
      <c r="I136" s="1192"/>
      <c r="J136" s="1192"/>
      <c r="K136" s="1192"/>
    </row>
    <row r="137" spans="1:36">
      <c r="A137" s="1169" t="s">
        <v>1640</v>
      </c>
      <c r="B137" s="1208">
        <v>0</v>
      </c>
      <c r="C137" s="1208">
        <v>0</v>
      </c>
      <c r="D137" s="1208">
        <v>0</v>
      </c>
      <c r="E137" s="1208">
        <v>0</v>
      </c>
      <c r="F137" s="1208">
        <v>0</v>
      </c>
      <c r="G137" s="1208">
        <v>-2.25</v>
      </c>
      <c r="H137" s="1208">
        <f>H138-SUM(H129:H136)</f>
        <v>-6.7999999999999545</v>
      </c>
      <c r="I137" s="1192"/>
      <c r="J137" s="1192"/>
      <c r="K137" s="1192"/>
    </row>
    <row r="138" spans="1:36" s="1212" customFormat="1">
      <c r="A138" s="1187" t="s">
        <v>1733</v>
      </c>
      <c r="B138" s="1227">
        <f t="shared" ref="B138:J138" si="62">SUM(B129:B137)</f>
        <v>257.44668899999999</v>
      </c>
      <c r="C138" s="1227">
        <f t="shared" si="62"/>
        <v>0</v>
      </c>
      <c r="D138" s="1227">
        <f t="shared" si="62"/>
        <v>306.36047300000001</v>
      </c>
      <c r="E138" s="1227">
        <f t="shared" si="62"/>
        <v>1540.3966580000001</v>
      </c>
      <c r="F138" s="1227">
        <f t="shared" si="62"/>
        <v>3005.8380000000002</v>
      </c>
      <c r="G138" s="1227">
        <f t="shared" si="62"/>
        <v>3627.058</v>
      </c>
      <c r="H138" s="1200">
        <v>-784.76599999999996</v>
      </c>
      <c r="I138" s="1200">
        <f t="shared" si="62"/>
        <v>20</v>
      </c>
      <c r="J138" s="1200">
        <f t="shared" si="62"/>
        <v>20</v>
      </c>
      <c r="K138" s="1200">
        <f>SUM(K129:K137)</f>
        <v>20</v>
      </c>
      <c r="L138" s="1185"/>
    </row>
    <row r="139" spans="1:36">
      <c r="A139" s="1169" t="s">
        <v>1734</v>
      </c>
      <c r="B139" s="1208">
        <v>6.5293190000000001</v>
      </c>
      <c r="C139" s="1208">
        <v>-0.74067799999999995</v>
      </c>
      <c r="D139" s="1208">
        <v>1.2864679999999999</v>
      </c>
      <c r="E139" s="1208">
        <v>-3.0526230000000001</v>
      </c>
      <c r="F139" s="1208">
        <v>67.56</v>
      </c>
      <c r="G139" s="1208">
        <v>110.652</v>
      </c>
      <c r="H139" s="1192">
        <v>-46.026000000000003</v>
      </c>
      <c r="I139" s="1192">
        <v>0</v>
      </c>
      <c r="J139" s="1192">
        <v>0</v>
      </c>
      <c r="K139" s="1192">
        <v>0</v>
      </c>
    </row>
    <row r="140" spans="1:36" s="1212" customFormat="1">
      <c r="A140" s="1187" t="s">
        <v>1735</v>
      </c>
      <c r="B140" s="1227">
        <f>B116+B127+B138+B139</f>
        <v>279.55983599999996</v>
      </c>
      <c r="C140" s="1227">
        <f t="shared" ref="C140:H140" si="63">C116+C127+C138+C139</f>
        <v>-32.863272000000009</v>
      </c>
      <c r="D140" s="1227">
        <f t="shared" si="63"/>
        <v>120.16529900000002</v>
      </c>
      <c r="E140" s="1227">
        <f t="shared" si="63"/>
        <v>1038.2647589999999</v>
      </c>
      <c r="F140" s="1227">
        <f t="shared" si="63"/>
        <v>643.3149999999996</v>
      </c>
      <c r="G140" s="1227">
        <f t="shared" si="63"/>
        <v>-1015.9809999999989</v>
      </c>
      <c r="H140" s="1200">
        <f t="shared" si="63"/>
        <v>-601.13499999999988</v>
      </c>
      <c r="I140" s="1200">
        <f>I142-I141</f>
        <v>76.254999999998631</v>
      </c>
      <c r="J140" s="1200">
        <f>J116+J127+J138+J139</f>
        <v>46.552552049685914</v>
      </c>
      <c r="K140" s="1200">
        <f>K116+K127+K138+K139</f>
        <v>124.64847015871209</v>
      </c>
      <c r="L140" s="1185"/>
    </row>
    <row r="141" spans="1:36">
      <c r="A141" s="1169" t="s">
        <v>1736</v>
      </c>
      <c r="B141" s="1182">
        <f>B142-B140</f>
        <v>52.540972000000011</v>
      </c>
      <c r="C141" s="1196">
        <f t="shared" ref="C141:K141" si="64">B142</f>
        <v>332.10080799999997</v>
      </c>
      <c r="D141" s="1196">
        <f t="shared" si="64"/>
        <v>299.23753599999998</v>
      </c>
      <c r="E141" s="1196">
        <f t="shared" si="64"/>
        <v>419.40283499999998</v>
      </c>
      <c r="F141" s="1196">
        <f t="shared" si="64"/>
        <v>1457.667594</v>
      </c>
      <c r="G141" s="1196">
        <v>2101.2170000000001</v>
      </c>
      <c r="H141" s="1197">
        <f t="shared" si="64"/>
        <v>1085.2360000000012</v>
      </c>
      <c r="I141" s="1197">
        <f t="shared" si="64"/>
        <v>484.10100000000136</v>
      </c>
      <c r="J141" s="1197">
        <f t="shared" si="64"/>
        <v>560.35599999999999</v>
      </c>
      <c r="K141" s="1197">
        <f t="shared" si="64"/>
        <v>606.90855204968591</v>
      </c>
    </row>
    <row r="142" spans="1:36">
      <c r="A142" s="1169" t="s">
        <v>1737</v>
      </c>
      <c r="B142" s="1182">
        <f>[67]CFS!$E$100</f>
        <v>332.10080799999997</v>
      </c>
      <c r="C142" s="1196">
        <f t="shared" ref="C142:K142" si="65">C140+C141</f>
        <v>299.23753599999998</v>
      </c>
      <c r="D142" s="1196">
        <f t="shared" si="65"/>
        <v>419.40283499999998</v>
      </c>
      <c r="E142" s="1196">
        <f t="shared" si="65"/>
        <v>1457.667594</v>
      </c>
      <c r="F142" s="1196">
        <f t="shared" si="65"/>
        <v>2100.9825939999996</v>
      </c>
      <c r="G142" s="1196">
        <f t="shared" si="65"/>
        <v>1085.2360000000012</v>
      </c>
      <c r="H142" s="1196">
        <f t="shared" si="65"/>
        <v>484.10100000000136</v>
      </c>
      <c r="I142" s="1196">
        <f>I61</f>
        <v>560.35599999999999</v>
      </c>
      <c r="J142" s="1197">
        <f t="shared" si="65"/>
        <v>606.90855204968591</v>
      </c>
      <c r="K142" s="1197">
        <f t="shared" si="65"/>
        <v>731.55702220839794</v>
      </c>
    </row>
    <row r="143" spans="1:36">
      <c r="B143" s="1182"/>
      <c r="C143" s="1196"/>
      <c r="D143" s="1196"/>
      <c r="E143" s="1196"/>
      <c r="F143" s="1196"/>
      <c r="G143" s="1196"/>
      <c r="H143" s="1197"/>
      <c r="I143" s="1197"/>
      <c r="J143" s="1197"/>
      <c r="K143" s="1197"/>
    </row>
    <row r="144" spans="1:36">
      <c r="A144" s="1179" t="s">
        <v>1738</v>
      </c>
      <c r="B144" s="1180"/>
      <c r="C144" s="1180"/>
      <c r="D144" s="1180"/>
      <c r="E144" s="1180"/>
      <c r="F144" s="1180"/>
      <c r="G144" s="1180"/>
      <c r="H144" s="1207"/>
      <c r="I144" s="1207"/>
      <c r="J144" s="1207"/>
      <c r="K144" s="1207"/>
      <c r="U144" s="1180"/>
      <c r="V144" s="1180"/>
      <c r="W144" s="1180"/>
      <c r="X144" s="1180"/>
      <c r="Y144" s="1180"/>
      <c r="Z144" s="1180"/>
      <c r="AA144" s="1180"/>
      <c r="AB144" s="1180"/>
      <c r="AC144" s="1180"/>
      <c r="AD144" s="1180"/>
      <c r="AE144" s="1180"/>
      <c r="AF144" s="1180"/>
      <c r="AG144" s="1180"/>
      <c r="AH144" s="1180"/>
      <c r="AI144" s="1180"/>
      <c r="AJ144" s="1180"/>
    </row>
    <row r="145" spans="1:36">
      <c r="A145" s="1169" t="s">
        <v>1671</v>
      </c>
      <c r="B145" s="1182">
        <f>B61</f>
        <v>332.10080799999997</v>
      </c>
      <c r="C145" s="1182">
        <f t="shared" ref="C145:K147" si="66">C61</f>
        <v>299.23753599999998</v>
      </c>
      <c r="D145" s="1182">
        <f t="shared" si="66"/>
        <v>419.40283499999998</v>
      </c>
      <c r="E145" s="1182">
        <f t="shared" si="66"/>
        <v>1457.7223759999999</v>
      </c>
      <c r="F145" s="1182">
        <f t="shared" si="66"/>
        <v>2101.2170000000001</v>
      </c>
      <c r="G145" s="1182">
        <f t="shared" si="66"/>
        <v>1085.2360000000001</v>
      </c>
      <c r="H145" s="1182">
        <f t="shared" si="66"/>
        <v>484.101</v>
      </c>
      <c r="I145" s="1182">
        <f t="shared" si="66"/>
        <v>560.35599999999999</v>
      </c>
      <c r="J145" s="1182">
        <f t="shared" si="66"/>
        <v>606.90855204968591</v>
      </c>
      <c r="K145" s="1182">
        <f t="shared" si="66"/>
        <v>731.55702220839794</v>
      </c>
      <c r="U145" s="1182">
        <f t="shared" ref="U145:AJ147" si="67">U61</f>
        <v>1174.121594</v>
      </c>
      <c r="V145" s="1182">
        <f t="shared" si="67"/>
        <v>3145.3606329999998</v>
      </c>
      <c r="W145" s="1182">
        <f t="shared" si="67"/>
        <v>2615.3596670000002</v>
      </c>
      <c r="X145" s="1182">
        <f t="shared" si="67"/>
        <v>2101.2170000000001</v>
      </c>
      <c r="Y145" s="1182">
        <f t="shared" si="67"/>
        <v>2057.8009999999999</v>
      </c>
      <c r="Z145" s="1182">
        <f t="shared" si="67"/>
        <v>1237.7380000000001</v>
      </c>
      <c r="AA145" s="1182">
        <f t="shared" si="67"/>
        <v>1447.7439999999999</v>
      </c>
      <c r="AB145" s="1182">
        <f t="shared" si="67"/>
        <v>1085.2360000000001</v>
      </c>
      <c r="AC145" s="1182">
        <f t="shared" si="67"/>
        <v>754.33199999999999</v>
      </c>
      <c r="AD145" s="1182">
        <f t="shared" si="67"/>
        <v>1072.126</v>
      </c>
      <c r="AE145" s="1182">
        <f t="shared" si="67"/>
        <v>847.98400000000004</v>
      </c>
      <c r="AF145" s="1182">
        <f t="shared" si="67"/>
        <v>484.101</v>
      </c>
      <c r="AG145" s="1182">
        <f t="shared" si="67"/>
        <v>612.26900000000001</v>
      </c>
      <c r="AH145" s="1182">
        <f t="shared" si="67"/>
        <v>642.03399999999999</v>
      </c>
      <c r="AI145" s="1182">
        <f t="shared" si="67"/>
        <v>614.22400000000005</v>
      </c>
      <c r="AJ145" s="1182">
        <f t="shared" si="67"/>
        <v>560.35599999999999</v>
      </c>
    </row>
    <row r="146" spans="1:36">
      <c r="A146" s="1169" t="s">
        <v>9</v>
      </c>
      <c r="B146" s="1182">
        <f>B62</f>
        <v>11.53</v>
      </c>
      <c r="C146" s="1182">
        <f t="shared" si="66"/>
        <v>6.875</v>
      </c>
      <c r="D146" s="1182">
        <f t="shared" si="66"/>
        <v>9.25</v>
      </c>
      <c r="E146" s="1182">
        <f t="shared" si="66"/>
        <v>44.03</v>
      </c>
      <c r="F146" s="1182">
        <f t="shared" si="66"/>
        <v>338.99700000000001</v>
      </c>
      <c r="G146" s="1182">
        <f t="shared" si="66"/>
        <v>124.56100000000001</v>
      </c>
      <c r="H146" s="1182">
        <f t="shared" si="66"/>
        <v>91.81</v>
      </c>
      <c r="I146" s="1182">
        <f t="shared" si="66"/>
        <v>270.67</v>
      </c>
      <c r="J146" s="1182">
        <f t="shared" si="66"/>
        <v>270.67</v>
      </c>
      <c r="K146" s="1182">
        <f t="shared" si="66"/>
        <v>270.67</v>
      </c>
      <c r="U146" s="1182">
        <f t="shared" si="67"/>
        <v>46.898359999999997</v>
      </c>
      <c r="V146" s="1182">
        <f t="shared" si="67"/>
        <v>261.23624699999999</v>
      </c>
      <c r="W146" s="1182">
        <f t="shared" si="67"/>
        <v>308.42031400000002</v>
      </c>
      <c r="X146" s="1182">
        <f t="shared" si="67"/>
        <v>338.99700000000001</v>
      </c>
      <c r="Y146" s="1182">
        <f t="shared" si="67"/>
        <v>145.089</v>
      </c>
      <c r="Z146" s="1182">
        <f t="shared" si="67"/>
        <v>137.19999999999999</v>
      </c>
      <c r="AA146" s="1182">
        <f t="shared" si="67"/>
        <v>122.13200000000001</v>
      </c>
      <c r="AB146" s="1182">
        <f t="shared" si="67"/>
        <v>124.56100000000001</v>
      </c>
      <c r="AC146" s="1182">
        <f t="shared" si="67"/>
        <v>96.968000000000004</v>
      </c>
      <c r="AD146" s="1182">
        <f t="shared" si="67"/>
        <v>120.404</v>
      </c>
      <c r="AE146" s="1182">
        <f t="shared" si="67"/>
        <v>90.552999999999997</v>
      </c>
      <c r="AF146" s="1182">
        <f t="shared" si="67"/>
        <v>91.81</v>
      </c>
      <c r="AG146" s="1182">
        <f t="shared" si="67"/>
        <v>145.904</v>
      </c>
      <c r="AH146" s="1182">
        <f t="shared" si="67"/>
        <v>170.13</v>
      </c>
      <c r="AI146" s="1182">
        <f t="shared" si="67"/>
        <v>208.36500000000001</v>
      </c>
      <c r="AJ146" s="1182">
        <f t="shared" si="67"/>
        <v>270.67</v>
      </c>
    </row>
    <row r="147" spans="1:36">
      <c r="A147" s="1169" t="s">
        <v>1249</v>
      </c>
      <c r="B147" s="1182">
        <f>B63</f>
        <v>0</v>
      </c>
      <c r="C147" s="1182">
        <f t="shared" si="66"/>
        <v>30</v>
      </c>
      <c r="D147" s="1182">
        <f t="shared" si="66"/>
        <v>327</v>
      </c>
      <c r="E147" s="1182">
        <f t="shared" si="66"/>
        <v>468.57</v>
      </c>
      <c r="F147" s="1182">
        <f t="shared" si="66"/>
        <v>1226.415</v>
      </c>
      <c r="G147" s="1182">
        <f t="shared" si="66"/>
        <v>3603.4969999999998</v>
      </c>
      <c r="H147" s="1182">
        <f t="shared" si="66"/>
        <v>3084.634</v>
      </c>
      <c r="I147" s="1182">
        <f>I63+I66+I65</f>
        <v>3229.3150000000001</v>
      </c>
      <c r="J147" s="1182">
        <f>J63+J66+J65</f>
        <v>3647.7110000000002</v>
      </c>
      <c r="K147" s="1182">
        <f>K63+K66+K65</f>
        <v>4170.7060000000001</v>
      </c>
      <c r="U147" s="1182">
        <f t="shared" si="67"/>
        <v>683.56600000000003</v>
      </c>
      <c r="V147" s="1182">
        <f t="shared" si="67"/>
        <v>981.83399999999995</v>
      </c>
      <c r="W147" s="1182">
        <f t="shared" si="67"/>
        <v>1648.6898920000001</v>
      </c>
      <c r="X147" s="1182">
        <f t="shared" si="67"/>
        <v>1226.415</v>
      </c>
      <c r="Y147" s="1182">
        <f t="shared" si="67"/>
        <v>3480.6129999999998</v>
      </c>
      <c r="Z147" s="1182">
        <f t="shared" si="67"/>
        <v>4563.08</v>
      </c>
      <c r="AA147" s="1182">
        <f t="shared" si="67"/>
        <v>3939.5239999999999</v>
      </c>
      <c r="AB147" s="1182">
        <f t="shared" si="67"/>
        <v>3603.4969999999998</v>
      </c>
      <c r="AC147" s="1182">
        <f t="shared" si="67"/>
        <v>3373.5839999999998</v>
      </c>
      <c r="AD147" s="1182">
        <f t="shared" si="67"/>
        <v>3323.0630000000001</v>
      </c>
      <c r="AE147" s="1182">
        <f t="shared" si="67"/>
        <v>3443.9839999999999</v>
      </c>
      <c r="AF147" s="1182">
        <f t="shared" si="67"/>
        <v>3084.634</v>
      </c>
      <c r="AG147" s="1182">
        <f t="shared" si="67"/>
        <v>2379.9459999999999</v>
      </c>
      <c r="AH147" s="1182">
        <f>AH63+AH65+AH66</f>
        <v>3358.1639999999998</v>
      </c>
      <c r="AI147" s="1182">
        <f>AI63+AI65+AI66</f>
        <v>3486.0079999999998</v>
      </c>
      <c r="AJ147" s="1182">
        <f>AJ63+AJ65+AJ66</f>
        <v>3229.3150000000001</v>
      </c>
    </row>
    <row r="148" spans="1:36" s="1212" customFormat="1">
      <c r="A148" s="1183" t="s">
        <v>1739</v>
      </c>
      <c r="B148" s="1193">
        <f>SUM(B145:B147)</f>
        <v>343.63080799999994</v>
      </c>
      <c r="C148" s="1193">
        <f t="shared" ref="C148:K148" si="68">SUM(C145:C147)</f>
        <v>336.11253599999998</v>
      </c>
      <c r="D148" s="1193">
        <f t="shared" si="68"/>
        <v>755.65283499999998</v>
      </c>
      <c r="E148" s="1193">
        <f t="shared" si="68"/>
        <v>1970.3223759999998</v>
      </c>
      <c r="F148" s="1193">
        <f t="shared" si="68"/>
        <v>3666.6289999999999</v>
      </c>
      <c r="G148" s="1193">
        <f t="shared" si="68"/>
        <v>4813.2939999999999</v>
      </c>
      <c r="H148" s="1193">
        <f t="shared" si="68"/>
        <v>3660.5450000000001</v>
      </c>
      <c r="I148" s="1193">
        <f t="shared" si="68"/>
        <v>4060.3410000000003</v>
      </c>
      <c r="J148" s="1193">
        <f t="shared" si="68"/>
        <v>4525.2895520496859</v>
      </c>
      <c r="K148" s="1193">
        <f t="shared" si="68"/>
        <v>5172.9330222083981</v>
      </c>
      <c r="L148" s="1185"/>
      <c r="U148" s="1193">
        <f t="shared" ref="U148:AJ148" si="69">SUM(U145:U147)</f>
        <v>1904.5859539999999</v>
      </c>
      <c r="V148" s="1193">
        <f t="shared" si="69"/>
        <v>4388.4308799999999</v>
      </c>
      <c r="W148" s="1193">
        <f t="shared" si="69"/>
        <v>4572.469873</v>
      </c>
      <c r="X148" s="1193">
        <f t="shared" si="69"/>
        <v>3666.6289999999999</v>
      </c>
      <c r="Y148" s="1193">
        <f t="shared" si="69"/>
        <v>5683.5029999999997</v>
      </c>
      <c r="Z148" s="1193">
        <f t="shared" si="69"/>
        <v>5938.018</v>
      </c>
      <c r="AA148" s="1193">
        <f t="shared" si="69"/>
        <v>5509.4</v>
      </c>
      <c r="AB148" s="1193">
        <f t="shared" si="69"/>
        <v>4813.2939999999999</v>
      </c>
      <c r="AC148" s="1193">
        <f t="shared" si="69"/>
        <v>4224.884</v>
      </c>
      <c r="AD148" s="1193">
        <f t="shared" si="69"/>
        <v>4515.5929999999998</v>
      </c>
      <c r="AE148" s="1193">
        <f t="shared" si="69"/>
        <v>4382.5209999999997</v>
      </c>
      <c r="AF148" s="1193">
        <f t="shared" si="69"/>
        <v>3660.5450000000001</v>
      </c>
      <c r="AG148" s="1193">
        <f t="shared" si="69"/>
        <v>3138.1189999999997</v>
      </c>
      <c r="AH148" s="1193">
        <f t="shared" si="69"/>
        <v>4170.3279999999995</v>
      </c>
      <c r="AI148" s="1193">
        <f t="shared" si="69"/>
        <v>4308.5969999999998</v>
      </c>
      <c r="AJ148" s="1193">
        <f t="shared" si="69"/>
        <v>4060.3410000000003</v>
      </c>
    </row>
    <row r="149" spans="1:36">
      <c r="A149" s="1169" t="s">
        <v>1740</v>
      </c>
      <c r="B149" s="1182">
        <f>B81</f>
        <v>0</v>
      </c>
      <c r="C149" s="1182">
        <f t="shared" ref="C149:K149" si="70">C81</f>
        <v>0</v>
      </c>
      <c r="D149" s="1182">
        <f t="shared" si="70"/>
        <v>0</v>
      </c>
      <c r="E149" s="1182">
        <f t="shared" si="70"/>
        <v>0</v>
      </c>
      <c r="F149" s="1182">
        <f t="shared" si="70"/>
        <v>0</v>
      </c>
      <c r="G149" s="1182">
        <f t="shared" si="70"/>
        <v>0</v>
      </c>
      <c r="H149" s="1182">
        <f t="shared" si="70"/>
        <v>0</v>
      </c>
      <c r="I149" s="1182">
        <f t="shared" si="70"/>
        <v>0</v>
      </c>
      <c r="J149" s="1182">
        <f t="shared" si="70"/>
        <v>0</v>
      </c>
      <c r="K149" s="1182">
        <f t="shared" si="70"/>
        <v>0</v>
      </c>
      <c r="U149" s="1182">
        <f t="shared" ref="U149:AJ149" si="71">U81</f>
        <v>0</v>
      </c>
      <c r="V149" s="1182">
        <f t="shared" si="71"/>
        <v>5</v>
      </c>
      <c r="W149" s="1182">
        <f t="shared" si="71"/>
        <v>10</v>
      </c>
      <c r="X149" s="1182">
        <f t="shared" si="71"/>
        <v>0</v>
      </c>
      <c r="Y149" s="1182">
        <f t="shared" si="71"/>
        <v>0</v>
      </c>
      <c r="Z149" s="1182">
        <f t="shared" si="71"/>
        <v>0</v>
      </c>
      <c r="AA149" s="1182">
        <f t="shared" si="71"/>
        <v>0</v>
      </c>
      <c r="AB149" s="1182">
        <f t="shared" si="71"/>
        <v>0</v>
      </c>
      <c r="AC149" s="1182">
        <f t="shared" si="71"/>
        <v>0</v>
      </c>
      <c r="AD149" s="1182">
        <f t="shared" si="71"/>
        <v>0</v>
      </c>
      <c r="AE149" s="1182">
        <f t="shared" si="71"/>
        <v>0</v>
      </c>
      <c r="AF149" s="1182">
        <f t="shared" si="71"/>
        <v>0</v>
      </c>
      <c r="AG149" s="1182">
        <f t="shared" si="71"/>
        <v>0</v>
      </c>
      <c r="AH149" s="1182">
        <f t="shared" si="71"/>
        <v>0</v>
      </c>
      <c r="AI149" s="1182">
        <f t="shared" si="71"/>
        <v>0</v>
      </c>
      <c r="AJ149" s="1182">
        <f t="shared" si="71"/>
        <v>0</v>
      </c>
    </row>
    <row r="150" spans="1:36" s="1212" customFormat="1">
      <c r="A150" s="1183" t="s">
        <v>1741</v>
      </c>
      <c r="B150" s="1193">
        <f>B148-B149</f>
        <v>343.63080799999994</v>
      </c>
      <c r="C150" s="1193">
        <f t="shared" ref="C150:K150" si="72">C148-C149</f>
        <v>336.11253599999998</v>
      </c>
      <c r="D150" s="1193">
        <f t="shared" si="72"/>
        <v>755.65283499999998</v>
      </c>
      <c r="E150" s="1193">
        <f t="shared" si="72"/>
        <v>1970.3223759999998</v>
      </c>
      <c r="F150" s="1193">
        <f t="shared" si="72"/>
        <v>3666.6289999999999</v>
      </c>
      <c r="G150" s="1193">
        <f t="shared" si="72"/>
        <v>4813.2939999999999</v>
      </c>
      <c r="H150" s="1193">
        <f t="shared" si="72"/>
        <v>3660.5450000000001</v>
      </c>
      <c r="I150" s="1193">
        <f t="shared" si="72"/>
        <v>4060.3410000000003</v>
      </c>
      <c r="J150" s="1193">
        <f t="shared" si="72"/>
        <v>4525.2895520496859</v>
      </c>
      <c r="K150" s="1193">
        <f t="shared" si="72"/>
        <v>5172.9330222083981</v>
      </c>
      <c r="L150" s="1185"/>
      <c r="U150" s="1193">
        <f t="shared" ref="U150:AJ150" si="73">U148-U149</f>
        <v>1904.5859539999999</v>
      </c>
      <c r="V150" s="1193">
        <f t="shared" si="73"/>
        <v>4383.4308799999999</v>
      </c>
      <c r="W150" s="1193">
        <f t="shared" si="73"/>
        <v>4562.469873</v>
      </c>
      <c r="X150" s="1193">
        <f t="shared" si="73"/>
        <v>3666.6289999999999</v>
      </c>
      <c r="Y150" s="1193">
        <f t="shared" si="73"/>
        <v>5683.5029999999997</v>
      </c>
      <c r="Z150" s="1193">
        <f t="shared" si="73"/>
        <v>5938.018</v>
      </c>
      <c r="AA150" s="1193">
        <f t="shared" si="73"/>
        <v>5509.4</v>
      </c>
      <c r="AB150" s="1193">
        <f t="shared" si="73"/>
        <v>4813.2939999999999</v>
      </c>
      <c r="AC150" s="1193">
        <f t="shared" si="73"/>
        <v>4224.884</v>
      </c>
      <c r="AD150" s="1193">
        <f t="shared" si="73"/>
        <v>4515.5929999999998</v>
      </c>
      <c r="AE150" s="1193">
        <f t="shared" si="73"/>
        <v>4382.5209999999997</v>
      </c>
      <c r="AF150" s="1193">
        <f t="shared" si="73"/>
        <v>3660.5450000000001</v>
      </c>
      <c r="AG150" s="1193">
        <f t="shared" si="73"/>
        <v>3138.1189999999997</v>
      </c>
      <c r="AH150" s="1193">
        <f t="shared" si="73"/>
        <v>4170.3279999999995</v>
      </c>
      <c r="AI150" s="1193">
        <f t="shared" si="73"/>
        <v>4308.5969999999998</v>
      </c>
      <c r="AJ150" s="1193">
        <f t="shared" si="73"/>
        <v>4060.3410000000003</v>
      </c>
    </row>
    <row r="152" spans="1:36">
      <c r="A152" s="1169" t="s">
        <v>1742</v>
      </c>
      <c r="B152" s="1229">
        <v>6.4616061302682022</v>
      </c>
      <c r="C152" s="1229">
        <v>6.3087282442748114</v>
      </c>
      <c r="D152" s="1229">
        <v>6.1475896551724105</v>
      </c>
      <c r="E152" s="1230">
        <v>6.1610957854406143</v>
      </c>
      <c r="F152" s="1230">
        <v>6.2840601532567026</v>
      </c>
      <c r="G152" s="1230">
        <v>6.6418030651340967</v>
      </c>
      <c r="H152" s="1231">
        <v>6.3268000000000004</v>
      </c>
      <c r="I152" s="1230">
        <v>6.6140237547892697</v>
      </c>
      <c r="J152" s="1231">
        <v>6.6970000000000001</v>
      </c>
      <c r="K152" s="1231">
        <v>6.6970000000000001</v>
      </c>
      <c r="U152" s="1232">
        <v>6.2350061538461556</v>
      </c>
      <c r="V152" s="1232">
        <v>6.203083333333332</v>
      </c>
      <c r="W152" s="1232">
        <v>6.3010985074626866</v>
      </c>
      <c r="X152" s="1232">
        <v>6.391737313432837</v>
      </c>
      <c r="Y152" s="1232">
        <v>6.5379409090909109</v>
      </c>
      <c r="Z152" s="1232">
        <v>6.530598484848487</v>
      </c>
      <c r="AA152" s="1232">
        <v>6.6637388059701497</v>
      </c>
      <c r="AB152" s="1232">
        <v>6.8298636363636369</v>
      </c>
      <c r="AC152" s="1232">
        <v>6.8858876923076933</v>
      </c>
      <c r="AD152" s="1232">
        <v>6.8589515151515155</v>
      </c>
      <c r="AE152" s="1232">
        <v>6.6700166666666654</v>
      </c>
      <c r="AF152" s="1232">
        <v>6.6119784615384631</v>
      </c>
      <c r="AG152" s="1232">
        <v>6.3572584615384615</v>
      </c>
      <c r="AH152" s="1232">
        <v>6.3774876923076915</v>
      </c>
      <c r="AI152" s="1232">
        <v>6.802801538461539</v>
      </c>
      <c r="AJ152" s="1232">
        <v>6.9139333333333317</v>
      </c>
    </row>
    <row r="153" spans="1:36">
      <c r="A153" s="1169" t="s">
        <v>1743</v>
      </c>
      <c r="B153" s="1229">
        <v>6.2938999999999998</v>
      </c>
      <c r="C153" s="1229">
        <v>6.2301000000000002</v>
      </c>
      <c r="D153" s="1229">
        <v>6.0537000000000001</v>
      </c>
      <c r="E153" s="1230">
        <v>6.2046000000000001</v>
      </c>
      <c r="F153" s="1230">
        <v>6.4920999999999998</v>
      </c>
      <c r="G153" s="1230">
        <v>6.9429999999999996</v>
      </c>
      <c r="H153" s="1231">
        <v>6.3268000000000004</v>
      </c>
      <c r="I153" s="1230">
        <v>6.8754999999999997</v>
      </c>
      <c r="J153" s="1231">
        <v>6.6970000000000001</v>
      </c>
      <c r="K153" s="1231">
        <v>6.6970000000000001</v>
      </c>
      <c r="U153" s="1232">
        <v>6.1989999999999998</v>
      </c>
      <c r="V153" s="1232">
        <v>6.2</v>
      </c>
      <c r="W153" s="1232">
        <v>6.3555999999999999</v>
      </c>
      <c r="X153" s="1232">
        <v>6.4920999999999998</v>
      </c>
      <c r="Y153" s="1232">
        <v>6.4480000000000004</v>
      </c>
      <c r="Z153" s="1232">
        <v>6.6459000000000001</v>
      </c>
      <c r="AA153" s="1232">
        <v>6.6684999999999999</v>
      </c>
      <c r="AB153" s="1232">
        <v>6.9429999999999996</v>
      </c>
      <c r="AC153" s="1232">
        <v>6.8832000000000004</v>
      </c>
      <c r="AD153" s="1232">
        <v>6.7793000000000001</v>
      </c>
      <c r="AE153" s="1232">
        <v>6.6532999999999998</v>
      </c>
      <c r="AF153" s="1232">
        <v>6.5063000000000004</v>
      </c>
      <c r="AG153" s="1232">
        <v>6.2725999999999997</v>
      </c>
      <c r="AH153" s="1232">
        <v>6.6170999999999998</v>
      </c>
      <c r="AI153" s="1232">
        <v>6.8680000000000003</v>
      </c>
      <c r="AJ153" s="1232">
        <v>6.8754999999999997</v>
      </c>
    </row>
    <row r="155" spans="1:36">
      <c r="A155" s="1179" t="s">
        <v>1744</v>
      </c>
      <c r="B155" s="1180"/>
      <c r="C155" s="1180"/>
      <c r="D155" s="1180"/>
      <c r="E155" s="1180"/>
      <c r="F155" s="1180"/>
      <c r="G155" s="1180"/>
      <c r="H155" s="1207"/>
      <c r="I155" s="1207"/>
      <c r="J155" s="1207"/>
      <c r="K155" s="1207"/>
      <c r="U155" s="1180"/>
      <c r="V155" s="1180"/>
      <c r="W155" s="1180"/>
      <c r="X155" s="1180"/>
      <c r="Y155" s="1180"/>
      <c r="Z155" s="1180"/>
      <c r="AA155" s="1207"/>
      <c r="AB155" s="1207"/>
      <c r="AC155" s="1207"/>
      <c r="AD155" s="1207"/>
      <c r="AE155" s="1207"/>
      <c r="AF155" s="1207"/>
      <c r="AG155" s="1207"/>
      <c r="AH155" s="1207"/>
      <c r="AI155" s="1207"/>
      <c r="AJ155" s="1207"/>
    </row>
    <row r="156" spans="1:36">
      <c r="A156" s="1169" t="s">
        <v>1745</v>
      </c>
      <c r="B156" s="1196">
        <v>0</v>
      </c>
      <c r="C156" s="1196">
        <v>0</v>
      </c>
      <c r="D156" s="1196">
        <v>0</v>
      </c>
      <c r="E156" s="1233">
        <v>16.749024390243896</v>
      </c>
      <c r="F156" s="1233">
        <v>15.056646825396822</v>
      </c>
      <c r="G156" s="1234">
        <v>9.9839328063241144</v>
      </c>
      <c r="H156" s="1234">
        <v>8.1387848605577702</v>
      </c>
      <c r="I156" s="1234">
        <v>7.0332868525896473</v>
      </c>
      <c r="J156" s="1235">
        <v>4.9800000000000004</v>
      </c>
      <c r="K156" s="1235">
        <v>4.9800000000000004</v>
      </c>
      <c r="U156" s="1234" t="e">
        <f ca="1">[68]!getavgprice("TOUR",T5,U5)</f>
        <v>#NAME?</v>
      </c>
      <c r="V156" s="1234" t="e">
        <f ca="1">[68]!getavgprice("TOUR",U5,V5)</f>
        <v>#NAME?</v>
      </c>
      <c r="W156" s="1234" t="e">
        <f ca="1">[68]!getavgprice("TOUR",V5,W5)</f>
        <v>#NAME?</v>
      </c>
      <c r="X156" s="1234" t="e">
        <f ca="1">[68]!getavgprice("TOUR",W5,X5)</f>
        <v>#NAME?</v>
      </c>
      <c r="Y156" s="1234">
        <v>11.870564516129033</v>
      </c>
      <c r="Z156" s="1234">
        <v>9.6333076923076941</v>
      </c>
      <c r="AA156" s="1234">
        <v>9.3650769230769235</v>
      </c>
      <c r="AB156" s="1234">
        <v>9.1257031250000011</v>
      </c>
      <c r="AC156" s="1234">
        <v>8.7809677419354806</v>
      </c>
      <c r="AD156" s="1234">
        <v>8.2200781249999988</v>
      </c>
      <c r="AE156" s="1234">
        <v>7.7559374999999999</v>
      </c>
      <c r="AF156" s="1234">
        <v>7.7559374999999999</v>
      </c>
      <c r="AG156" s="1234">
        <v>7.7559374999999999</v>
      </c>
      <c r="AH156" s="1234" t="e">
        <f ca="1">[68]!getavgprice("TOUR",AG5,AH5)</f>
        <v>#NAME?</v>
      </c>
      <c r="AI156" s="1234" t="e">
        <f ca="1">[68]!getavgprice("TOUR",AH5,AI5)</f>
        <v>#NAME?</v>
      </c>
      <c r="AJ156" s="1234" t="e">
        <f ca="1">[68]!getavgprice("TOUR",AI5,AJ5)</f>
        <v>#NAME?</v>
      </c>
    </row>
    <row r="157" spans="1:36">
      <c r="A157" s="1169" t="s">
        <v>1746</v>
      </c>
      <c r="B157" s="1196">
        <f>B156*B159</f>
        <v>0</v>
      </c>
      <c r="C157" s="1196">
        <f t="shared" ref="C157:K157" si="74">C156*C159</f>
        <v>0</v>
      </c>
      <c r="D157" s="1196">
        <f t="shared" si="74"/>
        <v>0</v>
      </c>
      <c r="E157" s="1196">
        <f t="shared" si="74"/>
        <v>1052.0392845253655</v>
      </c>
      <c r="F157" s="1196">
        <f t="shared" si="74"/>
        <v>1440.2731233376981</v>
      </c>
      <c r="G157" s="1196">
        <f t="shared" si="74"/>
        <v>1262.870179950982</v>
      </c>
      <c r="H157" s="1196">
        <f t="shared" si="74"/>
        <v>1001.6561641132472</v>
      </c>
      <c r="I157" s="1196">
        <f t="shared" si="74"/>
        <v>865.60036302400476</v>
      </c>
      <c r="J157" s="1196">
        <f t="shared" si="74"/>
        <v>612.89833590000012</v>
      </c>
      <c r="K157" s="1196">
        <f t="shared" si="74"/>
        <v>612.89833590000012</v>
      </c>
      <c r="Y157" s="1196">
        <f t="shared" ref="Y157:AJ157" si="75">Y156*Y159</f>
        <v>1496.0442822834677</v>
      </c>
      <c r="Z157" s="1196">
        <f t="shared" si="75"/>
        <v>1214.083363345718</v>
      </c>
      <c r="AA157" s="1196">
        <f t="shared" si="75"/>
        <v>1180.2783064678461</v>
      </c>
      <c r="AB157" s="1196">
        <f t="shared" si="75"/>
        <v>1154.3124910003387</v>
      </c>
      <c r="AC157" s="1196">
        <f t="shared" si="75"/>
        <v>1111.1943974231178</v>
      </c>
      <c r="AD157" s="1196">
        <f t="shared" si="75"/>
        <v>1011.6610850964843</v>
      </c>
      <c r="AE157" s="1196">
        <f t="shared" si="75"/>
        <v>970.66975856406236</v>
      </c>
      <c r="AF157" s="1196">
        <f t="shared" si="75"/>
        <v>1035.4993081746877</v>
      </c>
      <c r="AG157" s="1196">
        <f t="shared" si="75"/>
        <v>975.06674431031217</v>
      </c>
      <c r="AH157" s="1196" t="e">
        <f t="shared" ca="1" si="75"/>
        <v>#NAME?</v>
      </c>
      <c r="AI157" s="1196" t="e">
        <f t="shared" ca="1" si="75"/>
        <v>#NAME?</v>
      </c>
      <c r="AJ157" s="1196" t="e">
        <f t="shared" ca="1" si="75"/>
        <v>#NAME?</v>
      </c>
    </row>
    <row r="158" spans="1:36">
      <c r="A158" s="1169" t="s">
        <v>1747</v>
      </c>
      <c r="B158" s="1196">
        <f>B160</f>
        <v>26</v>
      </c>
      <c r="C158" s="1196">
        <f>C160</f>
        <v>26</v>
      </c>
      <c r="D158" s="1196">
        <f>D160</f>
        <v>26</v>
      </c>
      <c r="E158" s="1196">
        <v>188.43592200000001</v>
      </c>
      <c r="F158" s="1196">
        <v>286.97089199999999</v>
      </c>
      <c r="G158" s="1196">
        <v>379.47075699999999</v>
      </c>
      <c r="H158" s="1197">
        <f>AD158</f>
        <v>369.21586500000001</v>
      </c>
      <c r="I158" s="1197">
        <f>H158</f>
        <v>369.21586500000001</v>
      </c>
      <c r="J158" s="1197">
        <f>I158</f>
        <v>369.21586500000001</v>
      </c>
      <c r="K158" s="1197">
        <f>J158</f>
        <v>369.21586500000001</v>
      </c>
      <c r="Y158" s="1209">
        <v>378.08925099999999</v>
      </c>
      <c r="Z158" s="1209">
        <f>Y158</f>
        <v>378.08925099999999</v>
      </c>
      <c r="AA158" s="1209">
        <f>Z158</f>
        <v>378.08925099999999</v>
      </c>
      <c r="AB158" s="1209">
        <v>379.47075699999999</v>
      </c>
      <c r="AC158" s="1196">
        <v>379.63733500000001</v>
      </c>
      <c r="AD158" s="1196">
        <f t="shared" ref="AD158:AJ158" si="76">AD160*2-AC158</f>
        <v>369.21586500000001</v>
      </c>
      <c r="AE158" s="1196">
        <f t="shared" si="76"/>
        <v>375.45548499999995</v>
      </c>
      <c r="AF158" s="1196">
        <f t="shared" si="76"/>
        <v>400.53158300000007</v>
      </c>
      <c r="AG158" s="1196">
        <f t="shared" si="76"/>
        <v>377.15624099999991</v>
      </c>
      <c r="AH158" s="1196">
        <f t="shared" si="76"/>
        <v>385.31238500000006</v>
      </c>
      <c r="AI158" s="1196">
        <f t="shared" si="76"/>
        <v>377.15624099999991</v>
      </c>
      <c r="AJ158" s="1196">
        <f t="shared" si="76"/>
        <v>385.31238500000006</v>
      </c>
    </row>
    <row r="159" spans="1:36">
      <c r="A159" s="1169" t="s">
        <v>1748</v>
      </c>
      <c r="B159" s="1182">
        <f t="shared" ref="B159:K159" si="77">B158/3</f>
        <v>8.6666666666666661</v>
      </c>
      <c r="C159" s="1182">
        <f t="shared" si="77"/>
        <v>8.6666666666666661</v>
      </c>
      <c r="D159" s="1182">
        <f t="shared" si="77"/>
        <v>8.6666666666666661</v>
      </c>
      <c r="E159" s="1182">
        <f t="shared" si="77"/>
        <v>62.811973999999999</v>
      </c>
      <c r="F159" s="1182">
        <f t="shared" si="77"/>
        <v>95.656964000000002</v>
      </c>
      <c r="G159" s="1182">
        <f t="shared" si="77"/>
        <v>126.49025233333333</v>
      </c>
      <c r="H159" s="1182">
        <f t="shared" si="77"/>
        <v>123.071955</v>
      </c>
      <c r="I159" s="1182">
        <f t="shared" si="77"/>
        <v>123.071955</v>
      </c>
      <c r="J159" s="1182">
        <f t="shared" si="77"/>
        <v>123.071955</v>
      </c>
      <c r="K159" s="1182">
        <f t="shared" si="77"/>
        <v>123.071955</v>
      </c>
      <c r="Y159" s="1182">
        <f>Y158/3</f>
        <v>126.02975033333333</v>
      </c>
      <c r="Z159" s="1209">
        <f>Y159</f>
        <v>126.02975033333333</v>
      </c>
      <c r="AA159" s="1209">
        <f>Z159</f>
        <v>126.02975033333333</v>
      </c>
      <c r="AB159" s="1182">
        <f t="shared" ref="AB159:AJ159" si="78">AB158/3</f>
        <v>126.49025233333333</v>
      </c>
      <c r="AC159" s="1182">
        <f t="shared" si="78"/>
        <v>126.54577833333333</v>
      </c>
      <c r="AD159" s="1182">
        <f t="shared" si="78"/>
        <v>123.071955</v>
      </c>
      <c r="AE159" s="1182">
        <f t="shared" si="78"/>
        <v>125.15182833333331</v>
      </c>
      <c r="AF159" s="1182">
        <f t="shared" si="78"/>
        <v>133.51052766666669</v>
      </c>
      <c r="AG159" s="1182">
        <f t="shared" si="78"/>
        <v>125.71874699999996</v>
      </c>
      <c r="AH159" s="1182">
        <f t="shared" si="78"/>
        <v>128.43746166666668</v>
      </c>
      <c r="AI159" s="1182">
        <f t="shared" si="78"/>
        <v>125.71874699999996</v>
      </c>
      <c r="AJ159" s="1182">
        <f t="shared" si="78"/>
        <v>128.43746166666668</v>
      </c>
    </row>
    <row r="160" spans="1:36">
      <c r="A160" s="1169" t="s">
        <v>1749</v>
      </c>
      <c r="B160" s="1182">
        <v>26</v>
      </c>
      <c r="C160" s="1196">
        <v>26</v>
      </c>
      <c r="D160" s="1196">
        <v>26</v>
      </c>
      <c r="E160" s="1196">
        <v>105.746313</v>
      </c>
      <c r="F160" s="1196">
        <v>248.36283700000001</v>
      </c>
      <c r="G160" s="1196">
        <v>373.34785499999998</v>
      </c>
      <c r="H160" s="1197">
        <f>AD160</f>
        <v>374.42660000000001</v>
      </c>
      <c r="I160" s="1197">
        <f>H160</f>
        <v>374.42660000000001</v>
      </c>
      <c r="J160" s="1197">
        <f>I160</f>
        <v>374.42660000000001</v>
      </c>
      <c r="K160" s="1197">
        <f>J160</f>
        <v>374.42660000000001</v>
      </c>
      <c r="U160" s="1209">
        <v>188.667867</v>
      </c>
      <c r="V160" s="1209">
        <v>230.68975800000001</v>
      </c>
      <c r="W160" s="1209">
        <v>286.11538999999999</v>
      </c>
      <c r="X160" s="1209">
        <v>286.48855900000001</v>
      </c>
      <c r="Y160" s="1208">
        <v>357.95759399999997</v>
      </c>
      <c r="Z160" s="1208">
        <v>378.12085000000002</v>
      </c>
      <c r="AA160" s="1208">
        <v>378.41233999999997</v>
      </c>
      <c r="AB160" s="1208">
        <v>378.785214</v>
      </c>
      <c r="AC160" s="1208">
        <v>378.16434700000002</v>
      </c>
      <c r="AD160" s="1208">
        <v>374.42660000000001</v>
      </c>
      <c r="AE160" s="1208">
        <v>372.33567499999998</v>
      </c>
      <c r="AF160" s="1208">
        <v>387.99353400000001</v>
      </c>
      <c r="AG160" s="1208">
        <v>388.84391199999999</v>
      </c>
      <c r="AH160" s="1208">
        <v>381.23431299999999</v>
      </c>
      <c r="AI160" s="1208">
        <v>381.23431299999999</v>
      </c>
      <c r="AJ160" s="1208">
        <v>381.23431299999999</v>
      </c>
    </row>
    <row r="161" spans="1:36">
      <c r="A161" s="1169" t="s">
        <v>1750</v>
      </c>
      <c r="B161" s="1182">
        <f t="shared" ref="B161:K161" si="79">B160/3</f>
        <v>8.6666666666666661</v>
      </c>
      <c r="C161" s="1182">
        <f t="shared" si="79"/>
        <v>8.6666666666666661</v>
      </c>
      <c r="D161" s="1182">
        <f t="shared" si="79"/>
        <v>8.6666666666666661</v>
      </c>
      <c r="E161" s="1182">
        <f t="shared" si="79"/>
        <v>35.248770999999998</v>
      </c>
      <c r="F161" s="1182">
        <f t="shared" si="79"/>
        <v>82.787612333333342</v>
      </c>
      <c r="G161" s="1182">
        <f t="shared" si="79"/>
        <v>124.44928499999999</v>
      </c>
      <c r="H161" s="1182">
        <f t="shared" si="79"/>
        <v>124.80886666666667</v>
      </c>
      <c r="I161" s="1182">
        <f t="shared" si="79"/>
        <v>124.80886666666667</v>
      </c>
      <c r="J161" s="1182">
        <f t="shared" si="79"/>
        <v>124.80886666666667</v>
      </c>
      <c r="K161" s="1182">
        <f t="shared" si="79"/>
        <v>124.80886666666667</v>
      </c>
      <c r="U161" s="1182">
        <f>U160/3</f>
        <v>62.889288999999998</v>
      </c>
      <c r="V161" s="1182">
        <f>V160/3</f>
        <v>76.896585999999999</v>
      </c>
      <c r="W161" s="1182">
        <f>W160/3</f>
        <v>95.371796666666668</v>
      </c>
      <c r="X161" s="1182">
        <f>X160/3</f>
        <v>95.496186333333341</v>
      </c>
      <c r="Y161" s="1182">
        <f t="shared" ref="Y161:AJ161" si="80">Y160/3</f>
        <v>119.31919799999999</v>
      </c>
      <c r="Z161" s="1182">
        <f t="shared" si="80"/>
        <v>126.04028333333333</v>
      </c>
      <c r="AA161" s="1182">
        <f t="shared" si="80"/>
        <v>126.13744666666666</v>
      </c>
      <c r="AB161" s="1182">
        <f t="shared" si="80"/>
        <v>126.26173799999999</v>
      </c>
      <c r="AC161" s="1182">
        <f t="shared" si="80"/>
        <v>126.05478233333334</v>
      </c>
      <c r="AD161" s="1182">
        <f t="shared" si="80"/>
        <v>124.80886666666667</v>
      </c>
      <c r="AE161" s="1182">
        <f t="shared" si="80"/>
        <v>124.11189166666666</v>
      </c>
      <c r="AF161" s="1182">
        <f t="shared" si="80"/>
        <v>129.33117799999999</v>
      </c>
      <c r="AG161" s="1182">
        <f t="shared" si="80"/>
        <v>129.61463733333332</v>
      </c>
      <c r="AH161" s="1182">
        <f t="shared" si="80"/>
        <v>127.07810433333333</v>
      </c>
      <c r="AI161" s="1182">
        <f t="shared" si="80"/>
        <v>127.07810433333333</v>
      </c>
      <c r="AJ161" s="1182">
        <f t="shared" si="80"/>
        <v>127.07810433333333</v>
      </c>
    </row>
    <row r="162" spans="1:36">
      <c r="A162" s="1169" t="s">
        <v>1751</v>
      </c>
      <c r="B162" s="1234">
        <f>B42/B161/B152</f>
        <v>-2.1942448778222969</v>
      </c>
      <c r="C162" s="1234">
        <f>C43/C161</f>
        <v>-12.368068038461574</v>
      </c>
      <c r="D162" s="1234">
        <f t="shared" ref="D162:K162" si="81">D43/D161</f>
        <v>-16.045439884615377</v>
      </c>
      <c r="E162" s="1234">
        <f t="shared" si="81"/>
        <v>-12.037043787994776</v>
      </c>
      <c r="F162" s="1234">
        <f t="shared" si="81"/>
        <v>-16.151824678987698</v>
      </c>
      <c r="G162" s="1234">
        <f t="shared" si="81"/>
        <v>-17.890227332362741</v>
      </c>
      <c r="H162" s="1234">
        <f t="shared" si="81"/>
        <v>-4.2524142248440686</v>
      </c>
      <c r="I162" s="1234">
        <f t="shared" si="81"/>
        <v>-0.24977810990820404</v>
      </c>
      <c r="J162" s="1234">
        <f t="shared" si="81"/>
        <v>0.4539806630967424</v>
      </c>
      <c r="K162" s="1234">
        <f t="shared" si="81"/>
        <v>0.92134231509229125</v>
      </c>
      <c r="U162" s="1234">
        <f>U42/U161</f>
        <v>-3.7031937346278521</v>
      </c>
      <c r="V162" s="1234">
        <f>V42/V161</f>
        <v>-3.1973705568671171</v>
      </c>
      <c r="W162" s="1234">
        <f>W42/W161</f>
        <v>-4.5410818725969255</v>
      </c>
      <c r="X162" s="1234">
        <f>X42/X161</f>
        <v>-5.7140289675581757</v>
      </c>
      <c r="Y162" s="1234">
        <f t="shared" ref="Y162:AJ162" si="82">Y42/Y161</f>
        <v>-4.8152016576578047</v>
      </c>
      <c r="Z162" s="1234">
        <f t="shared" si="82"/>
        <v>-6.0650768134050237</v>
      </c>
      <c r="AA162" s="1234">
        <f t="shared" si="82"/>
        <v>-4.5037220509246598</v>
      </c>
      <c r="AB162" s="1234">
        <f t="shared" si="82"/>
        <v>-4.3873069448798523</v>
      </c>
      <c r="AC162" s="1234">
        <f t="shared" si="82"/>
        <v>-3.0733780411086751</v>
      </c>
      <c r="AD162" s="1234">
        <f t="shared" si="82"/>
        <v>-3.1313320154070232</v>
      </c>
      <c r="AE162" s="1234">
        <f t="shared" si="82"/>
        <v>-1.8603132777969735</v>
      </c>
      <c r="AF162" s="1234">
        <f t="shared" si="82"/>
        <v>-2.8117272696611493</v>
      </c>
      <c r="AG162" s="1234">
        <f t="shared" si="82"/>
        <v>-1.1732702658335263</v>
      </c>
      <c r="AH162" s="1234">
        <f t="shared" si="82"/>
        <v>-1.3122795691268547</v>
      </c>
      <c r="AI162" s="1234">
        <f t="shared" si="82"/>
        <v>-0.77243047112603369</v>
      </c>
      <c r="AJ162" s="1234">
        <f t="shared" si="82"/>
        <v>-1.3967236994220542</v>
      </c>
    </row>
    <row r="163" spans="1:36">
      <c r="A163" s="1169" t="s">
        <v>1752</v>
      </c>
      <c r="B163" s="1234">
        <f t="shared" ref="B163:K163" si="83">B162/B152</f>
        <v>-0.33958196051965495</v>
      </c>
      <c r="C163" s="1234">
        <f t="shared" si="83"/>
        <v>-1.9604692989725196</v>
      </c>
      <c r="D163" s="1234">
        <f t="shared" si="83"/>
        <v>-2.6100375569334222</v>
      </c>
      <c r="E163" s="1234">
        <f t="shared" si="83"/>
        <v>-1.953718008481496</v>
      </c>
      <c r="F163" s="1234">
        <f t="shared" si="83"/>
        <v>-2.5702848612321199</v>
      </c>
      <c r="G163" s="1234">
        <f t="shared" si="83"/>
        <v>-2.6935799145079802</v>
      </c>
      <c r="H163" s="1234">
        <f t="shared" si="83"/>
        <v>-0.67212717722135495</v>
      </c>
      <c r="I163" s="1234">
        <f t="shared" si="83"/>
        <v>-3.7764924827694731E-2</v>
      </c>
      <c r="J163" s="1234">
        <f t="shared" si="83"/>
        <v>6.7788661056703364E-2</v>
      </c>
      <c r="K163" s="1234">
        <f t="shared" si="83"/>
        <v>0.13757537928808292</v>
      </c>
      <c r="U163" s="1234">
        <f>U162/U152</f>
        <v>-0.59393585880319977</v>
      </c>
      <c r="V163" s="1234">
        <f>V162/V152</f>
        <v>-0.51544858984652009</v>
      </c>
      <c r="W163" s="1234">
        <f>W162/W152</f>
        <v>-0.72068098399330038</v>
      </c>
      <c r="X163" s="1234">
        <f>X162/X152</f>
        <v>-0.89397118300678702</v>
      </c>
      <c r="Y163" s="1234">
        <f t="shared" ref="Y163:AJ163" si="84">Y162/Y152</f>
        <v>-0.73650125086972529</v>
      </c>
      <c r="Z163" s="1234">
        <f t="shared" si="84"/>
        <v>-0.92871684386606967</v>
      </c>
      <c r="AA163" s="1234">
        <f t="shared" si="84"/>
        <v>-0.67585512908904888</v>
      </c>
      <c r="AB163" s="1234">
        <f t="shared" si="84"/>
        <v>-0.64237108944912213</v>
      </c>
      <c r="AC163" s="1234">
        <f t="shared" si="84"/>
        <v>-0.44632996912540152</v>
      </c>
      <c r="AD163" s="1234">
        <f t="shared" si="84"/>
        <v>-0.45653216945620173</v>
      </c>
      <c r="AE163" s="1234">
        <f t="shared" si="84"/>
        <v>-0.27890684098195268</v>
      </c>
      <c r="AF163" s="1234">
        <f t="shared" si="84"/>
        <v>-0.42524749377464272</v>
      </c>
      <c r="AG163" s="1234">
        <f t="shared" si="84"/>
        <v>-0.18455601151531506</v>
      </c>
      <c r="AH163" s="1234">
        <f t="shared" si="84"/>
        <v>-0.20576747967850753</v>
      </c>
      <c r="AI163" s="1234">
        <f t="shared" si="84"/>
        <v>-0.11354593644381396</v>
      </c>
      <c r="AJ163" s="1234">
        <f t="shared" si="84"/>
        <v>-0.20201578928859423</v>
      </c>
    </row>
    <row r="164" spans="1:36">
      <c r="A164" s="1169" t="s">
        <v>1753</v>
      </c>
      <c r="B164" s="1234">
        <f>B150/B159/B153</f>
        <v>6.2997042557690168</v>
      </c>
      <c r="C164" s="1234">
        <f t="shared" ref="C164:K164" si="85">C150/C159/C153</f>
        <v>6.2249748306299564</v>
      </c>
      <c r="D164" s="1234">
        <f t="shared" si="85"/>
        <v>14.402879516786301</v>
      </c>
      <c r="E164" s="1234">
        <f t="shared" si="85"/>
        <v>5.0556972437175656</v>
      </c>
      <c r="F164" s="1234">
        <f t="shared" si="85"/>
        <v>5.9042559414774614</v>
      </c>
      <c r="G164" s="1234">
        <f t="shared" si="85"/>
        <v>5.4807269412991308</v>
      </c>
      <c r="H164" s="1234">
        <f t="shared" si="85"/>
        <v>4.7011330727983243</v>
      </c>
      <c r="I164" s="1234">
        <f t="shared" si="85"/>
        <v>4.798429547181831</v>
      </c>
      <c r="J164" s="1234">
        <f t="shared" si="85"/>
        <v>5.4904377829940998</v>
      </c>
      <c r="K164" s="1234">
        <f t="shared" si="85"/>
        <v>6.2762098617903002</v>
      </c>
      <c r="U164" s="1234">
        <f>U150/U161/U153</f>
        <v>4.8854239372475163</v>
      </c>
      <c r="V164" s="1234">
        <f>V150/V161/V153</f>
        <v>9.1942310760735371</v>
      </c>
      <c r="W164" s="1234">
        <f>W150/W161/W153</f>
        <v>7.5270272649879031</v>
      </c>
      <c r="X164" s="1234">
        <f>X150/X161/X153</f>
        <v>5.9141963645469238</v>
      </c>
      <c r="Y164" s="1234">
        <f t="shared" ref="Y164:AJ164" si="86">Y150/Y161/Y153</f>
        <v>7.3872150018885323</v>
      </c>
      <c r="Z164" s="1234">
        <f t="shared" si="86"/>
        <v>7.0888916223898164</v>
      </c>
      <c r="AA164" s="1234">
        <f t="shared" si="86"/>
        <v>6.5498614532238104</v>
      </c>
      <c r="AB164" s="1234">
        <f t="shared" si="86"/>
        <v>5.4906462144139443</v>
      </c>
      <c r="AC164" s="1234">
        <f t="shared" si="86"/>
        <v>4.8692836451183137</v>
      </c>
      <c r="AD164" s="1234">
        <f t="shared" si="86"/>
        <v>5.336843882481876</v>
      </c>
      <c r="AE164" s="1234">
        <f t="shared" si="86"/>
        <v>5.3072983767394222</v>
      </c>
      <c r="AF164" s="1234">
        <f t="shared" si="86"/>
        <v>4.3501920705526675</v>
      </c>
      <c r="AG164" s="1234">
        <f t="shared" si="86"/>
        <v>3.8598263412528087</v>
      </c>
      <c r="AH164" s="1234">
        <f t="shared" si="86"/>
        <v>4.959430269364657</v>
      </c>
      <c r="AI164" s="1234">
        <f t="shared" si="86"/>
        <v>4.9366786787658548</v>
      </c>
      <c r="AJ164" s="1234">
        <f t="shared" si="86"/>
        <v>4.647158599032764</v>
      </c>
    </row>
    <row r="165" spans="1:36">
      <c r="A165" s="1169" t="s">
        <v>1754</v>
      </c>
      <c r="B165" s="1234"/>
      <c r="C165" s="1234"/>
      <c r="D165" s="1234"/>
      <c r="E165" s="1236">
        <f t="shared" ref="E165:K165" si="87">E164/E156</f>
        <v>0.30185025264292098</v>
      </c>
      <c r="F165" s="1236">
        <f t="shared" si="87"/>
        <v>0.39213617812423207</v>
      </c>
      <c r="G165" s="1236">
        <f t="shared" si="87"/>
        <v>0.54895471029487286</v>
      </c>
      <c r="H165" s="1236">
        <f t="shared" si="87"/>
        <v>0.57762100280853779</v>
      </c>
      <c r="I165" s="1236">
        <f t="shared" si="87"/>
        <v>0.68224567655946744</v>
      </c>
      <c r="J165" s="1236">
        <f t="shared" si="87"/>
        <v>1.1024975467859637</v>
      </c>
      <c r="K165" s="1236">
        <f t="shared" si="87"/>
        <v>1.2602831047771685</v>
      </c>
      <c r="U165" s="1236" t="e">
        <f t="shared" ref="U165:AJ165" ca="1" si="88">U164/U156</f>
        <v>#NAME?</v>
      </c>
      <c r="V165" s="1236" t="e">
        <f t="shared" ca="1" si="88"/>
        <v>#NAME?</v>
      </c>
      <c r="W165" s="1236" t="e">
        <f t="shared" ca="1" si="88"/>
        <v>#NAME?</v>
      </c>
      <c r="X165" s="1236" t="e">
        <f t="shared" ca="1" si="88"/>
        <v>#NAME?</v>
      </c>
      <c r="Y165" s="1236">
        <f t="shared" si="88"/>
        <v>0.62231370646705253</v>
      </c>
      <c r="Z165" s="1236">
        <f t="shared" si="88"/>
        <v>0.73587306134219888</v>
      </c>
      <c r="AA165" s="1236">
        <f t="shared" si="88"/>
        <v>0.69939216805405957</v>
      </c>
      <c r="AB165" s="1236">
        <f t="shared" si="88"/>
        <v>0.60166829220777918</v>
      </c>
      <c r="AC165" s="1236">
        <f t="shared" si="88"/>
        <v>0.5545269938601366</v>
      </c>
      <c r="AD165" s="1236">
        <f t="shared" si="88"/>
        <v>0.64924491000283246</v>
      </c>
      <c r="AE165" s="1236">
        <f t="shared" si="88"/>
        <v>0.68428844053209847</v>
      </c>
      <c r="AF165" s="1236">
        <f t="shared" si="88"/>
        <v>0.56088539529266035</v>
      </c>
      <c r="AG165" s="1236">
        <f t="shared" si="88"/>
        <v>0.49766083613396944</v>
      </c>
      <c r="AH165" s="1236" t="e">
        <f t="shared" ca="1" si="88"/>
        <v>#NAME?</v>
      </c>
      <c r="AI165" s="1236" t="e">
        <f t="shared" ca="1" si="88"/>
        <v>#NAME?</v>
      </c>
      <c r="AJ165" s="1236" t="e">
        <f t="shared" ca="1" si="88"/>
        <v>#NAME?</v>
      </c>
    </row>
    <row r="166" spans="1:36">
      <c r="A166" s="1169" t="s">
        <v>1755</v>
      </c>
      <c r="B166" s="1234"/>
      <c r="C166" s="1234"/>
      <c r="D166" s="1234"/>
      <c r="E166" s="1234">
        <f t="shared" ref="E166:K166" si="89">E156-E164</f>
        <v>11.693327146526331</v>
      </c>
      <c r="F166" s="1234">
        <f t="shared" si="89"/>
        <v>9.1523908839193595</v>
      </c>
      <c r="G166" s="1234">
        <f t="shared" si="89"/>
        <v>4.5032058650249835</v>
      </c>
      <c r="H166" s="1234">
        <f t="shared" si="89"/>
        <v>3.4376517877594459</v>
      </c>
      <c r="I166" s="1234">
        <f t="shared" si="89"/>
        <v>2.2348573054078162</v>
      </c>
      <c r="J166" s="1234">
        <f t="shared" si="89"/>
        <v>-0.51043778299409936</v>
      </c>
      <c r="K166" s="1234">
        <f t="shared" si="89"/>
        <v>-1.2962098617902997</v>
      </c>
      <c r="U166" s="1234" t="e">
        <f t="shared" ref="U166:AJ166" ca="1" si="90">U156-U164</f>
        <v>#NAME?</v>
      </c>
      <c r="V166" s="1234" t="e">
        <f t="shared" ca="1" si="90"/>
        <v>#NAME?</v>
      </c>
      <c r="W166" s="1234" t="e">
        <f t="shared" ca="1" si="90"/>
        <v>#NAME?</v>
      </c>
      <c r="X166" s="1234" t="e">
        <f t="shared" ca="1" si="90"/>
        <v>#NAME?</v>
      </c>
      <c r="Y166" s="1234">
        <f t="shared" si="90"/>
        <v>4.4833495142405004</v>
      </c>
      <c r="Z166" s="1234">
        <f t="shared" si="90"/>
        <v>2.5444160699178777</v>
      </c>
      <c r="AA166" s="1234">
        <f t="shared" si="90"/>
        <v>2.8152154698531131</v>
      </c>
      <c r="AB166" s="1234">
        <f t="shared" si="90"/>
        <v>3.6350569105860568</v>
      </c>
      <c r="AC166" s="1234">
        <f t="shared" si="90"/>
        <v>3.9116840968171669</v>
      </c>
      <c r="AD166" s="1234">
        <f t="shared" si="90"/>
        <v>2.8832342425181228</v>
      </c>
      <c r="AE166" s="1234">
        <f t="shared" si="90"/>
        <v>2.4486391232605778</v>
      </c>
      <c r="AF166" s="1234">
        <f t="shared" si="90"/>
        <v>3.4057454294473324</v>
      </c>
      <c r="AG166" s="1234">
        <f t="shared" si="90"/>
        <v>3.8961111587471913</v>
      </c>
      <c r="AH166" s="1234" t="e">
        <f t="shared" ca="1" si="90"/>
        <v>#NAME?</v>
      </c>
      <c r="AI166" s="1234" t="e">
        <f t="shared" ca="1" si="90"/>
        <v>#NAME?</v>
      </c>
      <c r="AJ166" s="1234" t="e">
        <f t="shared" ca="1" si="90"/>
        <v>#NAME?</v>
      </c>
    </row>
    <row r="167" spans="1:36">
      <c r="A167" s="1169" t="s">
        <v>1756</v>
      </c>
      <c r="B167" s="1234"/>
      <c r="C167" s="1234"/>
      <c r="D167" s="1234"/>
      <c r="E167" s="1234">
        <f>E157*E152/[3]Assumptions!E33</f>
        <v>1.3050491282288954</v>
      </c>
      <c r="F167" s="1234">
        <f>F157*F152/[3]Assumptions!F40</f>
        <v>0.74794108213203359</v>
      </c>
      <c r="G167" s="1234">
        <f>G157*G152/[3]Assumptions!G40</f>
        <v>0.41755992692295607</v>
      </c>
      <c r="H167" s="1234">
        <f>H157*H152/[3]Assumptions!H40</f>
        <v>0.24135820653989482</v>
      </c>
      <c r="I167" s="1234">
        <f>I157*I152/[3]Assumptions!I40</f>
        <v>0.21533682502572771</v>
      </c>
      <c r="J167" s="1234">
        <f>J157*J152/[3]Assumptions!J40</f>
        <v>0.14469672490116842</v>
      </c>
      <c r="K167" s="1234">
        <f>K157*K152/[3]Assumptions!K40</f>
        <v>0.13380647873299512</v>
      </c>
    </row>
    <row r="168" spans="1:36">
      <c r="A168" s="1169" t="s">
        <v>1757</v>
      </c>
      <c r="B168" s="1234"/>
      <c r="C168" s="1234"/>
      <c r="D168" s="1234"/>
      <c r="E168" s="1234"/>
      <c r="F168" s="1234"/>
      <c r="G168" s="1234">
        <f>G157*G152/[3]Assumptions!G70</f>
        <v>5.7943073567265131</v>
      </c>
      <c r="H168" s="1234">
        <f>H157*H152/H14</f>
        <v>2.8909437278862744</v>
      </c>
      <c r="I168" s="1234">
        <f>I157*I152/I14</f>
        <v>2.617808520608802</v>
      </c>
      <c r="J168" s="1234">
        <f>J157*J152/J14</f>
        <v>1.6121836304155011</v>
      </c>
      <c r="K168" s="1234">
        <f>K157*K152/K14</f>
        <v>1.3748105155630201</v>
      </c>
    </row>
    <row r="170" spans="1:36">
      <c r="A170" s="1179" t="s">
        <v>1758</v>
      </c>
      <c r="B170" s="1180"/>
      <c r="C170" s="1180"/>
      <c r="D170" s="1180"/>
      <c r="E170" s="1180"/>
      <c r="F170" s="1180"/>
      <c r="G170" s="1180"/>
      <c r="H170" s="1207"/>
      <c r="I170" s="1207"/>
      <c r="J170" s="1207"/>
      <c r="K170" s="1207"/>
    </row>
    <row r="171" spans="1:36">
      <c r="A171" s="1169" t="s">
        <v>1759</v>
      </c>
      <c r="B171" s="1237">
        <f>B65/B14</f>
        <v>7.3979600100843451E-2</v>
      </c>
      <c r="C171" s="1237">
        <f t="shared" ref="C171:H171" si="91">C65/AVERAGE(B14:C14)</f>
        <v>0.13527283553371922</v>
      </c>
      <c r="D171" s="1237">
        <f t="shared" si="91"/>
        <v>0.187137230952202</v>
      </c>
      <c r="E171" s="1237">
        <f t="shared" si="91"/>
        <v>0.20978526615103743</v>
      </c>
      <c r="F171" s="1237">
        <f t="shared" si="91"/>
        <v>0.24071324669623498</v>
      </c>
      <c r="G171" s="1237">
        <f t="shared" si="91"/>
        <v>0.22234922705776827</v>
      </c>
      <c r="H171" s="1237">
        <f t="shared" si="91"/>
        <v>0.17437366698515516</v>
      </c>
      <c r="I171" s="1238">
        <f t="shared" ref="I171:K173" si="92">H171</f>
        <v>0.17437366698515516</v>
      </c>
      <c r="J171" s="1238">
        <f t="shared" si="92"/>
        <v>0.17437366698515516</v>
      </c>
      <c r="K171" s="1238">
        <f t="shared" si="92"/>
        <v>0.17437366698515516</v>
      </c>
    </row>
    <row r="172" spans="1:36">
      <c r="A172" s="1169" t="s">
        <v>1760</v>
      </c>
      <c r="B172" s="1239">
        <f>-B85/B16</f>
        <v>0.21291003699529198</v>
      </c>
      <c r="C172" s="1239">
        <f t="shared" ref="C172:H172" si="93">-C85/AVERAGE(B16:C16)</f>
        <v>0.26903955597388368</v>
      </c>
      <c r="D172" s="1239">
        <f t="shared" si="93"/>
        <v>0.2732922614098644</v>
      </c>
      <c r="E172" s="1239">
        <f t="shared" si="93"/>
        <v>0.24868403006500706</v>
      </c>
      <c r="F172" s="1239">
        <f t="shared" si="93"/>
        <v>0.23121514999765161</v>
      </c>
      <c r="G172" s="1239">
        <f t="shared" si="93"/>
        <v>0.2097012844993468</v>
      </c>
      <c r="H172" s="1239">
        <f t="shared" si="93"/>
        <v>0.22053880135021414</v>
      </c>
      <c r="I172" s="1238">
        <f t="shared" si="92"/>
        <v>0.22053880135021414</v>
      </c>
      <c r="J172" s="1238">
        <f t="shared" si="92"/>
        <v>0.22053880135021414</v>
      </c>
      <c r="K172" s="1238">
        <f t="shared" si="92"/>
        <v>0.22053880135021414</v>
      </c>
    </row>
    <row r="173" spans="1:36">
      <c r="A173" s="1169" t="s">
        <v>1761</v>
      </c>
      <c r="B173" s="1239">
        <f>-B82/B16</f>
        <v>7.5260607833726123E-2</v>
      </c>
      <c r="C173" s="1239">
        <f t="shared" ref="C173:H173" si="94">-C82/AVERAGE(B16:C16)</f>
        <v>0.14017481855985831</v>
      </c>
      <c r="D173" s="1239">
        <f t="shared" si="94"/>
        <v>0.19905299172459195</v>
      </c>
      <c r="E173" s="1239">
        <f t="shared" si="94"/>
        <v>0.14897982634406109</v>
      </c>
      <c r="F173" s="1239">
        <f t="shared" si="94"/>
        <v>0.14502666373957282</v>
      </c>
      <c r="G173" s="1239">
        <f t="shared" si="94"/>
        <v>0.11871750538896081</v>
      </c>
      <c r="H173" s="1239">
        <f t="shared" si="94"/>
        <v>0.15530067622741958</v>
      </c>
      <c r="I173" s="1238">
        <f t="shared" si="92"/>
        <v>0.15530067622741958</v>
      </c>
      <c r="J173" s="1238">
        <f t="shared" si="92"/>
        <v>0.15530067622741958</v>
      </c>
      <c r="K173" s="1238">
        <f t="shared" si="92"/>
        <v>0.15530067622741958</v>
      </c>
    </row>
    <row r="175" spans="1:36">
      <c r="A175" s="1179" t="s">
        <v>1680</v>
      </c>
      <c r="B175" s="1180"/>
      <c r="C175" s="1180"/>
      <c r="D175" s="1180"/>
      <c r="E175" s="1180"/>
      <c r="F175" s="1180"/>
      <c r="G175" s="1180"/>
      <c r="H175" s="1207"/>
      <c r="I175" s="1207"/>
      <c r="J175" s="1207"/>
      <c r="K175" s="1207"/>
    </row>
    <row r="176" spans="1:36">
      <c r="A176" s="1169" t="s">
        <v>1762</v>
      </c>
      <c r="B176" s="1209">
        <v>30.253343999999998</v>
      </c>
      <c r="C176" s="1209">
        <v>47.696424</v>
      </c>
      <c r="D176" s="1209">
        <v>51.706664000000004</v>
      </c>
      <c r="E176" s="1209">
        <v>105.907943</v>
      </c>
      <c r="F176" s="1209">
        <v>202.99</v>
      </c>
      <c r="G176" s="1209">
        <v>295.46699999999998</v>
      </c>
      <c r="H176" s="1240">
        <v>315.16199999999998</v>
      </c>
      <c r="I176" s="1240">
        <f>H176-I121</f>
        <v>465.16199999999998</v>
      </c>
      <c r="J176" s="1240">
        <f>I176-J121</f>
        <v>645.16200000000003</v>
      </c>
      <c r="K176" s="1240">
        <f>J176-K121</f>
        <v>825.16200000000003</v>
      </c>
    </row>
    <row r="177" spans="1:12">
      <c r="A177" s="1169" t="s">
        <v>1763</v>
      </c>
      <c r="B177" s="1209">
        <v>-8.8714659999999999</v>
      </c>
      <c r="C177" s="1209">
        <v>-18.913558999999999</v>
      </c>
      <c r="D177" s="1209">
        <v>-26.855360999999998</v>
      </c>
      <c r="E177" s="1210">
        <v>-36.542051999999998</v>
      </c>
      <c r="F177" s="1210">
        <v>-63.286999999999999</v>
      </c>
      <c r="G177" s="1210">
        <v>-127.57899999999999</v>
      </c>
      <c r="H177" s="1210">
        <v>-177.85400000000001</v>
      </c>
      <c r="I177" s="1240">
        <f>I178-I176</f>
        <v>-288.77199999999993</v>
      </c>
      <c r="J177" s="1240">
        <f>I177-J181</f>
        <v>-383.14953999999994</v>
      </c>
      <c r="K177" s="1240">
        <f>J177-K181</f>
        <v>-508.12707999999998</v>
      </c>
    </row>
    <row r="178" spans="1:12" s="1212" customFormat="1">
      <c r="A178" s="1183" t="s">
        <v>1764</v>
      </c>
      <c r="B178" s="1211">
        <f t="shared" ref="B178:G178" si="95">B176+B177</f>
        <v>21.381878</v>
      </c>
      <c r="C178" s="1211">
        <f t="shared" si="95"/>
        <v>28.782865000000001</v>
      </c>
      <c r="D178" s="1211">
        <f t="shared" si="95"/>
        <v>24.851303000000005</v>
      </c>
      <c r="E178" s="1211">
        <f t="shared" si="95"/>
        <v>69.365891000000005</v>
      </c>
      <c r="F178" s="1211">
        <f t="shared" si="95"/>
        <v>139.703</v>
      </c>
      <c r="G178" s="1211">
        <f t="shared" si="95"/>
        <v>167.88799999999998</v>
      </c>
      <c r="H178" s="1211">
        <f>H176+H177</f>
        <v>137.30799999999996</v>
      </c>
      <c r="I178" s="1241">
        <f>I71-I179</f>
        <v>176.39000000000001</v>
      </c>
      <c r="J178" s="1211">
        <f>J176+J177</f>
        <v>262.01246000000009</v>
      </c>
      <c r="K178" s="1211">
        <f>K176+K177</f>
        <v>317.03492000000006</v>
      </c>
      <c r="L178" s="1185"/>
    </row>
    <row r="179" spans="1:12">
      <c r="A179" s="1169" t="s">
        <v>1765</v>
      </c>
      <c r="B179" s="1209">
        <v>0</v>
      </c>
      <c r="C179" s="1209">
        <v>0</v>
      </c>
      <c r="D179" s="1209">
        <v>0</v>
      </c>
      <c r="E179" s="1210">
        <v>2.9443990000000002</v>
      </c>
      <c r="F179" s="1210">
        <v>5.4870000000000001</v>
      </c>
      <c r="G179" s="1210">
        <v>9.9290000000000003</v>
      </c>
      <c r="H179" s="1210">
        <v>10.97</v>
      </c>
      <c r="I179" s="1240">
        <f>H179</f>
        <v>10.97</v>
      </c>
      <c r="J179" s="1240">
        <f>I179</f>
        <v>10.97</v>
      </c>
      <c r="K179" s="1240">
        <f>J179</f>
        <v>10.97</v>
      </c>
    </row>
    <row r="180" spans="1:12">
      <c r="B180" s="1196"/>
      <c r="C180" s="1196"/>
      <c r="D180" s="1196"/>
      <c r="E180" s="1196"/>
      <c r="F180" s="1196"/>
      <c r="G180" s="1196"/>
    </row>
    <row r="181" spans="1:12">
      <c r="A181" s="1169" t="s">
        <v>1766</v>
      </c>
      <c r="B181" s="1196">
        <f t="shared" ref="B181:H181" si="96">B107</f>
        <v>6.1432760000000002</v>
      </c>
      <c r="C181" s="1196">
        <f t="shared" si="96"/>
        <v>10.111622000000001</v>
      </c>
      <c r="D181" s="1196">
        <f t="shared" si="96"/>
        <v>8.7644230000000007</v>
      </c>
      <c r="E181" s="1196">
        <f t="shared" si="96"/>
        <v>10.869</v>
      </c>
      <c r="F181" s="1196">
        <f t="shared" si="96"/>
        <v>28.041</v>
      </c>
      <c r="G181" s="1196">
        <f t="shared" si="96"/>
        <v>66.510000000000005</v>
      </c>
      <c r="H181" s="1196">
        <f t="shared" si="96"/>
        <v>65.703999999999994</v>
      </c>
      <c r="I181" s="1196">
        <f>I182*AVERAGE(H176:I176)</f>
        <v>83.96327081746854</v>
      </c>
      <c r="J181" s="1196">
        <f>J182*AVERAGE(I176:J176)</f>
        <v>94.37754000000001</v>
      </c>
      <c r="K181" s="1196">
        <f>K182*AVERAGE(J176:K176)</f>
        <v>124.97754000000002</v>
      </c>
    </row>
    <row r="182" spans="1:12" ht="12">
      <c r="A182" s="1190" t="s">
        <v>1767</v>
      </c>
      <c r="B182" s="1242">
        <f>B181/B176</f>
        <v>0.20306105665542296</v>
      </c>
      <c r="C182" s="1242">
        <f t="shared" ref="C182:H182" si="97">C181/AVERAGE(B176:C176)</f>
        <v>0.2594394379724132</v>
      </c>
      <c r="D182" s="1242">
        <f t="shared" si="97"/>
        <v>0.17634106095376034</v>
      </c>
      <c r="E182" s="1242">
        <f t="shared" si="97"/>
        <v>0.13791868922402603</v>
      </c>
      <c r="F182" s="1242">
        <f t="shared" si="97"/>
        <v>0.18155510993480459</v>
      </c>
      <c r="G182" s="1242">
        <f t="shared" si="97"/>
        <v>0.26686354088717784</v>
      </c>
      <c r="H182" s="1242">
        <f t="shared" si="97"/>
        <v>0.21520104678945809</v>
      </c>
      <c r="I182" s="1243">
        <f>H182</f>
        <v>0.21520104678945809</v>
      </c>
      <c r="J182" s="1243">
        <v>0.17</v>
      </c>
      <c r="K182" s="1243">
        <v>0.17</v>
      </c>
    </row>
  </sheetData>
  <phoneticPr fontId="11"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O186"/>
  <sheetViews>
    <sheetView workbookViewId="0"/>
  </sheetViews>
  <sheetFormatPr defaultColWidth="9" defaultRowHeight="11.5" outlineLevelRow="1" outlineLevelCol="1"/>
  <cols>
    <col min="1" max="1" width="28.58203125" style="1169" customWidth="1"/>
    <col min="2" max="4" width="9" style="1182" hidden="1" customWidth="1" outlineLevel="1"/>
    <col min="5" max="5" width="9" style="1182" collapsed="1"/>
    <col min="6" max="11" width="9" style="1182"/>
    <col min="12" max="13" width="2.25" style="1182" customWidth="1"/>
    <col min="14" max="25" width="9" style="1182" customWidth="1" outlineLevel="1"/>
    <col min="26" max="26" width="9" style="1182" customWidth="1" outlineLevel="1" collapsed="1"/>
    <col min="27" max="29" width="9" style="1182" customWidth="1" outlineLevel="1"/>
    <col min="30" max="30" width="9" style="1250"/>
    <col min="31" max="33" width="9" style="1182"/>
    <col min="34" max="34" width="9" style="1250" collapsed="1"/>
    <col min="35" max="37" width="9" style="1251"/>
    <col min="38" max="38" width="9" style="1250" collapsed="1"/>
    <col min="39" max="41" width="9" style="1251"/>
    <col min="42" max="16384" width="9" style="1182"/>
  </cols>
  <sheetData>
    <row r="1" spans="1:41" s="1169" customFormat="1">
      <c r="AD1" s="1244"/>
      <c r="AH1" s="1244"/>
      <c r="AI1" s="1245"/>
      <c r="AJ1" s="1245"/>
      <c r="AK1" s="1245"/>
      <c r="AL1" s="1244"/>
      <c r="AM1" s="1245"/>
      <c r="AN1" s="1245"/>
      <c r="AO1" s="1245"/>
    </row>
    <row r="2" spans="1:41" s="1169" customFormat="1">
      <c r="AD2" s="1244"/>
      <c r="AH2" s="1244"/>
      <c r="AI2" s="1245"/>
      <c r="AJ2" s="1245"/>
      <c r="AK2" s="1245"/>
      <c r="AL2" s="1244"/>
      <c r="AM2" s="1245"/>
      <c r="AN2" s="1245"/>
      <c r="AO2" s="1245"/>
    </row>
    <row r="3" spans="1:41" s="1169" customFormat="1" ht="18">
      <c r="A3" s="1170" t="s">
        <v>1617</v>
      </c>
      <c r="AD3" s="1244"/>
      <c r="AH3" s="1244"/>
      <c r="AI3" s="1245"/>
      <c r="AJ3" s="1245"/>
      <c r="AK3" s="1245"/>
      <c r="AL3" s="1244"/>
      <c r="AM3" s="1245"/>
      <c r="AN3" s="1245"/>
      <c r="AO3" s="1245"/>
    </row>
    <row r="4" spans="1:41" s="1169" customFormat="1" ht="12">
      <c r="A4" s="1171" t="s">
        <v>1618</v>
      </c>
      <c r="AD4" s="1244"/>
      <c r="AH4" s="1244"/>
      <c r="AI4" s="1245"/>
      <c r="AJ4" s="1245"/>
      <c r="AK4" s="1245"/>
      <c r="AL4" s="1244"/>
      <c r="AM4" s="1245"/>
      <c r="AN4" s="1245"/>
      <c r="AO4" s="1245"/>
    </row>
    <row r="5" spans="1:41" s="1169" customFormat="1">
      <c r="AD5" s="1244"/>
      <c r="AH5" s="1244"/>
      <c r="AI5" s="1245"/>
      <c r="AJ5" s="1245"/>
      <c r="AK5" s="1245"/>
      <c r="AL5" s="1244"/>
      <c r="AM5" s="1245"/>
      <c r="AN5" s="1245"/>
      <c r="AO5" s="1245"/>
    </row>
    <row r="6" spans="1:41" s="1177" customFormat="1">
      <c r="A6" s="1174"/>
      <c r="B6" s="1178">
        <v>2011</v>
      </c>
      <c r="C6" s="1178">
        <f t="shared" ref="C6:K6" si="0">B6+1</f>
        <v>2012</v>
      </c>
      <c r="D6" s="1178">
        <f t="shared" si="0"/>
        <v>2013</v>
      </c>
      <c r="E6" s="1175">
        <f t="shared" si="0"/>
        <v>2014</v>
      </c>
      <c r="F6" s="1175">
        <f t="shared" si="0"/>
        <v>2015</v>
      </c>
      <c r="G6" s="1175">
        <f t="shared" si="0"/>
        <v>2016</v>
      </c>
      <c r="H6" s="1175">
        <f t="shared" si="0"/>
        <v>2017</v>
      </c>
      <c r="I6" s="1176">
        <f t="shared" si="0"/>
        <v>2018</v>
      </c>
      <c r="J6" s="1176">
        <f t="shared" si="0"/>
        <v>2019</v>
      </c>
      <c r="K6" s="1176">
        <f t="shared" si="0"/>
        <v>2020</v>
      </c>
      <c r="N6" s="1175" t="s">
        <v>1620</v>
      </c>
      <c r="O6" s="1175" t="s">
        <v>1621</v>
      </c>
      <c r="P6" s="1175" t="s">
        <v>1622</v>
      </c>
      <c r="Q6" s="1175" t="s">
        <v>1623</v>
      </c>
      <c r="R6" s="1175" t="s">
        <v>1624</v>
      </c>
      <c r="S6" s="1175" t="s">
        <v>1625</v>
      </c>
      <c r="T6" s="1175" t="s">
        <v>1626</v>
      </c>
      <c r="U6" s="1175" t="s">
        <v>1627</v>
      </c>
      <c r="V6" s="1175" t="s">
        <v>1628</v>
      </c>
      <c r="W6" s="1175" t="s">
        <v>1629</v>
      </c>
      <c r="X6" s="1175" t="s">
        <v>1630</v>
      </c>
      <c r="Y6" s="1175" t="s">
        <v>1631</v>
      </c>
      <c r="Z6" s="1175" t="s">
        <v>1632</v>
      </c>
      <c r="AA6" s="1175" t="s">
        <v>1633</v>
      </c>
      <c r="AB6" s="1175" t="s">
        <v>1634</v>
      </c>
      <c r="AC6" s="1175" t="s">
        <v>1635</v>
      </c>
      <c r="AD6" s="1246" t="s">
        <v>1188</v>
      </c>
      <c r="AE6" s="1175" t="s">
        <v>1189</v>
      </c>
      <c r="AF6" s="1175" t="s">
        <v>1190</v>
      </c>
      <c r="AG6" s="1175" t="s">
        <v>1191</v>
      </c>
      <c r="AH6" s="1246" t="s">
        <v>1192</v>
      </c>
      <c r="AI6" s="1175" t="s">
        <v>1193</v>
      </c>
      <c r="AJ6" s="1175" t="s">
        <v>1309</v>
      </c>
      <c r="AK6" s="1175" t="s">
        <v>1430</v>
      </c>
      <c r="AL6" s="1246" t="s">
        <v>1768</v>
      </c>
      <c r="AM6" s="1176" t="s">
        <v>1769</v>
      </c>
      <c r="AN6" s="1175" t="s">
        <v>1770</v>
      </c>
      <c r="AO6" s="1175" t="s">
        <v>1771</v>
      </c>
    </row>
    <row r="7" spans="1:41" s="1169" customFormat="1">
      <c r="A7" s="1179"/>
      <c r="B7" s="1180"/>
      <c r="C7" s="1180"/>
      <c r="D7" s="1180"/>
      <c r="E7" s="1180"/>
      <c r="F7" s="1180"/>
      <c r="G7" s="1180"/>
      <c r="H7" s="1180"/>
      <c r="I7" s="1180"/>
      <c r="J7" s="1180"/>
      <c r="K7" s="1180"/>
      <c r="N7" s="1180"/>
      <c r="O7" s="1180"/>
      <c r="P7" s="1180"/>
      <c r="Q7" s="1180"/>
      <c r="R7" s="1180"/>
      <c r="S7" s="1180"/>
      <c r="T7" s="1180"/>
      <c r="U7" s="1180"/>
      <c r="V7" s="1180"/>
      <c r="W7" s="1180"/>
      <c r="X7" s="1180"/>
      <c r="Y7" s="1180"/>
      <c r="Z7" s="1180"/>
      <c r="AA7" s="1180"/>
      <c r="AB7" s="1180"/>
      <c r="AC7" s="1180"/>
      <c r="AD7" s="1247"/>
      <c r="AE7" s="1180"/>
      <c r="AF7" s="1180"/>
      <c r="AG7" s="1180"/>
      <c r="AH7" s="1247"/>
      <c r="AI7" s="1248"/>
      <c r="AJ7" s="1248"/>
      <c r="AK7" s="1248"/>
      <c r="AL7" s="1247"/>
      <c r="AM7" s="1248"/>
      <c r="AN7" s="1248"/>
      <c r="AO7" s="1248"/>
    </row>
    <row r="8" spans="1:41">
      <c r="A8" s="1249" t="s">
        <v>1772</v>
      </c>
      <c r="C8" s="1236"/>
      <c r="D8" s="1236"/>
      <c r="E8" s="1236"/>
      <c r="F8" s="1236"/>
    </row>
    <row r="9" spans="1:41">
      <c r="A9" s="1169" t="s">
        <v>1638</v>
      </c>
      <c r="B9" s="1182">
        <f t="shared" ref="B9:G9" si="1">B12+B13</f>
        <v>583</v>
      </c>
      <c r="C9" s="1182">
        <f t="shared" si="1"/>
        <v>739</v>
      </c>
      <c r="D9" s="1182">
        <f t="shared" si="1"/>
        <v>1054</v>
      </c>
      <c r="E9" s="1182">
        <f t="shared" si="1"/>
        <v>1786</v>
      </c>
      <c r="F9" s="1182">
        <f t="shared" si="1"/>
        <v>3335</v>
      </c>
      <c r="G9" s="1182">
        <f t="shared" si="1"/>
        <v>4980.1589999999997</v>
      </c>
      <c r="H9" s="1182">
        <f>SUM(AD9:AG9)</f>
        <v>5911.4150799999998</v>
      </c>
      <c r="I9" s="1182">
        <f>H9*(1+I10)</f>
        <v>6118.3146077999991</v>
      </c>
      <c r="J9" s="1182">
        <f>I9*(1+J10)</f>
        <v>6424.2303381899992</v>
      </c>
      <c r="K9" s="1182">
        <f>J9*(1+K10)</f>
        <v>6873.9264618632997</v>
      </c>
      <c r="N9" s="1182">
        <f>N12+N13</f>
        <v>149.29500000000002</v>
      </c>
      <c r="O9" s="1182">
        <f t="shared" ref="O9:Z9" si="2">O12+O13</f>
        <v>271.96800000000002</v>
      </c>
      <c r="P9" s="1182">
        <f t="shared" si="2"/>
        <v>399.09899999999999</v>
      </c>
      <c r="Q9" s="1182">
        <f t="shared" si="2"/>
        <v>233.863</v>
      </c>
      <c r="R9" s="1182">
        <f t="shared" si="2"/>
        <v>214.65100000000001</v>
      </c>
      <c r="S9" s="1182">
        <f t="shared" si="2"/>
        <v>467.23799999999994</v>
      </c>
      <c r="T9" s="1182">
        <f t="shared" si="2"/>
        <v>661.74199999999996</v>
      </c>
      <c r="U9" s="1182">
        <f t="shared" si="2"/>
        <v>442.55099999999999</v>
      </c>
      <c r="V9" s="1182">
        <f t="shared" si="2"/>
        <v>460.01400000000001</v>
      </c>
      <c r="W9" s="1182">
        <f t="shared" si="2"/>
        <v>784.79199999999992</v>
      </c>
      <c r="X9" s="1182">
        <f t="shared" si="2"/>
        <v>1298.606</v>
      </c>
      <c r="Y9" s="1182">
        <f t="shared" si="2"/>
        <v>791.36400000000003</v>
      </c>
      <c r="Z9" s="1182">
        <f t="shared" si="2"/>
        <v>780.96499999999992</v>
      </c>
      <c r="AA9" s="1182">
        <f>AA12+AA13</f>
        <v>1245.7570000000001</v>
      </c>
      <c r="AB9" s="1182">
        <f>AB12+AB13</f>
        <v>1904.7660000000001</v>
      </c>
      <c r="AC9" s="1182">
        <f>AC12+AC13</f>
        <v>1048.671</v>
      </c>
      <c r="AD9" s="1250">
        <f>Z9*(1+AD10)</f>
        <v>1015.2544999999999</v>
      </c>
      <c r="AE9" s="1182">
        <f>AA9*(1+AE10)</f>
        <v>1519.8235400000001</v>
      </c>
      <c r="AF9" s="1182">
        <f>AB9*(1+AF10)</f>
        <v>2285.7192</v>
      </c>
      <c r="AG9" s="1182">
        <f>AC9*(1+AG10)</f>
        <v>1090.6178400000001</v>
      </c>
      <c r="AH9" s="1250">
        <f t="shared" ref="AH9:AN9" si="3">AD9*(1+AH10)</f>
        <v>1045.712135</v>
      </c>
      <c r="AI9" s="1251">
        <f t="shared" si="3"/>
        <v>1626.2111878000003</v>
      </c>
      <c r="AJ9" s="1251">
        <f t="shared" si="3"/>
        <v>2354.2907760000003</v>
      </c>
      <c r="AK9" s="1251">
        <f>I9-SUM(AH9:AJ9)</f>
        <v>1092.1005089999981</v>
      </c>
      <c r="AL9" s="1250">
        <f t="shared" si="3"/>
        <v>1003.8836495999999</v>
      </c>
      <c r="AM9" s="1251">
        <f t="shared" si="3"/>
        <v>1707.5217471900003</v>
      </c>
      <c r="AN9" s="1251">
        <f t="shared" si="3"/>
        <v>2566.1769458400004</v>
      </c>
      <c r="AO9" s="1251">
        <f>J9-SUM(AL9:AN9)</f>
        <v>1146.6479955599989</v>
      </c>
    </row>
    <row r="10" spans="1:41" ht="12">
      <c r="A10" s="1190" t="s">
        <v>1773</v>
      </c>
      <c r="B10" s="1252"/>
      <c r="C10" s="1242">
        <f t="shared" ref="C10:H10" si="4">C9/B9-1</f>
        <v>0.26758147512864494</v>
      </c>
      <c r="D10" s="1242">
        <f t="shared" si="4"/>
        <v>0.42625169147496611</v>
      </c>
      <c r="E10" s="1242">
        <f t="shared" si="4"/>
        <v>0.69449715370018983</v>
      </c>
      <c r="F10" s="1242">
        <f t="shared" si="4"/>
        <v>0.86730123180291163</v>
      </c>
      <c r="G10" s="1242">
        <f t="shared" si="4"/>
        <v>0.49330104947526232</v>
      </c>
      <c r="H10" s="1242">
        <f t="shared" si="4"/>
        <v>0.18699324258522676</v>
      </c>
      <c r="I10" s="1253">
        <v>3.5000000000000003E-2</v>
      </c>
      <c r="J10" s="1253">
        <v>0.05</v>
      </c>
      <c r="K10" s="1253">
        <v>7.0000000000000007E-2</v>
      </c>
      <c r="R10" s="1242">
        <f>R9/N9-1</f>
        <v>0.43776415821025472</v>
      </c>
      <c r="S10" s="1242">
        <f t="shared" ref="S10:Y10" si="5">S9/O9-1</f>
        <v>0.7179888810448285</v>
      </c>
      <c r="T10" s="1242">
        <f t="shared" si="5"/>
        <v>0.65808984738122622</v>
      </c>
      <c r="U10" s="1242">
        <f t="shared" si="5"/>
        <v>0.89235150494092697</v>
      </c>
      <c r="V10" s="1242">
        <f t="shared" si="5"/>
        <v>1.1430787650651522</v>
      </c>
      <c r="W10" s="1242">
        <f t="shared" si="5"/>
        <v>0.67964078264182293</v>
      </c>
      <c r="X10" s="1242">
        <f t="shared" si="5"/>
        <v>0.96240528786143242</v>
      </c>
      <c r="Y10" s="1242">
        <f t="shared" si="5"/>
        <v>0.78818712419585557</v>
      </c>
      <c r="Z10" s="1242">
        <f>Z9/V9-1</f>
        <v>0.69769833092036304</v>
      </c>
      <c r="AA10" s="1242">
        <f>AA9/W9-1</f>
        <v>0.58737219543522379</v>
      </c>
      <c r="AB10" s="1242">
        <f>AB9/X9-1</f>
        <v>0.46677745212943722</v>
      </c>
      <c r="AC10" s="1242">
        <f>AC9/Y9-1</f>
        <v>0.32514367598222815</v>
      </c>
      <c r="AD10" s="1254">
        <v>0.3</v>
      </c>
      <c r="AE10" s="1253">
        <v>0.22</v>
      </c>
      <c r="AF10" s="1253">
        <v>0.2</v>
      </c>
      <c r="AG10" s="1253">
        <v>0.04</v>
      </c>
      <c r="AH10" s="1254">
        <v>0.03</v>
      </c>
      <c r="AI10" s="1255">
        <v>7.0000000000000007E-2</v>
      </c>
      <c r="AJ10" s="1255">
        <v>0.03</v>
      </c>
      <c r="AK10" s="1256">
        <f>AK9/AG9-1</f>
        <v>1.3594762029547347E-3</v>
      </c>
      <c r="AL10" s="1254">
        <v>-0.04</v>
      </c>
      <c r="AM10" s="1255">
        <v>0.05</v>
      </c>
      <c r="AN10" s="1255">
        <v>0.09</v>
      </c>
      <c r="AO10" s="1256">
        <f>AO9/AK9-1</f>
        <v>4.994731355811588E-2</v>
      </c>
    </row>
    <row r="11" spans="1:41" ht="12">
      <c r="A11" s="1190"/>
      <c r="B11" s="1252"/>
      <c r="C11" s="1242"/>
      <c r="D11" s="1242"/>
      <c r="E11" s="1242"/>
      <c r="F11" s="1242"/>
    </row>
    <row r="12" spans="1:41">
      <c r="A12" s="1257" t="s">
        <v>1774</v>
      </c>
      <c r="B12" s="1208">
        <v>174</v>
      </c>
      <c r="C12" s="1208">
        <v>236</v>
      </c>
      <c r="D12" s="1208">
        <v>367</v>
      </c>
      <c r="E12" s="1208">
        <v>712</v>
      </c>
      <c r="F12" s="1208">
        <v>1633</v>
      </c>
      <c r="G12" s="1182">
        <f>SUM(Z12:AC12)</f>
        <v>2773.2339999999999</v>
      </c>
      <c r="N12" s="1208">
        <v>70.457999999999998</v>
      </c>
      <c r="O12" s="1208">
        <v>77.864000000000004</v>
      </c>
      <c r="P12" s="1208">
        <v>138.524</v>
      </c>
      <c r="Q12" s="1208">
        <v>80.257999999999996</v>
      </c>
      <c r="R12" s="1208">
        <v>101.964</v>
      </c>
      <c r="S12" s="1208">
        <v>154.874</v>
      </c>
      <c r="T12" s="1208">
        <v>262.50400000000002</v>
      </c>
      <c r="U12" s="1208">
        <v>192.505</v>
      </c>
      <c r="V12" s="1208">
        <v>259.80099999999999</v>
      </c>
      <c r="W12" s="1208">
        <v>308.41699999999997</v>
      </c>
      <c r="X12" s="1208">
        <v>635.55499999999995</v>
      </c>
      <c r="Y12" s="1208">
        <v>429.18200000000002</v>
      </c>
      <c r="Z12" s="1208">
        <v>459.67599999999999</v>
      </c>
      <c r="AA12" s="1208">
        <v>610.95799999999997</v>
      </c>
      <c r="AB12" s="1208">
        <v>1064.316</v>
      </c>
      <c r="AC12" s="1208">
        <v>638.28399999999999</v>
      </c>
    </row>
    <row r="13" spans="1:41">
      <c r="A13" s="1257" t="s">
        <v>1775</v>
      </c>
      <c r="B13" s="1208">
        <v>409</v>
      </c>
      <c r="C13" s="1208">
        <v>503</v>
      </c>
      <c r="D13" s="1208">
        <v>687</v>
      </c>
      <c r="E13" s="1208">
        <v>1074</v>
      </c>
      <c r="F13" s="1208">
        <v>1702</v>
      </c>
      <c r="G13" s="1182">
        <f>SUM(Z13:AC13)</f>
        <v>2206.9250000000002</v>
      </c>
      <c r="N13" s="1208">
        <v>78.837000000000003</v>
      </c>
      <c r="O13" s="1208">
        <v>194.10400000000001</v>
      </c>
      <c r="P13" s="1208">
        <v>260.57499999999999</v>
      </c>
      <c r="Q13" s="1208">
        <v>153.60499999999999</v>
      </c>
      <c r="R13" s="1208">
        <v>112.687</v>
      </c>
      <c r="S13" s="1208">
        <v>312.36399999999998</v>
      </c>
      <c r="T13" s="1208">
        <v>399.238</v>
      </c>
      <c r="U13" s="1208">
        <v>250.04599999999999</v>
      </c>
      <c r="V13" s="1208">
        <v>200.21299999999999</v>
      </c>
      <c r="W13" s="1208">
        <v>476.375</v>
      </c>
      <c r="X13" s="1208">
        <v>663.05100000000004</v>
      </c>
      <c r="Y13" s="1208">
        <v>362.18200000000002</v>
      </c>
      <c r="Z13" s="1208">
        <v>321.28899999999999</v>
      </c>
      <c r="AA13" s="1208">
        <v>634.79899999999998</v>
      </c>
      <c r="AB13" s="1208">
        <v>840.45</v>
      </c>
      <c r="AC13" s="1208">
        <v>410.387</v>
      </c>
    </row>
    <row r="14" spans="1:41">
      <c r="A14" s="1257"/>
    </row>
    <row r="15" spans="1:41">
      <c r="A15" s="1169" t="s">
        <v>1639</v>
      </c>
      <c r="B15" s="1208">
        <v>49</v>
      </c>
      <c r="C15" s="1208">
        <v>110</v>
      </c>
      <c r="D15" s="1208">
        <v>221</v>
      </c>
      <c r="E15" s="1208">
        <v>396</v>
      </c>
      <c r="F15" s="1208">
        <v>1114</v>
      </c>
      <c r="G15" s="1182">
        <f>SUM(Z15:AC15)</f>
        <v>1759.1770000000001</v>
      </c>
      <c r="H15" s="1182">
        <f>SUM(AD15:AG15)</f>
        <v>2091.6820499999999</v>
      </c>
      <c r="I15" s="1182">
        <f>H15*(1+I16)</f>
        <v>2175.3493319999998</v>
      </c>
      <c r="J15" s="1182">
        <f>I15*(1+J16)</f>
        <v>2305.87029192</v>
      </c>
      <c r="K15" s="1182">
        <f>J15*(1+K16)</f>
        <v>2490.3399152736001</v>
      </c>
      <c r="N15" s="1208">
        <v>45.627000000000002</v>
      </c>
      <c r="O15" s="1208">
        <v>40.085999999999999</v>
      </c>
      <c r="P15" s="1208">
        <v>72.451999999999998</v>
      </c>
      <c r="Q15" s="1208">
        <v>63.247</v>
      </c>
      <c r="R15" s="1208">
        <v>66.302000000000007</v>
      </c>
      <c r="S15" s="1208">
        <v>81.99</v>
      </c>
      <c r="T15" s="1208">
        <v>131.196</v>
      </c>
      <c r="U15" s="1208">
        <v>116.164</v>
      </c>
      <c r="V15" s="1208">
        <v>199.018</v>
      </c>
      <c r="W15" s="1208">
        <v>226.47499999999999</v>
      </c>
      <c r="X15" s="1208">
        <v>369.71899999999999</v>
      </c>
      <c r="Y15" s="1208">
        <v>319.065</v>
      </c>
      <c r="Z15" s="1208">
        <v>406.54199999999997</v>
      </c>
      <c r="AA15" s="1208">
        <v>420.69799999999998</v>
      </c>
      <c r="AB15" s="1208">
        <v>539.87199999999996</v>
      </c>
      <c r="AC15" s="1208">
        <v>392.065</v>
      </c>
      <c r="AD15" s="1250">
        <f>Z15*(1+AD16)</f>
        <v>508.17749999999995</v>
      </c>
      <c r="AE15" s="1182">
        <f>AA15*(1+AE16)</f>
        <v>504.83759999999995</v>
      </c>
      <c r="AF15" s="1182">
        <f>AB15*(1+AF16)</f>
        <v>674.83999999999992</v>
      </c>
      <c r="AG15" s="1182">
        <f>AC15*(1+AG16)</f>
        <v>403.82695000000001</v>
      </c>
      <c r="AH15" s="1250">
        <f t="shared" ref="AH15:AN15" si="6">AD15*(1+AH16)</f>
        <v>533.58637499999998</v>
      </c>
      <c r="AI15" s="1251">
        <f t="shared" si="6"/>
        <v>540.17623200000003</v>
      </c>
      <c r="AJ15" s="1251">
        <f t="shared" si="6"/>
        <v>695.08519999999999</v>
      </c>
      <c r="AK15" s="1251">
        <f>I15-SUM(AH15:AJ15)</f>
        <v>406.50152499999967</v>
      </c>
      <c r="AL15" s="1250">
        <f t="shared" si="6"/>
        <v>506.90705624999993</v>
      </c>
      <c r="AM15" s="1251">
        <f t="shared" si="6"/>
        <v>567.18504360000009</v>
      </c>
      <c r="AN15" s="1251">
        <f t="shared" si="6"/>
        <v>743.74116400000003</v>
      </c>
      <c r="AO15" s="1251">
        <f>J15-SUM(AL15:AN15)</f>
        <v>488.03702806999991</v>
      </c>
    </row>
    <row r="16" spans="1:41" ht="12">
      <c r="A16" s="1190" t="s">
        <v>1773</v>
      </c>
      <c r="B16" s="1252"/>
      <c r="C16" s="1242">
        <f t="shared" ref="C16:H16" si="7">C15/B15-1</f>
        <v>1.2448979591836733</v>
      </c>
      <c r="D16" s="1242">
        <f t="shared" si="7"/>
        <v>1.0090909090909093</v>
      </c>
      <c r="E16" s="1242">
        <f t="shared" si="7"/>
        <v>0.79185520361990958</v>
      </c>
      <c r="F16" s="1242">
        <f t="shared" si="7"/>
        <v>1.8131313131313131</v>
      </c>
      <c r="G16" s="1242">
        <f t="shared" si="7"/>
        <v>0.57915350089766626</v>
      </c>
      <c r="H16" s="1242">
        <f t="shared" si="7"/>
        <v>0.1890117083158771</v>
      </c>
      <c r="I16" s="1253">
        <v>0.04</v>
      </c>
      <c r="J16" s="1253">
        <v>0.06</v>
      </c>
      <c r="K16" s="1253">
        <v>0.08</v>
      </c>
      <c r="R16" s="1242">
        <f>R15/N15-1</f>
        <v>0.4531308216626122</v>
      </c>
      <c r="S16" s="1242">
        <f t="shared" ref="S16:Y16" si="8">S15/O15-1</f>
        <v>1.0453524921418951</v>
      </c>
      <c r="T16" s="1242">
        <f t="shared" si="8"/>
        <v>0.81079887373709503</v>
      </c>
      <c r="U16" s="1242">
        <f t="shared" si="8"/>
        <v>0.83667209511913621</v>
      </c>
      <c r="V16" s="1242">
        <f t="shared" si="8"/>
        <v>2.0016892401435853</v>
      </c>
      <c r="W16" s="1242">
        <f t="shared" si="8"/>
        <v>1.7622271008659594</v>
      </c>
      <c r="X16" s="1242">
        <f t="shared" si="8"/>
        <v>1.8180660995762068</v>
      </c>
      <c r="Y16" s="1242">
        <f t="shared" si="8"/>
        <v>1.7466771116697082</v>
      </c>
      <c r="Z16" s="1242">
        <f>Z15/V15-1</f>
        <v>1.0427398526766423</v>
      </c>
      <c r="AA16" s="1242">
        <f>AA15/W15-1</f>
        <v>0.85759134562313721</v>
      </c>
      <c r="AB16" s="1242">
        <f>AB15/X15-1</f>
        <v>0.4602224932989647</v>
      </c>
      <c r="AC16" s="1242">
        <f>AC15/Y15-1</f>
        <v>0.22879350602541804</v>
      </c>
      <c r="AD16" s="1254">
        <v>0.25</v>
      </c>
      <c r="AE16" s="1253">
        <v>0.2</v>
      </c>
      <c r="AF16" s="1253">
        <v>0.25</v>
      </c>
      <c r="AG16" s="1253">
        <v>0.03</v>
      </c>
      <c r="AH16" s="1254">
        <v>0.05</v>
      </c>
      <c r="AI16" s="1255">
        <v>7.0000000000000007E-2</v>
      </c>
      <c r="AJ16" s="1255">
        <v>0.03</v>
      </c>
      <c r="AK16" s="1256">
        <f>AK15/AG15-1</f>
        <v>6.6230720857032299E-3</v>
      </c>
      <c r="AL16" s="1254">
        <v>-0.05</v>
      </c>
      <c r="AM16" s="1255">
        <v>0.05</v>
      </c>
      <c r="AN16" s="1255">
        <v>7.0000000000000007E-2</v>
      </c>
      <c r="AO16" s="1256">
        <f>AO15/AK15-1</f>
        <v>0.20057859086752572</v>
      </c>
    </row>
    <row r="17" spans="1:41">
      <c r="Z17" s="1236"/>
    </row>
    <row r="18" spans="1:41">
      <c r="A18" s="1181" t="s">
        <v>1776</v>
      </c>
    </row>
    <row r="19" spans="1:41">
      <c r="A19" s="1169" t="s">
        <v>1777</v>
      </c>
      <c r="B19" s="1182">
        <f>B26/B9*1000</f>
        <v>1288.8301886792453</v>
      </c>
      <c r="C19" s="1182">
        <f t="shared" ref="C19:H19" si="9">C26/C9*1000</f>
        <v>1454.7957293640052</v>
      </c>
      <c r="D19" s="1182">
        <f t="shared" si="9"/>
        <v>1795.8502163187854</v>
      </c>
      <c r="E19" s="1182">
        <f t="shared" si="9"/>
        <v>1922.0744680851062</v>
      </c>
      <c r="F19" s="1182">
        <f t="shared" si="9"/>
        <v>2206.5604197901048</v>
      </c>
      <c r="G19" s="1182">
        <f t="shared" si="9"/>
        <v>1993.2351557450277</v>
      </c>
      <c r="H19" s="1182">
        <f t="shared" si="9"/>
        <v>2020.7480256994575</v>
      </c>
      <c r="I19" s="1182">
        <f>H19*(1+I20)</f>
        <v>2032.8725138536543</v>
      </c>
      <c r="J19" s="1182">
        <f>I19*(1+J20)</f>
        <v>2073.5299641307274</v>
      </c>
      <c r="K19" s="1182">
        <f>J19*(1+K20)</f>
        <v>2115.0005634133422</v>
      </c>
      <c r="N19" s="1182">
        <f>N54/N9*1000</f>
        <v>2364.8883083827318</v>
      </c>
      <c r="O19" s="1182">
        <f>O54/O9*1000</f>
        <v>1377.787261736675</v>
      </c>
      <c r="P19" s="1182">
        <f>P54/P9*1000</f>
        <v>1729.37422544281</v>
      </c>
      <c r="Q19" s="1182">
        <f>Q26/Q9*1000</f>
        <v>2030.4809054874008</v>
      </c>
      <c r="R19" s="1182">
        <f t="shared" ref="R19:AC19" si="10">R26/R9*1000</f>
        <v>2581.3517430619936</v>
      </c>
      <c r="S19" s="1182">
        <f t="shared" si="10"/>
        <v>1491.1981281488236</v>
      </c>
      <c r="T19" s="1182">
        <f t="shared" si="10"/>
        <v>1943.2826947662384</v>
      </c>
      <c r="U19" s="1182">
        <f t="shared" si="10"/>
        <v>2024.7147537797905</v>
      </c>
      <c r="V19" s="1182">
        <f t="shared" si="10"/>
        <v>2611.5997034872848</v>
      </c>
      <c r="W19" s="1182">
        <f t="shared" si="10"/>
        <v>1868.6056993445397</v>
      </c>
      <c r="X19" s="1182">
        <f t="shared" si="10"/>
        <v>2222.8382473205884</v>
      </c>
      <c r="Y19" s="1182">
        <f t="shared" si="10"/>
        <v>2280.1753491440099</v>
      </c>
      <c r="Z19" s="1182">
        <f t="shared" si="10"/>
        <v>2452.0381835293515</v>
      </c>
      <c r="AA19" s="1182">
        <f t="shared" si="10"/>
        <v>1776.6899965242019</v>
      </c>
      <c r="AB19" s="1182">
        <f t="shared" si="10"/>
        <v>2021.3664040622311</v>
      </c>
      <c r="AC19" s="1182">
        <f t="shared" si="10"/>
        <v>1857.7017958921338</v>
      </c>
      <c r="AD19" s="1250">
        <f>Z19*(1+AD20)</f>
        <v>2476.5585653646449</v>
      </c>
      <c r="AE19" s="1182">
        <f>AA19*(1+AE20)</f>
        <v>1794.456896489444</v>
      </c>
      <c r="AF19" s="1182">
        <f>AB19*(1+AF20)</f>
        <v>2082.0073961840981</v>
      </c>
      <c r="AG19" s="1182">
        <f>AC19*(1+AG20)</f>
        <v>1783.3937240564483</v>
      </c>
      <c r="AH19" s="1250">
        <f t="shared" ref="AH19:AN19" si="11">AD19*(1+AH20)</f>
        <v>2526.0897366719378</v>
      </c>
      <c r="AI19" s="1251">
        <f t="shared" si="11"/>
        <v>1848.2906033841275</v>
      </c>
      <c r="AJ19" s="1251">
        <f t="shared" si="11"/>
        <v>2061.1873222222571</v>
      </c>
      <c r="AK19" s="1251">
        <f>AK26/AK9*1000</f>
        <v>1774.4206982365215</v>
      </c>
      <c r="AL19" s="1250">
        <f t="shared" si="11"/>
        <v>2500.8288393052185</v>
      </c>
      <c r="AM19" s="1251">
        <f t="shared" si="11"/>
        <v>1903.7393214856513</v>
      </c>
      <c r="AN19" s="1251">
        <f t="shared" si="11"/>
        <v>2143.6348151111474</v>
      </c>
      <c r="AO19" s="1251">
        <f>AO26/AO9*1000</f>
        <v>1795.3813142339911</v>
      </c>
    </row>
    <row r="20" spans="1:41" s="1252" customFormat="1" ht="12">
      <c r="A20" s="1190" t="s">
        <v>1773</v>
      </c>
      <c r="C20" s="1242">
        <f t="shared" ref="C20:H20" si="12">C19/B19-1</f>
        <v>0.12877223248070901</v>
      </c>
      <c r="D20" s="1242">
        <f t="shared" si="12"/>
        <v>0.234434622037198</v>
      </c>
      <c r="E20" s="1242">
        <f t="shared" si="12"/>
        <v>7.0286625587885121E-2</v>
      </c>
      <c r="F20" s="1242">
        <f t="shared" si="12"/>
        <v>0.14800984895680025</v>
      </c>
      <c r="G20" s="1242">
        <f t="shared" si="12"/>
        <v>-9.6677735235262352E-2</v>
      </c>
      <c r="H20" s="1242">
        <f t="shared" si="12"/>
        <v>1.3803122965762693E-2</v>
      </c>
      <c r="I20" s="1253">
        <v>6.0000000000000001E-3</v>
      </c>
      <c r="J20" s="1253">
        <v>0.02</v>
      </c>
      <c r="K20" s="1253">
        <v>0.02</v>
      </c>
      <c r="R20" s="1242">
        <f>R19/N19-1</f>
        <v>9.153220213909119E-2</v>
      </c>
      <c r="S20" s="1242">
        <f t="shared" ref="S20:Y20" si="13">S19/O19-1</f>
        <v>8.23137719165703E-2</v>
      </c>
      <c r="T20" s="1242">
        <f t="shared" si="13"/>
        <v>0.12369125558619709</v>
      </c>
      <c r="U20" s="1242">
        <f t="shared" si="13"/>
        <v>-2.8397960759085628E-3</v>
      </c>
      <c r="V20" s="1242">
        <f t="shared" si="13"/>
        <v>1.1717876305152863E-2</v>
      </c>
      <c r="W20" s="1242">
        <f t="shared" si="13"/>
        <v>0.25309015889406372</v>
      </c>
      <c r="X20" s="1242">
        <f t="shared" si="13"/>
        <v>0.14385737767709528</v>
      </c>
      <c r="Y20" s="1242">
        <f t="shared" si="13"/>
        <v>0.12617115318951422</v>
      </c>
      <c r="Z20" s="1242">
        <f>Z19/V19-1</f>
        <v>-6.1097234673778589E-2</v>
      </c>
      <c r="AA20" s="1242">
        <f>AA19/W19-1</f>
        <v>-4.9189458671018538E-2</v>
      </c>
      <c r="AB20" s="1242">
        <f>AB19/X19-1</f>
        <v>-9.0637203809684097E-2</v>
      </c>
      <c r="AC20" s="1242">
        <f>AC19/Y19-1</f>
        <v>-0.18528116857787935</v>
      </c>
      <c r="AD20" s="1254">
        <v>0.01</v>
      </c>
      <c r="AE20" s="1253">
        <v>0.01</v>
      </c>
      <c r="AF20" s="1253">
        <v>0.03</v>
      </c>
      <c r="AG20" s="1253">
        <v>-0.04</v>
      </c>
      <c r="AH20" s="1254">
        <v>0.02</v>
      </c>
      <c r="AI20" s="1255">
        <v>0.03</v>
      </c>
      <c r="AJ20" s="1255">
        <v>-0.01</v>
      </c>
      <c r="AK20" s="1256">
        <f>AK19/AG19-1</f>
        <v>-5.0314328792842034E-3</v>
      </c>
      <c r="AL20" s="1254">
        <v>-0.01</v>
      </c>
      <c r="AM20" s="1255">
        <v>0.03</v>
      </c>
      <c r="AN20" s="1255">
        <v>0.04</v>
      </c>
      <c r="AO20" s="1256">
        <f>AO19/AK19-1</f>
        <v>1.1812653007430063E-2</v>
      </c>
    </row>
    <row r="21" spans="1:41" s="1252" customFormat="1" ht="12">
      <c r="A21" s="1190"/>
      <c r="C21" s="1242"/>
      <c r="D21" s="1242"/>
      <c r="E21" s="1242"/>
      <c r="F21" s="1242"/>
      <c r="G21" s="1242"/>
      <c r="H21" s="1242"/>
      <c r="AD21" s="1258"/>
      <c r="AH21" s="1258"/>
      <c r="AI21" s="1259"/>
      <c r="AJ21" s="1259"/>
      <c r="AK21" s="1259"/>
      <c r="AL21" s="1258"/>
      <c r="AM21" s="1259"/>
      <c r="AN21" s="1259"/>
      <c r="AO21" s="1259"/>
    </row>
    <row r="22" spans="1:41">
      <c r="A22" s="1169" t="s">
        <v>1639</v>
      </c>
      <c r="B22" s="1182">
        <f t="shared" ref="B22:H22" si="14">B30/B15*1000</f>
        <v>5662.1224489795923</v>
      </c>
      <c r="C22" s="1182">
        <f t="shared" si="14"/>
        <v>5369.0636363636359</v>
      </c>
      <c r="D22" s="1182">
        <f t="shared" si="14"/>
        <v>5106.4751131221719</v>
      </c>
      <c r="E22" s="1182">
        <f t="shared" si="14"/>
        <v>3873.2810375200697</v>
      </c>
      <c r="F22" s="1182">
        <f t="shared" si="14"/>
        <v>2955.6720363500895</v>
      </c>
      <c r="G22" s="1182">
        <f t="shared" si="14"/>
        <v>2737.1007837845168</v>
      </c>
      <c r="H22" s="1182">
        <f t="shared" si="14"/>
        <v>2778.5245115254766</v>
      </c>
      <c r="I22" s="1182">
        <f>H22*(1+I23)</f>
        <v>2792.4171340831035</v>
      </c>
      <c r="J22" s="1182">
        <f>I22*(1+J23)</f>
        <v>2848.2654767647655</v>
      </c>
      <c r="K22" s="1182">
        <f>J22*(1+K23)</f>
        <v>2905.230786300061</v>
      </c>
      <c r="Q22" s="1182">
        <f>Q30/Q15*1000</f>
        <v>5612.9144465350137</v>
      </c>
      <c r="R22" s="1182">
        <f t="shared" ref="R22:AC22" si="15">R30/R15*1000</f>
        <v>4848.817590213861</v>
      </c>
      <c r="S22" s="1182">
        <f t="shared" si="15"/>
        <v>3415.0476283267685</v>
      </c>
      <c r="T22" s="1182">
        <f t="shared" si="15"/>
        <v>3753.163206195311</v>
      </c>
      <c r="U22" s="1182">
        <f t="shared" si="15"/>
        <v>3787.1694496149994</v>
      </c>
      <c r="V22" s="1182">
        <f t="shared" si="15"/>
        <v>3510.3738053844381</v>
      </c>
      <c r="W22" s="1182">
        <f t="shared" si="15"/>
        <v>2797.3648128932559</v>
      </c>
      <c r="X22" s="1182">
        <f t="shared" si="15"/>
        <v>2880.3133284846053</v>
      </c>
      <c r="Y22" s="1182">
        <f t="shared" si="15"/>
        <v>2806.7989751304581</v>
      </c>
      <c r="Z22" s="1182">
        <f t="shared" si="15"/>
        <v>2884.1890874743572</v>
      </c>
      <c r="AA22" s="1182">
        <f t="shared" si="15"/>
        <v>2466.0825580345049</v>
      </c>
      <c r="AB22" s="1182">
        <f t="shared" si="15"/>
        <v>2734.7016147714858</v>
      </c>
      <c r="AC22" s="1182">
        <f t="shared" si="15"/>
        <v>2878.6959186506929</v>
      </c>
      <c r="AD22" s="1250">
        <f>Z22*(1+AD23)</f>
        <v>2941.8728692238442</v>
      </c>
      <c r="AE22" s="1182">
        <f>AA22*(1+AE23)</f>
        <v>2515.4042091951951</v>
      </c>
      <c r="AF22" s="1182">
        <f>AB22*(1+AF23)</f>
        <v>2844.0896793623451</v>
      </c>
      <c r="AG22" s="1182">
        <f>AC22*(1+AG23)</f>
        <v>2792.3350410911721</v>
      </c>
      <c r="AH22" s="1250">
        <f t="shared" ref="AH22:AN22" si="16">AD22*(1+AH23)</f>
        <v>2971.2915979160825</v>
      </c>
      <c r="AI22" s="1251">
        <f t="shared" si="16"/>
        <v>2590.8663354710511</v>
      </c>
      <c r="AJ22" s="1251">
        <f t="shared" si="16"/>
        <v>2787.207885775098</v>
      </c>
      <c r="AK22" s="1251">
        <f>AK30/AK15*1000</f>
        <v>2834.3575563635895</v>
      </c>
      <c r="AL22" s="1250">
        <f t="shared" si="16"/>
        <v>3001.0045138952432</v>
      </c>
      <c r="AM22" s="1251">
        <f t="shared" si="16"/>
        <v>2642.6836621804723</v>
      </c>
      <c r="AN22" s="1251">
        <f t="shared" si="16"/>
        <v>2870.824122348351</v>
      </c>
      <c r="AO22" s="1251">
        <f>AO30/AO15*1000</f>
        <v>2894.1649478480899</v>
      </c>
    </row>
    <row r="23" spans="1:41" s="1252" customFormat="1" ht="12">
      <c r="A23" s="1190" t="s">
        <v>1773</v>
      </c>
      <c r="C23" s="1242">
        <f t="shared" ref="C23:H23" si="17">C22/B22-1</f>
        <v>-5.175776667789489E-2</v>
      </c>
      <c r="D23" s="1242">
        <f t="shared" si="17"/>
        <v>-4.8907694344131558E-2</v>
      </c>
      <c r="E23" s="1242">
        <f t="shared" si="17"/>
        <v>-0.24149614916033724</v>
      </c>
      <c r="F23" s="1242">
        <f t="shared" si="17"/>
        <v>-0.23690741577520391</v>
      </c>
      <c r="G23" s="1242">
        <f t="shared" si="17"/>
        <v>-7.3949765020439373E-2</v>
      </c>
      <c r="H23" s="1242">
        <f t="shared" si="17"/>
        <v>1.5134162390499917E-2</v>
      </c>
      <c r="I23" s="1253">
        <v>5.0000000000000001E-3</v>
      </c>
      <c r="J23" s="1253">
        <v>0.02</v>
      </c>
      <c r="K23" s="1253">
        <v>0.02</v>
      </c>
      <c r="R23" s="1242"/>
      <c r="S23" s="1242"/>
      <c r="T23" s="1242"/>
      <c r="U23" s="1242">
        <f t="shared" ref="U23:AC23" si="18">U22/Q22-1</f>
        <v>-0.32527575724000035</v>
      </c>
      <c r="V23" s="1242">
        <f t="shared" si="18"/>
        <v>-0.27603508689020195</v>
      </c>
      <c r="W23" s="1242">
        <f t="shared" si="18"/>
        <v>-0.18087092265127547</v>
      </c>
      <c r="X23" s="1242">
        <f t="shared" si="18"/>
        <v>-0.23256379479312295</v>
      </c>
      <c r="Y23" s="1242">
        <f t="shared" si="18"/>
        <v>-0.25886628193629013</v>
      </c>
      <c r="Z23" s="1242">
        <f t="shared" si="18"/>
        <v>-0.17838120742286712</v>
      </c>
      <c r="AA23" s="1242">
        <f t="shared" si="18"/>
        <v>-0.11842654677425235</v>
      </c>
      <c r="AB23" s="1242">
        <f t="shared" si="18"/>
        <v>-5.055412280084437E-2</v>
      </c>
      <c r="AC23" s="1242">
        <f t="shared" si="18"/>
        <v>2.5615280665724605E-2</v>
      </c>
      <c r="AD23" s="1254">
        <v>0.02</v>
      </c>
      <c r="AE23" s="1253">
        <v>0.02</v>
      </c>
      <c r="AF23" s="1253">
        <v>0.04</v>
      </c>
      <c r="AG23" s="1253">
        <v>-0.03</v>
      </c>
      <c r="AH23" s="1254">
        <v>0.01</v>
      </c>
      <c r="AI23" s="1255">
        <v>0.03</v>
      </c>
      <c r="AJ23" s="1255">
        <v>-0.02</v>
      </c>
      <c r="AK23" s="1256">
        <f>AK22/AG22-1</f>
        <v>1.5049238237542006E-2</v>
      </c>
      <c r="AL23" s="1254">
        <v>0.01</v>
      </c>
      <c r="AM23" s="1255">
        <v>0.02</v>
      </c>
      <c r="AN23" s="1255">
        <v>0.03</v>
      </c>
      <c r="AO23" s="1256">
        <f>AO22/AK22-1</f>
        <v>2.1100863350928645E-2</v>
      </c>
    </row>
    <row r="25" spans="1:41">
      <c r="A25" s="1181" t="s">
        <v>1778</v>
      </c>
    </row>
    <row r="26" spans="1:41">
      <c r="A26" s="1169" t="s">
        <v>1638</v>
      </c>
      <c r="B26" s="1182">
        <f>B54</f>
        <v>751.38800000000003</v>
      </c>
      <c r="C26" s="1182">
        <f>C54</f>
        <v>1075.0940439999999</v>
      </c>
      <c r="D26" s="1182">
        <f>D54</f>
        <v>1892.8261279999999</v>
      </c>
      <c r="E26" s="1182">
        <f>E54</f>
        <v>3432.8249999999998</v>
      </c>
      <c r="F26" s="1182">
        <f>F54</f>
        <v>7358.8789999999999</v>
      </c>
      <c r="G26" s="1182">
        <f>SUM(Z26:AC26)</f>
        <v>9926.6280000000006</v>
      </c>
      <c r="H26" s="1182">
        <f>SUM(AD26:AG26)</f>
        <v>11945.480352</v>
      </c>
      <c r="I26" s="1182">
        <f>I9*I19/1000</f>
        <v>12437.753597305918</v>
      </c>
      <c r="J26" s="1182">
        <f>J9*J19/1000</f>
        <v>13320.83410271464</v>
      </c>
      <c r="K26" s="1182">
        <f>K9*K19/1000</f>
        <v>14538.358339702761</v>
      </c>
      <c r="Q26" s="1182">
        <f t="shared" ref="Q26:AC26" si="19">Q54</f>
        <v>474.854356</v>
      </c>
      <c r="R26" s="1182">
        <f t="shared" si="19"/>
        <v>554.08973300000002</v>
      </c>
      <c r="S26" s="1182">
        <f t="shared" si="19"/>
        <v>696.74443099999996</v>
      </c>
      <c r="T26" s="1182">
        <f t="shared" si="19"/>
        <v>1285.951777</v>
      </c>
      <c r="U26" s="1182">
        <f t="shared" si="19"/>
        <v>896.03953899999999</v>
      </c>
      <c r="V26" s="1182">
        <f t="shared" si="19"/>
        <v>1201.3724259999999</v>
      </c>
      <c r="W26" s="1182">
        <f t="shared" si="19"/>
        <v>1466.4668039999999</v>
      </c>
      <c r="X26" s="1182">
        <f t="shared" si="19"/>
        <v>2886.591085</v>
      </c>
      <c r="Y26" s="1182">
        <f t="shared" si="19"/>
        <v>1804.4486850000003</v>
      </c>
      <c r="Z26" s="1182">
        <f t="shared" si="19"/>
        <v>1914.9559999999999</v>
      </c>
      <c r="AA26" s="1182">
        <f t="shared" si="19"/>
        <v>2213.3240000000001</v>
      </c>
      <c r="AB26" s="1182">
        <f t="shared" si="19"/>
        <v>3850.23</v>
      </c>
      <c r="AC26" s="1182">
        <f t="shared" si="19"/>
        <v>1948.1179999999999</v>
      </c>
      <c r="AD26" s="1250">
        <f t="shared" ref="AD26:AJ26" si="20">AD9*AD19/1000</f>
        <v>2514.3372279999999</v>
      </c>
      <c r="AE26" s="1182">
        <f t="shared" si="20"/>
        <v>2727.2578328000004</v>
      </c>
      <c r="AF26" s="1182">
        <f t="shared" si="20"/>
        <v>4758.8842799999993</v>
      </c>
      <c r="AG26" s="1182">
        <f t="shared" si="20"/>
        <v>1945.0010111999998</v>
      </c>
      <c r="AH26" s="1250">
        <f t="shared" si="20"/>
        <v>2641.5626917367995</v>
      </c>
      <c r="AI26" s="1251">
        <f t="shared" si="20"/>
        <v>3005.7108575288812</v>
      </c>
      <c r="AJ26" s="1251">
        <f t="shared" si="20"/>
        <v>4852.634300316</v>
      </c>
      <c r="AK26" s="1251">
        <f>I26-SUM(AH26:AJ26)</f>
        <v>1937.8457477242373</v>
      </c>
      <c r="AL26" s="1250">
        <f>AL9*AL19/1000</f>
        <v>2510.5411822266547</v>
      </c>
      <c r="AM26" s="1251">
        <f>AM9*AM19/1000</f>
        <v>3250.676292417485</v>
      </c>
      <c r="AN26" s="1251">
        <f>AN9*AN19/1000</f>
        <v>5500.9462428382176</v>
      </c>
      <c r="AO26" s="1251">
        <f>J26-SUM(AL26:AN26)</f>
        <v>2058.6703852322826</v>
      </c>
    </row>
    <row r="27" spans="1:41" ht="12">
      <c r="A27" s="1190" t="s">
        <v>1773</v>
      </c>
      <c r="C27" s="1242">
        <f t="shared" ref="C27:K27" si="21">C26/B26-1</f>
        <v>0.43081077153215097</v>
      </c>
      <c r="D27" s="1242">
        <f t="shared" si="21"/>
        <v>0.76061446769581398</v>
      </c>
      <c r="E27" s="1242">
        <f t="shared" si="21"/>
        <v>0.81359764070205176</v>
      </c>
      <c r="F27" s="1242">
        <f t="shared" si="21"/>
        <v>1.1436802050789074</v>
      </c>
      <c r="G27" s="1242">
        <f t="shared" si="21"/>
        <v>0.34893208598755332</v>
      </c>
      <c r="H27" s="1242">
        <f t="shared" si="21"/>
        <v>0.20337745627215997</v>
      </c>
      <c r="I27" s="1242">
        <f t="shared" si="21"/>
        <v>4.1209999999999747E-2</v>
      </c>
      <c r="J27" s="1242">
        <f t="shared" si="21"/>
        <v>7.1000000000000174E-2</v>
      </c>
      <c r="K27" s="1242">
        <f t="shared" si="21"/>
        <v>9.140000000000037E-2</v>
      </c>
      <c r="V27" s="1242">
        <f t="shared" ref="V27:AJ27" si="22">V26/R26-1</f>
        <v>1.1681910969463853</v>
      </c>
      <c r="W27" s="1242">
        <f t="shared" si="22"/>
        <v>1.1047413352055915</v>
      </c>
      <c r="X27" s="1242">
        <f t="shared" si="22"/>
        <v>1.2447117665128435</v>
      </c>
      <c r="Y27" s="1242">
        <f t="shared" si="22"/>
        <v>1.0138047557742875</v>
      </c>
      <c r="Z27" s="1242">
        <f t="shared" si="22"/>
        <v>0.59397365759083942</v>
      </c>
      <c r="AA27" s="1242">
        <f t="shared" si="22"/>
        <v>0.50929021643233874</v>
      </c>
      <c r="AB27" s="1242">
        <f t="shared" si="22"/>
        <v>0.33383284525733226</v>
      </c>
      <c r="AC27" s="1242">
        <f t="shared" si="22"/>
        <v>7.9619507162654202E-2</v>
      </c>
      <c r="AD27" s="1260">
        <f t="shared" si="22"/>
        <v>0.31299999999999994</v>
      </c>
      <c r="AE27" s="1242">
        <f t="shared" si="22"/>
        <v>0.23220000000000018</v>
      </c>
      <c r="AF27" s="1242">
        <f t="shared" si="22"/>
        <v>0.23599999999999977</v>
      </c>
      <c r="AG27" s="1242">
        <f t="shared" si="22"/>
        <v>-1.6000000000000458E-3</v>
      </c>
      <c r="AH27" s="1260">
        <f t="shared" si="22"/>
        <v>5.0599999999999756E-2</v>
      </c>
      <c r="AI27" s="1256">
        <f t="shared" si="22"/>
        <v>0.1021000000000003</v>
      </c>
      <c r="AJ27" s="1256">
        <f t="shared" si="22"/>
        <v>1.9700000000000051E-2</v>
      </c>
      <c r="AK27" s="1256">
        <f>AK26/AG26-1</f>
        <v>-3.6787967895954843E-3</v>
      </c>
      <c r="AL27" s="1260">
        <f>AL26/AH26-1</f>
        <v>-4.9599999999999866E-2</v>
      </c>
      <c r="AM27" s="1256">
        <f>AM26/AI26-1</f>
        <v>8.1499999999999906E-2</v>
      </c>
      <c r="AN27" s="1256">
        <f>AN26/AJ26-1</f>
        <v>0.13359999999999994</v>
      </c>
      <c r="AO27" s="1256">
        <f>AO26/AK26-1</f>
        <v>6.2349976849261024E-2</v>
      </c>
    </row>
    <row r="28" spans="1:41" ht="12">
      <c r="A28" s="1190" t="s">
        <v>1779</v>
      </c>
      <c r="D28" s="1191">
        <f>1+D88/D26</f>
        <v>7.6142296362045947E-2</v>
      </c>
      <c r="E28" s="1191">
        <f>1+E88/E26</f>
        <v>7.7981545811394271E-2</v>
      </c>
      <c r="F28" s="1191">
        <f>1+F88/F26</f>
        <v>5.8889268324699873E-2</v>
      </c>
      <c r="G28" s="1191"/>
      <c r="H28" s="1191">
        <f>H56/H26</f>
        <v>9.0040067751107192E-2</v>
      </c>
      <c r="I28" s="1261">
        <v>9.7000000000000003E-2</v>
      </c>
      <c r="J28" s="1261">
        <v>0.11</v>
      </c>
      <c r="K28" s="1261">
        <v>0.12</v>
      </c>
      <c r="V28" s="1242"/>
      <c r="W28" s="1242"/>
      <c r="X28" s="1242"/>
      <c r="Y28" s="1242"/>
      <c r="Z28" s="1191">
        <f>Z56/Z54</f>
        <v>8.858793622412213E-2</v>
      </c>
      <c r="AA28" s="1191">
        <f>AA56/AA54</f>
        <v>6.6886727835599291E-2</v>
      </c>
      <c r="AB28" s="1191">
        <f>AB56/AB54</f>
        <v>8.5031543570124365E-2</v>
      </c>
      <c r="AC28" s="1191">
        <f>AC56/AC54</f>
        <v>8.3606331854641253E-2</v>
      </c>
      <c r="AD28" s="1262">
        <v>9.5000000000000001E-2</v>
      </c>
      <c r="AE28" s="1261">
        <v>8.2000000000000003E-2</v>
      </c>
      <c r="AF28" s="1261">
        <v>0.09</v>
      </c>
      <c r="AG28" s="1261">
        <v>9.5000000000000001E-2</v>
      </c>
      <c r="AH28" s="1262">
        <v>9.1999999999999998E-2</v>
      </c>
      <c r="AI28" s="1263">
        <v>9.5000000000000001E-2</v>
      </c>
      <c r="AJ28" s="1263">
        <v>9.5000000000000001E-2</v>
      </c>
      <c r="AK28" s="1264">
        <f>AK56/AK26</f>
        <v>0.11192611257028186</v>
      </c>
      <c r="AL28" s="1262">
        <v>9.1999999999999998E-2</v>
      </c>
      <c r="AM28" s="1263">
        <v>0.107</v>
      </c>
      <c r="AN28" s="1263">
        <v>0.115</v>
      </c>
      <c r="AO28" s="1264">
        <f>AO56/AO26</f>
        <v>0.12332755313330326</v>
      </c>
    </row>
    <row r="30" spans="1:41">
      <c r="A30" s="1169" t="s">
        <v>1639</v>
      </c>
      <c r="B30" s="1208">
        <v>277.44400000000002</v>
      </c>
      <c r="C30" s="1208">
        <v>590.59699999999998</v>
      </c>
      <c r="D30" s="1208">
        <v>1128.5309999999999</v>
      </c>
      <c r="E30" s="1182">
        <f>E33-E26</f>
        <v>1533.8192908579476</v>
      </c>
      <c r="F30" s="1182">
        <f>F33-F26</f>
        <v>3292.6186484939999</v>
      </c>
      <c r="G30" s="1182">
        <f>SUM(Z30:AC30)</f>
        <v>4815.0447455156955</v>
      </c>
      <c r="H30" s="1182">
        <f>SUM(AD30:AG30)</f>
        <v>5811.7898462428575</v>
      </c>
      <c r="I30" s="1182">
        <f>I15*I22/1000</f>
        <v>6074.4827472930328</v>
      </c>
      <c r="J30" s="1182">
        <f>J15*J22/1000</f>
        <v>6567.7307463732277</v>
      </c>
      <c r="K30" s="1182">
        <f>K15*K22/1000</f>
        <v>7235.0121902047485</v>
      </c>
      <c r="Q30" s="1208">
        <v>355</v>
      </c>
      <c r="R30" s="1182">
        <f>R33-R26</f>
        <v>321.48630386635944</v>
      </c>
      <c r="S30" s="1182">
        <f>S33-S26</f>
        <v>279.99975504651172</v>
      </c>
      <c r="T30" s="1208">
        <v>492.4</v>
      </c>
      <c r="U30" s="1182">
        <f t="shared" ref="U30:AC30" si="23">U33-U26</f>
        <v>439.9327519450768</v>
      </c>
      <c r="V30" s="1182">
        <f t="shared" si="23"/>
        <v>698.6275740000001</v>
      </c>
      <c r="W30" s="1182">
        <f t="shared" si="23"/>
        <v>633.53319600000009</v>
      </c>
      <c r="X30" s="1182">
        <f t="shared" si="23"/>
        <v>1064.9065634939998</v>
      </c>
      <c r="Y30" s="1182">
        <f t="shared" si="23"/>
        <v>895.5513149999997</v>
      </c>
      <c r="Z30" s="1182">
        <f t="shared" si="23"/>
        <v>1172.5440000000001</v>
      </c>
      <c r="AA30" s="1182">
        <f t="shared" si="23"/>
        <v>1037.4760000000001</v>
      </c>
      <c r="AB30" s="1182">
        <f t="shared" si="23"/>
        <v>1476.3888301699112</v>
      </c>
      <c r="AC30" s="1182">
        <f t="shared" si="23"/>
        <v>1128.6359153457838</v>
      </c>
      <c r="AD30" s="1250">
        <f t="shared" ref="AD30:AJ30" si="24">AD15*AD22/1000</f>
        <v>1494.9935999999998</v>
      </c>
      <c r="AE30" s="1182">
        <f t="shared" si="24"/>
        <v>1269.8706240000001</v>
      </c>
      <c r="AF30" s="1182">
        <f t="shared" si="24"/>
        <v>1919.3054792208848</v>
      </c>
      <c r="AG30" s="1182">
        <f t="shared" si="24"/>
        <v>1127.6201430219728</v>
      </c>
      <c r="AH30" s="1250">
        <f t="shared" si="24"/>
        <v>1585.4407127999998</v>
      </c>
      <c r="AI30" s="1251">
        <f t="shared" si="24"/>
        <v>1399.5244147104004</v>
      </c>
      <c r="AJ30" s="1251">
        <f t="shared" si="24"/>
        <v>1937.3469507255611</v>
      </c>
      <c r="AK30" s="1251">
        <f>I30-SUM(AH30:AJ30)</f>
        <v>1152.1706690570718</v>
      </c>
      <c r="AL30" s="1250">
        <f>AL15*AL22/1000</f>
        <v>1521.2303639315999</v>
      </c>
      <c r="AM30" s="1251">
        <f>AM15*AM22/1000</f>
        <v>1498.8906481548393</v>
      </c>
      <c r="AN30" s="1251">
        <f>AN15*AN22/1000</f>
        <v>2135.1500743946408</v>
      </c>
      <c r="AO30" s="1251">
        <f>J30-SUM(AL30:AN30)</f>
        <v>1412.459659892148</v>
      </c>
    </row>
    <row r="31" spans="1:41" ht="12">
      <c r="A31" s="1190" t="s">
        <v>1773</v>
      </c>
      <c r="B31" s="1208"/>
      <c r="C31" s="1242">
        <f t="shared" ref="C31:K31" si="25">C30/B30-1</f>
        <v>1.1287070543965627</v>
      </c>
      <c r="D31" s="1242">
        <f t="shared" si="25"/>
        <v>0.91083090499951735</v>
      </c>
      <c r="E31" s="1242">
        <f t="shared" si="25"/>
        <v>0.35912907209278933</v>
      </c>
      <c r="F31" s="1242">
        <f t="shared" si="25"/>
        <v>1.1466796435010678</v>
      </c>
      <c r="G31" s="1242">
        <f t="shared" si="25"/>
        <v>0.46237547057507955</v>
      </c>
      <c r="H31" s="1242">
        <f t="shared" si="25"/>
        <v>0.20700640459373543</v>
      </c>
      <c r="I31" s="1242">
        <f t="shared" si="25"/>
        <v>4.5199999999999685E-2</v>
      </c>
      <c r="J31" s="1242">
        <f t="shared" si="25"/>
        <v>8.1200000000000161E-2</v>
      </c>
      <c r="K31" s="1242">
        <f t="shared" si="25"/>
        <v>0.10160000000000013</v>
      </c>
      <c r="Q31" s="1208"/>
      <c r="R31" s="1242"/>
      <c r="T31" s="1208"/>
      <c r="V31" s="1242">
        <f t="shared" ref="V31:AJ31" si="26">V30/R30-1</f>
        <v>1.1731176899231661</v>
      </c>
      <c r="W31" s="1242">
        <f t="shared" si="26"/>
        <v>1.2626205365599756</v>
      </c>
      <c r="X31" s="1242">
        <f t="shared" si="26"/>
        <v>1.1626859534809095</v>
      </c>
      <c r="Y31" s="1242">
        <f t="shared" si="26"/>
        <v>1.0356550200922627</v>
      </c>
      <c r="Z31" s="1242">
        <f t="shared" si="26"/>
        <v>0.67835345130537306</v>
      </c>
      <c r="AA31" s="1242">
        <f t="shared" si="26"/>
        <v>0.63760321724325242</v>
      </c>
      <c r="AB31" s="1242">
        <f t="shared" si="26"/>
        <v>0.38640222605617347</v>
      </c>
      <c r="AC31" s="1242">
        <f t="shared" si="26"/>
        <v>0.26026939656247849</v>
      </c>
      <c r="AD31" s="1260">
        <f t="shared" si="26"/>
        <v>0.27499999999999969</v>
      </c>
      <c r="AE31" s="1242">
        <f t="shared" si="26"/>
        <v>0.22399999999999998</v>
      </c>
      <c r="AF31" s="1242">
        <f t="shared" si="26"/>
        <v>0.30000000000000004</v>
      </c>
      <c r="AG31" s="1242">
        <f t="shared" si="26"/>
        <v>-8.9999999999978986E-4</v>
      </c>
      <c r="AH31" s="1260">
        <f t="shared" si="26"/>
        <v>6.0499999999999998E-2</v>
      </c>
      <c r="AI31" s="1256">
        <f t="shared" si="26"/>
        <v>0.10210000000000008</v>
      </c>
      <c r="AJ31" s="1256">
        <f t="shared" si="26"/>
        <v>9.400000000000075E-3</v>
      </c>
      <c r="AK31" s="1256">
        <f>AK30/AG30-1</f>
        <v>2.1771982512927224E-2</v>
      </c>
      <c r="AL31" s="1260">
        <f>AL30/AH30-1</f>
        <v>-4.049999999999998E-2</v>
      </c>
      <c r="AM31" s="1256">
        <f>AM30/AI30-1</f>
        <v>7.1000000000000396E-2</v>
      </c>
      <c r="AN31" s="1256">
        <f>AN30/AJ30-1</f>
        <v>0.10209999999999986</v>
      </c>
      <c r="AO31" s="1256">
        <f>AO30/AK30-1</f>
        <v>0.2259118356554719</v>
      </c>
    </row>
    <row r="32" spans="1:41" s="1252" customFormat="1" ht="12">
      <c r="A32" s="1190" t="s">
        <v>1779</v>
      </c>
      <c r="B32" s="1191">
        <f t="shared" ref="B32:H32" si="27">B59/B30</f>
        <v>6.3288447398393913E-2</v>
      </c>
      <c r="C32" s="1191">
        <f t="shared" si="27"/>
        <v>5.4790600019979784E-2</v>
      </c>
      <c r="D32" s="1191">
        <f t="shared" si="27"/>
        <v>4.3331120722425877E-2</v>
      </c>
      <c r="E32" s="1191">
        <f t="shared" si="27"/>
        <v>6.0715105459333236E-2</v>
      </c>
      <c r="F32" s="1191">
        <f t="shared" si="27"/>
        <v>5.8968869683346761E-2</v>
      </c>
      <c r="G32" s="1191">
        <f t="shared" si="27"/>
        <v>5.2616125786981882E-2</v>
      </c>
      <c r="H32" s="1191">
        <f t="shared" si="27"/>
        <v>8.8411169945963097E-2</v>
      </c>
      <c r="I32" s="1261">
        <v>9.4E-2</v>
      </c>
      <c r="J32" s="1261">
        <v>0.1</v>
      </c>
      <c r="K32" s="1261">
        <v>0.11</v>
      </c>
      <c r="Q32" s="1191">
        <f t="shared" ref="Q32:AG32" si="28">Q59/Q30</f>
        <v>2.0509954929577464E-2</v>
      </c>
      <c r="R32" s="1191">
        <f t="shared" si="28"/>
        <v>7.090751526844552E-2</v>
      </c>
      <c r="S32" s="1191">
        <f t="shared" si="28"/>
        <v>5.8997619470259603E-2</v>
      </c>
      <c r="T32" s="1191">
        <f t="shared" si="28"/>
        <v>5.1178222989439484E-2</v>
      </c>
      <c r="U32" s="1191">
        <f t="shared" si="28"/>
        <v>6.5033291732668808E-2</v>
      </c>
      <c r="V32" s="1191">
        <f t="shared" si="28"/>
        <v>5.783786455585848E-2</v>
      </c>
      <c r="W32" s="1191">
        <f t="shared" si="28"/>
        <v>5.4587950905101414E-2</v>
      </c>
      <c r="X32" s="1191">
        <f t="shared" si="28"/>
        <v>6.2891700827025068E-2</v>
      </c>
      <c r="Y32" s="1191">
        <f t="shared" si="28"/>
        <v>5.8285670654171277E-2</v>
      </c>
      <c r="Z32" s="1191">
        <f t="shared" si="28"/>
        <v>5.3134893018940005E-2</v>
      </c>
      <c r="AA32" s="1191">
        <f t="shared" si="28"/>
        <v>6.4640531443618934E-2</v>
      </c>
      <c r="AB32" s="1191">
        <f t="shared" si="28"/>
        <v>4.5650575663217022E-2</v>
      </c>
      <c r="AC32" s="1191">
        <f t="shared" si="28"/>
        <v>5.0135742829576599E-2</v>
      </c>
      <c r="AD32" s="1191">
        <f t="shared" si="28"/>
        <v>7.8318705404491359E-2</v>
      </c>
      <c r="AE32" s="1191">
        <f t="shared" si="28"/>
        <v>9.1087119840642841E-2</v>
      </c>
      <c r="AF32" s="1191">
        <f t="shared" si="28"/>
        <v>9.1568234813429655E-2</v>
      </c>
      <c r="AG32" s="1191">
        <f t="shared" si="28"/>
        <v>9.3404596031544718E-2</v>
      </c>
      <c r="AH32" s="1264">
        <f>AH59/AH30</f>
        <v>0.10070085312635378</v>
      </c>
      <c r="AI32" s="1264">
        <f>AI59/AI30</f>
        <v>0.10865581688778395</v>
      </c>
      <c r="AJ32" s="1264">
        <f>AJ59/AJ30</f>
        <v>8.863809417599032E-2</v>
      </c>
      <c r="AK32" s="1264">
        <f>AK59/AK30</f>
        <v>0.12213768539303477</v>
      </c>
      <c r="AL32" s="1263">
        <v>0.1</v>
      </c>
      <c r="AM32" s="1263">
        <v>9.5000000000000001E-2</v>
      </c>
      <c r="AN32" s="1263">
        <v>9.7000000000000003E-2</v>
      </c>
      <c r="AO32" s="1264">
        <f>AO59/AO30</f>
        <v>0.10984092067098006</v>
      </c>
    </row>
    <row r="33" spans="1:41" s="1195" customFormat="1">
      <c r="A33" s="1183" t="s">
        <v>1780</v>
      </c>
      <c r="B33" s="1193">
        <f>B26+B30</f>
        <v>1028.8320000000001</v>
      </c>
      <c r="C33" s="1193">
        <f>C26+C30</f>
        <v>1665.6910439999999</v>
      </c>
      <c r="D33" s="1193">
        <f>D26+D30</f>
        <v>3021.3571279999996</v>
      </c>
      <c r="E33" s="1193">
        <f>SUM(R33:U33)</f>
        <v>4966.6442908579475</v>
      </c>
      <c r="F33" s="1193">
        <f>SUM(V33:Y33)</f>
        <v>10651.497648494</v>
      </c>
      <c r="G33" s="1193">
        <f>F33*(1+G35)</f>
        <v>14741.672745515694</v>
      </c>
      <c r="H33" s="1193">
        <f>H26+H30</f>
        <v>17757.270198242859</v>
      </c>
      <c r="I33" s="1193">
        <f>I26+I30</f>
        <v>18512.23634459895</v>
      </c>
      <c r="J33" s="1193">
        <f>J26+J30</f>
        <v>19888.564849087867</v>
      </c>
      <c r="K33" s="1193">
        <f>K26+K30</f>
        <v>21773.370529907508</v>
      </c>
      <c r="N33" s="1193"/>
      <c r="O33" s="1193"/>
      <c r="P33" s="1193"/>
      <c r="Q33" s="1193">
        <f>Q26+Q30</f>
        <v>829.85435600000005</v>
      </c>
      <c r="R33" s="1193">
        <f>V33/(1+V35)</f>
        <v>875.57603686635946</v>
      </c>
      <c r="S33" s="1193">
        <f>W33/(1+W35)</f>
        <v>976.74418604651169</v>
      </c>
      <c r="T33" s="1193">
        <f>T26+T30</f>
        <v>1778.3517769999999</v>
      </c>
      <c r="U33" s="1193">
        <f>Y33/(1+Y35)</f>
        <v>1335.9722909450768</v>
      </c>
      <c r="V33" s="1265">
        <v>1900</v>
      </c>
      <c r="W33" s="1265">
        <v>2100</v>
      </c>
      <c r="X33" s="1193">
        <f>T33*(1+X35)</f>
        <v>3951.4976484939998</v>
      </c>
      <c r="Y33" s="1265">
        <v>2700</v>
      </c>
      <c r="Z33" s="1193">
        <f>V33*(1+Z35)</f>
        <v>3087.5</v>
      </c>
      <c r="AA33" s="1193">
        <f>W33*(1+AA35)</f>
        <v>3250.8</v>
      </c>
      <c r="AB33" s="1193">
        <f>X33*(1+AB35)</f>
        <v>5326.6188301699112</v>
      </c>
      <c r="AC33" s="1193">
        <f>G33-SUM(Z33:AB33)</f>
        <v>3076.7539153457838</v>
      </c>
      <c r="AD33" s="1266">
        <f>AD26+AD30</f>
        <v>4009.3308279999997</v>
      </c>
      <c r="AE33" s="1193">
        <f>AE26+AE30</f>
        <v>3997.1284568000005</v>
      </c>
      <c r="AF33" s="1193">
        <f>AF26+AF30</f>
        <v>6678.1897592208843</v>
      </c>
      <c r="AG33" s="1193">
        <f>AG26+AG30</f>
        <v>3072.6211542219726</v>
      </c>
      <c r="AH33" s="1266">
        <f t="shared" ref="AH33:AO33" si="29">AH26+AH30</f>
        <v>4227.0034045367993</v>
      </c>
      <c r="AI33" s="1193">
        <f t="shared" si="29"/>
        <v>4405.2352722392816</v>
      </c>
      <c r="AJ33" s="1193">
        <f t="shared" si="29"/>
        <v>6789.9812510415613</v>
      </c>
      <c r="AK33" s="1193">
        <f t="shared" si="29"/>
        <v>3090.0164167813091</v>
      </c>
      <c r="AL33" s="1266">
        <f t="shared" si="29"/>
        <v>4031.7715461582548</v>
      </c>
      <c r="AM33" s="1193">
        <f t="shared" si="29"/>
        <v>4749.5669405723238</v>
      </c>
      <c r="AN33" s="1193">
        <f t="shared" si="29"/>
        <v>7636.0963172328584</v>
      </c>
      <c r="AO33" s="1193">
        <f t="shared" si="29"/>
        <v>3471.1300451244306</v>
      </c>
    </row>
    <row r="34" spans="1:41" s="1195" customFormat="1" ht="12">
      <c r="A34" s="1190" t="s">
        <v>1779</v>
      </c>
      <c r="B34" s="1267"/>
      <c r="C34" s="1267"/>
      <c r="D34" s="1267"/>
      <c r="E34" s="1267"/>
      <c r="F34" s="1267"/>
      <c r="G34" s="1264">
        <f>G61/G33</f>
        <v>7.1993118984603643E-2</v>
      </c>
      <c r="H34" s="1264">
        <f>H61/H33</f>
        <v>8.9506944606681502E-2</v>
      </c>
      <c r="I34" s="1264">
        <f>I61/I33</f>
        <v>9.8887566360079282E-2</v>
      </c>
      <c r="J34" s="1264">
        <f>J61/J33</f>
        <v>0.10669773520804121</v>
      </c>
      <c r="K34" s="1264">
        <f>K61/K33</f>
        <v>0.11667712806326111</v>
      </c>
      <c r="N34" s="1267"/>
      <c r="O34" s="1267"/>
      <c r="P34" s="1267"/>
      <c r="Q34" s="1267"/>
      <c r="R34" s="1267"/>
      <c r="S34" s="1267"/>
      <c r="T34" s="1267"/>
      <c r="U34" s="1267"/>
      <c r="V34" s="1268"/>
      <c r="W34" s="1268"/>
      <c r="X34" s="1267"/>
      <c r="Y34" s="1268"/>
      <c r="Z34" s="1264">
        <f t="shared" ref="Z34:AO34" si="30">Z61/Z33</f>
        <v>7.5123886639676105E-2</v>
      </c>
      <c r="AA34" s="1264">
        <f t="shared" si="30"/>
        <v>6.6169865879168191E-2</v>
      </c>
      <c r="AB34" s="1264">
        <f t="shared" si="30"/>
        <v>7.4116247583536368E-2</v>
      </c>
      <c r="AC34" s="1264">
        <f t="shared" si="30"/>
        <v>7.1328421459190966E-2</v>
      </c>
      <c r="AD34" s="1269">
        <f t="shared" si="30"/>
        <v>8.8779902499978983E-2</v>
      </c>
      <c r="AE34" s="1264">
        <f t="shared" si="30"/>
        <v>8.488693912820558E-2</v>
      </c>
      <c r="AF34" s="1264">
        <f t="shared" si="30"/>
        <v>9.0450709215916553E-2</v>
      </c>
      <c r="AG34" s="1264">
        <f t="shared" si="30"/>
        <v>9.4414503265846675E-2</v>
      </c>
      <c r="AH34" s="1269">
        <f t="shared" si="30"/>
        <v>9.526346715685366E-2</v>
      </c>
      <c r="AI34" s="1264">
        <f t="shared" si="30"/>
        <v>9.9338394650044043E-2</v>
      </c>
      <c r="AJ34" s="1264">
        <f t="shared" si="30"/>
        <v>9.3184793389958512E-2</v>
      </c>
      <c r="AK34" s="1264">
        <f t="shared" si="30"/>
        <v>0.11573368932858648</v>
      </c>
      <c r="AL34" s="1269">
        <f t="shared" si="30"/>
        <v>9.5018485242064132E-2</v>
      </c>
      <c r="AM34" s="1264">
        <f t="shared" si="30"/>
        <v>0.10321298362505223</v>
      </c>
      <c r="AN34" s="1264">
        <f t="shared" si="30"/>
        <v>0.10996697006658102</v>
      </c>
      <c r="AO34" s="1264">
        <f t="shared" si="30"/>
        <v>0.11783962152221879</v>
      </c>
    </row>
    <row r="35" spans="1:41" s="1195" customFormat="1" ht="12">
      <c r="A35" s="1190" t="s">
        <v>1773</v>
      </c>
      <c r="C35" s="1242">
        <f>C33/B33-1</f>
        <v>0.61901169870299499</v>
      </c>
      <c r="D35" s="1242">
        <f>D33/C33-1</f>
        <v>0.8138760719662006</v>
      </c>
      <c r="E35" s="1242">
        <f>E33/D33-1</f>
        <v>0.64384549076647524</v>
      </c>
      <c r="F35" s="1242">
        <f>F33/E33-1</f>
        <v>1.1446065038521289</v>
      </c>
      <c r="G35" s="1270">
        <v>0.38400000000000001</v>
      </c>
      <c r="H35" s="1242">
        <f>H33/G33-1</f>
        <v>0.20456277281317936</v>
      </c>
      <c r="I35" s="1242">
        <f>I33/H33-1</f>
        <v>4.251588999478062E-2</v>
      </c>
      <c r="J35" s="1242">
        <f>J33/I33-1</f>
        <v>7.4346960511362914E-2</v>
      </c>
      <c r="K35" s="1242">
        <f>K33/J33-1</f>
        <v>9.4768310087798069E-2</v>
      </c>
      <c r="R35" s="1242"/>
      <c r="S35" s="1242"/>
      <c r="T35" s="1242"/>
      <c r="U35" s="1242"/>
      <c r="V35" s="1270">
        <v>1.17</v>
      </c>
      <c r="W35" s="1270">
        <v>1.1499999999999999</v>
      </c>
      <c r="X35" s="1270">
        <v>1.222</v>
      </c>
      <c r="Y35" s="1270">
        <v>1.0209999999999999</v>
      </c>
      <c r="Z35" s="1270">
        <v>0.625</v>
      </c>
      <c r="AA35" s="1270">
        <v>0.54800000000000004</v>
      </c>
      <c r="AB35" s="1270">
        <v>0.34799999999999998</v>
      </c>
      <c r="AC35" s="1242">
        <f>AC33/Y33-1</f>
        <v>0.13953848716510509</v>
      </c>
      <c r="AD35" s="1260">
        <f>AD33/Z33-1</f>
        <v>0.29856868923076907</v>
      </c>
      <c r="AE35" s="1242">
        <f>AE33/AA33-1</f>
        <v>0.22958301242771029</v>
      </c>
      <c r="AF35" s="1242">
        <f>AF33/AB33-1</f>
        <v>0.25373899881772832</v>
      </c>
      <c r="AG35" s="1242">
        <f>AG33/AC33-1</f>
        <v>-1.3432212121997633E-3</v>
      </c>
      <c r="AH35" s="1260">
        <f t="shared" ref="AH35:AO35" si="31">AH33/AD33-1</f>
        <v>5.4291497976828973E-2</v>
      </c>
      <c r="AI35" s="1256">
        <f t="shared" si="31"/>
        <v>0.1021000000000003</v>
      </c>
      <c r="AJ35" s="1256">
        <f t="shared" si="31"/>
        <v>1.6739789651277981E-2</v>
      </c>
      <c r="AK35" s="1256">
        <f t="shared" si="31"/>
        <v>5.6613756419121586E-3</v>
      </c>
      <c r="AL35" s="1260">
        <f t="shared" si="31"/>
        <v>-4.6186823074001793E-2</v>
      </c>
      <c r="AM35" s="1256">
        <f t="shared" si="31"/>
        <v>7.8164194884876359E-2</v>
      </c>
      <c r="AN35" s="1256">
        <f t="shared" si="31"/>
        <v>0.12461228314312445</v>
      </c>
      <c r="AO35" s="1256">
        <f t="shared" si="31"/>
        <v>0.12333708852592618</v>
      </c>
    </row>
    <row r="36" spans="1:41" s="1195" customFormat="1" ht="12">
      <c r="A36" s="1190"/>
      <c r="C36" s="1242"/>
      <c r="D36" s="1242"/>
      <c r="E36" s="1242"/>
      <c r="F36" s="1242"/>
      <c r="G36" s="1270"/>
      <c r="R36" s="1242"/>
      <c r="S36" s="1242"/>
      <c r="T36" s="1242"/>
      <c r="U36" s="1242"/>
      <c r="V36" s="1270"/>
      <c r="W36" s="1270"/>
      <c r="X36" s="1270"/>
      <c r="Y36" s="1270"/>
      <c r="Z36" s="1270"/>
      <c r="AA36" s="1270"/>
      <c r="AB36" s="1270"/>
      <c r="AC36" s="1242"/>
      <c r="AD36" s="1271"/>
      <c r="AG36" s="1272"/>
      <c r="AH36" s="1271"/>
      <c r="AI36" s="1267"/>
      <c r="AJ36" s="1267"/>
      <c r="AK36" s="1267"/>
      <c r="AL36" s="1271"/>
      <c r="AM36" s="1267"/>
      <c r="AN36" s="1267"/>
      <c r="AO36" s="1267"/>
    </row>
    <row r="37" spans="1:41">
      <c r="A37" s="1169" t="s">
        <v>1640</v>
      </c>
      <c r="F37" s="1182">
        <f>F40-F33</f>
        <v>1449.4059659638297</v>
      </c>
      <c r="G37" s="1182">
        <f>SUM(Z37:AC37)</f>
        <v>5345.8272544843048</v>
      </c>
      <c r="H37" s="1182">
        <f>SUM(AD37:AG37)</f>
        <v>8499.4637656142258</v>
      </c>
      <c r="I37" s="1182">
        <f>H37*(1+I38)</f>
        <v>8074.490577333514</v>
      </c>
      <c r="J37" s="1182">
        <f>I37*(1+J38)</f>
        <v>8478.2151062001903</v>
      </c>
      <c r="K37" s="1182">
        <f>J37*(1+K38)</f>
        <v>8902.1258615101997</v>
      </c>
      <c r="V37" s="1182">
        <f>V40-V33</f>
        <v>89.202986294132643</v>
      </c>
      <c r="W37" s="1182">
        <f>W40-W33</f>
        <v>216.00617601646945</v>
      </c>
      <c r="X37" s="1182">
        <f>X40-X33</f>
        <v>599.78440278805101</v>
      </c>
      <c r="Y37" s="1182">
        <f>Y40-Y33</f>
        <v>544.41240086517655</v>
      </c>
      <c r="Z37" s="1208">
        <v>900</v>
      </c>
      <c r="AA37" s="1182">
        <f>AA40-AA33</f>
        <v>1249.1999999999998</v>
      </c>
      <c r="AB37" s="1182">
        <f>AB40-AB33</f>
        <v>1773.3811698300888</v>
      </c>
      <c r="AC37" s="1182">
        <f>AC40-AC33</f>
        <v>1423.2460846542162</v>
      </c>
      <c r="AD37" s="1250">
        <f>Z37*(1+AD38)</f>
        <v>1440</v>
      </c>
      <c r="AE37" s="1182">
        <f>AA37*(1+AE38)</f>
        <v>1748.8799999999997</v>
      </c>
      <c r="AF37" s="1182">
        <f>AB37*(1+AF38)</f>
        <v>2748.7408132366377</v>
      </c>
      <c r="AG37" s="1182">
        <f>AC37*(1+AG38)</f>
        <v>2561.8429523775894</v>
      </c>
      <c r="AH37" s="1250">
        <f t="shared" ref="AH37:AN37" si="32">AD37*(1+AH38)</f>
        <v>1468.8</v>
      </c>
      <c r="AI37" s="1251">
        <f t="shared" si="32"/>
        <v>1836.3239999999996</v>
      </c>
      <c r="AJ37" s="1251">
        <f t="shared" si="32"/>
        <v>2198.9926505893104</v>
      </c>
      <c r="AK37" s="1251">
        <f>I37-SUM(AH37:AJ37)</f>
        <v>2570.3739267442033</v>
      </c>
      <c r="AL37" s="1250">
        <f t="shared" si="32"/>
        <v>1498.1759999999999</v>
      </c>
      <c r="AM37" s="1251">
        <f t="shared" si="32"/>
        <v>1873.0504799999997</v>
      </c>
      <c r="AN37" s="1251">
        <f t="shared" si="32"/>
        <v>2242.9725036010968</v>
      </c>
      <c r="AO37" s="1251">
        <f>J37-SUM(AL37:AN37)</f>
        <v>2864.0161225990942</v>
      </c>
    </row>
    <row r="38" spans="1:41" ht="12">
      <c r="A38" s="1190" t="s">
        <v>1773</v>
      </c>
      <c r="G38" s="1242">
        <f>G37/F37-1</f>
        <v>2.688288429894397</v>
      </c>
      <c r="H38" s="1242">
        <f>H37/G37-1</f>
        <v>0.58992488178223823</v>
      </c>
      <c r="I38" s="1253">
        <v>-0.05</v>
      </c>
      <c r="J38" s="1253">
        <v>0.05</v>
      </c>
      <c r="K38" s="1253">
        <v>0.05</v>
      </c>
      <c r="Y38" s="1242"/>
      <c r="Z38" s="1242">
        <f>Z37/V37-1</f>
        <v>9.0893483210572494</v>
      </c>
      <c r="AA38" s="1242">
        <f>AA37/W37-1</f>
        <v>4.7831679771265163</v>
      </c>
      <c r="AB38" s="1242">
        <f>AB37/X37-1</f>
        <v>1.9566977093546694</v>
      </c>
      <c r="AC38" s="1242">
        <f>AC37/Y37-1</f>
        <v>1.6142793264672206</v>
      </c>
      <c r="AD38" s="1254">
        <v>0.6</v>
      </c>
      <c r="AE38" s="1253">
        <v>0.4</v>
      </c>
      <c r="AF38" s="1253">
        <v>0.55000000000000004</v>
      </c>
      <c r="AG38" s="1253">
        <v>0.8</v>
      </c>
      <c r="AH38" s="1254">
        <v>0.02</v>
      </c>
      <c r="AI38" s="1255">
        <v>0.05</v>
      </c>
      <c r="AJ38" s="1255">
        <v>-0.2</v>
      </c>
      <c r="AK38" s="1256">
        <f>AK37/AG37-1</f>
        <v>3.3300145735695175E-3</v>
      </c>
      <c r="AL38" s="1254">
        <v>0.02</v>
      </c>
      <c r="AM38" s="1255">
        <v>0.02</v>
      </c>
      <c r="AN38" s="1255">
        <v>0.02</v>
      </c>
      <c r="AO38" s="1256">
        <v>0.02</v>
      </c>
    </row>
    <row r="39" spans="1:41" ht="12">
      <c r="A39" s="1190" t="s">
        <v>1779</v>
      </c>
      <c r="F39" s="1191">
        <f>F64/F37</f>
        <v>8.8136107481144393E-2</v>
      </c>
      <c r="G39" s="1191">
        <f>G66/G37</f>
        <v>7.2131586309030077E-2</v>
      </c>
      <c r="H39" s="1191">
        <f>H66/H37</f>
        <v>7.0912120649112967E-2</v>
      </c>
      <c r="I39" s="1261">
        <v>5.1999999999999998E-2</v>
      </c>
      <c r="J39" s="1261">
        <v>0.05</v>
      </c>
      <c r="K39" s="1261">
        <v>0.05</v>
      </c>
      <c r="V39" s="1191">
        <f>V64/V37</f>
        <v>0.12550446420128852</v>
      </c>
      <c r="W39" s="1191">
        <f>W64/W37</f>
        <v>0.11416614772218246</v>
      </c>
      <c r="X39" s="1191">
        <f>X64/X37</f>
        <v>7.4346613204207795E-2</v>
      </c>
      <c r="Y39" s="1191">
        <f>Y64/Y37</f>
        <v>8.6877328519401442E-2</v>
      </c>
      <c r="Z39" s="1191">
        <f>Z66/Z37</f>
        <v>7.3236666666666658E-2</v>
      </c>
      <c r="AA39" s="1191">
        <f>AA66/AA37</f>
        <v>7.024255523535064E-2</v>
      </c>
      <c r="AB39" s="1191">
        <f>AB66/AB37</f>
        <v>7.350929524784007E-2</v>
      </c>
      <c r="AC39" s="1191">
        <f>AC66/AC37</f>
        <v>7.1851945424353816E-2</v>
      </c>
      <c r="AD39" s="1269">
        <f>AD66/AD37</f>
        <v>6.9509027777777774E-2</v>
      </c>
      <c r="AE39" s="1191">
        <f t="shared" ref="AE39:AJ39" si="33">AE66/AE37</f>
        <v>6.9063629294176865E-2</v>
      </c>
      <c r="AF39" s="1191">
        <f t="shared" si="33"/>
        <v>7.350201918896114E-2</v>
      </c>
      <c r="AG39" s="1191">
        <f t="shared" si="33"/>
        <v>7.0183849417128255E-2</v>
      </c>
      <c r="AH39" s="1269">
        <f>AH66/AH37</f>
        <v>5.3005174291938996E-2</v>
      </c>
      <c r="AI39" s="1264">
        <f t="shared" si="33"/>
        <v>4.7726327162309061E-2</v>
      </c>
      <c r="AJ39" s="1264">
        <f t="shared" si="33"/>
        <v>5.9303517892636798E-2</v>
      </c>
      <c r="AK39" s="1264">
        <f>AK66/AK37</f>
        <v>4.420212904350191E-2</v>
      </c>
      <c r="AL39" s="1269">
        <v>0.05</v>
      </c>
      <c r="AM39" s="1263">
        <v>0.05</v>
      </c>
      <c r="AN39" s="1264">
        <v>0.05</v>
      </c>
      <c r="AO39" s="1264">
        <f>AO66/AO37</f>
        <v>5.000000000000001E-2</v>
      </c>
    </row>
    <row r="40" spans="1:41" s="1195" customFormat="1">
      <c r="A40" s="1187" t="s">
        <v>1781</v>
      </c>
      <c r="B40" s="1199"/>
      <c r="C40" s="1199"/>
      <c r="D40" s="1199"/>
      <c r="E40" s="1199"/>
      <c r="F40" s="1199">
        <f>G40/(1+G41)</f>
        <v>12100.903614457829</v>
      </c>
      <c r="G40" s="1199">
        <f>SUM(Z40:AC40)</f>
        <v>20087.5</v>
      </c>
      <c r="H40" s="1199">
        <f>SUM(AD40:AG40)</f>
        <v>26256.733963857085</v>
      </c>
      <c r="I40" s="1199">
        <f>I37+I30+I26</f>
        <v>26586.726921932466</v>
      </c>
      <c r="J40" s="1199">
        <f>J37+J30+J26</f>
        <v>28366.779955288061</v>
      </c>
      <c r="K40" s="1199">
        <f>K37+K30+K26</f>
        <v>30675.49639141771</v>
      </c>
      <c r="M40" s="1272"/>
      <c r="N40" s="1199"/>
      <c r="O40" s="1199"/>
      <c r="P40" s="1199"/>
      <c r="Q40" s="1199"/>
      <c r="R40" s="1199"/>
      <c r="S40" s="1199"/>
      <c r="T40" s="1199"/>
      <c r="U40" s="1199"/>
      <c r="V40" s="1199">
        <f>F40-SUM(W40:Y40)</f>
        <v>1989.2029862941326</v>
      </c>
      <c r="W40" s="1199">
        <f>AA40/(1+AA41)</f>
        <v>2316.0061760164695</v>
      </c>
      <c r="X40" s="1199">
        <f>AB40/(1+AB41)</f>
        <v>4551.2820512820508</v>
      </c>
      <c r="Y40" s="1199">
        <f>AC40/(1+AC41)</f>
        <v>3244.4124008651766</v>
      </c>
      <c r="Z40" s="1199">
        <f>Z33+Z37</f>
        <v>3987.5</v>
      </c>
      <c r="AA40" s="1227">
        <v>4500</v>
      </c>
      <c r="AB40" s="1227">
        <v>7100</v>
      </c>
      <c r="AC40" s="1227">
        <v>4500</v>
      </c>
      <c r="AD40" s="1273">
        <f>AD37+AD30+AD26</f>
        <v>5449.3308280000001</v>
      </c>
      <c r="AE40" s="1199">
        <f>AE37+AE30+AE26</f>
        <v>5746.0084568000002</v>
      </c>
      <c r="AF40" s="1199">
        <f>AF37+AF30+AF26</f>
        <v>9426.9305724575206</v>
      </c>
      <c r="AG40" s="1199">
        <f>AG37+AG30+AG26</f>
        <v>5634.464106599562</v>
      </c>
      <c r="AH40" s="1273">
        <f t="shared" ref="AH40:AO40" si="34">AH37+AH30+AH26</f>
        <v>5695.8034045367986</v>
      </c>
      <c r="AI40" s="1199">
        <f t="shared" si="34"/>
        <v>6241.5592722392812</v>
      </c>
      <c r="AJ40" s="1199">
        <f t="shared" si="34"/>
        <v>8988.9739016308704</v>
      </c>
      <c r="AK40" s="1199">
        <f t="shared" si="34"/>
        <v>5660.3903435255124</v>
      </c>
      <c r="AL40" s="1273">
        <f t="shared" si="34"/>
        <v>5529.9475461582551</v>
      </c>
      <c r="AM40" s="1199">
        <f t="shared" si="34"/>
        <v>6622.6174205723237</v>
      </c>
      <c r="AN40" s="1199">
        <f t="shared" si="34"/>
        <v>9879.0688208339561</v>
      </c>
      <c r="AO40" s="1199">
        <f t="shared" si="34"/>
        <v>6335.1461677235247</v>
      </c>
    </row>
    <row r="41" spans="1:41" s="1195" customFormat="1" ht="12">
      <c r="A41" s="1190" t="s">
        <v>1773</v>
      </c>
      <c r="G41" s="1270">
        <v>0.66</v>
      </c>
      <c r="H41" s="1242">
        <f>H40/G40-1</f>
        <v>0.3071180566948144</v>
      </c>
      <c r="I41" s="1242">
        <f>I40/H40-1</f>
        <v>1.2567936230363674E-2</v>
      </c>
      <c r="J41" s="1242">
        <f>J40/I40-1</f>
        <v>6.6952695553026409E-2</v>
      </c>
      <c r="K41" s="1242">
        <f>K40/J40-1</f>
        <v>8.1388033459161235E-2</v>
      </c>
      <c r="R41" s="1242"/>
      <c r="S41" s="1242"/>
      <c r="T41" s="1242"/>
      <c r="U41" s="1242"/>
      <c r="V41" s="1270"/>
      <c r="W41" s="1270"/>
      <c r="X41" s="1270"/>
      <c r="Y41" s="1270"/>
      <c r="Z41" s="1270">
        <f>Z40/V40-1</f>
        <v>1.0045716940274039</v>
      </c>
      <c r="AA41" s="1270">
        <v>0.94299999999999995</v>
      </c>
      <c r="AB41" s="1270">
        <v>0.56000000000000005</v>
      </c>
      <c r="AC41" s="1270">
        <v>0.38700000000000001</v>
      </c>
      <c r="AD41" s="1260">
        <f>AD40/Z40-1</f>
        <v>0.36660334244514114</v>
      </c>
      <c r="AE41" s="1242">
        <f>AE40/AA40-1</f>
        <v>0.27689076817777791</v>
      </c>
      <c r="AF41" s="1242">
        <f>AF40/AB40-1</f>
        <v>0.32773670034612956</v>
      </c>
      <c r="AG41" s="1242">
        <f>AG40/AC40-1</f>
        <v>0.25210313479990276</v>
      </c>
      <c r="AH41" s="1260">
        <f t="shared" ref="AH41:AO41" si="35">AH40/AD40-1</f>
        <v>4.5229879468936307E-2</v>
      </c>
      <c r="AI41" s="1256">
        <f t="shared" si="35"/>
        <v>8.624261853510351E-2</v>
      </c>
      <c r="AJ41" s="1256">
        <f t="shared" si="35"/>
        <v>-4.6458035037005518E-2</v>
      </c>
      <c r="AK41" s="1256">
        <f t="shared" si="35"/>
        <v>4.6013669508664368E-3</v>
      </c>
      <c r="AL41" s="1260">
        <f t="shared" si="35"/>
        <v>-2.9118957695491443E-2</v>
      </c>
      <c r="AM41" s="1256">
        <f t="shared" si="35"/>
        <v>6.1051755132388585E-2</v>
      </c>
      <c r="AN41" s="1256">
        <f t="shared" si="35"/>
        <v>9.9020747967862643E-2</v>
      </c>
      <c r="AO41" s="1256">
        <f t="shared" si="35"/>
        <v>0.1192065888123448</v>
      </c>
    </row>
    <row r="42" spans="1:41" s="1195" customFormat="1" ht="12">
      <c r="A42" s="1190" t="s">
        <v>1782</v>
      </c>
      <c r="G42" s="1191">
        <f>G70/G40</f>
        <v>7.2063820784069685E-2</v>
      </c>
      <c r="H42" s="1191">
        <f>H70/H40</f>
        <v>8.34876875020895E-2</v>
      </c>
      <c r="I42" s="1191">
        <f>I70/I40</f>
        <v>8.4258171627437539E-2</v>
      </c>
      <c r="J42" s="1191">
        <f>J70/J40</f>
        <v>8.9752012222005073E-2</v>
      </c>
      <c r="K42" s="1191">
        <f>K70/K40</f>
        <v>9.7327215073124432E-2</v>
      </c>
      <c r="R42" s="1242"/>
      <c r="S42" s="1242"/>
      <c r="T42" s="1242"/>
      <c r="U42" s="1242"/>
      <c r="V42" s="1270"/>
      <c r="W42" s="1270"/>
      <c r="X42" s="1270"/>
      <c r="Y42" s="1270"/>
      <c r="Z42" s="1191">
        <f t="shared" ref="Z42:AO42" si="36">Z70/Z40</f>
        <v>7.4697931034482759E-2</v>
      </c>
      <c r="AA42" s="1191">
        <f t="shared" si="36"/>
        <v>6.7300444444444441E-2</v>
      </c>
      <c r="AB42" s="1191">
        <f t="shared" si="36"/>
        <v>7.3964647887323945E-2</v>
      </c>
      <c r="AC42" s="1191">
        <f t="shared" si="36"/>
        <v>7.1494000000000002E-2</v>
      </c>
      <c r="AD42" s="1269">
        <f t="shared" si="36"/>
        <v>8.3687523182984114E-2</v>
      </c>
      <c r="AE42" s="1191">
        <f t="shared" si="36"/>
        <v>8.0070888071095317E-2</v>
      </c>
      <c r="AF42" s="1191">
        <f t="shared" si="36"/>
        <v>8.5508744739790796E-2</v>
      </c>
      <c r="AG42" s="1191">
        <f t="shared" si="36"/>
        <v>8.3397460895990677E-2</v>
      </c>
      <c r="AH42" s="1269">
        <f t="shared" si="36"/>
        <v>8.4366149227911857E-2</v>
      </c>
      <c r="AI42" s="1264">
        <f t="shared" si="36"/>
        <v>8.4153650889156148E-2</v>
      </c>
      <c r="AJ42" s="1264">
        <f t="shared" si="36"/>
        <v>8.4896341712767137E-2</v>
      </c>
      <c r="AK42" s="1264">
        <f t="shared" si="36"/>
        <v>8.3251325686224037E-2</v>
      </c>
      <c r="AL42" s="1269">
        <f t="shared" si="36"/>
        <v>8.2822055966189662E-2</v>
      </c>
      <c r="AM42" s="1264">
        <f t="shared" si="36"/>
        <v>8.8162951561970626E-2</v>
      </c>
      <c r="AN42" s="1264">
        <f t="shared" si="36"/>
        <v>9.6351894858282494E-2</v>
      </c>
      <c r="AO42" s="1264">
        <f t="shared" si="36"/>
        <v>8.7170436526843587E-2</v>
      </c>
    </row>
    <row r="44" spans="1:41">
      <c r="A44" s="1181" t="s">
        <v>1783</v>
      </c>
    </row>
    <row r="45" spans="1:41">
      <c r="A45" s="1169" t="s">
        <v>1777</v>
      </c>
      <c r="F45" s="1236">
        <f t="shared" ref="F45:K45" si="37">F26/F$40</f>
        <v>0.60812640398257634</v>
      </c>
      <c r="G45" s="1236">
        <f t="shared" si="37"/>
        <v>0.49416940883634103</v>
      </c>
      <c r="H45" s="1236">
        <f t="shared" si="37"/>
        <v>0.45494920916071252</v>
      </c>
      <c r="I45" s="1236">
        <f t="shared" si="37"/>
        <v>0.46781815730184945</v>
      </c>
      <c r="J45" s="1236">
        <f t="shared" si="37"/>
        <v>0.46959274629376485</v>
      </c>
      <c r="K45" s="1236">
        <f t="shared" si="37"/>
        <v>0.47394044269713126</v>
      </c>
      <c r="V45" s="1236">
        <f>V26/V$40</f>
        <v>0.60394662298297974</v>
      </c>
      <c r="W45" s="1236">
        <f t="shared" ref="W45:AO45" si="38">W26/W$40</f>
        <v>0.63318777781599989</v>
      </c>
      <c r="X45" s="1236">
        <f t="shared" si="38"/>
        <v>0.63423691445070429</v>
      </c>
      <c r="Y45" s="1236">
        <f t="shared" si="38"/>
        <v>0.55617118357666673</v>
      </c>
      <c r="Z45" s="1236">
        <f t="shared" si="38"/>
        <v>0.48023974921630092</v>
      </c>
      <c r="AA45" s="1236">
        <f t="shared" si="38"/>
        <v>0.49184977777777777</v>
      </c>
      <c r="AB45" s="1236">
        <f t="shared" si="38"/>
        <v>0.54228591549295779</v>
      </c>
      <c r="AC45" s="1236">
        <f t="shared" si="38"/>
        <v>0.43291511111111108</v>
      </c>
      <c r="AD45" s="1274">
        <f t="shared" si="38"/>
        <v>0.46140293319699321</v>
      </c>
      <c r="AE45" s="1236">
        <f t="shared" si="38"/>
        <v>0.47463519298731294</v>
      </c>
      <c r="AF45" s="1236">
        <f t="shared" si="38"/>
        <v>0.50481800448429515</v>
      </c>
      <c r="AG45" s="1236">
        <f t="shared" si="38"/>
        <v>0.34519716061760863</v>
      </c>
      <c r="AH45" s="1274">
        <f t="shared" si="38"/>
        <v>0.46377350201953116</v>
      </c>
      <c r="AI45" s="1275">
        <f t="shared" si="38"/>
        <v>0.48156409743594791</v>
      </c>
      <c r="AJ45" s="1275">
        <f t="shared" si="38"/>
        <v>0.53984296243596686</v>
      </c>
      <c r="AK45" s="1275">
        <f t="shared" si="38"/>
        <v>0.34235196340139173</v>
      </c>
      <c r="AL45" s="1274">
        <f t="shared" si="38"/>
        <v>0.45399005348084515</v>
      </c>
      <c r="AM45" s="1275">
        <f t="shared" si="38"/>
        <v>0.49084464434253294</v>
      </c>
      <c r="AN45" s="1275">
        <f t="shared" si="38"/>
        <v>0.55682841597755439</v>
      </c>
      <c r="AO45" s="1275">
        <f t="shared" si="38"/>
        <v>0.32496020308431911</v>
      </c>
    </row>
    <row r="46" spans="1:41">
      <c r="A46" s="1169" t="s">
        <v>1639</v>
      </c>
      <c r="F46" s="1236">
        <f t="shared" ref="F46:K46" si="39">F30/F$40</f>
        <v>0.27209692378344946</v>
      </c>
      <c r="G46" s="1236">
        <f t="shared" si="39"/>
        <v>0.23970353431316468</v>
      </c>
      <c r="H46" s="1236">
        <f t="shared" si="39"/>
        <v>0.22134473595394238</v>
      </c>
      <c r="I46" s="1236">
        <f t="shared" si="39"/>
        <v>0.22847802082331339</v>
      </c>
      <c r="J46" s="1236">
        <f t="shared" si="39"/>
        <v>0.23152894888758385</v>
      </c>
      <c r="K46" s="1236">
        <f t="shared" si="39"/>
        <v>0.23585640140542066</v>
      </c>
      <c r="V46" s="1236">
        <f>V30/V$40</f>
        <v>0.35120979548775816</v>
      </c>
      <c r="W46" s="1236">
        <f t="shared" ref="W46:AO46" si="40">W30/W$40</f>
        <v>0.27354555551733334</v>
      </c>
      <c r="X46" s="1236">
        <f t="shared" si="40"/>
        <v>0.23397947028882252</v>
      </c>
      <c r="Y46" s="1236">
        <f t="shared" si="40"/>
        <v>0.27602881642333327</v>
      </c>
      <c r="Z46" s="1236">
        <f t="shared" si="40"/>
        <v>0.29405492163009406</v>
      </c>
      <c r="AA46" s="1236">
        <f t="shared" si="40"/>
        <v>0.23055022222222224</v>
      </c>
      <c r="AB46" s="1236">
        <f t="shared" si="40"/>
        <v>0.20794208875632553</v>
      </c>
      <c r="AC46" s="1236">
        <f t="shared" si="40"/>
        <v>0.25080798118795194</v>
      </c>
      <c r="AD46" s="1274">
        <f t="shared" si="40"/>
        <v>0.27434443736070407</v>
      </c>
      <c r="AE46" s="1236">
        <f t="shared" si="40"/>
        <v>0.22100047947148369</v>
      </c>
      <c r="AF46" s="1236">
        <f t="shared" si="40"/>
        <v>0.20359813456444478</v>
      </c>
      <c r="AG46" s="1236">
        <f t="shared" si="40"/>
        <v>0.20012908445032218</v>
      </c>
      <c r="AH46" s="1274">
        <f t="shared" si="40"/>
        <v>0.27835242900714779</v>
      </c>
      <c r="AI46" s="1275">
        <f t="shared" si="40"/>
        <v>0.22422672823681986</v>
      </c>
      <c r="AJ46" s="1275">
        <f t="shared" si="40"/>
        <v>0.21552481650592711</v>
      </c>
      <c r="AK46" s="1275">
        <f t="shared" si="40"/>
        <v>0.2035496845857904</v>
      </c>
      <c r="AL46" s="1274">
        <f t="shared" si="40"/>
        <v>0.27508947439988352</v>
      </c>
      <c r="AM46" s="1275">
        <f t="shared" si="40"/>
        <v>0.22632904076547211</v>
      </c>
      <c r="AN46" s="1275">
        <f t="shared" si="40"/>
        <v>0.21612867701577557</v>
      </c>
      <c r="AO46" s="1275">
        <f t="shared" si="40"/>
        <v>0.22295612800354725</v>
      </c>
    </row>
    <row r="47" spans="1:41">
      <c r="A47" s="1169" t="s">
        <v>1640</v>
      </c>
      <c r="F47" s="1236">
        <f t="shared" ref="F47:K47" si="41">F37/F$40</f>
        <v>0.11977667223397424</v>
      </c>
      <c r="G47" s="1236">
        <f t="shared" si="41"/>
        <v>0.26612705685049431</v>
      </c>
      <c r="H47" s="1236">
        <f t="shared" si="41"/>
        <v>0.3237060548853451</v>
      </c>
      <c r="I47" s="1236">
        <f t="shared" si="41"/>
        <v>0.30370382187483713</v>
      </c>
      <c r="J47" s="1236">
        <f t="shared" si="41"/>
        <v>0.29887830481865124</v>
      </c>
      <c r="K47" s="1236">
        <f t="shared" si="41"/>
        <v>0.29020315589744811</v>
      </c>
      <c r="V47" s="1236">
        <f>V37/V$40</f>
        <v>4.4843581529262135E-2</v>
      </c>
      <c r="W47" s="1236">
        <f t="shared" ref="W47:AO47" si="42">W37/W$40</f>
        <v>9.3266666666666692E-2</v>
      </c>
      <c r="X47" s="1236">
        <f t="shared" si="42"/>
        <v>0.13178361526047319</v>
      </c>
      <c r="Y47" s="1236">
        <f t="shared" si="42"/>
        <v>0.16779999999999998</v>
      </c>
      <c r="Z47" s="1236">
        <f t="shared" si="42"/>
        <v>0.22570532915360503</v>
      </c>
      <c r="AA47" s="1236">
        <f t="shared" si="42"/>
        <v>0.27759999999999996</v>
      </c>
      <c r="AB47" s="1236">
        <f t="shared" si="42"/>
        <v>0.24977199575071674</v>
      </c>
      <c r="AC47" s="1236">
        <f t="shared" si="42"/>
        <v>0.31627690770093697</v>
      </c>
      <c r="AD47" s="1274">
        <f t="shared" si="42"/>
        <v>0.2642526294423026</v>
      </c>
      <c r="AE47" s="1236">
        <f t="shared" si="42"/>
        <v>0.30436432754120335</v>
      </c>
      <c r="AF47" s="1236">
        <f t="shared" si="42"/>
        <v>0.29158386095126021</v>
      </c>
      <c r="AG47" s="1236">
        <f t="shared" si="42"/>
        <v>0.45467375493206919</v>
      </c>
      <c r="AH47" s="1274">
        <f t="shared" si="42"/>
        <v>0.25787406897332116</v>
      </c>
      <c r="AI47" s="1275">
        <f t="shared" si="42"/>
        <v>0.29420917432723226</v>
      </c>
      <c r="AJ47" s="1275">
        <f t="shared" si="42"/>
        <v>0.2446322210581062</v>
      </c>
      <c r="AK47" s="1275">
        <f t="shared" si="42"/>
        <v>0.4540983520128179</v>
      </c>
      <c r="AL47" s="1274">
        <f t="shared" si="42"/>
        <v>0.27092047211927123</v>
      </c>
      <c r="AM47" s="1275">
        <f t="shared" si="42"/>
        <v>0.282826314891995</v>
      </c>
      <c r="AN47" s="1275">
        <f t="shared" si="42"/>
        <v>0.22704290700666999</v>
      </c>
      <c r="AO47" s="1275">
        <f t="shared" si="42"/>
        <v>0.45208366891213364</v>
      </c>
    </row>
    <row r="48" spans="1:41">
      <c r="F48" s="1236"/>
      <c r="G48" s="1236"/>
      <c r="H48" s="1236"/>
      <c r="I48" s="1236"/>
      <c r="J48" s="1236"/>
      <c r="K48" s="1236"/>
      <c r="V48" s="1236"/>
      <c r="W48" s="1236"/>
      <c r="X48" s="1236"/>
      <c r="Y48" s="1236"/>
      <c r="Z48" s="1236"/>
      <c r="AA48" s="1236"/>
      <c r="AB48" s="1236"/>
      <c r="AC48" s="1236"/>
      <c r="AD48" s="1274"/>
      <c r="AE48" s="1236"/>
      <c r="AF48" s="1236"/>
      <c r="AG48" s="1236"/>
      <c r="AH48" s="1274"/>
      <c r="AI48" s="1275"/>
      <c r="AJ48" s="1275"/>
      <c r="AK48" s="1275"/>
      <c r="AL48" s="1274"/>
      <c r="AM48" s="1275"/>
      <c r="AN48" s="1275"/>
      <c r="AO48" s="1275"/>
    </row>
    <row r="49" spans="1:41" hidden="1" outlineLevel="1">
      <c r="A49" s="1169" t="s">
        <v>1784</v>
      </c>
      <c r="F49" s="1236"/>
      <c r="G49" s="1236"/>
      <c r="H49" s="1236"/>
      <c r="I49" s="1236"/>
      <c r="J49" s="1236"/>
      <c r="K49" s="1236"/>
      <c r="V49" s="1236"/>
      <c r="W49" s="1236"/>
      <c r="X49" s="1236">
        <v>0.372</v>
      </c>
      <c r="Y49" s="1236">
        <v>0.46600000000000003</v>
      </c>
      <c r="Z49" s="1236"/>
      <c r="AA49" s="1236">
        <v>0.45300000000000001</v>
      </c>
      <c r="AB49" s="1236">
        <v>0.45700000000000002</v>
      </c>
      <c r="AC49" s="1236">
        <v>0.54400000000000004</v>
      </c>
      <c r="AD49" s="1274">
        <v>0.59</v>
      </c>
      <c r="AE49" s="1236"/>
      <c r="AF49" s="1236"/>
      <c r="AG49" s="1236"/>
      <c r="AH49" s="1274"/>
      <c r="AI49" s="1275"/>
      <c r="AJ49" s="1275"/>
      <c r="AK49" s="1275"/>
      <c r="AL49" s="1274"/>
      <c r="AM49" s="1275"/>
      <c r="AN49" s="1275"/>
      <c r="AO49" s="1275"/>
    </row>
    <row r="50" spans="1:41" hidden="1" outlineLevel="1">
      <c r="A50" s="1169" t="s">
        <v>1785</v>
      </c>
      <c r="F50" s="1236"/>
      <c r="G50" s="1236">
        <v>0.51</v>
      </c>
      <c r="H50" s="1236"/>
      <c r="I50" s="1236"/>
      <c r="J50" s="1236"/>
      <c r="K50" s="1236"/>
      <c r="V50" s="1236"/>
      <c r="W50" s="1236"/>
      <c r="X50" s="1236"/>
      <c r="Y50" s="1236"/>
      <c r="Z50" s="1236"/>
      <c r="AA50" s="1236"/>
      <c r="AB50" s="1236">
        <v>0.55000000000000004</v>
      </c>
      <c r="AC50" s="1236"/>
      <c r="AD50" s="1274"/>
      <c r="AE50" s="1236"/>
      <c r="AF50" s="1236"/>
      <c r="AG50" s="1236"/>
      <c r="AH50" s="1274"/>
      <c r="AI50" s="1275"/>
      <c r="AJ50" s="1275"/>
      <c r="AK50" s="1275"/>
      <c r="AL50" s="1274"/>
      <c r="AM50" s="1275"/>
      <c r="AN50" s="1275"/>
      <c r="AO50" s="1275"/>
    </row>
    <row r="51" spans="1:41" hidden="1" outlineLevel="1">
      <c r="A51" s="1169" t="s">
        <v>1786</v>
      </c>
      <c r="F51" s="1236"/>
      <c r="G51" s="1236"/>
      <c r="H51" s="1236"/>
      <c r="I51" s="1236"/>
      <c r="J51" s="1236"/>
      <c r="K51" s="1236"/>
      <c r="V51" s="1236"/>
      <c r="W51" s="1236"/>
      <c r="X51" s="1236"/>
      <c r="Y51" s="1236"/>
      <c r="Z51" s="1236">
        <v>0.3</v>
      </c>
      <c r="AA51" s="1236">
        <v>0.3</v>
      </c>
      <c r="AB51" s="1276" t="s">
        <v>1787</v>
      </c>
      <c r="AC51" s="1236">
        <v>0.35</v>
      </c>
      <c r="AD51" s="1274">
        <v>0.4</v>
      </c>
      <c r="AE51" s="1236"/>
      <c r="AF51" s="1236"/>
      <c r="AG51" s="1236"/>
      <c r="AH51" s="1274"/>
      <c r="AI51" s="1275"/>
      <c r="AJ51" s="1275"/>
      <c r="AK51" s="1275"/>
      <c r="AL51" s="1274"/>
      <c r="AM51" s="1275"/>
      <c r="AN51" s="1275"/>
      <c r="AO51" s="1275"/>
    </row>
    <row r="52" spans="1:41" collapsed="1">
      <c r="H52" s="1236"/>
      <c r="I52" s="1236"/>
      <c r="J52" s="1236"/>
      <c r="K52" s="1236"/>
      <c r="V52" s="1236"/>
      <c r="W52" s="1236"/>
      <c r="X52" s="1236"/>
      <c r="Y52" s="1236"/>
      <c r="Z52" s="1236"/>
      <c r="AA52" s="1236"/>
      <c r="AB52" s="1236"/>
      <c r="AC52" s="1236"/>
      <c r="AD52" s="1274"/>
      <c r="AE52" s="1236"/>
      <c r="AF52" s="1236"/>
      <c r="AG52" s="1236"/>
      <c r="AH52" s="1274"/>
      <c r="AI52" s="1275"/>
      <c r="AJ52" s="1275"/>
      <c r="AK52" s="1275"/>
      <c r="AL52" s="1274"/>
      <c r="AM52" s="1275"/>
      <c r="AN52" s="1275"/>
      <c r="AO52" s="1275"/>
    </row>
    <row r="53" spans="1:41" s="1279" customFormat="1" ht="13">
      <c r="A53" s="1277" t="s">
        <v>1637</v>
      </c>
      <c r="B53" s="1278"/>
      <c r="C53" s="1278"/>
      <c r="D53" s="1278"/>
      <c r="E53" s="1278"/>
      <c r="F53" s="1278"/>
      <c r="G53" s="1278"/>
      <c r="H53" s="1278"/>
      <c r="I53" s="1278"/>
      <c r="J53" s="1278"/>
      <c r="K53" s="1278"/>
      <c r="N53" s="1278"/>
      <c r="O53" s="1278"/>
      <c r="P53" s="1278"/>
      <c r="Q53" s="1278"/>
      <c r="R53" s="1278"/>
      <c r="S53" s="1278"/>
      <c r="T53" s="1278"/>
      <c r="U53" s="1278"/>
      <c r="V53" s="1278"/>
      <c r="W53" s="1278"/>
      <c r="X53" s="1278"/>
      <c r="Y53" s="1278"/>
      <c r="Z53" s="1278"/>
      <c r="AA53" s="1278"/>
      <c r="AB53" s="1278"/>
      <c r="AC53" s="1278"/>
      <c r="AD53" s="1280"/>
      <c r="AE53" s="1278"/>
      <c r="AF53" s="1278"/>
      <c r="AG53" s="1278"/>
      <c r="AH53" s="1280"/>
      <c r="AI53" s="1281"/>
      <c r="AJ53" s="1281"/>
      <c r="AK53" s="1281"/>
      <c r="AL53" s="1280"/>
      <c r="AM53" s="1281"/>
      <c r="AN53" s="1281"/>
      <c r="AO53" s="1281"/>
    </row>
    <row r="54" spans="1:41" s="1252" customFormat="1" ht="12" hidden="1" outlineLevel="1">
      <c r="A54" s="1171" t="s">
        <v>1788</v>
      </c>
      <c r="B54" s="1282">
        <v>751.38800000000003</v>
      </c>
      <c r="C54" s="1282">
        <v>1075.0940439999999</v>
      </c>
      <c r="D54" s="1282">
        <v>1892.8261279999999</v>
      </c>
      <c r="E54" s="1282">
        <v>3432.8249999999998</v>
      </c>
      <c r="F54" s="1282">
        <v>7358.8789999999999</v>
      </c>
      <c r="G54" s="1252">
        <f>SUM(Z54:AC54)</f>
        <v>9926.6280000000006</v>
      </c>
      <c r="H54" s="1252">
        <f>SUM(AD54:AG54)</f>
        <v>11945.480352</v>
      </c>
      <c r="I54" s="1252">
        <f>I26</f>
        <v>12437.753597305918</v>
      </c>
      <c r="J54" s="1252">
        <f>J26</f>
        <v>13320.83410271464</v>
      </c>
      <c r="K54" s="1252">
        <f>K26</f>
        <v>14538.358339702761</v>
      </c>
      <c r="N54" s="1282">
        <v>353.06599999999997</v>
      </c>
      <c r="O54" s="1282">
        <v>374.714046</v>
      </c>
      <c r="P54" s="1282">
        <v>690.19152399999996</v>
      </c>
      <c r="Q54" s="1282">
        <v>474.854356</v>
      </c>
      <c r="R54" s="1282">
        <v>554.08973300000002</v>
      </c>
      <c r="S54" s="1282">
        <v>696.74443099999996</v>
      </c>
      <c r="T54" s="1282">
        <v>1285.951777</v>
      </c>
      <c r="U54" s="1282">
        <v>896.03953899999999</v>
      </c>
      <c r="V54" s="1282">
        <v>1201.3724259999999</v>
      </c>
      <c r="W54" s="1282">
        <v>1466.4668039999999</v>
      </c>
      <c r="X54" s="1282">
        <v>2886.591085</v>
      </c>
      <c r="Y54" s="1252">
        <f>F54-SUM(V54:X54)</f>
        <v>1804.4486850000003</v>
      </c>
      <c r="Z54" s="1282">
        <v>1914.9559999999999</v>
      </c>
      <c r="AA54" s="1282">
        <v>2213.3240000000001</v>
      </c>
      <c r="AB54" s="1282">
        <v>3850.23</v>
      </c>
      <c r="AC54" s="1282">
        <v>1948.1179999999999</v>
      </c>
      <c r="AD54" s="1258">
        <f t="shared" ref="AD54:AL54" si="43">AD26</f>
        <v>2514.3372279999999</v>
      </c>
      <c r="AE54" s="1252">
        <f t="shared" si="43"/>
        <v>2727.2578328000004</v>
      </c>
      <c r="AF54" s="1252">
        <f t="shared" si="43"/>
        <v>4758.8842799999993</v>
      </c>
      <c r="AG54" s="1252">
        <f t="shared" si="43"/>
        <v>1945.0010111999998</v>
      </c>
      <c r="AH54" s="1258">
        <f t="shared" si="43"/>
        <v>2641.5626917367995</v>
      </c>
      <c r="AI54" s="1259">
        <f t="shared" si="43"/>
        <v>3005.7108575288812</v>
      </c>
      <c r="AJ54" s="1259">
        <f t="shared" si="43"/>
        <v>4852.634300316</v>
      </c>
      <c r="AK54" s="1259">
        <f t="shared" si="43"/>
        <v>1937.8457477242373</v>
      </c>
      <c r="AL54" s="1258">
        <f t="shared" si="43"/>
        <v>2510.5411822266547</v>
      </c>
      <c r="AM54" s="1259"/>
      <c r="AN54" s="1259"/>
      <c r="AO54" s="1259"/>
    </row>
    <row r="55" spans="1:41" s="1252" customFormat="1" ht="12" hidden="1" outlineLevel="1">
      <c r="A55" s="1190" t="s">
        <v>1773</v>
      </c>
      <c r="C55" s="1242">
        <f t="shared" ref="C55:K55" si="44">C54/B54-1</f>
        <v>0.43081077153215097</v>
      </c>
      <c r="D55" s="1242">
        <f t="shared" si="44"/>
        <v>0.76061446769581398</v>
      </c>
      <c r="E55" s="1242">
        <f t="shared" si="44"/>
        <v>0.81359764070205176</v>
      </c>
      <c r="F55" s="1242">
        <f t="shared" si="44"/>
        <v>1.1436802050789074</v>
      </c>
      <c r="G55" s="1242">
        <f t="shared" si="44"/>
        <v>0.34893208598755332</v>
      </c>
      <c r="H55" s="1242">
        <f t="shared" si="44"/>
        <v>0.20337745627215997</v>
      </c>
      <c r="I55" s="1242">
        <f t="shared" si="44"/>
        <v>4.1209999999999747E-2</v>
      </c>
      <c r="J55" s="1242">
        <f t="shared" si="44"/>
        <v>7.1000000000000174E-2</v>
      </c>
      <c r="K55" s="1242">
        <f t="shared" si="44"/>
        <v>9.140000000000037E-2</v>
      </c>
      <c r="N55" s="1282"/>
      <c r="O55" s="1282"/>
      <c r="P55" s="1282"/>
      <c r="Q55" s="1282"/>
      <c r="R55" s="1242">
        <f t="shared" ref="R55:AL55" si="45">R54/N54-1</f>
        <v>0.56936587776789627</v>
      </c>
      <c r="S55" s="1242">
        <f t="shared" si="45"/>
        <v>0.85940302595435658</v>
      </c>
      <c r="T55" s="1242">
        <f t="shared" si="45"/>
        <v>0.8631810624785361</v>
      </c>
      <c r="U55" s="1242">
        <f t="shared" si="45"/>
        <v>0.88697761256295604</v>
      </c>
      <c r="V55" s="1242">
        <f t="shared" si="45"/>
        <v>1.1681910969463853</v>
      </c>
      <c r="W55" s="1242">
        <f t="shared" si="45"/>
        <v>1.1047413352055915</v>
      </c>
      <c r="X55" s="1242">
        <f t="shared" si="45"/>
        <v>1.2447117665128435</v>
      </c>
      <c r="Y55" s="1242">
        <f t="shared" si="45"/>
        <v>1.0138047557742875</v>
      </c>
      <c r="Z55" s="1242">
        <f t="shared" si="45"/>
        <v>0.59397365759083942</v>
      </c>
      <c r="AA55" s="1242">
        <f t="shared" si="45"/>
        <v>0.50929021643233874</v>
      </c>
      <c r="AB55" s="1242">
        <f t="shared" si="45"/>
        <v>0.33383284525733226</v>
      </c>
      <c r="AC55" s="1242">
        <f t="shared" si="45"/>
        <v>7.9619507162654202E-2</v>
      </c>
      <c r="AD55" s="1260">
        <f t="shared" si="45"/>
        <v>0.31299999999999994</v>
      </c>
      <c r="AE55" s="1242">
        <f t="shared" si="45"/>
        <v>0.23220000000000018</v>
      </c>
      <c r="AF55" s="1242">
        <f t="shared" si="45"/>
        <v>0.23599999999999977</v>
      </c>
      <c r="AG55" s="1242">
        <f t="shared" si="45"/>
        <v>-1.6000000000000458E-3</v>
      </c>
      <c r="AH55" s="1260">
        <f t="shared" si="45"/>
        <v>5.0599999999999756E-2</v>
      </c>
      <c r="AI55" s="1256">
        <f t="shared" si="45"/>
        <v>0.1021000000000003</v>
      </c>
      <c r="AJ55" s="1256">
        <f t="shared" si="45"/>
        <v>1.9700000000000051E-2</v>
      </c>
      <c r="AK55" s="1256">
        <f t="shared" si="45"/>
        <v>-3.6787967895954843E-3</v>
      </c>
      <c r="AL55" s="1260">
        <f t="shared" si="45"/>
        <v>-4.9599999999999866E-2</v>
      </c>
      <c r="AM55" s="1256"/>
      <c r="AN55" s="1256"/>
      <c r="AO55" s="1256"/>
    </row>
    <row r="56" spans="1:41" s="1252" customFormat="1" ht="12" collapsed="1">
      <c r="A56" s="1169" t="s">
        <v>1638</v>
      </c>
      <c r="C56" s="1242"/>
      <c r="D56" s="1242"/>
      <c r="E56" s="1242"/>
      <c r="F56" s="1242"/>
      <c r="G56" s="1182">
        <f>SUM(Z56:AC56)</f>
        <v>807.94999999999993</v>
      </c>
      <c r="H56" s="1182">
        <f>SUM(AD56:AG56)</f>
        <v>1075.5718602135998</v>
      </c>
      <c r="I56" s="1182">
        <f>I26*I28</f>
        <v>1206.4620989386742</v>
      </c>
      <c r="J56" s="1182">
        <f>J26*J28</f>
        <v>1465.2917512986103</v>
      </c>
      <c r="K56" s="1182">
        <f>K26*K28</f>
        <v>1744.6030007643312</v>
      </c>
      <c r="N56" s="1282"/>
      <c r="O56" s="1282"/>
      <c r="P56" s="1282"/>
      <c r="Q56" s="1282"/>
      <c r="R56" s="1242"/>
      <c r="S56" s="1242"/>
      <c r="T56" s="1242"/>
      <c r="U56" s="1242"/>
      <c r="V56" s="1242"/>
      <c r="W56" s="1242"/>
      <c r="X56" s="1242"/>
      <c r="Y56" s="1242"/>
      <c r="Z56" s="1208">
        <f>231.945-Z59</f>
        <v>169.642</v>
      </c>
      <c r="AA56" s="1208">
        <f>215.105-AA59</f>
        <v>148.04199999999997</v>
      </c>
      <c r="AB56" s="1208">
        <f>394.789-AB59</f>
        <v>327.39099999999996</v>
      </c>
      <c r="AC56" s="1208">
        <f>219.46-AC59</f>
        <v>162.875</v>
      </c>
      <c r="AD56" s="1250">
        <f t="shared" ref="AD56:AJ56" si="46">AD26*AD28</f>
        <v>238.86203666</v>
      </c>
      <c r="AE56" s="1182">
        <f t="shared" si="46"/>
        <v>223.63514228960005</v>
      </c>
      <c r="AF56" s="1182">
        <f t="shared" si="46"/>
        <v>428.29958519999991</v>
      </c>
      <c r="AG56" s="1182">
        <f t="shared" si="46"/>
        <v>184.77509606399997</v>
      </c>
      <c r="AH56" s="1250">
        <f t="shared" si="46"/>
        <v>243.02376763978555</v>
      </c>
      <c r="AI56" s="1251">
        <f t="shared" si="46"/>
        <v>285.54253146524371</v>
      </c>
      <c r="AJ56" s="1251">
        <f t="shared" si="46"/>
        <v>461.00025853002001</v>
      </c>
      <c r="AK56" s="1251">
        <f>I56-SUM(AH56:AJ56)</f>
        <v>216.89554130362501</v>
      </c>
      <c r="AL56" s="1250">
        <f>AL26*AL28</f>
        <v>230.96978876485221</v>
      </c>
      <c r="AM56" s="1251">
        <f>AM26*AM28</f>
        <v>347.82236328867089</v>
      </c>
      <c r="AN56" s="1251">
        <f>AN26*AN28</f>
        <v>632.60881792639509</v>
      </c>
      <c r="AO56" s="1251">
        <f>J56-SUM(AL56:AN56)</f>
        <v>253.89078131869223</v>
      </c>
    </row>
    <row r="57" spans="1:41" s="1252" customFormat="1" ht="12">
      <c r="A57" s="1190" t="s">
        <v>1773</v>
      </c>
      <c r="C57" s="1242"/>
      <c r="D57" s="1242"/>
      <c r="E57" s="1242"/>
      <c r="F57" s="1242"/>
      <c r="G57" s="1242"/>
      <c r="H57" s="1242">
        <f>H56/G56-1</f>
        <v>0.33123567078853888</v>
      </c>
      <c r="I57" s="1242">
        <f>I56/H56-1</f>
        <v>0.12169362510012172</v>
      </c>
      <c r="J57" s="1242">
        <f>J56/I56-1</f>
        <v>0.21453608247422662</v>
      </c>
      <c r="K57" s="1242">
        <f>K56/J56-1</f>
        <v>0.19061818181818202</v>
      </c>
      <c r="N57" s="1282"/>
      <c r="O57" s="1282"/>
      <c r="P57" s="1282"/>
      <c r="Q57" s="1282"/>
      <c r="R57" s="1242"/>
      <c r="S57" s="1242"/>
      <c r="T57" s="1242"/>
      <c r="U57" s="1242"/>
      <c r="V57" s="1242"/>
      <c r="W57" s="1242"/>
      <c r="X57" s="1242"/>
      <c r="Y57" s="1242"/>
      <c r="Z57" s="1242"/>
      <c r="AA57" s="1242"/>
      <c r="AB57" s="1242"/>
      <c r="AC57" s="1242"/>
      <c r="AD57" s="1260">
        <f>AD56/Z56-1</f>
        <v>0.40803596196696579</v>
      </c>
      <c r="AE57" s="1242">
        <f>AE56/AA56-1</f>
        <v>0.51061956937625874</v>
      </c>
      <c r="AF57" s="1242">
        <f>AF56/AB56-1</f>
        <v>0.30822040068297518</v>
      </c>
      <c r="AG57" s="1242">
        <f>AG56/AC56-1</f>
        <v>0.13445953070759775</v>
      </c>
      <c r="AH57" s="1260">
        <f t="shared" ref="AH57:AO57" si="47">AH56/AD56-1</f>
        <v>1.7423157894736585E-2</v>
      </c>
      <c r="AI57" s="1256">
        <f t="shared" si="47"/>
        <v>0.27682317073170748</v>
      </c>
      <c r="AJ57" s="1256">
        <f t="shared" si="47"/>
        <v>7.635000000000014E-2</v>
      </c>
      <c r="AK57" s="1256">
        <f t="shared" si="47"/>
        <v>0.17383535943880446</v>
      </c>
      <c r="AL57" s="1260">
        <f t="shared" si="47"/>
        <v>-4.9599999999999866E-2</v>
      </c>
      <c r="AM57" s="1256">
        <f t="shared" si="47"/>
        <v>0.21811052631578942</v>
      </c>
      <c r="AN57" s="1256">
        <f t="shared" si="47"/>
        <v>0.37225263157894739</v>
      </c>
      <c r="AO57" s="1256">
        <f t="shared" si="47"/>
        <v>0.17056708401063347</v>
      </c>
    </row>
    <row r="58" spans="1:41">
      <c r="B58" s="1208"/>
      <c r="C58" s="1208"/>
      <c r="D58" s="1208"/>
      <c r="E58" s="1208"/>
      <c r="F58" s="1208"/>
      <c r="N58" s="1208"/>
      <c r="O58" s="1208"/>
      <c r="P58" s="1208"/>
      <c r="Q58" s="1208"/>
      <c r="R58" s="1208"/>
      <c r="S58" s="1208"/>
      <c r="T58" s="1208"/>
      <c r="U58" s="1208"/>
      <c r="V58" s="1208"/>
      <c r="W58" s="1208"/>
      <c r="X58" s="1208"/>
      <c r="Z58" s="1208"/>
      <c r="AA58" s="1208"/>
      <c r="AB58" s="1208"/>
      <c r="AC58" s="1208"/>
    </row>
    <row r="59" spans="1:41">
      <c r="A59" s="1169" t="s">
        <v>1639</v>
      </c>
      <c r="B59" s="1208">
        <v>17.559000000000001</v>
      </c>
      <c r="C59" s="1208">
        <v>32.359164</v>
      </c>
      <c r="D59" s="1208">
        <v>48.900512999999997</v>
      </c>
      <c r="E59" s="1208">
        <v>93.126000000000005</v>
      </c>
      <c r="F59" s="1208">
        <v>194.16200000000001</v>
      </c>
      <c r="G59" s="1182">
        <f>SUM(Z59:AC59)</f>
        <v>253.34899999999999</v>
      </c>
      <c r="H59" s="1182">
        <f>SUM(AD59:AG59)</f>
        <v>513.82713978640004</v>
      </c>
      <c r="I59" s="1182">
        <f>I30*I32</f>
        <v>571.00137824554508</v>
      </c>
      <c r="J59" s="1182">
        <f>J30*J32</f>
        <v>656.77307463732279</v>
      </c>
      <c r="K59" s="1182">
        <f>K30*K32</f>
        <v>795.85134092252235</v>
      </c>
      <c r="N59" s="1208">
        <v>15.48</v>
      </c>
      <c r="O59" s="1208">
        <v>10.220280000000001</v>
      </c>
      <c r="P59" s="1208">
        <v>15.919199000000001</v>
      </c>
      <c r="Q59" s="1208">
        <v>7.281034</v>
      </c>
      <c r="R59" s="1208">
        <v>22.795794999999998</v>
      </c>
      <c r="S59" s="1208">
        <v>16.519318999999999</v>
      </c>
      <c r="T59" s="1208">
        <v>25.200157000000001</v>
      </c>
      <c r="U59" s="1208">
        <v>28.610275000000001</v>
      </c>
      <c r="V59" s="1208">
        <v>40.407127000000003</v>
      </c>
      <c r="W59" s="1208">
        <v>34.583278999999997</v>
      </c>
      <c r="X59" s="1208">
        <v>66.973785000000007</v>
      </c>
      <c r="Y59" s="1182">
        <f>F59-SUM(V59:X59)</f>
        <v>52.197808999999978</v>
      </c>
      <c r="Z59" s="1208">
        <v>62.302999999999997</v>
      </c>
      <c r="AA59" s="1208">
        <v>67.063000000000002</v>
      </c>
      <c r="AB59" s="1208">
        <v>67.397999999999996</v>
      </c>
      <c r="AC59" s="1208">
        <v>56.585000000000001</v>
      </c>
      <c r="AD59" s="1250">
        <f>AD61-AD56</f>
        <v>117.08596333999998</v>
      </c>
      <c r="AE59" s="1182">
        <f t="shared" ref="AE59:AK59" si="48">AE61-AE56</f>
        <v>115.66885771039992</v>
      </c>
      <c r="AF59" s="1182">
        <f t="shared" si="48"/>
        <v>175.74741480000012</v>
      </c>
      <c r="AG59" s="1182">
        <f t="shared" si="48"/>
        <v>105.32490393600006</v>
      </c>
      <c r="AH59" s="1250">
        <f t="shared" si="48"/>
        <v>159.65523236021443</v>
      </c>
      <c r="AI59" s="1251">
        <f t="shared" si="48"/>
        <v>152.06646853475627</v>
      </c>
      <c r="AJ59" s="1251">
        <f t="shared" si="48"/>
        <v>171.72274146997995</v>
      </c>
      <c r="AK59" s="1251">
        <f t="shared" si="48"/>
        <v>140.72345869637502</v>
      </c>
      <c r="AL59" s="1250">
        <f>AL30*AL32</f>
        <v>152.12303639315999</v>
      </c>
      <c r="AM59" s="1251">
        <f>AM30*AM32</f>
        <v>142.39461157470973</v>
      </c>
      <c r="AN59" s="1251">
        <f>AN30*AN32</f>
        <v>207.10955721628017</v>
      </c>
      <c r="AO59" s="1251">
        <f>J59-SUM(AL59:AN59)</f>
        <v>155.14586945317291</v>
      </c>
    </row>
    <row r="60" spans="1:41" s="1252" customFormat="1" ht="12">
      <c r="A60" s="1190" t="s">
        <v>1773</v>
      </c>
      <c r="C60" s="1242">
        <f t="shared" ref="C60:H60" si="49">C59/B59-1</f>
        <v>0.84288194088501611</v>
      </c>
      <c r="D60" s="1242">
        <f t="shared" si="49"/>
        <v>0.51117973875962908</v>
      </c>
      <c r="E60" s="1242">
        <f t="shared" si="49"/>
        <v>0.90439719926864592</v>
      </c>
      <c r="F60" s="1242">
        <f t="shared" si="49"/>
        <v>1.0849386852221721</v>
      </c>
      <c r="G60" s="1242">
        <f t="shared" si="49"/>
        <v>0.30483307753319377</v>
      </c>
      <c r="H60" s="1242">
        <f t="shared" si="49"/>
        <v>1.0281396010499355</v>
      </c>
      <c r="I60" s="1242">
        <f>I59/H59-1</f>
        <v>0.11127134795354054</v>
      </c>
      <c r="J60" s="1242">
        <f>J59/I59-1</f>
        <v>0.15021276595744704</v>
      </c>
      <c r="K60" s="1242">
        <f>K59/J59-1</f>
        <v>0.21176000000000017</v>
      </c>
      <c r="N60" s="1282"/>
      <c r="O60" s="1282"/>
      <c r="P60" s="1282"/>
      <c r="Q60" s="1282"/>
      <c r="R60" s="1242">
        <f t="shared" ref="R60:AD60" si="50">R59/N59-1</f>
        <v>0.47259657622739004</v>
      </c>
      <c r="S60" s="1242">
        <f t="shared" si="50"/>
        <v>0.6163274391699638</v>
      </c>
      <c r="T60" s="1242">
        <f t="shared" si="50"/>
        <v>0.58300408205211829</v>
      </c>
      <c r="U60" s="1242">
        <f t="shared" si="50"/>
        <v>2.9294247218183571</v>
      </c>
      <c r="V60" s="1242">
        <f t="shared" si="50"/>
        <v>0.7725693269306908</v>
      </c>
      <c r="W60" s="1242">
        <f t="shared" si="50"/>
        <v>1.0935051257258244</v>
      </c>
      <c r="X60" s="1242">
        <f t="shared" si="50"/>
        <v>1.6576733232257244</v>
      </c>
      <c r="Y60" s="1242">
        <f t="shared" si="50"/>
        <v>0.8244427570164905</v>
      </c>
      <c r="Z60" s="1242">
        <f t="shared" si="50"/>
        <v>0.54188146066410492</v>
      </c>
      <c r="AA60" s="1242">
        <f t="shared" si="50"/>
        <v>0.93917413094345403</v>
      </c>
      <c r="AB60" s="1242">
        <f t="shared" si="50"/>
        <v>6.3340454776446009E-3</v>
      </c>
      <c r="AC60" s="1242">
        <f t="shared" si="50"/>
        <v>8.4049332415466305E-2</v>
      </c>
      <c r="AD60" s="1260">
        <f t="shared" si="50"/>
        <v>0.87929896377381489</v>
      </c>
      <c r="AE60" s="1242">
        <f>AE59/AA59-1</f>
        <v>0.7247790541789052</v>
      </c>
      <c r="AF60" s="1242">
        <f>AF59/AB59-1</f>
        <v>1.6076057865218569</v>
      </c>
      <c r="AG60" s="1242">
        <f>AG59/AC59-1</f>
        <v>0.86135731971370588</v>
      </c>
      <c r="AH60" s="1260">
        <f t="shared" ref="AH60:AO60" si="51">AH59/AD59-1</f>
        <v>0.36357277854562042</v>
      </c>
      <c r="AI60" s="1256">
        <f t="shared" si="51"/>
        <v>0.31467078991551056</v>
      </c>
      <c r="AJ60" s="1256">
        <f t="shared" si="51"/>
        <v>-2.2900327351046523E-2</v>
      </c>
      <c r="AK60" s="1256">
        <f t="shared" si="51"/>
        <v>0.33608912458049467</v>
      </c>
      <c r="AL60" s="1260">
        <f t="shared" si="51"/>
        <v>-4.7177883591439596E-2</v>
      </c>
      <c r="AM60" s="1256">
        <f t="shared" si="51"/>
        <v>-6.360282482548707E-2</v>
      </c>
      <c r="AN60" s="1256">
        <f t="shared" si="51"/>
        <v>0.20606947829613143</v>
      </c>
      <c r="AO60" s="1256">
        <f t="shared" si="51"/>
        <v>0.102487608607714</v>
      </c>
    </row>
    <row r="61" spans="1:41" s="1195" customFormat="1">
      <c r="A61" s="1183" t="s">
        <v>1789</v>
      </c>
      <c r="B61" s="1265"/>
      <c r="C61" s="1265"/>
      <c r="D61" s="1265"/>
      <c r="E61" s="1265"/>
      <c r="F61" s="1265"/>
      <c r="G61" s="1193">
        <f>G56+G59</f>
        <v>1061.299</v>
      </c>
      <c r="H61" s="1193">
        <f>H56+H59</f>
        <v>1589.3989999999999</v>
      </c>
      <c r="I61" s="1193">
        <f>SUM(AH61:AK61)</f>
        <v>1830.63</v>
      </c>
      <c r="J61" s="1193">
        <f>J56+J59</f>
        <v>2122.0648259359332</v>
      </c>
      <c r="K61" s="1193">
        <f>K56+K59</f>
        <v>2540.4543416868537</v>
      </c>
      <c r="N61" s="1265"/>
      <c r="O61" s="1265"/>
      <c r="P61" s="1265"/>
      <c r="Q61" s="1265"/>
      <c r="R61" s="1265"/>
      <c r="S61" s="1265"/>
      <c r="T61" s="1265"/>
      <c r="U61" s="1265"/>
      <c r="V61" s="1265"/>
      <c r="W61" s="1265"/>
      <c r="X61" s="1265"/>
      <c r="Y61" s="1193"/>
      <c r="Z61" s="1265">
        <f>Z56+Z59</f>
        <v>231.94499999999999</v>
      </c>
      <c r="AA61" s="1265">
        <f>AA56+AA59</f>
        <v>215.10499999999996</v>
      </c>
      <c r="AB61" s="1265">
        <f>AB56+AB59</f>
        <v>394.78899999999999</v>
      </c>
      <c r="AC61" s="1265">
        <f>AC56+AC59</f>
        <v>219.46</v>
      </c>
      <c r="AD61" s="1283">
        <v>355.94799999999998</v>
      </c>
      <c r="AE61" s="1265">
        <v>339.30399999999997</v>
      </c>
      <c r="AF61" s="1265">
        <v>604.04700000000003</v>
      </c>
      <c r="AG61" s="1265">
        <v>290.10000000000002</v>
      </c>
      <c r="AH61" s="1283">
        <v>402.67899999999997</v>
      </c>
      <c r="AI61" s="1265">
        <v>437.60899999999998</v>
      </c>
      <c r="AJ61" s="1265">
        <v>632.72299999999996</v>
      </c>
      <c r="AK61" s="1265">
        <v>357.61900000000003</v>
      </c>
      <c r="AL61" s="1283">
        <f>AL56+AL59</f>
        <v>383.0928251580122</v>
      </c>
      <c r="AM61" s="1193">
        <f>AM56+AM59</f>
        <v>490.21697486338064</v>
      </c>
      <c r="AN61" s="1265">
        <f>AN56+AN59</f>
        <v>839.71837514267531</v>
      </c>
      <c r="AO61" s="1265">
        <f>AO56+AO59</f>
        <v>409.03665077186514</v>
      </c>
    </row>
    <row r="62" spans="1:41" ht="12">
      <c r="A62" s="1190" t="s">
        <v>1773</v>
      </c>
      <c r="B62" s="1252"/>
      <c r="C62" s="1242"/>
      <c r="D62" s="1242"/>
      <c r="E62" s="1242"/>
      <c r="F62" s="1242"/>
      <c r="G62" s="1242"/>
      <c r="H62" s="1242">
        <f>H61/G61-1</f>
        <v>0.49759775520376426</v>
      </c>
      <c r="I62" s="1242">
        <f>I61/H61-1</f>
        <v>0.15177497909587223</v>
      </c>
      <c r="J62" s="1242">
        <f>J61/I61-1</f>
        <v>0.15919919696275775</v>
      </c>
      <c r="K62" s="1242">
        <f>K61/J61-1</f>
        <v>0.19716151487803413</v>
      </c>
      <c r="N62" s="1208"/>
      <c r="O62" s="1208"/>
      <c r="P62" s="1208"/>
      <c r="Q62" s="1208"/>
      <c r="R62" s="1208"/>
      <c r="S62" s="1208"/>
      <c r="T62" s="1208"/>
      <c r="U62" s="1208"/>
      <c r="V62" s="1208"/>
      <c r="W62" s="1208"/>
      <c r="X62" s="1208"/>
      <c r="Z62" s="1208"/>
      <c r="AA62" s="1208"/>
      <c r="AB62" s="1208"/>
      <c r="AC62" s="1208"/>
      <c r="AD62" s="1260">
        <f>AD61/Z61-1</f>
        <v>0.53462243204207893</v>
      </c>
      <c r="AE62" s="1242">
        <f>AE61/AA61-1</f>
        <v>0.57738778735966179</v>
      </c>
      <c r="AF62" s="1242">
        <f>AF61/AB61-1</f>
        <v>0.53005022936302693</v>
      </c>
      <c r="AG62" s="1242">
        <f>AG61/AC61-1</f>
        <v>0.32188098058871772</v>
      </c>
      <c r="AH62" s="1260">
        <f t="shared" ref="AH62:AO62" si="52">AH61/AD61-1</f>
        <v>0.13128603054378729</v>
      </c>
      <c r="AI62" s="1256">
        <f t="shared" si="52"/>
        <v>0.289725437955344</v>
      </c>
      <c r="AJ62" s="1256">
        <f t="shared" si="52"/>
        <v>4.747312709110374E-2</v>
      </c>
      <c r="AK62" s="1256">
        <f>AK61/AG61-1</f>
        <v>0.23274388142019986</v>
      </c>
      <c r="AL62" s="1260">
        <f t="shared" si="52"/>
        <v>-4.8639672895750108E-2</v>
      </c>
      <c r="AM62" s="1256">
        <f t="shared" si="52"/>
        <v>0.12021684851861059</v>
      </c>
      <c r="AN62" s="1256">
        <f t="shared" si="52"/>
        <v>0.32715007221592285</v>
      </c>
      <c r="AO62" s="1256">
        <f t="shared" si="52"/>
        <v>0.14377773768134561</v>
      </c>
    </row>
    <row r="63" spans="1:41">
      <c r="B63" s="1208"/>
      <c r="C63" s="1208"/>
      <c r="D63" s="1208"/>
      <c r="E63" s="1208"/>
      <c r="F63" s="1208"/>
      <c r="N63" s="1208"/>
      <c r="O63" s="1208"/>
      <c r="P63" s="1208"/>
      <c r="Q63" s="1208"/>
      <c r="R63" s="1208"/>
      <c r="S63" s="1208"/>
      <c r="T63" s="1208"/>
      <c r="U63" s="1208"/>
      <c r="V63" s="1208"/>
      <c r="W63" s="1208"/>
      <c r="X63" s="1208"/>
      <c r="Z63" s="1208"/>
      <c r="AA63" s="1208"/>
      <c r="AB63" s="1208"/>
      <c r="AC63" s="1208"/>
      <c r="AG63" s="1208"/>
    </row>
    <row r="64" spans="1:41" s="1252" customFormat="1" ht="12" hidden="1" outlineLevel="1">
      <c r="A64" s="1171" t="s">
        <v>1790</v>
      </c>
      <c r="B64" s="1282">
        <v>2.6669999999999998</v>
      </c>
      <c r="C64" s="1282">
        <v>12.874316</v>
      </c>
      <c r="D64" s="1282">
        <v>20.744091999999998</v>
      </c>
      <c r="E64" s="1282">
        <v>28.756</v>
      </c>
      <c r="F64" s="1282">
        <v>127.745</v>
      </c>
      <c r="N64" s="1282">
        <v>3.6219999999999999</v>
      </c>
      <c r="O64" s="1282">
        <v>4.8103220000000002</v>
      </c>
      <c r="P64" s="1282">
        <v>5.3304720000000003</v>
      </c>
      <c r="Q64" s="1282">
        <v>6.9811719999999999</v>
      </c>
      <c r="R64" s="1282">
        <v>5.4551090000000002</v>
      </c>
      <c r="S64" s="1282">
        <v>6.8277679999999998</v>
      </c>
      <c r="T64" s="1282">
        <v>7.6214110000000002</v>
      </c>
      <c r="U64" s="1282">
        <v>8.8520579999999995</v>
      </c>
      <c r="V64" s="1282">
        <v>11.195373</v>
      </c>
      <c r="W64" s="1282">
        <v>24.660592999999999</v>
      </c>
      <c r="X64" s="1282">
        <v>44.591939000000004</v>
      </c>
      <c r="Y64" s="1252">
        <f>F64-SUM(V64:X64)</f>
        <v>47.297095000000013</v>
      </c>
      <c r="Z64" s="1282">
        <v>67.948999999999998</v>
      </c>
      <c r="AA64" s="1282">
        <v>85.656999999999996</v>
      </c>
      <c r="AB64" s="1282">
        <v>130.04499999999999</v>
      </c>
      <c r="AC64" s="1282">
        <v>101.952</v>
      </c>
      <c r="AD64" s="1258"/>
      <c r="AG64" s="1282"/>
      <c r="AH64" s="1258"/>
      <c r="AI64" s="1259"/>
      <c r="AJ64" s="1259"/>
      <c r="AK64" s="1259"/>
      <c r="AL64" s="1258"/>
      <c r="AM64" s="1259"/>
      <c r="AN64" s="1259"/>
      <c r="AO64" s="1259"/>
    </row>
    <row r="65" spans="1:41" s="1252" customFormat="1" ht="12" hidden="1" outlineLevel="1">
      <c r="A65" s="1190" t="s">
        <v>1773</v>
      </c>
      <c r="C65" s="1242">
        <f>C64/B64-1</f>
        <v>3.8272650918635174</v>
      </c>
      <c r="D65" s="1242">
        <f>D64/C64-1</f>
        <v>0.61127721270784385</v>
      </c>
      <c r="E65" s="1242">
        <f>E64/D64-1</f>
        <v>0.38622601558072556</v>
      </c>
      <c r="F65" s="1242">
        <f>F64/E64-1</f>
        <v>3.4423772430101547</v>
      </c>
      <c r="G65" s="1242">
        <f>G66/F64-1</f>
        <v>2.0185369290383179</v>
      </c>
      <c r="N65" s="1282"/>
      <c r="O65" s="1282"/>
      <c r="P65" s="1282"/>
      <c r="Q65" s="1282"/>
      <c r="R65" s="1242">
        <f t="shared" ref="R65:AC65" si="53">R64/N64-1</f>
        <v>0.50610408614025415</v>
      </c>
      <c r="S65" s="1242">
        <f t="shared" si="53"/>
        <v>0.41939936661204791</v>
      </c>
      <c r="T65" s="1242">
        <f t="shared" si="53"/>
        <v>0.42978164035004784</v>
      </c>
      <c r="U65" s="1242">
        <f t="shared" si="53"/>
        <v>0.26799024576389163</v>
      </c>
      <c r="V65" s="1242">
        <f t="shared" si="53"/>
        <v>1.0522730159928977</v>
      </c>
      <c r="W65" s="1242">
        <f t="shared" si="53"/>
        <v>2.6118088663821033</v>
      </c>
      <c r="X65" s="1242">
        <f t="shared" si="53"/>
        <v>4.8508770882452081</v>
      </c>
      <c r="Y65" s="1242">
        <f t="shared" si="53"/>
        <v>4.3430620314507671</v>
      </c>
      <c r="Z65" s="1242">
        <f t="shared" si="53"/>
        <v>5.0693824136096222</v>
      </c>
      <c r="AA65" s="1242">
        <f t="shared" si="53"/>
        <v>2.4734363443733898</v>
      </c>
      <c r="AB65" s="1242">
        <f t="shared" si="53"/>
        <v>1.9163342728828181</v>
      </c>
      <c r="AC65" s="1242">
        <f t="shared" si="53"/>
        <v>1.1555657910913975</v>
      </c>
      <c r="AD65" s="1258"/>
      <c r="AG65" s="1242"/>
      <c r="AH65" s="1258"/>
      <c r="AI65" s="1259"/>
      <c r="AJ65" s="1259"/>
      <c r="AK65" s="1259"/>
      <c r="AL65" s="1258"/>
      <c r="AM65" s="1259"/>
      <c r="AN65" s="1259"/>
      <c r="AO65" s="1259"/>
    </row>
    <row r="66" spans="1:41" s="1252" customFormat="1" ht="12" collapsed="1">
      <c r="A66" s="1169" t="s">
        <v>1640</v>
      </c>
      <c r="B66" s="1182">
        <f>B64</f>
        <v>2.6669999999999998</v>
      </c>
      <c r="C66" s="1182">
        <f>C64</f>
        <v>12.874316</v>
      </c>
      <c r="D66" s="1182">
        <f>D64</f>
        <v>20.744091999999998</v>
      </c>
      <c r="E66" s="1182">
        <f>E64</f>
        <v>28.756</v>
      </c>
      <c r="F66" s="1182">
        <f>F64</f>
        <v>127.745</v>
      </c>
      <c r="G66" s="1182">
        <f>SUM(Z64:AC64)</f>
        <v>385.60299999999995</v>
      </c>
      <c r="H66" s="1182">
        <f>SUM(AD66:AG66)</f>
        <v>602.71500000000003</v>
      </c>
      <c r="I66" s="1182">
        <f>SUM(AH66:AK66)</f>
        <v>409.51900000000001</v>
      </c>
      <c r="J66" s="1182">
        <f>J37*J39</f>
        <v>423.91075531000956</v>
      </c>
      <c r="K66" s="1182">
        <f>K37*K39</f>
        <v>445.10629307551</v>
      </c>
      <c r="N66" s="1282"/>
      <c r="O66" s="1282"/>
      <c r="P66" s="1282"/>
      <c r="Q66" s="1282"/>
      <c r="R66" s="1242"/>
      <c r="S66" s="1242"/>
      <c r="T66" s="1242"/>
      <c r="U66" s="1242"/>
      <c r="V66" s="1242"/>
      <c r="W66" s="1242"/>
      <c r="X66" s="1242"/>
      <c r="Y66" s="1242"/>
      <c r="Z66" s="1208">
        <v>65.912999999999997</v>
      </c>
      <c r="AA66" s="1208">
        <v>87.747</v>
      </c>
      <c r="AB66" s="1208">
        <v>130.36000000000001</v>
      </c>
      <c r="AC66" s="1208">
        <v>102.26300000000001</v>
      </c>
      <c r="AD66" s="1284">
        <v>100.093</v>
      </c>
      <c r="AE66" s="1208">
        <v>120.78400000000001</v>
      </c>
      <c r="AF66" s="1208">
        <v>202.03800000000001</v>
      </c>
      <c r="AG66" s="1208">
        <v>179.8</v>
      </c>
      <c r="AH66" s="1284">
        <v>77.853999999999999</v>
      </c>
      <c r="AI66" s="1285">
        <v>87.641000000000005</v>
      </c>
      <c r="AJ66" s="1285">
        <v>130.40799999999999</v>
      </c>
      <c r="AK66" s="1285">
        <v>113.616</v>
      </c>
      <c r="AL66" s="1284">
        <f>AL37*AL39</f>
        <v>74.908799999999999</v>
      </c>
      <c r="AM66" s="1251">
        <f>AM37*AM39</f>
        <v>93.652523999999985</v>
      </c>
      <c r="AN66" s="1285">
        <f>AN37*AN39</f>
        <v>112.14862518005485</v>
      </c>
      <c r="AO66" s="1285">
        <f>J66-SUM(AL66:AN66)</f>
        <v>143.20080612995474</v>
      </c>
    </row>
    <row r="67" spans="1:41" s="1252" customFormat="1" ht="12">
      <c r="A67" s="1190" t="s">
        <v>1773</v>
      </c>
      <c r="C67" s="1242">
        <f>C66/B64-1</f>
        <v>3.8272650918635174</v>
      </c>
      <c r="D67" s="1242">
        <f>D66/C64-1</f>
        <v>0.61127721270784385</v>
      </c>
      <c r="E67" s="1242">
        <f>E66/D64-1</f>
        <v>0.38622601558072556</v>
      </c>
      <c r="F67" s="1242">
        <f>F66/E64-1</f>
        <v>3.4423772430101547</v>
      </c>
      <c r="G67" s="1242">
        <f>G66/F64-1</f>
        <v>2.0185369290383179</v>
      </c>
      <c r="H67" s="1242">
        <f>H66/G66-1</f>
        <v>0.56304541199108948</v>
      </c>
      <c r="I67" s="1242">
        <f>I66/H66-1</f>
        <v>-0.32054287681574212</v>
      </c>
      <c r="J67" s="1242">
        <f>J66/I66-1</f>
        <v>3.5143071041904284E-2</v>
      </c>
      <c r="K67" s="1242">
        <f>K66/J66-1</f>
        <v>4.9999999999999822E-2</v>
      </c>
      <c r="N67" s="1282"/>
      <c r="O67" s="1282"/>
      <c r="P67" s="1282"/>
      <c r="Q67" s="1282"/>
      <c r="R67" s="1242"/>
      <c r="S67" s="1242"/>
      <c r="T67" s="1242"/>
      <c r="U67" s="1242"/>
      <c r="V67" s="1242"/>
      <c r="W67" s="1242"/>
      <c r="X67" s="1242"/>
      <c r="Y67" s="1242"/>
      <c r="AD67" s="1260">
        <f>AD66/Z66-1</f>
        <v>0.51856234733664075</v>
      </c>
      <c r="AE67" s="1242">
        <f>AE66/AA66-1</f>
        <v>0.37650290038405876</v>
      </c>
      <c r="AF67" s="1242">
        <f>AF66/AB66-1</f>
        <v>0.5498465787051241</v>
      </c>
      <c r="AG67" s="1242">
        <f>AG66/AC66-1</f>
        <v>0.75821166990993816</v>
      </c>
      <c r="AH67" s="1260">
        <f t="shared" ref="AH67:AO67" si="54">AH66/AD66-1</f>
        <v>-0.22218336946639627</v>
      </c>
      <c r="AI67" s="1256">
        <f t="shared" si="54"/>
        <v>-0.27439892701019997</v>
      </c>
      <c r="AJ67" s="1256">
        <f t="shared" si="54"/>
        <v>-0.35453726526693008</v>
      </c>
      <c r="AK67" s="1256">
        <f t="shared" si="54"/>
        <v>-0.36809788654060072</v>
      </c>
      <c r="AL67" s="1260">
        <f t="shared" si="54"/>
        <v>-3.7829783954581697E-2</v>
      </c>
      <c r="AM67" s="1256">
        <f t="shared" si="54"/>
        <v>6.8592599354183381E-2</v>
      </c>
      <c r="AN67" s="1256">
        <f t="shared" si="54"/>
        <v>-0.14001729050322942</v>
      </c>
      <c r="AO67" s="1256">
        <f t="shared" si="54"/>
        <v>0.2603929563613816</v>
      </c>
    </row>
    <row r="68" spans="1:41" s="1287" customFormat="1" hidden="1" outlineLevel="1">
      <c r="A68" s="1286" t="s">
        <v>1791</v>
      </c>
      <c r="B68" s="1287">
        <f>B54+B59+B64</f>
        <v>771.61400000000003</v>
      </c>
      <c r="C68" s="1287">
        <f>C54+C59+C64</f>
        <v>1120.3275239999998</v>
      </c>
      <c r="D68" s="1287">
        <f>D54+D59+D64</f>
        <v>1962.4707329999999</v>
      </c>
      <c r="E68" s="1287">
        <f>E54+E59+E64</f>
        <v>3554.7069999999999</v>
      </c>
      <c r="F68" s="1287">
        <f>F54+F59+F64</f>
        <v>7680.7860000000001</v>
      </c>
      <c r="G68" s="1287">
        <f>G54+G59+G66</f>
        <v>10565.58</v>
      </c>
      <c r="H68" s="1287">
        <f>H54+H59+H66</f>
        <v>13062.0224917864</v>
      </c>
      <c r="I68" s="1287">
        <f>I54+I59+I66</f>
        <v>13418.273975551463</v>
      </c>
      <c r="J68" s="1287">
        <f>J54+J59+J66</f>
        <v>14401.517932661973</v>
      </c>
      <c r="K68" s="1287">
        <f>K54+K59+K66</f>
        <v>15779.315973700794</v>
      </c>
      <c r="N68" s="1287">
        <f t="shared" ref="N68:AC68" si="55">N54+N59+N64</f>
        <v>372.16800000000001</v>
      </c>
      <c r="O68" s="1287">
        <f t="shared" si="55"/>
        <v>389.74464799999998</v>
      </c>
      <c r="P68" s="1287">
        <f t="shared" si="55"/>
        <v>711.44119499999999</v>
      </c>
      <c r="Q68" s="1287">
        <f t="shared" si="55"/>
        <v>489.11656199999999</v>
      </c>
      <c r="R68" s="1287">
        <f t="shared" si="55"/>
        <v>582.34063700000002</v>
      </c>
      <c r="S68" s="1287">
        <f t="shared" si="55"/>
        <v>720.09151799999995</v>
      </c>
      <c r="T68" s="1287">
        <f t="shared" si="55"/>
        <v>1318.7733450000001</v>
      </c>
      <c r="U68" s="1287">
        <f t="shared" si="55"/>
        <v>933.50187200000005</v>
      </c>
      <c r="V68" s="1287">
        <f t="shared" si="55"/>
        <v>1252.9749259999999</v>
      </c>
      <c r="W68" s="1287">
        <f t="shared" si="55"/>
        <v>1525.7106759999999</v>
      </c>
      <c r="X68" s="1287">
        <f t="shared" si="55"/>
        <v>2998.1568090000001</v>
      </c>
      <c r="Y68" s="1287">
        <f t="shared" si="55"/>
        <v>1903.9435890000004</v>
      </c>
      <c r="Z68" s="1287">
        <f t="shared" si="55"/>
        <v>2045.2080000000001</v>
      </c>
      <c r="AA68" s="1287">
        <f t="shared" si="55"/>
        <v>2366.0440000000003</v>
      </c>
      <c r="AB68" s="1287">
        <f t="shared" si="55"/>
        <v>4047.6730000000002</v>
      </c>
      <c r="AC68" s="1287">
        <f t="shared" si="55"/>
        <v>2106.6549999999997</v>
      </c>
      <c r="AD68" s="1288">
        <f t="shared" ref="AD68:AK68" si="56">AD54+AD59+AD66</f>
        <v>2731.5161913399998</v>
      </c>
      <c r="AE68" s="1287">
        <f t="shared" si="56"/>
        <v>2963.7106905104006</v>
      </c>
      <c r="AF68" s="1287">
        <f t="shared" si="56"/>
        <v>5136.669694799999</v>
      </c>
      <c r="AG68" s="1287">
        <f t="shared" si="56"/>
        <v>2230.125915136</v>
      </c>
      <c r="AH68" s="1288">
        <f t="shared" si="56"/>
        <v>2879.0719240970138</v>
      </c>
      <c r="AI68" s="1289">
        <f t="shared" si="56"/>
        <v>3245.4183260636378</v>
      </c>
      <c r="AJ68" s="1289">
        <f t="shared" si="56"/>
        <v>5154.7650417859804</v>
      </c>
      <c r="AK68" s="1289">
        <f t="shared" si="56"/>
        <v>2192.1852064206123</v>
      </c>
      <c r="AL68" s="1288"/>
      <c r="AM68" s="1289"/>
      <c r="AN68" s="1289"/>
      <c r="AO68" s="1289"/>
    </row>
    <row r="69" spans="1:41" s="1195" customFormat="1" ht="12" hidden="1" outlineLevel="1">
      <c r="A69" s="1190" t="s">
        <v>1773</v>
      </c>
      <c r="C69" s="1242">
        <f t="shared" ref="C69:K69" si="57">C68/B68-1</f>
        <v>0.45192741966838312</v>
      </c>
      <c r="D69" s="1242">
        <f t="shared" si="57"/>
        <v>0.75169376004726285</v>
      </c>
      <c r="E69" s="1242">
        <f t="shared" si="57"/>
        <v>0.81134268156242628</v>
      </c>
      <c r="F69" s="1242">
        <f t="shared" si="57"/>
        <v>1.1607367358266099</v>
      </c>
      <c r="G69" s="1242">
        <f t="shared" si="57"/>
        <v>0.37558577989283903</v>
      </c>
      <c r="H69" s="1242">
        <f t="shared" si="57"/>
        <v>0.23628068613236564</v>
      </c>
      <c r="I69" s="1242">
        <f t="shared" si="57"/>
        <v>2.7273837875342766E-2</v>
      </c>
      <c r="J69" s="1242">
        <f t="shared" si="57"/>
        <v>7.3276485403563241E-2</v>
      </c>
      <c r="K69" s="1242">
        <f t="shared" si="57"/>
        <v>9.5670334716178695E-2</v>
      </c>
      <c r="V69" s="1242">
        <f>V68/R68-1</f>
        <v>1.1516185654754501</v>
      </c>
      <c r="W69" s="1242">
        <f>W68/S68-1</f>
        <v>1.1187732918137221</v>
      </c>
      <c r="X69" s="1242">
        <f t="shared" ref="X69:AD69" si="58">X68/T68-1</f>
        <v>1.2734435908696651</v>
      </c>
      <c r="Y69" s="1242">
        <f t="shared" si="58"/>
        <v>1.0395712596921287</v>
      </c>
      <c r="Z69" s="1242">
        <f t="shared" si="58"/>
        <v>0.63228166626536342</v>
      </c>
      <c r="AA69" s="1242">
        <f t="shared" si="58"/>
        <v>0.5507815716431419</v>
      </c>
      <c r="AB69" s="1242">
        <f t="shared" si="58"/>
        <v>0.35005380233932937</v>
      </c>
      <c r="AC69" s="1242">
        <f t="shared" si="58"/>
        <v>0.10646923163646282</v>
      </c>
      <c r="AD69" s="1260">
        <f t="shared" si="58"/>
        <v>0.33556889633719389</v>
      </c>
      <c r="AE69" s="1242">
        <f t="shared" ref="AE69:AK69" si="59">AE68/AA68-1</f>
        <v>0.25260168048878229</v>
      </c>
      <c r="AF69" s="1242">
        <f t="shared" si="59"/>
        <v>0.26904265606436062</v>
      </c>
      <c r="AG69" s="1242">
        <f t="shared" si="59"/>
        <v>5.8609936195532786E-2</v>
      </c>
      <c r="AH69" s="1260">
        <f t="shared" si="59"/>
        <v>5.4019717409995449E-2</v>
      </c>
      <c r="AI69" s="1256">
        <f t="shared" si="59"/>
        <v>9.505233977636407E-2</v>
      </c>
      <c r="AJ69" s="1256">
        <f t="shared" si="59"/>
        <v>3.5227779984179364E-3</v>
      </c>
      <c r="AK69" s="1256">
        <f t="shared" si="59"/>
        <v>-1.7012810109905407E-2</v>
      </c>
      <c r="AL69" s="1260"/>
      <c r="AM69" s="1256"/>
      <c r="AN69" s="1256"/>
      <c r="AO69" s="1256"/>
    </row>
    <row r="70" spans="1:41" s="1195" customFormat="1" collapsed="1">
      <c r="A70" s="1187" t="s">
        <v>352</v>
      </c>
      <c r="B70" s="1199"/>
      <c r="C70" s="1199"/>
      <c r="D70" s="1199"/>
      <c r="E70" s="1199"/>
      <c r="F70" s="1199"/>
      <c r="G70" s="1199">
        <f>SUM(Z70:AC70)</f>
        <v>1447.5819999999999</v>
      </c>
      <c r="H70" s="1199">
        <f>SUM(AD70:AG70)</f>
        <v>2192.114</v>
      </c>
      <c r="I70" s="1199">
        <f>SUM(AH70:AK70)</f>
        <v>2240.1489999999999</v>
      </c>
      <c r="J70" s="1199">
        <f>J56+J59+J66</f>
        <v>2545.9755812459425</v>
      </c>
      <c r="K70" s="1199">
        <f>K56+K59+K66</f>
        <v>2985.5606347623639</v>
      </c>
      <c r="N70" s="1199"/>
      <c r="O70" s="1199"/>
      <c r="P70" s="1199"/>
      <c r="Q70" s="1199"/>
      <c r="R70" s="1199"/>
      <c r="S70" s="1199"/>
      <c r="T70" s="1199"/>
      <c r="U70" s="1199"/>
      <c r="V70" s="1199"/>
      <c r="W70" s="1199"/>
      <c r="X70" s="1199"/>
      <c r="Y70" s="1199"/>
      <c r="Z70" s="1199">
        <f t="shared" ref="Z70:AO70" si="60">Z61+Z66</f>
        <v>297.858</v>
      </c>
      <c r="AA70" s="1199">
        <f t="shared" si="60"/>
        <v>302.85199999999998</v>
      </c>
      <c r="AB70" s="1199">
        <f t="shared" si="60"/>
        <v>525.149</v>
      </c>
      <c r="AC70" s="1199">
        <f t="shared" si="60"/>
        <v>321.72300000000001</v>
      </c>
      <c r="AD70" s="1273">
        <f t="shared" si="60"/>
        <v>456.041</v>
      </c>
      <c r="AE70" s="1199">
        <f t="shared" si="60"/>
        <v>460.08799999999997</v>
      </c>
      <c r="AF70" s="1199">
        <f t="shared" si="60"/>
        <v>806.08500000000004</v>
      </c>
      <c r="AG70" s="1199">
        <f t="shared" si="60"/>
        <v>469.90000000000003</v>
      </c>
      <c r="AH70" s="1273">
        <f t="shared" si="60"/>
        <v>480.53299999999996</v>
      </c>
      <c r="AI70" s="1199">
        <f t="shared" si="60"/>
        <v>525.25</v>
      </c>
      <c r="AJ70" s="1199">
        <f t="shared" si="60"/>
        <v>763.13099999999997</v>
      </c>
      <c r="AK70" s="1199">
        <f t="shared" si="60"/>
        <v>471.23500000000001</v>
      </c>
      <c r="AL70" s="1273">
        <f t="shared" si="60"/>
        <v>458.00162515801219</v>
      </c>
      <c r="AM70" s="1199">
        <f t="shared" si="60"/>
        <v>583.86949886338061</v>
      </c>
      <c r="AN70" s="1199">
        <f t="shared" si="60"/>
        <v>951.86700032273018</v>
      </c>
      <c r="AO70" s="1199">
        <f t="shared" si="60"/>
        <v>552.23745690181988</v>
      </c>
    </row>
    <row r="71" spans="1:41" s="1195" customFormat="1" ht="12">
      <c r="A71" s="1190" t="s">
        <v>1773</v>
      </c>
      <c r="B71" s="1252"/>
      <c r="H71" s="1242">
        <f>H70/G70-1</f>
        <v>0.51432803115816594</v>
      </c>
      <c r="I71" s="1242">
        <f>I70/H70-1</f>
        <v>2.1912637755153286E-2</v>
      </c>
      <c r="J71" s="1242">
        <f>J70/I70-1</f>
        <v>0.13652064270990127</v>
      </c>
      <c r="K71" s="1242">
        <f>K70/J70-1</f>
        <v>0.17265878618572539</v>
      </c>
      <c r="R71" s="1242"/>
      <c r="S71" s="1242"/>
      <c r="T71" s="1242"/>
      <c r="U71" s="1242"/>
      <c r="V71" s="1242"/>
      <c r="W71" s="1242"/>
      <c r="X71" s="1242"/>
      <c r="Y71" s="1242"/>
      <c r="Z71" s="1242"/>
      <c r="AA71" s="1242"/>
      <c r="AB71" s="1242"/>
      <c r="AC71" s="1242"/>
      <c r="AD71" s="1260">
        <f>AD70/Z70-1</f>
        <v>0.53106849572615134</v>
      </c>
      <c r="AE71" s="1242">
        <f>AE70/AA70-1</f>
        <v>0.51918428803507988</v>
      </c>
      <c r="AF71" s="1242">
        <f>AF70/AB70-1</f>
        <v>0.53496436249521562</v>
      </c>
      <c r="AG71" s="1242">
        <f>AG70/AC70-1</f>
        <v>0.46057322603606221</v>
      </c>
      <c r="AH71" s="1260">
        <f t="shared" ref="AH71:AO71" si="61">AH70/AD70-1</f>
        <v>5.3705697514039308E-2</v>
      </c>
      <c r="AI71" s="1264">
        <f t="shared" si="61"/>
        <v>0.14162942741388607</v>
      </c>
      <c r="AJ71" s="1264">
        <f t="shared" si="61"/>
        <v>-5.3287184354007366E-2</v>
      </c>
      <c r="AK71" s="1264">
        <f t="shared" si="61"/>
        <v>2.8410300063843597E-3</v>
      </c>
      <c r="AL71" s="1260">
        <f t="shared" si="61"/>
        <v>-4.6888298705786591E-2</v>
      </c>
      <c r="AM71" s="1256">
        <f t="shared" si="61"/>
        <v>0.11160304400453236</v>
      </c>
      <c r="AN71" s="1264">
        <f t="shared" si="61"/>
        <v>0.24731795762815323</v>
      </c>
      <c r="AO71" s="1264">
        <f t="shared" si="61"/>
        <v>0.17189397413566443</v>
      </c>
    </row>
    <row r="72" spans="1:41" s="1195" customFormat="1" ht="12">
      <c r="A72" s="1190"/>
      <c r="B72" s="1252"/>
      <c r="H72" s="1242"/>
      <c r="I72" s="1242"/>
      <c r="J72" s="1242"/>
      <c r="K72" s="1242"/>
      <c r="R72" s="1242"/>
      <c r="S72" s="1242"/>
      <c r="T72" s="1242"/>
      <c r="U72" s="1242"/>
      <c r="V72" s="1242"/>
      <c r="W72" s="1242"/>
      <c r="X72" s="1242"/>
      <c r="Y72" s="1242"/>
      <c r="Z72" s="1242"/>
      <c r="AA72" s="1242"/>
      <c r="AB72" s="1242"/>
      <c r="AC72" s="1242"/>
      <c r="AD72" s="1260"/>
      <c r="AE72" s="1242"/>
      <c r="AF72" s="1242"/>
      <c r="AG72" s="1242"/>
      <c r="AH72" s="1260"/>
      <c r="AI72" s="1256"/>
      <c r="AJ72" s="1256"/>
      <c r="AK72" s="1256"/>
      <c r="AL72" s="1260"/>
      <c r="AM72" s="1256"/>
      <c r="AN72" s="1256"/>
      <c r="AO72" s="1256"/>
    </row>
    <row r="73" spans="1:41">
      <c r="A73" s="1181" t="s">
        <v>1792</v>
      </c>
    </row>
    <row r="74" spans="1:41">
      <c r="A74" s="1169" t="s">
        <v>1777</v>
      </c>
      <c r="B74" s="1236">
        <f t="shared" ref="B74:K74" si="62">B54/B$68</f>
        <v>0.97378741184063533</v>
      </c>
      <c r="C74" s="1236">
        <f t="shared" si="62"/>
        <v>0.95962477130036139</v>
      </c>
      <c r="D74" s="1236">
        <f t="shared" si="62"/>
        <v>0.96451177394450349</v>
      </c>
      <c r="E74" s="1236">
        <f t="shared" si="62"/>
        <v>0.96571250457491997</v>
      </c>
      <c r="F74" s="1236">
        <f t="shared" si="62"/>
        <v>0.9580893153383</v>
      </c>
      <c r="G74" s="1236">
        <f t="shared" si="62"/>
        <v>0.93952513728541176</v>
      </c>
      <c r="H74" s="1236">
        <f t="shared" si="62"/>
        <v>0.91451996499864407</v>
      </c>
      <c r="I74" s="1236">
        <f t="shared" si="62"/>
        <v>0.92692648994706139</v>
      </c>
      <c r="J74" s="1236">
        <f t="shared" si="62"/>
        <v>0.92496042188050243</v>
      </c>
      <c r="K74" s="1236">
        <f t="shared" si="62"/>
        <v>0.92135542275303173</v>
      </c>
      <c r="N74" s="1236"/>
      <c r="O74" s="1236"/>
      <c r="P74" s="1236"/>
      <c r="Q74" s="1236"/>
      <c r="R74" s="1236"/>
      <c r="S74" s="1236"/>
      <c r="T74" s="1236"/>
      <c r="U74" s="1236"/>
      <c r="V74" s="1236"/>
      <c r="W74" s="1236"/>
      <c r="X74" s="1236"/>
      <c r="Y74" s="1236"/>
      <c r="Z74" s="1236">
        <f t="shared" ref="Z74:AO74" si="63">Z56/Z$70</f>
        <v>0.56953984784696066</v>
      </c>
      <c r="AA74" s="1236">
        <f t="shared" si="63"/>
        <v>0.48882622535099646</v>
      </c>
      <c r="AB74" s="1236">
        <f t="shared" si="63"/>
        <v>0.6234249708178059</v>
      </c>
      <c r="AC74" s="1236">
        <f t="shared" si="63"/>
        <v>0.5062584894458898</v>
      </c>
      <c r="AD74" s="1274">
        <f t="shared" si="63"/>
        <v>0.52377316219375014</v>
      </c>
      <c r="AE74" s="1236">
        <f t="shared" si="63"/>
        <v>0.48607036542922238</v>
      </c>
      <c r="AF74" s="1236">
        <f t="shared" si="63"/>
        <v>0.53133302964327567</v>
      </c>
      <c r="AG74" s="1236">
        <f t="shared" si="63"/>
        <v>0.39322216655458597</v>
      </c>
      <c r="AH74" s="1274">
        <f t="shared" si="63"/>
        <v>0.50573793608302775</v>
      </c>
      <c r="AI74" s="1275">
        <f t="shared" si="63"/>
        <v>0.54363166390336737</v>
      </c>
      <c r="AJ74" s="1275">
        <f t="shared" si="63"/>
        <v>0.60409059326645098</v>
      </c>
      <c r="AK74" s="1275">
        <f t="shared" si="63"/>
        <v>0.46027044108274007</v>
      </c>
      <c r="AL74" s="1274">
        <f t="shared" si="63"/>
        <v>0.50429905938688935</v>
      </c>
      <c r="AM74" s="1275">
        <f t="shared" si="63"/>
        <v>0.5957193584624253</v>
      </c>
      <c r="AN74" s="1275">
        <f t="shared" si="63"/>
        <v>0.66459790885902048</v>
      </c>
      <c r="AO74" s="1275">
        <f t="shared" si="63"/>
        <v>0.45974929470209852</v>
      </c>
    </row>
    <row r="75" spans="1:41">
      <c r="A75" s="1169" t="s">
        <v>1639</v>
      </c>
      <c r="B75" s="1236">
        <f t="shared" ref="B75:K75" si="64">B59/B$68</f>
        <v>2.2756196751225356E-2</v>
      </c>
      <c r="C75" s="1236">
        <f t="shared" si="64"/>
        <v>2.8883664202469423E-2</v>
      </c>
      <c r="D75" s="1236">
        <f t="shared" si="64"/>
        <v>2.491783045612431E-2</v>
      </c>
      <c r="E75" s="1236">
        <f t="shared" si="64"/>
        <v>2.6197939802070889E-2</v>
      </c>
      <c r="F75" s="1236">
        <f t="shared" si="64"/>
        <v>2.5278923276862552E-2</v>
      </c>
      <c r="G75" s="1236">
        <f t="shared" si="64"/>
        <v>2.3978712006345132E-2</v>
      </c>
      <c r="H75" s="1236">
        <f t="shared" si="64"/>
        <v>3.9337486986376145E-2</v>
      </c>
      <c r="I75" s="1236">
        <f t="shared" si="64"/>
        <v>4.2554010991721319E-2</v>
      </c>
      <c r="J75" s="1236">
        <f t="shared" si="64"/>
        <v>4.5604434040094621E-2</v>
      </c>
      <c r="K75" s="1236">
        <f t="shared" si="64"/>
        <v>5.0436365064807545E-2</v>
      </c>
      <c r="N75" s="1236"/>
      <c r="O75" s="1236"/>
      <c r="P75" s="1236"/>
      <c r="Q75" s="1236"/>
      <c r="R75" s="1236"/>
      <c r="S75" s="1236"/>
      <c r="T75" s="1236"/>
      <c r="U75" s="1236"/>
      <c r="V75" s="1236"/>
      <c r="W75" s="1236"/>
      <c r="X75" s="1236"/>
      <c r="Y75" s="1236"/>
      <c r="Z75" s="1236">
        <f t="shared" ref="Z75:AO75" si="65">Z59/Z$70</f>
        <v>0.20917014147681109</v>
      </c>
      <c r="AA75" s="1236">
        <f t="shared" si="65"/>
        <v>0.22143819423348701</v>
      </c>
      <c r="AB75" s="1236">
        <f t="shared" si="65"/>
        <v>0.12834071853892895</v>
      </c>
      <c r="AC75" s="1236">
        <f t="shared" si="65"/>
        <v>0.17588111512077159</v>
      </c>
      <c r="AD75" s="1274">
        <f t="shared" si="65"/>
        <v>0.25674437899223967</v>
      </c>
      <c r="AE75" s="1236">
        <f t="shared" si="65"/>
        <v>0.25140594345081796</v>
      </c>
      <c r="AF75" s="1236">
        <f t="shared" si="65"/>
        <v>0.2180259089301998</v>
      </c>
      <c r="AG75" s="1236">
        <f t="shared" si="65"/>
        <v>0.22414323033836997</v>
      </c>
      <c r="AH75" s="1274">
        <f t="shared" si="65"/>
        <v>0.33224613577051826</v>
      </c>
      <c r="AI75" s="1275">
        <f t="shared" si="65"/>
        <v>0.28951255313613761</v>
      </c>
      <c r="AJ75" s="1275">
        <f t="shared" si="65"/>
        <v>0.22502393621800185</v>
      </c>
      <c r="AK75" s="1275">
        <f t="shared" si="65"/>
        <v>0.29862692435064248</v>
      </c>
      <c r="AL75" s="1274">
        <f t="shared" si="65"/>
        <v>0.33214518909332907</v>
      </c>
      <c r="AM75" s="1275">
        <f t="shared" si="65"/>
        <v>0.24388088751323622</v>
      </c>
      <c r="AN75" s="1275">
        <f t="shared" si="65"/>
        <v>0.21758245337432619</v>
      </c>
      <c r="AO75" s="1275">
        <f t="shared" si="65"/>
        <v>0.28094050397011677</v>
      </c>
    </row>
    <row r="76" spans="1:41">
      <c r="A76" s="1169" t="s">
        <v>1640</v>
      </c>
      <c r="B76" s="1236">
        <f>B64/B$68</f>
        <v>3.4563914081393024E-3</v>
      </c>
      <c r="C76" s="1236">
        <f>C64/C$68</f>
        <v>1.1491564497169314E-2</v>
      </c>
      <c r="D76" s="1236">
        <f>D64/D$68</f>
        <v>1.0570395599372232E-2</v>
      </c>
      <c r="E76" s="1236">
        <f>E64/E$68</f>
        <v>8.0895556230091547E-3</v>
      </c>
      <c r="F76" s="1236">
        <f>F64/F$68</f>
        <v>1.6631761384837438E-2</v>
      </c>
      <c r="G76" s="1236">
        <f>G66/G$68</f>
        <v>3.6496150708243177E-2</v>
      </c>
      <c r="H76" s="1236">
        <f>H66/H$68</f>
        <v>4.6142548014979801E-2</v>
      </c>
      <c r="I76" s="1236">
        <f>I66/I$68</f>
        <v>3.0519499061217346E-2</v>
      </c>
      <c r="J76" s="1236">
        <f>J66/J$68</f>
        <v>2.9435144079402887E-2</v>
      </c>
      <c r="K76" s="1236">
        <f>K66/K$68</f>
        <v>2.820821218216072E-2</v>
      </c>
      <c r="N76" s="1236"/>
      <c r="O76" s="1236"/>
      <c r="P76" s="1236"/>
      <c r="Q76" s="1236"/>
      <c r="R76" s="1236"/>
      <c r="S76" s="1236"/>
      <c r="T76" s="1236"/>
      <c r="U76" s="1236"/>
      <c r="V76" s="1236"/>
      <c r="W76" s="1236"/>
      <c r="X76" s="1236"/>
      <c r="Y76" s="1236"/>
      <c r="Z76" s="1236">
        <f t="shared" ref="Z76:AO76" si="66">Z66/Z$70</f>
        <v>0.22129001067622825</v>
      </c>
      <c r="AA76" s="1236">
        <f t="shared" si="66"/>
        <v>0.2897355804155165</v>
      </c>
      <c r="AB76" s="1236">
        <f t="shared" si="66"/>
        <v>0.24823431064326509</v>
      </c>
      <c r="AC76" s="1236">
        <f t="shared" si="66"/>
        <v>0.31786039543333861</v>
      </c>
      <c r="AD76" s="1274">
        <f t="shared" si="66"/>
        <v>0.21948245881401016</v>
      </c>
      <c r="AE76" s="1236">
        <f t="shared" si="66"/>
        <v>0.26252369111995971</v>
      </c>
      <c r="AF76" s="1236">
        <f t="shared" si="66"/>
        <v>0.25064106142652448</v>
      </c>
      <c r="AG76" s="1236">
        <f t="shared" si="66"/>
        <v>0.38263460310704406</v>
      </c>
      <c r="AH76" s="1274">
        <f t="shared" si="66"/>
        <v>0.16201592814645405</v>
      </c>
      <c r="AI76" s="1275">
        <f t="shared" si="66"/>
        <v>0.16685578296049502</v>
      </c>
      <c r="AJ76" s="1275">
        <f t="shared" si="66"/>
        <v>0.17088547051554712</v>
      </c>
      <c r="AK76" s="1275">
        <f t="shared" si="66"/>
        <v>0.24110263456661749</v>
      </c>
      <c r="AL76" s="1274">
        <f t="shared" si="66"/>
        <v>0.16355575151978161</v>
      </c>
      <c r="AM76" s="1275">
        <f t="shared" si="66"/>
        <v>0.1603997540243384</v>
      </c>
      <c r="AN76" s="1275">
        <f t="shared" si="66"/>
        <v>0.11781963776665322</v>
      </c>
      <c r="AO76" s="1275">
        <f t="shared" si="66"/>
        <v>0.25931020132778471</v>
      </c>
    </row>
    <row r="78" spans="1:41">
      <c r="A78" s="1169" t="s">
        <v>1642</v>
      </c>
      <c r="B78" s="1208">
        <v>-6.0709999999999997</v>
      </c>
      <c r="C78" s="1208">
        <v>-7.4469440000000002</v>
      </c>
      <c r="D78" s="1208">
        <v>-12.783319000000001</v>
      </c>
      <c r="E78" s="1208">
        <v>-19.768000000000001</v>
      </c>
      <c r="F78" s="1208">
        <v>-35.526000000000003</v>
      </c>
      <c r="G78" s="1182">
        <f>SUM(Z78:AC78)</f>
        <v>-17.306999999999999</v>
      </c>
      <c r="H78" s="1182">
        <f>SUM(AD78:AG78)</f>
        <v>0</v>
      </c>
      <c r="I78" s="1182">
        <v>0</v>
      </c>
      <c r="J78" s="1182">
        <v>0</v>
      </c>
      <c r="K78" s="1182">
        <v>0</v>
      </c>
      <c r="N78" s="1182">
        <v>-2.8530000000000002</v>
      </c>
      <c r="O78" s="1182">
        <v>-2.393567</v>
      </c>
      <c r="P78" s="1182">
        <v>-4.8305309999999997</v>
      </c>
      <c r="Q78" s="1182">
        <v>-2.7061500000000001</v>
      </c>
      <c r="R78" s="1182">
        <v>-4.1671659999999999</v>
      </c>
      <c r="S78" s="1182">
        <v>-3.7292960000000002</v>
      </c>
      <c r="T78" s="1182">
        <v>-7.0683389999999999</v>
      </c>
      <c r="U78" s="1182">
        <v>-4.8033919999999997</v>
      </c>
      <c r="V78" s="1182">
        <v>-4.7471370000000004</v>
      </c>
      <c r="W78" s="1182">
        <v>-7.479031</v>
      </c>
      <c r="X78" s="1182">
        <v>-14.563243</v>
      </c>
      <c r="Y78" s="1182">
        <v>-8.7368020000000008</v>
      </c>
      <c r="Z78" s="1182">
        <v>-13.552</v>
      </c>
      <c r="AA78" s="1182">
        <v>-3.7549999999999999</v>
      </c>
      <c r="AB78" s="1182">
        <v>0</v>
      </c>
      <c r="AC78" s="1182">
        <v>0</v>
      </c>
      <c r="AD78" s="1250">
        <v>0</v>
      </c>
      <c r="AE78" s="1182">
        <v>0</v>
      </c>
      <c r="AF78" s="1182">
        <v>0</v>
      </c>
      <c r="AG78" s="1182">
        <v>0</v>
      </c>
      <c r="AH78" s="1250">
        <v>0</v>
      </c>
      <c r="AI78" s="1251">
        <v>0</v>
      </c>
      <c r="AJ78" s="1251">
        <v>0</v>
      </c>
      <c r="AK78" s="1251">
        <v>0</v>
      </c>
      <c r="AL78" s="1250">
        <v>0</v>
      </c>
      <c r="AM78" s="1251">
        <v>0</v>
      </c>
      <c r="AN78" s="1251">
        <v>0</v>
      </c>
      <c r="AO78" s="1251">
        <v>0</v>
      </c>
    </row>
    <row r="79" spans="1:41" s="1252" customFormat="1" ht="12">
      <c r="A79" s="1190" t="s">
        <v>1793</v>
      </c>
      <c r="B79" s="1191">
        <f t="shared" ref="B79:G79" si="67">B78/B68</f>
        <v>-7.8679235991052521E-3</v>
      </c>
      <c r="C79" s="1191">
        <f t="shared" si="67"/>
        <v>-6.6471133132671315E-3</v>
      </c>
      <c r="D79" s="1191">
        <f t="shared" si="67"/>
        <v>-6.5138902634529127E-3</v>
      </c>
      <c r="E79" s="1191">
        <f t="shared" si="67"/>
        <v>-5.5610771858271308E-3</v>
      </c>
      <c r="F79" s="1191">
        <f t="shared" si="67"/>
        <v>-4.6253078786467955E-3</v>
      </c>
      <c r="G79" s="1191">
        <f t="shared" si="67"/>
        <v>-1.6380548914494044E-3</v>
      </c>
      <c r="H79" s="1242"/>
      <c r="I79" s="1242"/>
      <c r="J79" s="1242"/>
      <c r="K79" s="1242"/>
      <c r="N79" s="1191">
        <f t="shared" ref="N79:AK79" si="68">N78/N68</f>
        <v>-7.6658928225962469E-3</v>
      </c>
      <c r="O79" s="1191">
        <f t="shared" si="68"/>
        <v>-6.1413723377158475E-3</v>
      </c>
      <c r="P79" s="1191">
        <f t="shared" si="68"/>
        <v>-6.7897825343105128E-3</v>
      </c>
      <c r="Q79" s="1191">
        <f t="shared" si="68"/>
        <v>-5.5327302533664767E-3</v>
      </c>
      <c r="R79" s="1191">
        <f t="shared" si="68"/>
        <v>-7.1558907883668777E-3</v>
      </c>
      <c r="S79" s="1191">
        <f t="shared" si="68"/>
        <v>-5.1789194939524342E-3</v>
      </c>
      <c r="T79" s="1191">
        <f t="shared" si="68"/>
        <v>-5.3597830338313361E-3</v>
      </c>
      <c r="U79" s="1191">
        <f t="shared" si="68"/>
        <v>-5.1455622576405497E-3</v>
      </c>
      <c r="V79" s="1191">
        <f t="shared" si="68"/>
        <v>-3.7886927355799305E-3</v>
      </c>
      <c r="W79" s="1191">
        <f t="shared" si="68"/>
        <v>-4.9019982082107423E-3</v>
      </c>
      <c r="X79" s="1191">
        <f t="shared" si="68"/>
        <v>-4.8573987045251975E-3</v>
      </c>
      <c r="Y79" s="1191">
        <f t="shared" si="68"/>
        <v>-4.5887924676322953E-3</v>
      </c>
      <c r="Z79" s="1191">
        <f t="shared" si="68"/>
        <v>-6.626220902715029E-3</v>
      </c>
      <c r="AA79" s="1191">
        <f t="shared" si="68"/>
        <v>-1.587037265579169E-3</v>
      </c>
      <c r="AB79" s="1191">
        <f t="shared" si="68"/>
        <v>0</v>
      </c>
      <c r="AC79" s="1191">
        <f t="shared" si="68"/>
        <v>0</v>
      </c>
      <c r="AD79" s="1269">
        <f t="shared" si="68"/>
        <v>0</v>
      </c>
      <c r="AE79" s="1191">
        <f t="shared" si="68"/>
        <v>0</v>
      </c>
      <c r="AF79" s="1191">
        <f t="shared" si="68"/>
        <v>0</v>
      </c>
      <c r="AG79" s="1191">
        <f t="shared" si="68"/>
        <v>0</v>
      </c>
      <c r="AH79" s="1269">
        <f t="shared" si="68"/>
        <v>0</v>
      </c>
      <c r="AI79" s="1264">
        <f t="shared" si="68"/>
        <v>0</v>
      </c>
      <c r="AJ79" s="1264">
        <f t="shared" si="68"/>
        <v>0</v>
      </c>
      <c r="AK79" s="1264">
        <f t="shared" si="68"/>
        <v>0</v>
      </c>
      <c r="AL79" s="1269"/>
      <c r="AM79" s="1256"/>
      <c r="AN79" s="1264"/>
      <c r="AO79" s="1264"/>
    </row>
    <row r="80" spans="1:41" s="1287" customFormat="1" outlineLevel="1">
      <c r="A80" s="1286" t="s">
        <v>1794</v>
      </c>
      <c r="B80" s="1287">
        <f t="shared" ref="B80:K80" si="69">B68+B78</f>
        <v>765.54300000000001</v>
      </c>
      <c r="C80" s="1287">
        <f t="shared" si="69"/>
        <v>1112.8805799999998</v>
      </c>
      <c r="D80" s="1287">
        <f t="shared" si="69"/>
        <v>1949.687414</v>
      </c>
      <c r="E80" s="1287">
        <f t="shared" si="69"/>
        <v>3534.9389999999999</v>
      </c>
      <c r="F80" s="1287">
        <f t="shared" si="69"/>
        <v>7645.26</v>
      </c>
      <c r="G80" s="1287">
        <f t="shared" si="69"/>
        <v>10548.272999999999</v>
      </c>
      <c r="H80" s="1287">
        <f t="shared" si="69"/>
        <v>13062.0224917864</v>
      </c>
      <c r="I80" s="1287">
        <f t="shared" si="69"/>
        <v>13418.273975551463</v>
      </c>
      <c r="J80" s="1287">
        <f t="shared" si="69"/>
        <v>14401.517932661973</v>
      </c>
      <c r="K80" s="1287">
        <f t="shared" si="69"/>
        <v>15779.315973700794</v>
      </c>
      <c r="N80" s="1287">
        <f t="shared" ref="N80:AO80" si="70">N68+N78</f>
        <v>369.315</v>
      </c>
      <c r="O80" s="1287">
        <f t="shared" si="70"/>
        <v>387.35108099999997</v>
      </c>
      <c r="P80" s="1287">
        <f t="shared" si="70"/>
        <v>706.61066400000004</v>
      </c>
      <c r="Q80" s="1287">
        <f t="shared" si="70"/>
        <v>486.41041200000001</v>
      </c>
      <c r="R80" s="1287">
        <f t="shared" si="70"/>
        <v>578.17347100000006</v>
      </c>
      <c r="S80" s="1287">
        <f t="shared" si="70"/>
        <v>716.36222199999997</v>
      </c>
      <c r="T80" s="1287">
        <f t="shared" si="70"/>
        <v>1311.7050060000001</v>
      </c>
      <c r="U80" s="1287">
        <f t="shared" si="70"/>
        <v>928.69848000000002</v>
      </c>
      <c r="V80" s="1287">
        <f t="shared" si="70"/>
        <v>1248.2277889999998</v>
      </c>
      <c r="W80" s="1287">
        <f t="shared" si="70"/>
        <v>1518.2316449999998</v>
      </c>
      <c r="X80" s="1287">
        <f t="shared" si="70"/>
        <v>2983.593566</v>
      </c>
      <c r="Y80" s="1287">
        <f t="shared" si="70"/>
        <v>1895.2067870000005</v>
      </c>
      <c r="Z80" s="1287">
        <f t="shared" si="70"/>
        <v>2031.6560000000002</v>
      </c>
      <c r="AA80" s="1287">
        <f t="shared" si="70"/>
        <v>2362.2890000000002</v>
      </c>
      <c r="AB80" s="1287">
        <f t="shared" si="70"/>
        <v>4047.6730000000002</v>
      </c>
      <c r="AC80" s="1287">
        <f t="shared" si="70"/>
        <v>2106.6549999999997</v>
      </c>
      <c r="AD80" s="1288">
        <f t="shared" si="70"/>
        <v>2731.5161913399998</v>
      </c>
      <c r="AE80" s="1287">
        <f t="shared" si="70"/>
        <v>2963.7106905104006</v>
      </c>
      <c r="AF80" s="1287">
        <f t="shared" si="70"/>
        <v>5136.669694799999</v>
      </c>
      <c r="AG80" s="1287">
        <f t="shared" si="70"/>
        <v>2230.125915136</v>
      </c>
      <c r="AH80" s="1288">
        <f t="shared" si="70"/>
        <v>2879.0719240970138</v>
      </c>
      <c r="AI80" s="1289">
        <f t="shared" si="70"/>
        <v>3245.4183260636378</v>
      </c>
      <c r="AJ80" s="1289">
        <f t="shared" si="70"/>
        <v>5154.7650417859804</v>
      </c>
      <c r="AK80" s="1289">
        <f t="shared" si="70"/>
        <v>2192.1852064206123</v>
      </c>
      <c r="AL80" s="1288">
        <f t="shared" si="70"/>
        <v>0</v>
      </c>
      <c r="AM80" s="1289">
        <f t="shared" si="70"/>
        <v>0</v>
      </c>
      <c r="AN80" s="1289">
        <f t="shared" si="70"/>
        <v>0</v>
      </c>
      <c r="AO80" s="1289">
        <f t="shared" si="70"/>
        <v>0</v>
      </c>
    </row>
    <row r="81" spans="1:41" s="1195" customFormat="1" ht="12" outlineLevel="1">
      <c r="A81" s="1190" t="s">
        <v>1773</v>
      </c>
      <c r="C81" s="1242">
        <f t="shared" ref="C81:K81" si="71">C80/B80-1</f>
        <v>0.45371400430805298</v>
      </c>
      <c r="D81" s="1242">
        <f t="shared" si="71"/>
        <v>0.7519286876225304</v>
      </c>
      <c r="E81" s="1242">
        <f t="shared" si="71"/>
        <v>0.81307986840192004</v>
      </c>
      <c r="F81" s="1242">
        <f t="shared" si="71"/>
        <v>1.1627699940508167</v>
      </c>
      <c r="G81" s="1242">
        <f t="shared" si="71"/>
        <v>0.37971409736228701</v>
      </c>
      <c r="H81" s="1242">
        <f t="shared" si="71"/>
        <v>0.23830910441798392</v>
      </c>
      <c r="I81" s="1242">
        <f t="shared" si="71"/>
        <v>2.7273837875342766E-2</v>
      </c>
      <c r="J81" s="1242">
        <f t="shared" si="71"/>
        <v>7.3276485403563241E-2</v>
      </c>
      <c r="K81" s="1242">
        <f t="shared" si="71"/>
        <v>9.5670334716178695E-2</v>
      </c>
      <c r="Z81" s="1242">
        <f t="shared" ref="Z81:AO81" si="72">Z80/V80-1</f>
        <v>0.62763240644372531</v>
      </c>
      <c r="AA81" s="1242">
        <f t="shared" si="72"/>
        <v>0.55594767621906627</v>
      </c>
      <c r="AB81" s="1242">
        <f t="shared" si="72"/>
        <v>0.35664356101510641</v>
      </c>
      <c r="AC81" s="1242">
        <f>AC80/Y80-1</f>
        <v>0.11156999565979242</v>
      </c>
      <c r="AD81" s="1260">
        <f t="shared" si="72"/>
        <v>0.34447770259335209</v>
      </c>
      <c r="AE81" s="1242">
        <f t="shared" si="72"/>
        <v>0.25459276596148928</v>
      </c>
      <c r="AF81" s="1242">
        <f t="shared" si="72"/>
        <v>0.26904265606436062</v>
      </c>
      <c r="AG81" s="1242">
        <f t="shared" si="72"/>
        <v>5.8609936195532786E-2</v>
      </c>
      <c r="AH81" s="1260">
        <f t="shared" si="72"/>
        <v>5.4019717409995449E-2</v>
      </c>
      <c r="AI81" s="1256">
        <f t="shared" si="72"/>
        <v>9.505233977636407E-2</v>
      </c>
      <c r="AJ81" s="1256">
        <f t="shared" si="72"/>
        <v>3.5227779984179364E-3</v>
      </c>
      <c r="AK81" s="1256">
        <f t="shared" si="72"/>
        <v>-1.7012810109905407E-2</v>
      </c>
      <c r="AL81" s="1260">
        <f t="shared" si="72"/>
        <v>-1</v>
      </c>
      <c r="AM81" s="1256">
        <f t="shared" si="72"/>
        <v>-1</v>
      </c>
      <c r="AN81" s="1256">
        <f t="shared" si="72"/>
        <v>-1</v>
      </c>
      <c r="AO81" s="1256">
        <f t="shared" si="72"/>
        <v>-1</v>
      </c>
    </row>
    <row r="82" spans="1:41" s="1195" customFormat="1">
      <c r="A82" s="1187" t="s">
        <v>354</v>
      </c>
      <c r="B82" s="1199"/>
      <c r="C82" s="1199"/>
      <c r="D82" s="1199"/>
      <c r="E82" s="1199"/>
      <c r="F82" s="1199"/>
      <c r="G82" s="1199">
        <f>SUM(Z82:AC82)</f>
        <v>1430.2750000000001</v>
      </c>
      <c r="H82" s="1199">
        <f>SUM(AD82:AG82)</f>
        <v>2192.114</v>
      </c>
      <c r="I82" s="1199">
        <f>I70+I78</f>
        <v>2240.1489999999999</v>
      </c>
      <c r="J82" s="1199">
        <f>J70+J78</f>
        <v>2545.9755812459425</v>
      </c>
      <c r="K82" s="1199">
        <f>K70+K78</f>
        <v>2985.5606347623639</v>
      </c>
      <c r="M82" s="1272"/>
      <c r="N82" s="1199"/>
      <c r="O82" s="1199"/>
      <c r="P82" s="1199"/>
      <c r="Q82" s="1199"/>
      <c r="R82" s="1199"/>
      <c r="S82" s="1199"/>
      <c r="T82" s="1199"/>
      <c r="U82" s="1199"/>
      <c r="V82" s="1199"/>
      <c r="W82" s="1199"/>
      <c r="X82" s="1199"/>
      <c r="Y82" s="1199"/>
      <c r="Z82" s="1199">
        <f t="shared" ref="Z82:AO82" si="73">Z70+Z78</f>
        <v>284.30599999999998</v>
      </c>
      <c r="AA82" s="1199">
        <f t="shared" si="73"/>
        <v>299.09699999999998</v>
      </c>
      <c r="AB82" s="1199">
        <f t="shared" si="73"/>
        <v>525.149</v>
      </c>
      <c r="AC82" s="1199">
        <f t="shared" si="73"/>
        <v>321.72300000000001</v>
      </c>
      <c r="AD82" s="1273">
        <f t="shared" si="73"/>
        <v>456.041</v>
      </c>
      <c r="AE82" s="1199">
        <f t="shared" si="73"/>
        <v>460.08799999999997</v>
      </c>
      <c r="AF82" s="1199">
        <f t="shared" si="73"/>
        <v>806.08500000000004</v>
      </c>
      <c r="AG82" s="1199">
        <f t="shared" si="73"/>
        <v>469.90000000000003</v>
      </c>
      <c r="AH82" s="1273">
        <f t="shared" si="73"/>
        <v>480.53299999999996</v>
      </c>
      <c r="AI82" s="1199">
        <f t="shared" si="73"/>
        <v>525.25</v>
      </c>
      <c r="AJ82" s="1199">
        <f t="shared" si="73"/>
        <v>763.13099999999997</v>
      </c>
      <c r="AK82" s="1199">
        <f t="shared" si="73"/>
        <v>471.23500000000001</v>
      </c>
      <c r="AL82" s="1273">
        <f t="shared" si="73"/>
        <v>458.00162515801219</v>
      </c>
      <c r="AM82" s="1199">
        <f t="shared" si="73"/>
        <v>583.86949886338061</v>
      </c>
      <c r="AN82" s="1199">
        <f t="shared" si="73"/>
        <v>951.86700032273018</v>
      </c>
      <c r="AO82" s="1199">
        <f t="shared" si="73"/>
        <v>552.23745690181988</v>
      </c>
    </row>
    <row r="83" spans="1:41" s="1195" customFormat="1" ht="12">
      <c r="A83" s="1190"/>
      <c r="G83" s="1270"/>
      <c r="H83" s="1242">
        <f>H82/G82-1</f>
        <v>0.53265211235601528</v>
      </c>
      <c r="I83" s="1242">
        <f>I82/H82-1</f>
        <v>2.1912637755153286E-2</v>
      </c>
      <c r="J83" s="1242">
        <f>J82/I82-1</f>
        <v>0.13652064270990127</v>
      </c>
      <c r="K83" s="1242">
        <f>K82/J82-1</f>
        <v>0.17265878618572539</v>
      </c>
      <c r="R83" s="1242"/>
      <c r="S83" s="1242"/>
      <c r="T83" s="1242"/>
      <c r="U83" s="1242"/>
      <c r="V83" s="1270"/>
      <c r="W83" s="1270"/>
      <c r="X83" s="1270"/>
      <c r="Y83" s="1270"/>
      <c r="Z83" s="1270"/>
      <c r="AA83" s="1270"/>
      <c r="AB83" s="1270"/>
      <c r="AC83" s="1270"/>
      <c r="AD83" s="1260">
        <f>AD82/Z82-1</f>
        <v>0.60404986176865783</v>
      </c>
      <c r="AE83" s="1242">
        <f>AE82/AA82-1</f>
        <v>0.53825681969394545</v>
      </c>
      <c r="AF83" s="1242">
        <f>AF82/AB82-1</f>
        <v>0.53496436249521562</v>
      </c>
      <c r="AG83" s="1242">
        <f>AG82/AC82-1</f>
        <v>0.46057322603606221</v>
      </c>
      <c r="AH83" s="1260">
        <f t="shared" ref="AH83:AO83" si="74">AH82/AD82-1</f>
        <v>5.3705697514039308E-2</v>
      </c>
      <c r="AI83" s="1256">
        <f t="shared" si="74"/>
        <v>0.14162942741388607</v>
      </c>
      <c r="AJ83" s="1256">
        <f t="shared" si="74"/>
        <v>-5.3287184354007366E-2</v>
      </c>
      <c r="AK83" s="1256">
        <f t="shared" si="74"/>
        <v>2.8410300063843597E-3</v>
      </c>
      <c r="AL83" s="1260">
        <f t="shared" si="74"/>
        <v>-4.6888298705786591E-2</v>
      </c>
      <c r="AM83" s="1256">
        <f t="shared" si="74"/>
        <v>0.11160304400453236</v>
      </c>
      <c r="AN83" s="1256">
        <f t="shared" si="74"/>
        <v>0.24731795762815323</v>
      </c>
      <c r="AO83" s="1256">
        <f t="shared" si="74"/>
        <v>0.17189397413566443</v>
      </c>
    </row>
    <row r="85" spans="1:41" s="1252" customFormat="1" ht="12">
      <c r="A85" s="1171" t="s">
        <v>1795</v>
      </c>
      <c r="B85" s="1252">
        <f>B182-B160-B175</f>
        <v>-741.71600000000001</v>
      </c>
      <c r="C85" s="1252">
        <f>C182-C160-C175</f>
        <v>-1073.7316290000001</v>
      </c>
      <c r="D85" s="1252">
        <f>D182-D160-D175</f>
        <v>-1829.6653859999999</v>
      </c>
      <c r="E85" s="1252">
        <f>E182-E160-E175</f>
        <v>-3308.0009999999997</v>
      </c>
      <c r="F85" s="1252">
        <f>F182-F160-F175</f>
        <v>-7273.598</v>
      </c>
      <c r="G85" s="1252">
        <f>SUM(Z85:AC85)</f>
        <v>-9955.6049999999996</v>
      </c>
      <c r="H85" s="1252">
        <f>SUM(AD85:AG85)</f>
        <v>-11893.0064917864</v>
      </c>
      <c r="I85" s="1252">
        <f>SUM(AH85:AK85)</f>
        <v>-12294.830498367244</v>
      </c>
      <c r="J85" s="1252">
        <f>J98-J80</f>
        <v>-13026.691118789164</v>
      </c>
      <c r="K85" s="1252">
        <f>K98-K80</f>
        <v>-14107.40201823387</v>
      </c>
      <c r="N85" s="1252">
        <f>N182-N160-N175</f>
        <v>-342.89</v>
      </c>
      <c r="O85" s="1252">
        <f t="shared" ref="O85:AC85" si="75">O182-O160-O175</f>
        <v>-356.88007900000002</v>
      </c>
      <c r="P85" s="1252">
        <f t="shared" si="75"/>
        <v>-660.86733400000003</v>
      </c>
      <c r="Q85" s="1252">
        <f t="shared" si="75"/>
        <v>-469.02741700000001</v>
      </c>
      <c r="R85" s="1252">
        <f t="shared" si="75"/>
        <v>-535.87958600000002</v>
      </c>
      <c r="S85" s="1252">
        <f t="shared" si="75"/>
        <v>-674.31793000000005</v>
      </c>
      <c r="T85" s="1252">
        <f t="shared" si="75"/>
        <v>-1231.47345</v>
      </c>
      <c r="U85" s="1252">
        <f t="shared" si="75"/>
        <v>-867.12983099999997</v>
      </c>
      <c r="V85" s="1252">
        <f t="shared" si="75"/>
        <v>-1197.2413570000001</v>
      </c>
      <c r="W85" s="1252">
        <f t="shared" si="75"/>
        <v>-1446.475062</v>
      </c>
      <c r="X85" s="1252">
        <f t="shared" si="75"/>
        <v>-2815.401535</v>
      </c>
      <c r="Y85" s="1252">
        <f t="shared" si="75"/>
        <v>-1814.4800459999997</v>
      </c>
      <c r="Z85" s="1252">
        <f>Z182-Z160-Z175</f>
        <v>-1979.7409999999998</v>
      </c>
      <c r="AA85" s="1252">
        <f t="shared" si="75"/>
        <v>-2241.4590000000003</v>
      </c>
      <c r="AB85" s="1252">
        <f t="shared" si="75"/>
        <v>-3811.9289999999996</v>
      </c>
      <c r="AC85" s="1252">
        <f t="shared" si="75"/>
        <v>-1922.4759999999999</v>
      </c>
      <c r="AD85" s="1258">
        <f t="shared" ref="AD85:AK85" si="76">AD98-AD80</f>
        <v>-2479.8911913399998</v>
      </c>
      <c r="AE85" s="1252">
        <f t="shared" si="76"/>
        <v>-2722.8566905104008</v>
      </c>
      <c r="AF85" s="1252">
        <f t="shared" si="76"/>
        <v>-4695.562694799999</v>
      </c>
      <c r="AG85" s="1252">
        <f t="shared" si="76"/>
        <v>-1994.6959151359999</v>
      </c>
      <c r="AH85" s="1258">
        <f t="shared" si="76"/>
        <v>-2616.2189240970138</v>
      </c>
      <c r="AI85" s="1259">
        <f t="shared" si="76"/>
        <v>-2994.3933260636377</v>
      </c>
      <c r="AJ85" s="1259">
        <f t="shared" si="76"/>
        <v>-4762.6420417859808</v>
      </c>
      <c r="AK85" s="1259">
        <f t="shared" si="76"/>
        <v>-1921.5762064206124</v>
      </c>
      <c r="AL85" s="1258"/>
      <c r="AM85" s="1259"/>
      <c r="AN85" s="1259"/>
      <c r="AO85" s="1259"/>
    </row>
    <row r="86" spans="1:41" s="1195" customFormat="1">
      <c r="A86" s="1169" t="s">
        <v>1644</v>
      </c>
      <c r="G86" s="1182">
        <f>SUM(Z86:AC86)</f>
        <v>-784.54</v>
      </c>
      <c r="H86" s="1182">
        <f>SUM(AD86:AG86)</f>
        <v>-1023.098</v>
      </c>
      <c r="I86" s="1182">
        <f>SUM(AH86:AK86)</f>
        <v>-1063.539</v>
      </c>
      <c r="J86" s="1182">
        <f>J98-J82</f>
        <v>-1171.1487673731335</v>
      </c>
      <c r="K86" s="1182">
        <f>K98-K82</f>
        <v>-1313.64667929544</v>
      </c>
      <c r="Z86" s="1182">
        <f t="shared" ref="Z86:AK86" si="77">Z183-Z160-Z175</f>
        <v>-191.51300000000001</v>
      </c>
      <c r="AA86" s="1182">
        <f t="shared" si="77"/>
        <v>-168.679</v>
      </c>
      <c r="AB86" s="1182">
        <f t="shared" si="77"/>
        <v>-271.08699999999999</v>
      </c>
      <c r="AC86" s="1182">
        <f t="shared" si="77"/>
        <v>-153.261</v>
      </c>
      <c r="AD86" s="1250">
        <f t="shared" si="77"/>
        <v>-204.416</v>
      </c>
      <c r="AE86" s="1182">
        <f t="shared" si="77"/>
        <v>-219.23400000000001</v>
      </c>
      <c r="AF86" s="1182">
        <f t="shared" si="77"/>
        <v>-364.97800000000001</v>
      </c>
      <c r="AG86" s="1182">
        <f t="shared" si="77"/>
        <v>-234.47</v>
      </c>
      <c r="AH86" s="1250">
        <f t="shared" si="77"/>
        <v>-217.68</v>
      </c>
      <c r="AI86" s="1251">
        <f t="shared" si="77"/>
        <v>-274.22500000000002</v>
      </c>
      <c r="AJ86" s="1251">
        <f t="shared" si="77"/>
        <v>-371.00800000000004</v>
      </c>
      <c r="AK86" s="1251">
        <f t="shared" si="77"/>
        <v>-200.626</v>
      </c>
      <c r="AL86" s="1250"/>
      <c r="AM86" s="1251"/>
      <c r="AN86" s="1251"/>
      <c r="AO86" s="1251"/>
    </row>
    <row r="87" spans="1:41" s="1195" customFormat="1">
      <c r="A87" s="1169"/>
      <c r="AD87" s="1271"/>
      <c r="AH87" s="1271"/>
      <c r="AI87" s="1267"/>
      <c r="AJ87" s="1267"/>
      <c r="AK87" s="1267"/>
      <c r="AL87" s="1271"/>
      <c r="AM87" s="1267"/>
      <c r="AN87" s="1267"/>
      <c r="AO87" s="1267"/>
    </row>
    <row r="88" spans="1:41" hidden="1" outlineLevel="1">
      <c r="A88" s="1226" t="s">
        <v>1796</v>
      </c>
      <c r="D88" s="1208">
        <v>-1748.702</v>
      </c>
      <c r="E88" s="1208">
        <v>-3165.1280000000002</v>
      </c>
      <c r="F88" s="1208">
        <v>-6925.52</v>
      </c>
    </row>
    <row r="89" spans="1:41" hidden="1" outlineLevel="1">
      <c r="A89" s="1290" t="s">
        <v>1797</v>
      </c>
      <c r="D89" s="1291">
        <f>D88/D$80</f>
        <v>-0.89691403218957233</v>
      </c>
      <c r="E89" s="1291">
        <f>E88/E$80</f>
        <v>-0.89538405047442127</v>
      </c>
      <c r="F89" s="1291">
        <f>F88/F$80</f>
        <v>-0.90585800875313593</v>
      </c>
      <c r="G89" s="1291"/>
    </row>
    <row r="90" spans="1:41" s="1252" customFormat="1" ht="12" hidden="1" outlineLevel="1">
      <c r="A90" s="1190"/>
      <c r="D90" s="1191"/>
      <c r="E90" s="1191"/>
      <c r="F90" s="1191"/>
      <c r="AD90" s="1258"/>
      <c r="AH90" s="1258"/>
      <c r="AI90" s="1259"/>
      <c r="AJ90" s="1259"/>
      <c r="AK90" s="1259"/>
      <c r="AL90" s="1258"/>
      <c r="AM90" s="1259"/>
      <c r="AN90" s="1259"/>
      <c r="AO90" s="1259"/>
    </row>
    <row r="91" spans="1:41" hidden="1" outlineLevel="1">
      <c r="A91" s="1226" t="s">
        <v>1798</v>
      </c>
      <c r="D91" s="1292">
        <f>D85-D88</f>
        <v>-80.9633859999999</v>
      </c>
      <c r="E91" s="1292">
        <f>E85-E88</f>
        <v>-142.87299999999959</v>
      </c>
      <c r="F91" s="1292">
        <f>F85-F88</f>
        <v>-348.07799999999952</v>
      </c>
    </row>
    <row r="92" spans="1:41" hidden="1" outlineLevel="1">
      <c r="A92" s="1290" t="s">
        <v>1797</v>
      </c>
      <c r="D92" s="1291">
        <f>D91/D$80</f>
        <v>-4.152634182209472E-2</v>
      </c>
      <c r="E92" s="1291">
        <f>E91/E$80</f>
        <v>-4.0417387683351708E-2</v>
      </c>
      <c r="F92" s="1291">
        <f>F91/F$80</f>
        <v>-4.5528602035771117E-2</v>
      </c>
    </row>
    <row r="93" spans="1:41" hidden="1" outlineLevel="1">
      <c r="A93" s="1290"/>
      <c r="D93" s="1291"/>
      <c r="E93" s="1291"/>
      <c r="F93" s="1291"/>
    </row>
    <row r="94" spans="1:41" s="1195" customFormat="1" collapsed="1">
      <c r="A94" s="1183" t="s">
        <v>1645</v>
      </c>
      <c r="B94" s="1193">
        <f>B80+B85+B160</f>
        <v>23.826999999999998</v>
      </c>
      <c r="C94" s="1193">
        <f>C80+C85+C160</f>
        <v>39.14895099999967</v>
      </c>
      <c r="D94" s="1193">
        <f>D80+D85+D160</f>
        <v>120.02202800000009</v>
      </c>
      <c r="E94" s="1193">
        <f>E80+E85+E160</f>
        <v>226.13800000000009</v>
      </c>
      <c r="F94" s="1193">
        <f>F80+F85+F160+F175</f>
        <v>370.58500000000026</v>
      </c>
      <c r="G94" s="1193">
        <f>SUM(Z94:AC94)</f>
        <v>591.77700000000073</v>
      </c>
      <c r="H94" s="1193">
        <f>SUM(AD94:AG94)</f>
        <v>1167.941</v>
      </c>
      <c r="I94" s="1193">
        <f>I82+I183</f>
        <v>1175.1269999999997</v>
      </c>
      <c r="J94" s="1193">
        <f>J98</f>
        <v>1374.826813872809</v>
      </c>
      <c r="K94" s="1193">
        <f>K98</f>
        <v>1671.9139554669239</v>
      </c>
      <c r="N94" s="1193">
        <f t="shared" ref="N94:AC94" si="78">N80+N85+N160</f>
        <v>26.425000000000011</v>
      </c>
      <c r="O94" s="1193">
        <f t="shared" si="78"/>
        <v>30.471001999999942</v>
      </c>
      <c r="P94" s="1193">
        <f t="shared" si="78"/>
        <v>45.743330000000014</v>
      </c>
      <c r="Q94" s="1193">
        <f t="shared" si="78"/>
        <v>17.382994999999994</v>
      </c>
      <c r="R94" s="1193">
        <f t="shared" si="78"/>
        <v>42.293885000000046</v>
      </c>
      <c r="S94" s="1193">
        <f t="shared" si="78"/>
        <v>41.389283999999925</v>
      </c>
      <c r="T94" s="1193">
        <f t="shared" si="78"/>
        <v>80.16526900000018</v>
      </c>
      <c r="U94" s="1193">
        <f t="shared" si="78"/>
        <v>61.490064000000054</v>
      </c>
      <c r="V94" s="1193">
        <f t="shared" si="78"/>
        <v>50.821603999999695</v>
      </c>
      <c r="W94" s="1193">
        <f t="shared" si="78"/>
        <v>71.561076999999869</v>
      </c>
      <c r="X94" s="1193">
        <f t="shared" si="78"/>
        <v>167.97855100000004</v>
      </c>
      <c r="Y94" s="1193">
        <f t="shared" si="78"/>
        <v>80.515555000000859</v>
      </c>
      <c r="Z94" s="1193">
        <f t="shared" si="78"/>
        <v>51.677000000000419</v>
      </c>
      <c r="AA94" s="1193">
        <f t="shared" si="78"/>
        <v>120.64799999999993</v>
      </c>
      <c r="AB94" s="1193">
        <f t="shared" si="78"/>
        <v>235.5490000000006</v>
      </c>
      <c r="AC94" s="1193">
        <f t="shared" si="78"/>
        <v>183.90299999999985</v>
      </c>
      <c r="AD94" s="1266">
        <f t="shared" ref="AD94:AJ94" si="79">AD82+AD86+AD160</f>
        <v>251.304</v>
      </c>
      <c r="AE94" s="1193">
        <f t="shared" si="79"/>
        <v>240.55799999999996</v>
      </c>
      <c r="AF94" s="1193">
        <f t="shared" si="79"/>
        <v>440.87900000000002</v>
      </c>
      <c r="AG94" s="1193">
        <f t="shared" si="79"/>
        <v>235.20000000000005</v>
      </c>
      <c r="AH94" s="1266">
        <f t="shared" si="79"/>
        <v>262.62599999999998</v>
      </c>
      <c r="AI94" s="1193">
        <f t="shared" si="79"/>
        <v>250.77499999999998</v>
      </c>
      <c r="AJ94" s="1193">
        <f t="shared" si="79"/>
        <v>391.50899999999996</v>
      </c>
      <c r="AK94" s="1193">
        <f>AK82+AK86+AK160</f>
        <v>270.21700000000004</v>
      </c>
      <c r="AL94" s="1266">
        <f>AL98</f>
        <v>242.74086133374647</v>
      </c>
      <c r="AM94" s="1193">
        <f>AM98</f>
        <v>303.61213940895794</v>
      </c>
      <c r="AN94" s="1193">
        <f>AN98</f>
        <v>533.045520180729</v>
      </c>
      <c r="AO94" s="1193">
        <f>AO98</f>
        <v>295.42829294937565</v>
      </c>
    </row>
    <row r="95" spans="1:41" s="1287" customFormat="1" hidden="1" outlineLevel="1">
      <c r="A95" s="1286" t="s">
        <v>1799</v>
      </c>
      <c r="B95" s="1287">
        <f>B80+B85</f>
        <v>23.826999999999998</v>
      </c>
      <c r="C95" s="1287">
        <f>C80+C85</f>
        <v>39.14895099999967</v>
      </c>
      <c r="D95" s="1287">
        <f>D80+D85</f>
        <v>120.02202800000009</v>
      </c>
      <c r="E95" s="1287">
        <f>E80+E85</f>
        <v>226.9380000000001</v>
      </c>
      <c r="F95" s="1287">
        <f>F80+F85</f>
        <v>371.66200000000026</v>
      </c>
      <c r="G95" s="1287">
        <f>SUM(Z95:AC95)</f>
        <v>592.6680000000008</v>
      </c>
      <c r="N95" s="1287">
        <f t="shared" ref="N95:AC95" si="80">N80+N85</f>
        <v>26.425000000000011</v>
      </c>
      <c r="O95" s="1287">
        <f t="shared" si="80"/>
        <v>30.471001999999942</v>
      </c>
      <c r="P95" s="1287">
        <f t="shared" si="80"/>
        <v>45.743330000000014</v>
      </c>
      <c r="Q95" s="1287">
        <f t="shared" si="80"/>
        <v>17.382994999999994</v>
      </c>
      <c r="R95" s="1287">
        <f t="shared" si="80"/>
        <v>42.293885000000046</v>
      </c>
      <c r="S95" s="1287">
        <f t="shared" si="80"/>
        <v>42.044291999999928</v>
      </c>
      <c r="T95" s="1287">
        <f t="shared" si="80"/>
        <v>80.231556000000182</v>
      </c>
      <c r="U95" s="1287">
        <f t="shared" si="80"/>
        <v>61.56864900000005</v>
      </c>
      <c r="V95" s="1287">
        <f t="shared" si="80"/>
        <v>50.986431999999695</v>
      </c>
      <c r="W95" s="1287">
        <f t="shared" si="80"/>
        <v>71.756582999999864</v>
      </c>
      <c r="X95" s="1287">
        <f t="shared" si="80"/>
        <v>168.19203100000004</v>
      </c>
      <c r="Y95" s="1287">
        <f t="shared" si="80"/>
        <v>80.726741000000857</v>
      </c>
      <c r="Z95" s="1287">
        <f t="shared" si="80"/>
        <v>51.915000000000418</v>
      </c>
      <c r="AA95" s="1287">
        <f t="shared" si="80"/>
        <v>120.82999999999993</v>
      </c>
      <c r="AB95" s="1287">
        <f t="shared" si="80"/>
        <v>235.7440000000006</v>
      </c>
      <c r="AC95" s="1287">
        <f t="shared" si="80"/>
        <v>184.17899999999986</v>
      </c>
      <c r="AD95" s="1288"/>
      <c r="AH95" s="1288"/>
      <c r="AI95" s="1289"/>
      <c r="AJ95" s="1289"/>
      <c r="AK95" s="1289"/>
      <c r="AL95" s="1288"/>
      <c r="AM95" s="1289"/>
      <c r="AN95" s="1289"/>
      <c r="AO95" s="1289">
        <f>J95-SUM(AL95:AN95)</f>
        <v>0</v>
      </c>
    </row>
    <row r="96" spans="1:41" s="1252" customFormat="1" ht="12" hidden="1" outlineLevel="1">
      <c r="A96" s="1190" t="s">
        <v>1773</v>
      </c>
      <c r="B96" s="1191"/>
      <c r="C96" s="1191"/>
      <c r="D96" s="1191"/>
      <c r="E96" s="1191"/>
      <c r="F96" s="1191"/>
      <c r="G96" s="1191"/>
      <c r="H96" s="1242"/>
      <c r="I96" s="1242"/>
      <c r="J96" s="1242"/>
      <c r="K96" s="1242"/>
      <c r="N96" s="1191"/>
      <c r="O96" s="1191"/>
      <c r="P96" s="1191"/>
      <c r="Q96" s="1191"/>
      <c r="R96" s="1191"/>
      <c r="S96" s="1191"/>
      <c r="T96" s="1191"/>
      <c r="U96" s="1191"/>
      <c r="V96" s="1191"/>
      <c r="W96" s="1191"/>
      <c r="X96" s="1191"/>
      <c r="Y96" s="1191"/>
      <c r="Z96" s="1242">
        <f>Z95/V95-1</f>
        <v>1.8212060808662445E-2</v>
      </c>
      <c r="AA96" s="1242">
        <f>AA95/W95-1</f>
        <v>0.68388731665218994</v>
      </c>
      <c r="AB96" s="1242">
        <f>AB95/X95-1</f>
        <v>0.40163596692640291</v>
      </c>
      <c r="AC96" s="1242">
        <f>AC95/Y95-1</f>
        <v>1.2815116492810965</v>
      </c>
      <c r="AD96" s="1260"/>
      <c r="AE96" s="1242"/>
      <c r="AF96" s="1242"/>
      <c r="AG96" s="1242"/>
      <c r="AH96" s="1260"/>
      <c r="AI96" s="1256"/>
      <c r="AJ96" s="1256"/>
      <c r="AK96" s="1256"/>
      <c r="AL96" s="1260"/>
      <c r="AM96" s="1256"/>
      <c r="AN96" s="1256"/>
      <c r="AO96" s="1256">
        <f>J96-SUM(AL96:AN96)</f>
        <v>0</v>
      </c>
    </row>
    <row r="97" spans="1:41" s="1252" customFormat="1" ht="12" hidden="1" outlineLevel="1">
      <c r="A97" s="1190" t="s">
        <v>1800</v>
      </c>
      <c r="B97" s="1191">
        <f t="shared" ref="B97:G97" si="81">B95/B80</f>
        <v>3.112431306928546E-2</v>
      </c>
      <c r="C97" s="1191">
        <f t="shared" si="81"/>
        <v>3.5178034106767932E-2</v>
      </c>
      <c r="D97" s="1191">
        <f t="shared" si="81"/>
        <v>6.1559625988332964E-2</v>
      </c>
      <c r="E97" s="1191">
        <f t="shared" si="81"/>
        <v>6.4198561842227012E-2</v>
      </c>
      <c r="F97" s="1191">
        <f t="shared" si="81"/>
        <v>4.8613389211092921E-2</v>
      </c>
      <c r="G97" s="1191">
        <f t="shared" si="81"/>
        <v>5.6186259115591795E-2</v>
      </c>
      <c r="H97" s="1191"/>
      <c r="I97" s="1191"/>
      <c r="J97" s="1191"/>
      <c r="K97" s="1191"/>
      <c r="N97" s="1191">
        <f t="shared" ref="N97:AC97" si="82">N95/N80</f>
        <v>7.1551385673476603E-2</v>
      </c>
      <c r="O97" s="1191">
        <f t="shared" si="82"/>
        <v>7.8665075417718902E-2</v>
      </c>
      <c r="P97" s="1191">
        <f t="shared" si="82"/>
        <v>6.473625764583707E-2</v>
      </c>
      <c r="Q97" s="1191">
        <f t="shared" si="82"/>
        <v>3.5737300376703272E-2</v>
      </c>
      <c r="R97" s="1191">
        <f t="shared" si="82"/>
        <v>7.315085717587351E-2</v>
      </c>
      <c r="S97" s="1191">
        <f t="shared" si="82"/>
        <v>5.8691386436623021E-2</v>
      </c>
      <c r="T97" s="1191">
        <f t="shared" si="82"/>
        <v>6.1165853322968998E-2</v>
      </c>
      <c r="U97" s="1191">
        <f t="shared" si="82"/>
        <v>6.6295628049267447E-2</v>
      </c>
      <c r="V97" s="1191">
        <f t="shared" si="82"/>
        <v>4.0847057283387965E-2</v>
      </c>
      <c r="W97" s="1191">
        <f t="shared" si="82"/>
        <v>4.7263263966546995E-2</v>
      </c>
      <c r="X97" s="1191">
        <f t="shared" si="82"/>
        <v>5.6372299805395154E-2</v>
      </c>
      <c r="Y97" s="1191">
        <f t="shared" si="82"/>
        <v>4.2595215231255305E-2</v>
      </c>
      <c r="Z97" s="1191">
        <f t="shared" si="82"/>
        <v>2.5553046381868002E-2</v>
      </c>
      <c r="AA97" s="1191">
        <f t="shared" si="82"/>
        <v>5.1149541821512913E-2</v>
      </c>
      <c r="AB97" s="1191">
        <f t="shared" si="82"/>
        <v>5.8241858964397715E-2</v>
      </c>
      <c r="AC97" s="1191">
        <f t="shared" si="82"/>
        <v>8.7427224676085963E-2</v>
      </c>
      <c r="AD97" s="1269"/>
      <c r="AE97" s="1191"/>
      <c r="AF97" s="1191"/>
      <c r="AG97" s="1191"/>
      <c r="AH97" s="1269"/>
      <c r="AI97" s="1264"/>
      <c r="AJ97" s="1264"/>
      <c r="AK97" s="1264"/>
      <c r="AL97" s="1269"/>
      <c r="AM97" s="1264"/>
      <c r="AN97" s="1264"/>
      <c r="AO97" s="1264">
        <f>J97-SUM(AL97:AN97)</f>
        <v>0</v>
      </c>
    </row>
    <row r="98" spans="1:41" s="1195" customFormat="1" collapsed="1">
      <c r="A98" s="1293" t="s">
        <v>1646</v>
      </c>
      <c r="B98" s="1201"/>
      <c r="C98" s="1201"/>
      <c r="D98" s="1201"/>
      <c r="E98" s="1201"/>
      <c r="F98" s="1201"/>
      <c r="G98" s="1201">
        <f>G82+G86</f>
        <v>645.73500000000013</v>
      </c>
      <c r="H98" s="1201">
        <f>SUM(AD98:AG98)</f>
        <v>1169.0160000000001</v>
      </c>
      <c r="I98" s="1201">
        <f>SUM(AH98:AK98)</f>
        <v>1176.6099999999999</v>
      </c>
      <c r="J98" s="1201">
        <f>J99*J82</f>
        <v>1374.826813872809</v>
      </c>
      <c r="K98" s="1201">
        <f>K99*K82</f>
        <v>1671.9139554669239</v>
      </c>
      <c r="N98" s="1201"/>
      <c r="O98" s="1201"/>
      <c r="P98" s="1201"/>
      <c r="Q98" s="1201"/>
      <c r="R98" s="1201"/>
      <c r="S98" s="1201"/>
      <c r="T98" s="1201"/>
      <c r="U98" s="1201"/>
      <c r="V98" s="1201"/>
      <c r="W98" s="1201"/>
      <c r="X98" s="1201"/>
      <c r="Y98" s="1201"/>
      <c r="Z98" s="1201">
        <f t="shared" ref="Z98:AK98" si="83">Z82+Z86</f>
        <v>92.792999999999978</v>
      </c>
      <c r="AA98" s="1201">
        <f t="shared" si="83"/>
        <v>130.41799999999998</v>
      </c>
      <c r="AB98" s="1201">
        <f t="shared" si="83"/>
        <v>254.06200000000001</v>
      </c>
      <c r="AC98" s="1201">
        <f t="shared" si="83"/>
        <v>168.46200000000002</v>
      </c>
      <c r="AD98" s="1294">
        <f t="shared" si="83"/>
        <v>251.625</v>
      </c>
      <c r="AE98" s="1201">
        <f t="shared" si="83"/>
        <v>240.85399999999996</v>
      </c>
      <c r="AF98" s="1201">
        <f t="shared" si="83"/>
        <v>441.10700000000003</v>
      </c>
      <c r="AG98" s="1201">
        <f t="shared" si="83"/>
        <v>235.43000000000004</v>
      </c>
      <c r="AH98" s="1294">
        <f t="shared" si="83"/>
        <v>262.85299999999995</v>
      </c>
      <c r="AI98" s="1295">
        <f t="shared" si="83"/>
        <v>251.02499999999998</v>
      </c>
      <c r="AJ98" s="1295">
        <f t="shared" si="83"/>
        <v>392.12299999999993</v>
      </c>
      <c r="AK98" s="1295">
        <f t="shared" si="83"/>
        <v>270.60900000000004</v>
      </c>
      <c r="AL98" s="1294">
        <f>AL99*AL82</f>
        <v>242.74086133374647</v>
      </c>
      <c r="AM98" s="1295">
        <f>AM99*AM82</f>
        <v>303.61213940895794</v>
      </c>
      <c r="AN98" s="1295">
        <f>AN99*AN82</f>
        <v>533.045520180729</v>
      </c>
      <c r="AO98" s="1295">
        <f>J98-SUM(AL98:AN98)</f>
        <v>295.42829294937565</v>
      </c>
    </row>
    <row r="99" spans="1:41" s="1252" customFormat="1" ht="12">
      <c r="A99" s="1190" t="s">
        <v>1647</v>
      </c>
      <c r="B99" s="1191"/>
      <c r="C99" s="1191"/>
      <c r="D99" s="1191"/>
      <c r="E99" s="1191"/>
      <c r="F99" s="1191"/>
      <c r="G99" s="1191">
        <f>G98/G82</f>
        <v>0.45147611473318072</v>
      </c>
      <c r="H99" s="1191">
        <f>H98/H82</f>
        <v>0.53328248439634074</v>
      </c>
      <c r="I99" s="1191">
        <f>I98/I82</f>
        <v>0.52523738376331219</v>
      </c>
      <c r="J99" s="1261">
        <v>0.54</v>
      </c>
      <c r="K99" s="1261">
        <f>J99+0.02</f>
        <v>0.56000000000000005</v>
      </c>
      <c r="N99" s="1191"/>
      <c r="O99" s="1191"/>
      <c r="P99" s="1191"/>
      <c r="Q99" s="1191"/>
      <c r="R99" s="1191"/>
      <c r="S99" s="1191"/>
      <c r="T99" s="1191"/>
      <c r="U99" s="1191"/>
      <c r="V99" s="1191"/>
      <c r="W99" s="1191"/>
      <c r="X99" s="1191"/>
      <c r="Y99" s="1191"/>
      <c r="Z99" s="1191">
        <f t="shared" ref="Z99:AK99" si="84">Z98/Z82</f>
        <v>0.32638424795818582</v>
      </c>
      <c r="AA99" s="1191">
        <f t="shared" si="84"/>
        <v>0.43603914449158632</v>
      </c>
      <c r="AB99" s="1191">
        <f t="shared" si="84"/>
        <v>0.48379031474876655</v>
      </c>
      <c r="AC99" s="1191">
        <f t="shared" si="84"/>
        <v>0.52362436008616109</v>
      </c>
      <c r="AD99" s="1269">
        <f t="shared" si="84"/>
        <v>0.55175960056223017</v>
      </c>
      <c r="AE99" s="1191">
        <f t="shared" si="84"/>
        <v>0.52349550520769939</v>
      </c>
      <c r="AF99" s="1191">
        <f t="shared" si="84"/>
        <v>0.54722144686974694</v>
      </c>
      <c r="AG99" s="1191">
        <f t="shared" si="84"/>
        <v>0.50102149393487982</v>
      </c>
      <c r="AH99" s="1269">
        <f t="shared" si="84"/>
        <v>0.54700301540164775</v>
      </c>
      <c r="AI99" s="1264">
        <f t="shared" si="84"/>
        <v>0.47791527843883863</v>
      </c>
      <c r="AJ99" s="1264">
        <f t="shared" si="84"/>
        <v>0.51383445306244924</v>
      </c>
      <c r="AK99" s="1264">
        <f t="shared" si="84"/>
        <v>0.57425488344456599</v>
      </c>
      <c r="AL99" s="1262">
        <v>0.53</v>
      </c>
      <c r="AM99" s="1263">
        <v>0.52</v>
      </c>
      <c r="AN99" s="1263">
        <v>0.56000000000000005</v>
      </c>
      <c r="AO99" s="1264">
        <f>AO98/AO82</f>
        <v>0.53496605356470539</v>
      </c>
    </row>
    <row r="100" spans="1:41" ht="12">
      <c r="AF100" s="1191"/>
    </row>
    <row r="101" spans="1:41" ht="12">
      <c r="AF101" s="1191"/>
    </row>
    <row r="102" spans="1:41" s="1279" customFormat="1" ht="13">
      <c r="A102" s="1277" t="s">
        <v>1801</v>
      </c>
      <c r="B102" s="1278"/>
      <c r="C102" s="1278"/>
      <c r="D102" s="1278"/>
      <c r="E102" s="1278"/>
      <c r="F102" s="1278"/>
      <c r="G102" s="1278"/>
      <c r="H102" s="1278"/>
      <c r="I102" s="1278"/>
      <c r="J102" s="1278"/>
      <c r="K102" s="1278"/>
      <c r="N102" s="1278"/>
      <c r="O102" s="1278"/>
      <c r="P102" s="1278"/>
      <c r="Q102" s="1278"/>
      <c r="R102" s="1278"/>
      <c r="S102" s="1278"/>
      <c r="T102" s="1278"/>
      <c r="U102" s="1278"/>
      <c r="V102" s="1278"/>
      <c r="W102" s="1278"/>
      <c r="X102" s="1278"/>
      <c r="Y102" s="1278"/>
      <c r="Z102" s="1278"/>
      <c r="AA102" s="1278"/>
      <c r="AB102" s="1278"/>
      <c r="AC102" s="1278"/>
      <c r="AD102" s="1280"/>
      <c r="AE102" s="1278"/>
      <c r="AF102" s="1278"/>
      <c r="AG102" s="1278"/>
      <c r="AH102" s="1280"/>
      <c r="AI102" s="1281"/>
      <c r="AJ102" s="1281"/>
      <c r="AK102" s="1281"/>
      <c r="AL102" s="1280"/>
      <c r="AM102" s="1281"/>
      <c r="AN102" s="1281"/>
      <c r="AO102" s="1281"/>
    </row>
    <row r="103" spans="1:41" s="1195" customFormat="1">
      <c r="A103" s="1185" t="s">
        <v>1802</v>
      </c>
      <c r="B103" s="1195">
        <f t="shared" ref="B103:G103" si="85">B184-B163-B176</f>
        <v>-21.385999999999999</v>
      </c>
      <c r="C103" s="1195">
        <f t="shared" si="85"/>
        <v>-33.369748999999999</v>
      </c>
      <c r="D103" s="1195">
        <f t="shared" si="85"/>
        <v>-38.994362000000002</v>
      </c>
      <c r="E103" s="1195">
        <f t="shared" si="85"/>
        <v>-102.90900000000001</v>
      </c>
      <c r="F103" s="1195">
        <f t="shared" si="85"/>
        <v>-293.94600000000003</v>
      </c>
      <c r="G103" s="1195">
        <f t="shared" si="85"/>
        <v>-593.95300000000009</v>
      </c>
      <c r="H103" s="1195">
        <f>SUM(AD103:AG103)</f>
        <v>-532.71500000000003</v>
      </c>
      <c r="I103" s="1195">
        <f>SUM(AH103:AK103)</f>
        <v>-304.31200000000001</v>
      </c>
      <c r="J103" s="1195">
        <f>J107*J$82</f>
        <v>-343.70670346820225</v>
      </c>
      <c r="K103" s="1195">
        <f>K107*K$82</f>
        <v>-417.97848886673097</v>
      </c>
      <c r="N103" s="1195">
        <f>N184-N163-N176</f>
        <v>-8.0820000000000007</v>
      </c>
      <c r="O103" s="1195">
        <f t="shared" ref="O103:AK103" si="86">O184-O163-O176</f>
        <v>-7.6190949999999997</v>
      </c>
      <c r="P103" s="1195">
        <f t="shared" si="86"/>
        <v>-9.2998849999999997</v>
      </c>
      <c r="Q103" s="1195">
        <f t="shared" si="86"/>
        <v>-13.993553</v>
      </c>
      <c r="R103" s="1195">
        <f t="shared" si="86"/>
        <v>-16.976928000000001</v>
      </c>
      <c r="S103" s="1195">
        <f t="shared" si="86"/>
        <v>-20.244319000000001</v>
      </c>
      <c r="T103" s="1195">
        <f t="shared" si="86"/>
        <v>-27.444405</v>
      </c>
      <c r="U103" s="1195">
        <f t="shared" si="86"/>
        <v>-38.244228</v>
      </c>
      <c r="V103" s="1195">
        <f t="shared" si="86"/>
        <v>-42.802106999999999</v>
      </c>
      <c r="W103" s="1195">
        <f t="shared" si="86"/>
        <v>-60.665164999999995</v>
      </c>
      <c r="X103" s="1195">
        <f t="shared" si="86"/>
        <v>-85.995780000000011</v>
      </c>
      <c r="Y103" s="1195">
        <f t="shared" si="86"/>
        <v>-104.482742</v>
      </c>
      <c r="Z103" s="1195">
        <f t="shared" si="86"/>
        <v>-120.12</v>
      </c>
      <c r="AA103" s="1195">
        <f t="shared" si="86"/>
        <v>-139.571</v>
      </c>
      <c r="AB103" s="1195">
        <f t="shared" si="86"/>
        <v>-166.24699999999999</v>
      </c>
      <c r="AC103" s="1195">
        <f t="shared" si="86"/>
        <v>-168.01499999999999</v>
      </c>
      <c r="AD103" s="1271">
        <f t="shared" si="86"/>
        <v>-157.221</v>
      </c>
      <c r="AE103" s="1195">
        <f t="shared" si="86"/>
        <v>-144.447</v>
      </c>
      <c r="AF103" s="1195">
        <f t="shared" si="86"/>
        <v>-121.57000000000001</v>
      </c>
      <c r="AG103" s="1195">
        <f t="shared" si="86"/>
        <v>-109.477</v>
      </c>
      <c r="AH103" s="1271">
        <f t="shared" si="86"/>
        <v>-82.394999999999996</v>
      </c>
      <c r="AI103" s="1267">
        <f t="shared" si="86"/>
        <v>-74.744</v>
      </c>
      <c r="AJ103" s="1267">
        <f t="shared" si="86"/>
        <v>-74.080999999999989</v>
      </c>
      <c r="AK103" s="1267">
        <f t="shared" si="86"/>
        <v>-73.091999999999999</v>
      </c>
      <c r="AL103" s="1271">
        <f>AL107*AL$82</f>
        <v>-82.440292528442185</v>
      </c>
      <c r="AM103" s="1267">
        <f>AM107*AM$82</f>
        <v>-87.580424829507095</v>
      </c>
      <c r="AN103" s="1267">
        <f>AN107*AN$82</f>
        <v>-88.523631030013902</v>
      </c>
      <c r="AO103" s="1267">
        <f>J103-SUM(AL103:AN103)</f>
        <v>-85.162355080239081</v>
      </c>
    </row>
    <row r="104" spans="1:41" s="1252" customFormat="1" ht="12">
      <c r="A104" s="1190" t="s">
        <v>1773</v>
      </c>
      <c r="C104" s="1242">
        <f t="shared" ref="C104:K104" si="87">C103/B103-1</f>
        <v>0.56035485831852605</v>
      </c>
      <c r="D104" s="1242">
        <f t="shared" si="87"/>
        <v>0.16855424953900622</v>
      </c>
      <c r="E104" s="1242">
        <f t="shared" si="87"/>
        <v>1.6390738230311346</v>
      </c>
      <c r="F104" s="1242">
        <f t="shared" si="87"/>
        <v>1.8563682476751304</v>
      </c>
      <c r="G104" s="1242">
        <f t="shared" si="87"/>
        <v>1.0206194335013916</v>
      </c>
      <c r="H104" s="1242">
        <f t="shared" si="87"/>
        <v>-0.10310243403097563</v>
      </c>
      <c r="I104" s="1242">
        <f t="shared" si="87"/>
        <v>-0.42875271017335725</v>
      </c>
      <c r="J104" s="1242">
        <f t="shared" si="87"/>
        <v>0.12945497866729627</v>
      </c>
      <c r="K104" s="1242">
        <f t="shared" si="87"/>
        <v>0.21609059308149314</v>
      </c>
      <c r="R104" s="1242">
        <f>R103/N103-1</f>
        <v>1.1005850037119522</v>
      </c>
      <c r="S104" s="1242">
        <f t="shared" ref="S104:AD104" si="88">S103/O103-1</f>
        <v>1.657050345218166</v>
      </c>
      <c r="T104" s="1242">
        <f t="shared" si="88"/>
        <v>1.9510477817736458</v>
      </c>
      <c r="U104" s="1242">
        <f t="shared" si="88"/>
        <v>1.7329891129150687</v>
      </c>
      <c r="V104" s="1242">
        <f t="shared" si="88"/>
        <v>1.5211927034148931</v>
      </c>
      <c r="W104" s="1242">
        <f t="shared" si="88"/>
        <v>1.9966513074606258</v>
      </c>
      <c r="X104" s="1242">
        <f t="shared" si="88"/>
        <v>2.1334539772314254</v>
      </c>
      <c r="Y104" s="1242">
        <f t="shared" si="88"/>
        <v>1.73198721647617</v>
      </c>
      <c r="Z104" s="1242">
        <f t="shared" si="88"/>
        <v>1.8064038996958725</v>
      </c>
      <c r="AA104" s="1242">
        <f t="shared" si="88"/>
        <v>1.3006778272176462</v>
      </c>
      <c r="AB104" s="1242">
        <f t="shared" si="88"/>
        <v>0.93319951281330282</v>
      </c>
      <c r="AC104" s="1242">
        <f t="shared" si="88"/>
        <v>0.60806461223998109</v>
      </c>
      <c r="AD104" s="1260">
        <f t="shared" si="88"/>
        <v>0.30886613386613382</v>
      </c>
      <c r="AE104" s="1242">
        <f t="shared" ref="AE104:AO104" si="89">AE103/AA103-1</f>
        <v>3.4935624162612644E-2</v>
      </c>
      <c r="AF104" s="1242">
        <f t="shared" si="89"/>
        <v>-0.26873868400632783</v>
      </c>
      <c r="AG104" s="1242">
        <f t="shared" si="89"/>
        <v>-0.34840936821117152</v>
      </c>
      <c r="AH104" s="1260">
        <f t="shared" si="89"/>
        <v>-0.47592878813898909</v>
      </c>
      <c r="AI104" s="1256">
        <f t="shared" si="89"/>
        <v>-0.48255069333388723</v>
      </c>
      <c r="AJ104" s="1256">
        <f t="shared" si="89"/>
        <v>-0.39063091223163626</v>
      </c>
      <c r="AK104" s="1256">
        <f t="shared" si="89"/>
        <v>-0.33235291431076852</v>
      </c>
      <c r="AL104" s="1260">
        <f t="shared" si="89"/>
        <v>5.4969996288845024E-4</v>
      </c>
      <c r="AM104" s="1256">
        <f t="shared" si="89"/>
        <v>0.1717385319157001</v>
      </c>
      <c r="AN104" s="1256">
        <f t="shared" si="89"/>
        <v>0.19495729039853571</v>
      </c>
      <c r="AO104" s="1256">
        <f t="shared" si="89"/>
        <v>0.16513920921905378</v>
      </c>
    </row>
    <row r="105" spans="1:41" ht="12">
      <c r="A105" s="1190" t="s">
        <v>1803</v>
      </c>
      <c r="B105" s="1191">
        <f>B103/B$33</f>
        <v>-2.0786678485894682E-2</v>
      </c>
      <c r="C105" s="1191">
        <f t="shared" ref="C105:I105" si="90">C103/C$33</f>
        <v>-2.0033576526812376E-2</v>
      </c>
      <c r="D105" s="1191">
        <f t="shared" si="90"/>
        <v>-1.2906240589245565E-2</v>
      </c>
      <c r="E105" s="1191">
        <f t="shared" si="90"/>
        <v>-2.0720026233693355E-2</v>
      </c>
      <c r="F105" s="1191">
        <f t="shared" si="90"/>
        <v>-2.7596682616886335E-2</v>
      </c>
      <c r="G105" s="1191">
        <f t="shared" si="90"/>
        <v>-4.0290746528793761E-2</v>
      </c>
      <c r="H105" s="1191">
        <f t="shared" si="90"/>
        <v>-2.9999825088696006E-2</v>
      </c>
      <c r="I105" s="1191">
        <f t="shared" si="90"/>
        <v>-1.6438424528259912E-2</v>
      </c>
      <c r="J105" s="1191">
        <f>J103/J$33</f>
        <v>-1.7281624193410085E-2</v>
      </c>
      <c r="K105" s="1191">
        <f>K103/K$33</f>
        <v>-1.919677471582102E-2</v>
      </c>
      <c r="Q105" s="1191">
        <f>Q103/Q$33</f>
        <v>-1.6862661380065105E-2</v>
      </c>
      <c r="R105" s="1191">
        <f>R103/R$33</f>
        <v>-1.9389438821052634E-2</v>
      </c>
      <c r="S105" s="1191">
        <f>S103/S$33</f>
        <v>-2.0726326595238095E-2</v>
      </c>
      <c r="T105" s="1191">
        <f>T103/T$33</f>
        <v>-1.543249505241167E-2</v>
      </c>
      <c r="U105" s="1191">
        <f>U103/U$33</f>
        <v>-2.8626512884444441E-2</v>
      </c>
      <c r="V105" s="1191">
        <f>V103/V$40</f>
        <v>-2.151721432901121E-2</v>
      </c>
      <c r="W105" s="1191">
        <f t="shared" ref="W105:AK105" si="91">W103/W$40</f>
        <v>-2.619387013222222E-2</v>
      </c>
      <c r="X105" s="1191">
        <f t="shared" si="91"/>
        <v>-1.8894847436619722E-2</v>
      </c>
      <c r="Y105" s="1191">
        <f t="shared" si="91"/>
        <v>-3.2203902923111115E-2</v>
      </c>
      <c r="Z105" s="1191">
        <f t="shared" si="91"/>
        <v>-3.0124137931034484E-2</v>
      </c>
      <c r="AA105" s="1191">
        <f t="shared" si="91"/>
        <v>-3.1015777777777778E-2</v>
      </c>
      <c r="AB105" s="1191">
        <f t="shared" si="91"/>
        <v>-2.3415070422535208E-2</v>
      </c>
      <c r="AC105" s="1191">
        <f t="shared" si="91"/>
        <v>-3.7336666666666664E-2</v>
      </c>
      <c r="AD105" s="1269">
        <f t="shared" si="91"/>
        <v>-2.8851432398297402E-2</v>
      </c>
      <c r="AE105" s="1191">
        <f t="shared" si="91"/>
        <v>-2.5138668187836905E-2</v>
      </c>
      <c r="AF105" s="1191">
        <f t="shared" si="91"/>
        <v>-1.2896032177768309E-2</v>
      </c>
      <c r="AG105" s="1191">
        <f t="shared" si="91"/>
        <v>-1.9429886840839267E-2</v>
      </c>
      <c r="AH105" s="1269">
        <f t="shared" si="91"/>
        <v>-1.4465913611830609E-2</v>
      </c>
      <c r="AI105" s="1264">
        <f t="shared" si="91"/>
        <v>-1.1975212721673656E-2</v>
      </c>
      <c r="AJ105" s="1264">
        <f t="shared" si="91"/>
        <v>-8.2413188435845244E-3</v>
      </c>
      <c r="AK105" s="1264">
        <f t="shared" si="91"/>
        <v>-1.2912890377534536E-2</v>
      </c>
      <c r="AL105" s="1269">
        <f>AL103/AL$33</f>
        <v>-2.0447659691183864E-2</v>
      </c>
      <c r="AM105" s="1264">
        <f>AM103/AM$33</f>
        <v>-1.8439665326404186E-2</v>
      </c>
      <c r="AN105" s="1264">
        <f>AN103/AN$33</f>
        <v>-1.1592786071888206E-2</v>
      </c>
      <c r="AO105" s="1264">
        <f>AO103/AO$33</f>
        <v>-2.4534475508878908E-2</v>
      </c>
    </row>
    <row r="106" spans="1:41" s="1252" customFormat="1" ht="12">
      <c r="A106" s="1190" t="s">
        <v>1804</v>
      </c>
      <c r="B106" s="1191">
        <f t="shared" ref="B106:I106" si="92">B103/B$80</f>
        <v>-2.7935726667215294E-2</v>
      </c>
      <c r="C106" s="1191">
        <f t="shared" si="92"/>
        <v>-2.9985022292328981E-2</v>
      </c>
      <c r="D106" s="1191">
        <f t="shared" si="92"/>
        <v>-2.0000314778664312E-2</v>
      </c>
      <c r="E106" s="1191">
        <f t="shared" si="92"/>
        <v>-2.9111959216269363E-2</v>
      </c>
      <c r="F106" s="1191">
        <f t="shared" si="92"/>
        <v>-3.8448136492414908E-2</v>
      </c>
      <c r="G106" s="1191">
        <f t="shared" si="92"/>
        <v>-5.63080800051345E-2</v>
      </c>
      <c r="H106" s="1191">
        <f t="shared" si="92"/>
        <v>-4.0783500436856496E-2</v>
      </c>
      <c r="I106" s="1191">
        <f t="shared" si="92"/>
        <v>-2.267892282975191E-2</v>
      </c>
      <c r="J106" s="1191">
        <f>J103/J$80</f>
        <v>-2.3866005311057623E-2</v>
      </c>
      <c r="K106" s="1191">
        <f>K103/K$80</f>
        <v>-2.6489011916826493E-2</v>
      </c>
      <c r="R106" s="1191">
        <f t="shared" ref="R106:AK106" si="93">R103/R$80</f>
        <v>-2.9363035233416993E-2</v>
      </c>
      <c r="S106" s="1191">
        <f t="shared" si="93"/>
        <v>-2.8259891962867916E-2</v>
      </c>
      <c r="T106" s="1191">
        <f t="shared" si="93"/>
        <v>-2.0922695937321135E-2</v>
      </c>
      <c r="U106" s="1191">
        <f t="shared" si="93"/>
        <v>-4.118045719209102E-2</v>
      </c>
      <c r="V106" s="1191">
        <f t="shared" si="93"/>
        <v>-3.4290301319353185E-2</v>
      </c>
      <c r="W106" s="1191">
        <f t="shared" si="93"/>
        <v>-3.9957779301853506E-2</v>
      </c>
      <c r="X106" s="1191">
        <f t="shared" si="93"/>
        <v>-2.8822886930706035E-2</v>
      </c>
      <c r="Y106" s="1191">
        <f t="shared" si="93"/>
        <v>-5.5129995690544123E-2</v>
      </c>
      <c r="Z106" s="1191">
        <f t="shared" si="93"/>
        <v>-5.9124182440334384E-2</v>
      </c>
      <c r="AA106" s="1191">
        <f t="shared" si="93"/>
        <v>-5.9082948783997211E-2</v>
      </c>
      <c r="AB106" s="1191">
        <f t="shared" si="93"/>
        <v>-4.1072240766484837E-2</v>
      </c>
      <c r="AC106" s="1191">
        <f t="shared" si="93"/>
        <v>-7.9754397374036098E-2</v>
      </c>
      <c r="AD106" s="1269">
        <f t="shared" si="93"/>
        <v>-5.7558143165489385E-2</v>
      </c>
      <c r="AE106" s="1191">
        <f t="shared" si="93"/>
        <v>-4.8738562931432354E-2</v>
      </c>
      <c r="AF106" s="1191">
        <f t="shared" si="93"/>
        <v>-2.3667085334116163E-2</v>
      </c>
      <c r="AG106" s="1191">
        <f t="shared" si="93"/>
        <v>-4.9090053282181495E-2</v>
      </c>
      <c r="AH106" s="1269">
        <f t="shared" si="93"/>
        <v>-2.8618597302268574E-2</v>
      </c>
      <c r="AI106" s="1264">
        <f t="shared" si="93"/>
        <v>-2.303062116822914E-2</v>
      </c>
      <c r="AJ106" s="1264">
        <f t="shared" si="93"/>
        <v>-1.4371363078526081E-2</v>
      </c>
      <c r="AK106" s="1264">
        <f t="shared" si="93"/>
        <v>-3.3342073373145424E-2</v>
      </c>
      <c r="AL106" s="1269"/>
      <c r="AM106" s="1264"/>
      <c r="AN106" s="1264"/>
      <c r="AO106" s="1264"/>
    </row>
    <row r="107" spans="1:41" s="1252" customFormat="1" ht="12">
      <c r="A107" s="1190" t="s">
        <v>1797</v>
      </c>
      <c r="B107" s="1191"/>
      <c r="C107" s="1242"/>
      <c r="D107" s="1242"/>
      <c r="E107" s="1242"/>
      <c r="F107" s="1242"/>
      <c r="G107" s="1191">
        <f>G103/G$82</f>
        <v>-0.41527188827323419</v>
      </c>
      <c r="H107" s="1191">
        <f>H103/H$82</f>
        <v>-0.24301427754213514</v>
      </c>
      <c r="I107" s="1191">
        <f>I103/I$82</f>
        <v>-0.13584453534117596</v>
      </c>
      <c r="J107" s="1261">
        <v>-0.13500000000000001</v>
      </c>
      <c r="K107" s="1261">
        <v>-0.14000000000000001</v>
      </c>
      <c r="R107" s="1191"/>
      <c r="S107" s="1191"/>
      <c r="T107" s="1191"/>
      <c r="U107" s="1191"/>
      <c r="V107" s="1191"/>
      <c r="W107" s="1191"/>
      <c r="X107" s="1191"/>
      <c r="Y107" s="1191"/>
      <c r="Z107" s="1191">
        <f t="shared" ref="Z107:AK107" si="94">Z103/Z$82</f>
        <v>-0.42250251489592205</v>
      </c>
      <c r="AA107" s="1191">
        <f t="shared" si="94"/>
        <v>-0.46664125684978452</v>
      </c>
      <c r="AB107" s="1191">
        <f t="shared" si="94"/>
        <v>-0.3165711064859687</v>
      </c>
      <c r="AC107" s="1191">
        <f t="shared" si="94"/>
        <v>-0.52223496610438169</v>
      </c>
      <c r="AD107" s="1269">
        <f t="shared" si="94"/>
        <v>-0.34475189730747896</v>
      </c>
      <c r="AE107" s="1191">
        <f t="shared" si="94"/>
        <v>-0.31395515640486171</v>
      </c>
      <c r="AF107" s="1191">
        <f t="shared" si="94"/>
        <v>-0.15081536066295739</v>
      </c>
      <c r="AG107" s="1191">
        <f t="shared" si="94"/>
        <v>-0.23297935731006597</v>
      </c>
      <c r="AH107" s="1269">
        <f t="shared" si="94"/>
        <v>-0.17146585146077378</v>
      </c>
      <c r="AI107" s="1264">
        <f t="shared" si="94"/>
        <v>-0.14230176106615897</v>
      </c>
      <c r="AJ107" s="1264">
        <f t="shared" si="94"/>
        <v>-9.7075076231996849E-2</v>
      </c>
      <c r="AK107" s="1264">
        <f t="shared" si="94"/>
        <v>-0.1551073243710675</v>
      </c>
      <c r="AL107" s="1262">
        <v>-0.18</v>
      </c>
      <c r="AM107" s="1263">
        <v>-0.15</v>
      </c>
      <c r="AN107" s="1263">
        <v>-9.2999999999999999E-2</v>
      </c>
      <c r="AO107" s="1264">
        <f>AO103/AO$82</f>
        <v>-0.15421328998221095</v>
      </c>
    </row>
    <row r="108" spans="1:41">
      <c r="AD108" s="1274"/>
      <c r="AH108" s="1274"/>
      <c r="AL108" s="1274"/>
    </row>
    <row r="109" spans="1:41" s="1195" customFormat="1">
      <c r="A109" s="1185" t="s">
        <v>1805</v>
      </c>
      <c r="B109" s="1195">
        <f t="shared" ref="B109:G109" si="95">B185-B166-B177</f>
        <v>-50.588999999999999</v>
      </c>
      <c r="C109" s="1195">
        <f t="shared" si="95"/>
        <v>-57.993819000000002</v>
      </c>
      <c r="D109" s="1195">
        <f t="shared" si="95"/>
        <v>-110.070612</v>
      </c>
      <c r="E109" s="1195">
        <f t="shared" si="95"/>
        <v>-433.33399999999995</v>
      </c>
      <c r="F109" s="1195">
        <f t="shared" si="95"/>
        <v>-1097.8689999999999</v>
      </c>
      <c r="G109" s="1195">
        <f t="shared" si="95"/>
        <v>-1768.077</v>
      </c>
      <c r="H109" s="1195">
        <f>SUM(AD109:AG109)</f>
        <v>-755.85</v>
      </c>
      <c r="I109" s="1195">
        <f>SUM(AH109:AK109)</f>
        <v>-640.53899999999999</v>
      </c>
      <c r="J109" s="1195">
        <f>J113*J$82</f>
        <v>-738.33291856132325</v>
      </c>
      <c r="K109" s="1195">
        <f>K113*K$82</f>
        <v>-865.81258408108545</v>
      </c>
      <c r="N109" s="1195">
        <f>N185-N166-N177</f>
        <v>-13.005000000000001</v>
      </c>
      <c r="O109" s="1195">
        <f t="shared" ref="O109:AK109" si="96">O185-O166-O177</f>
        <v>-19.251024999999998</v>
      </c>
      <c r="P109" s="1195">
        <f t="shared" si="96"/>
        <v>-39.432685999999997</v>
      </c>
      <c r="Q109" s="1195">
        <f t="shared" si="96"/>
        <v>-38.381824000000002</v>
      </c>
      <c r="R109" s="1195">
        <f t="shared" si="96"/>
        <v>-73.479566000000005</v>
      </c>
      <c r="S109" s="1195">
        <f t="shared" si="96"/>
        <v>-96.232837000000004</v>
      </c>
      <c r="T109" s="1195">
        <f t="shared" si="96"/>
        <v>-120.6639</v>
      </c>
      <c r="U109" s="1195">
        <f t="shared" si="96"/>
        <v>-142.95792799999998</v>
      </c>
      <c r="V109" s="1195">
        <f t="shared" si="96"/>
        <v>-189.42135100000002</v>
      </c>
      <c r="W109" s="1195">
        <f t="shared" si="96"/>
        <v>-230.633467</v>
      </c>
      <c r="X109" s="1195">
        <f t="shared" si="96"/>
        <v>-320.07783900000004</v>
      </c>
      <c r="Y109" s="1195">
        <f t="shared" si="96"/>
        <v>-357.73658099999989</v>
      </c>
      <c r="Z109" s="1195">
        <f>Z185-Z166-Z177+0.171</f>
        <v>-350.077</v>
      </c>
      <c r="AA109" s="1195">
        <f t="shared" si="96"/>
        <v>-588.85800000000006</v>
      </c>
      <c r="AB109" s="1195">
        <f t="shared" si="96"/>
        <v>-465.46300000000002</v>
      </c>
      <c r="AC109" s="1195">
        <f>AC185-AC166-AC177-2.718</f>
        <v>-366.22600000000006</v>
      </c>
      <c r="AD109" s="1271">
        <f t="shared" si="96"/>
        <v>-219.11599999999999</v>
      </c>
      <c r="AE109" s="1195">
        <f t="shared" si="96"/>
        <v>-187.298</v>
      </c>
      <c r="AF109" s="1195">
        <f t="shared" si="96"/>
        <v>-190.10000000000002</v>
      </c>
      <c r="AG109" s="1195">
        <f t="shared" si="96"/>
        <v>-159.33600000000001</v>
      </c>
      <c r="AH109" s="1271">
        <f t="shared" si="96"/>
        <v>-151.85300000000001</v>
      </c>
      <c r="AI109" s="1267">
        <f t="shared" si="96"/>
        <v>-139.24400000000003</v>
      </c>
      <c r="AJ109" s="1267">
        <f t="shared" si="96"/>
        <v>-174.84399999999999</v>
      </c>
      <c r="AK109" s="1267">
        <f t="shared" si="96"/>
        <v>-174.59800000000001</v>
      </c>
      <c r="AL109" s="1271">
        <f>AL113*AL$82</f>
        <v>-155.72055255372416</v>
      </c>
      <c r="AM109" s="1267">
        <f>AM113*AM$82</f>
        <v>-160.56411218742969</v>
      </c>
      <c r="AN109" s="1267">
        <f>AN113*AN$82</f>
        <v>-218.92941007422795</v>
      </c>
      <c r="AO109" s="1267">
        <f>J109-SUM(AL109:AN109)</f>
        <v>-203.11884374594149</v>
      </c>
    </row>
    <row r="110" spans="1:41" s="1252" customFormat="1" ht="12">
      <c r="A110" s="1190" t="s">
        <v>1773</v>
      </c>
      <c r="C110" s="1242">
        <f t="shared" ref="C110:I110" si="97">C109/B109-1</f>
        <v>0.14637211646800696</v>
      </c>
      <c r="D110" s="1242">
        <f t="shared" si="97"/>
        <v>0.89797143726644379</v>
      </c>
      <c r="E110" s="1242">
        <f t="shared" si="97"/>
        <v>2.9368728139714526</v>
      </c>
      <c r="F110" s="1242">
        <f t="shared" si="97"/>
        <v>1.5335399484000796</v>
      </c>
      <c r="G110" s="1242">
        <f t="shared" si="97"/>
        <v>0.61046263260917288</v>
      </c>
      <c r="H110" s="1242">
        <f t="shared" si="97"/>
        <v>-0.57250165009781817</v>
      </c>
      <c r="I110" s="1242">
        <f t="shared" si="97"/>
        <v>-0.15255804723159361</v>
      </c>
      <c r="J110" s="1242">
        <f>J109/I109-1</f>
        <v>0.15267441726627617</v>
      </c>
      <c r="K110" s="1242">
        <f>K109/J109-1</f>
        <v>0.17265878618572561</v>
      </c>
      <c r="R110" s="1242">
        <f t="shared" ref="R110:AE110" si="98">R109/N109-1</f>
        <v>4.6501011918492887</v>
      </c>
      <c r="S110" s="1242">
        <f t="shared" si="98"/>
        <v>3.9988422434649591</v>
      </c>
      <c r="T110" s="1242">
        <f t="shared" si="98"/>
        <v>2.0599969781414336</v>
      </c>
      <c r="U110" s="1242">
        <f t="shared" si="98"/>
        <v>2.7246256978303056</v>
      </c>
      <c r="V110" s="1242">
        <f t="shared" si="98"/>
        <v>1.5778779232310653</v>
      </c>
      <c r="W110" s="1242">
        <f t="shared" si="98"/>
        <v>1.3966192226048575</v>
      </c>
      <c r="X110" s="1242">
        <f t="shared" si="98"/>
        <v>1.6526395964327363</v>
      </c>
      <c r="Y110" s="1242">
        <f t="shared" si="98"/>
        <v>1.5023906404127509</v>
      </c>
      <c r="Z110" s="1242">
        <f t="shared" si="98"/>
        <v>0.8481390727701017</v>
      </c>
      <c r="AA110" s="1242">
        <f t="shared" si="98"/>
        <v>1.5532200840565782</v>
      </c>
      <c r="AB110" s="1242">
        <f t="shared" si="98"/>
        <v>0.45421814098163771</v>
      </c>
      <c r="AC110" s="1242">
        <f t="shared" si="98"/>
        <v>2.3730922278815569E-2</v>
      </c>
      <c r="AD110" s="1260">
        <f t="shared" si="98"/>
        <v>-0.37409198547748068</v>
      </c>
      <c r="AE110" s="1242">
        <f t="shared" si="98"/>
        <v>-0.68193010878683835</v>
      </c>
      <c r="AF110" s="1242">
        <f t="shared" ref="AF110:AO110" si="99">AF109/AB109-1</f>
        <v>-0.59158944964476223</v>
      </c>
      <c r="AG110" s="1242">
        <f t="shared" si="99"/>
        <v>-0.5649243909498507</v>
      </c>
      <c r="AH110" s="1260">
        <f t="shared" si="99"/>
        <v>-0.30697438799539967</v>
      </c>
      <c r="AI110" s="1256">
        <f t="shared" si="99"/>
        <v>-0.25656440538606906</v>
      </c>
      <c r="AJ110" s="1256">
        <f t="shared" si="99"/>
        <v>-8.0252498684902807E-2</v>
      </c>
      <c r="AK110" s="1256">
        <f t="shared" si="99"/>
        <v>9.5785007782296594E-2</v>
      </c>
      <c r="AL110" s="1260">
        <f t="shared" si="99"/>
        <v>2.5469055953613928E-2</v>
      </c>
      <c r="AM110" s="1256">
        <f t="shared" si="99"/>
        <v>0.15311332759350238</v>
      </c>
      <c r="AN110" s="1256">
        <f t="shared" si="99"/>
        <v>0.25214139503916599</v>
      </c>
      <c r="AO110" s="1256">
        <f t="shared" si="99"/>
        <v>0.16335149168914587</v>
      </c>
    </row>
    <row r="111" spans="1:41" ht="12">
      <c r="A111" s="1190" t="s">
        <v>1803</v>
      </c>
      <c r="B111" s="1191">
        <f t="shared" ref="B111:K111" si="100">B109/B$33</f>
        <v>-4.9171293272370992E-2</v>
      </c>
      <c r="C111" s="1191">
        <f t="shared" si="100"/>
        <v>-3.4816672160722748E-2</v>
      </c>
      <c r="D111" s="1191">
        <f t="shared" si="100"/>
        <v>-3.6430851215811653E-2</v>
      </c>
      <c r="E111" s="1191">
        <f t="shared" si="100"/>
        <v>-8.7248849449040169E-2</v>
      </c>
      <c r="F111" s="1191">
        <f t="shared" si="100"/>
        <v>-0.10307179668346696</v>
      </c>
      <c r="G111" s="1191">
        <f t="shared" si="100"/>
        <v>-0.11993733889784222</v>
      </c>
      <c r="H111" s="1191">
        <f t="shared" si="100"/>
        <v>-4.2565664179328298E-2</v>
      </c>
      <c r="I111" s="1191">
        <f t="shared" si="100"/>
        <v>-3.4600843900033769E-2</v>
      </c>
      <c r="J111" s="1191">
        <f t="shared" si="100"/>
        <v>-3.7123489008066099E-2</v>
      </c>
      <c r="K111" s="1191">
        <f t="shared" si="100"/>
        <v>-3.9764747625629246E-2</v>
      </c>
      <c r="N111" s="1242"/>
      <c r="O111" s="1242"/>
      <c r="P111" s="1242"/>
      <c r="Q111" s="1191">
        <f>Q109/Q$33</f>
        <v>-4.6251277374749357E-2</v>
      </c>
      <c r="R111" s="1191">
        <f>R109/R$33</f>
        <v>-8.3921399063157903E-2</v>
      </c>
      <c r="S111" s="1191">
        <f>S109/S$33</f>
        <v>-9.8524095023809516E-2</v>
      </c>
      <c r="T111" s="1191">
        <f>T109/T$33</f>
        <v>-6.7851536214929661E-2</v>
      </c>
      <c r="U111" s="1191">
        <f>U109/U$33</f>
        <v>-0.10700665647703701</v>
      </c>
      <c r="V111" s="1191">
        <f>V109/V$40</f>
        <v>-9.5224746948972913E-2</v>
      </c>
      <c r="W111" s="1191">
        <f>W109/W$40</f>
        <v>-9.9582405862444434E-2</v>
      </c>
      <c r="X111" s="1191">
        <f>X109/X$40</f>
        <v>-7.0326961808450716E-2</v>
      </c>
      <c r="Y111" s="1191">
        <f>Y109/Y$40</f>
        <v>-0.11026236396599996</v>
      </c>
      <c r="Z111" s="1191">
        <f t="shared" ref="Z111:AO111" si="101">Z109/Z$33</f>
        <v>-0.11338526315789474</v>
      </c>
      <c r="AA111" s="1191">
        <f t="shared" si="101"/>
        <v>-0.18114248800295313</v>
      </c>
      <c r="AB111" s="1191">
        <f t="shared" si="101"/>
        <v>-8.7384326688371733E-2</v>
      </c>
      <c r="AC111" s="1191">
        <f t="shared" si="101"/>
        <v>-0.11902999397299587</v>
      </c>
      <c r="AD111" s="1269">
        <f t="shared" si="101"/>
        <v>-5.4651514030660084E-2</v>
      </c>
      <c r="AE111" s="1191">
        <f t="shared" si="101"/>
        <v>-4.6858138792453527E-2</v>
      </c>
      <c r="AF111" s="1191">
        <f t="shared" si="101"/>
        <v>-2.8465797896431468E-2</v>
      </c>
      <c r="AG111" s="1191">
        <f t="shared" si="101"/>
        <v>-5.1856702145353144E-2</v>
      </c>
      <c r="AH111" s="1269">
        <f t="shared" si="101"/>
        <v>-3.5924503831016023E-2</v>
      </c>
      <c r="AI111" s="1264">
        <f t="shared" si="101"/>
        <v>-3.1608754446665256E-2</v>
      </c>
      <c r="AJ111" s="1264">
        <f t="shared" si="101"/>
        <v>-2.5750292016370368E-2</v>
      </c>
      <c r="AK111" s="1264">
        <f t="shared" si="101"/>
        <v>-5.6503906921591254E-2</v>
      </c>
      <c r="AL111" s="1269">
        <f t="shared" si="101"/>
        <v>-3.8623357194458419E-2</v>
      </c>
      <c r="AM111" s="1264">
        <f t="shared" si="101"/>
        <v>-3.380605309840768E-2</v>
      </c>
      <c r="AN111" s="1264">
        <f t="shared" si="101"/>
        <v>-2.8670331145529974E-2</v>
      </c>
      <c r="AO111" s="1264">
        <f t="shared" si="101"/>
        <v>-5.851663323050757E-2</v>
      </c>
    </row>
    <row r="112" spans="1:41" s="1252" customFormat="1" ht="12">
      <c r="A112" s="1190" t="s">
        <v>1804</v>
      </c>
      <c r="B112" s="1191">
        <f t="shared" ref="B112:K112" si="102">B109/B$80</f>
        <v>-6.6082506142698713E-2</v>
      </c>
      <c r="C112" s="1191">
        <f t="shared" si="102"/>
        <v>-5.2111448471856711E-2</v>
      </c>
      <c r="D112" s="1191">
        <f t="shared" si="102"/>
        <v>-5.6455517540721013E-2</v>
      </c>
      <c r="E112" s="1191">
        <f t="shared" si="102"/>
        <v>-0.12258599087565583</v>
      </c>
      <c r="F112" s="1191">
        <f t="shared" si="102"/>
        <v>-0.14360126405118986</v>
      </c>
      <c r="G112" s="1191">
        <f t="shared" si="102"/>
        <v>-0.16761767542421399</v>
      </c>
      <c r="H112" s="1191">
        <f t="shared" si="102"/>
        <v>-5.7866230170349968E-2</v>
      </c>
      <c r="I112" s="1191">
        <f t="shared" si="102"/>
        <v>-4.7736318483814169E-2</v>
      </c>
      <c r="J112" s="1191">
        <f t="shared" si="102"/>
        <v>-5.1267715112642297E-2</v>
      </c>
      <c r="K112" s="1191">
        <f t="shared" si="102"/>
        <v>-5.4870096113426303E-2</v>
      </c>
      <c r="R112" s="1191">
        <f t="shared" ref="R112:AH112" si="103">R109/R$80</f>
        <v>-0.12708913446497444</v>
      </c>
      <c r="S112" s="1191">
        <f t="shared" si="103"/>
        <v>-0.13433544378056275</v>
      </c>
      <c r="T112" s="1191">
        <f t="shared" si="103"/>
        <v>-9.1990119308883678E-2</v>
      </c>
      <c r="U112" s="1191">
        <f t="shared" si="103"/>
        <v>-0.1539336297826179</v>
      </c>
      <c r="V112" s="1191">
        <f t="shared" si="103"/>
        <v>-0.15175223037755975</v>
      </c>
      <c r="W112" s="1191">
        <f t="shared" si="103"/>
        <v>-0.15190927402912882</v>
      </c>
      <c r="X112" s="1191">
        <f t="shared" si="103"/>
        <v>-0.10727930326955265</v>
      </c>
      <c r="Y112" s="1191">
        <f t="shared" si="103"/>
        <v>-0.18875860062018646</v>
      </c>
      <c r="Z112" s="1191">
        <f t="shared" si="103"/>
        <v>-0.1723111589757321</v>
      </c>
      <c r="AA112" s="1191">
        <f t="shared" si="103"/>
        <v>-0.24927432672293695</v>
      </c>
      <c r="AB112" s="1191">
        <f t="shared" si="103"/>
        <v>-0.11499520835798742</v>
      </c>
      <c r="AC112" s="1191">
        <f t="shared" si="103"/>
        <v>-0.17384241843111478</v>
      </c>
      <c r="AD112" s="1269">
        <f t="shared" si="103"/>
        <v>-8.0217719629371215E-2</v>
      </c>
      <c r="AE112" s="1191">
        <f>AE109/AE$80</f>
        <v>-6.3197126696514408E-2</v>
      </c>
      <c r="AF112" s="1191">
        <f t="shared" si="103"/>
        <v>-3.7008414263514706E-2</v>
      </c>
      <c r="AG112" s="1191">
        <f t="shared" si="103"/>
        <v>-7.1447086874591656E-2</v>
      </c>
      <c r="AH112" s="1269">
        <f t="shared" si="103"/>
        <v>-5.2743732703943086E-2</v>
      </c>
      <c r="AI112" s="1264">
        <f>AI109/AI$80</f>
        <v>-4.2904792544537343E-2</v>
      </c>
      <c r="AJ112" s="1264">
        <f>AJ109/AJ$80</f>
        <v>-3.3918907764498511E-2</v>
      </c>
      <c r="AK112" s="1264">
        <f>AK109/AK$80</f>
        <v>-7.9645642844694969E-2</v>
      </c>
      <c r="AL112" s="1269"/>
      <c r="AM112" s="1264"/>
      <c r="AN112" s="1264"/>
      <c r="AO112" s="1264"/>
    </row>
    <row r="113" spans="1:41" s="1252" customFormat="1" ht="12">
      <c r="A113" s="1190" t="s">
        <v>1797</v>
      </c>
      <c r="B113" s="1242"/>
      <c r="C113" s="1242"/>
      <c r="D113" s="1242"/>
      <c r="E113" s="1242"/>
      <c r="F113" s="1242"/>
      <c r="G113" s="1191">
        <f>G109/G$82</f>
        <v>-1.2361797556413976</v>
      </c>
      <c r="H113" s="1191">
        <f>H109/H$82</f>
        <v>-0.3448041479594583</v>
      </c>
      <c r="I113" s="1191">
        <f>I109/I$82</f>
        <v>-0.2859358908715447</v>
      </c>
      <c r="J113" s="1261">
        <v>-0.28999999999999998</v>
      </c>
      <c r="K113" s="1261">
        <v>-0.28999999999999998</v>
      </c>
      <c r="R113" s="1191"/>
      <c r="S113" s="1191"/>
      <c r="T113" s="1191"/>
      <c r="U113" s="1191"/>
      <c r="V113" s="1191"/>
      <c r="W113" s="1191"/>
      <c r="X113" s="1191"/>
      <c r="Y113" s="1191"/>
      <c r="Z113" s="1191">
        <f t="shared" ref="Z113:AK113" si="104">Z109/Z$82</f>
        <v>-1.2313387687913728</v>
      </c>
      <c r="AA113" s="1191">
        <f t="shared" si="104"/>
        <v>-1.9687860459984556</v>
      </c>
      <c r="AB113" s="1191">
        <f t="shared" si="104"/>
        <v>-0.88634463742671132</v>
      </c>
      <c r="AC113" s="1191">
        <f t="shared" si="104"/>
        <v>-1.1383270701814916</v>
      </c>
      <c r="AD113" s="1269">
        <f t="shared" si="104"/>
        <v>-0.48047434331562289</v>
      </c>
      <c r="AE113" s="1191">
        <f t="shared" si="104"/>
        <v>-0.40709168680774116</v>
      </c>
      <c r="AF113" s="1191">
        <f t="shared" si="104"/>
        <v>-0.23583120886755121</v>
      </c>
      <c r="AG113" s="1191">
        <f t="shared" si="104"/>
        <v>-0.33908491168333688</v>
      </c>
      <c r="AH113" s="1269">
        <f t="shared" si="104"/>
        <v>-0.31600951443501285</v>
      </c>
      <c r="AI113" s="1264">
        <f t="shared" si="104"/>
        <v>-0.26510042836744413</v>
      </c>
      <c r="AJ113" s="1264">
        <f t="shared" si="104"/>
        <v>-0.22911400532804985</v>
      </c>
      <c r="AK113" s="1264">
        <f t="shared" si="104"/>
        <v>-0.37051152821840483</v>
      </c>
      <c r="AL113" s="1262">
        <v>-0.34</v>
      </c>
      <c r="AM113" s="1263">
        <v>-0.27500000000000002</v>
      </c>
      <c r="AN113" s="1263">
        <v>-0.23</v>
      </c>
      <c r="AO113" s="1264">
        <f>AO109/AO$82</f>
        <v>-0.36781069666205779</v>
      </c>
    </row>
    <row r="115" spans="1:41" s="1195" customFormat="1">
      <c r="A115" s="1185" t="s">
        <v>1806</v>
      </c>
      <c r="B115" s="1195">
        <f t="shared" ref="B115:G115" si="105">B186-B169-B178</f>
        <v>-53.877000000000002</v>
      </c>
      <c r="C115" s="1195">
        <f t="shared" si="105"/>
        <v>-62.005515000000003</v>
      </c>
      <c r="D115" s="1195">
        <f t="shared" si="105"/>
        <v>-69.678933000000001</v>
      </c>
      <c r="E115" s="1195">
        <f t="shared" si="105"/>
        <v>-131.44400000000002</v>
      </c>
      <c r="F115" s="1195">
        <f t="shared" si="105"/>
        <v>-325.14200000000005</v>
      </c>
      <c r="G115" s="1195">
        <f t="shared" si="105"/>
        <v>-570.63099999999997</v>
      </c>
      <c r="H115" s="1195">
        <f>SUM(AD115:AG115)</f>
        <v>-545.44600000000003</v>
      </c>
      <c r="I115" s="1195">
        <f>SUM(AH115:AK115)</f>
        <v>-427.42599999999993</v>
      </c>
      <c r="J115" s="1195">
        <f>J119*J$82</f>
        <v>-445.54572671803993</v>
      </c>
      <c r="K115" s="1195">
        <f>K119*K$82</f>
        <v>-477.68970156197821</v>
      </c>
      <c r="N115" s="1195">
        <f t="shared" ref="N115:AK115" si="106">N186-N169-N178</f>
        <v>-13.260999999999999</v>
      </c>
      <c r="O115" s="1195">
        <f t="shared" si="106"/>
        <v>-14.774912</v>
      </c>
      <c r="P115" s="1195">
        <f t="shared" si="106"/>
        <v>-17.027384999999999</v>
      </c>
      <c r="Q115" s="1195">
        <f t="shared" si="106"/>
        <v>-24.615701999999999</v>
      </c>
      <c r="R115" s="1195">
        <f t="shared" si="106"/>
        <v>-19.737451</v>
      </c>
      <c r="S115" s="1195">
        <f t="shared" si="106"/>
        <v>-25.48404</v>
      </c>
      <c r="T115" s="1195">
        <f t="shared" si="106"/>
        <v>-37.268751000000002</v>
      </c>
      <c r="U115" s="1195">
        <f t="shared" si="106"/>
        <v>-48.953119999999998</v>
      </c>
      <c r="V115" s="1195">
        <f t="shared" si="106"/>
        <v>-50.244419000000001</v>
      </c>
      <c r="W115" s="1195">
        <f t="shared" si="106"/>
        <v>-62.497241000000002</v>
      </c>
      <c r="X115" s="1195">
        <f t="shared" si="106"/>
        <v>-86.335065999999998</v>
      </c>
      <c r="Y115" s="1195">
        <f t="shared" si="106"/>
        <v>-126.06593299999999</v>
      </c>
      <c r="Z115" s="1195">
        <f t="shared" si="106"/>
        <v>-122.71000000000001</v>
      </c>
      <c r="AA115" s="1195">
        <f t="shared" si="106"/>
        <v>-119.31</v>
      </c>
      <c r="AB115" s="1195">
        <f t="shared" si="106"/>
        <v>-147.73400000000001</v>
      </c>
      <c r="AC115" s="1195">
        <f t="shared" si="106"/>
        <v>-180.87699999999998</v>
      </c>
      <c r="AD115" s="1271">
        <f t="shared" si="106"/>
        <v>-127.36699999999999</v>
      </c>
      <c r="AE115" s="1195">
        <f t="shared" si="106"/>
        <v>-144.898</v>
      </c>
      <c r="AF115" s="1195">
        <f t="shared" si="106"/>
        <v>-136.547</v>
      </c>
      <c r="AG115" s="1195">
        <f t="shared" si="106"/>
        <v>-136.63400000000001</v>
      </c>
      <c r="AH115" s="1271">
        <f t="shared" si="106"/>
        <v>-103.12299999999999</v>
      </c>
      <c r="AI115" s="1267">
        <f t="shared" si="106"/>
        <v>-106.051</v>
      </c>
      <c r="AJ115" s="1267">
        <f t="shared" si="106"/>
        <v>-107.42400000000001</v>
      </c>
      <c r="AK115" s="1267">
        <f t="shared" si="106"/>
        <v>-110.828</v>
      </c>
      <c r="AL115" s="1271">
        <f>AL119*AL$82</f>
        <v>-103.05036566055274</v>
      </c>
      <c r="AM115" s="1267">
        <f>AM119*AM$82</f>
        <v>-112.68681328063246</v>
      </c>
      <c r="AN115" s="1267">
        <f>AN119*AN$82</f>
        <v>-114.22404003872762</v>
      </c>
      <c r="AO115" s="1267">
        <f>J115-SUM(AL115:AN115)</f>
        <v>-115.58450773812712</v>
      </c>
    </row>
    <row r="116" spans="1:41" s="1252" customFormat="1" ht="12">
      <c r="A116" s="1190" t="s">
        <v>1773</v>
      </c>
      <c r="C116" s="1242">
        <f t="shared" ref="C116:I116" si="107">C115/B115-1</f>
        <v>0.15087170777882952</v>
      </c>
      <c r="D116" s="1242">
        <f t="shared" si="107"/>
        <v>0.12375379835164657</v>
      </c>
      <c r="E116" s="1242">
        <f t="shared" si="107"/>
        <v>0.88642383487703547</v>
      </c>
      <c r="F116" s="1242">
        <f t="shared" si="107"/>
        <v>1.4736161407139163</v>
      </c>
      <c r="G116" s="1242">
        <f t="shared" si="107"/>
        <v>0.75502088318334715</v>
      </c>
      <c r="H116" s="1242">
        <f t="shared" si="107"/>
        <v>-4.413535191743867E-2</v>
      </c>
      <c r="I116" s="1242">
        <f t="shared" si="107"/>
        <v>-0.2163733898497745</v>
      </c>
      <c r="J116" s="1242">
        <f>J115/I115-1</f>
        <v>4.2392663801547048E-2</v>
      </c>
      <c r="K116" s="1242">
        <f>K115/J115-1</f>
        <v>7.2145175941234818E-2</v>
      </c>
      <c r="R116" s="1242">
        <f t="shared" ref="R116:AD116" si="108">R115/N115-1</f>
        <v>0.48838330442651401</v>
      </c>
      <c r="S116" s="1242">
        <f t="shared" si="108"/>
        <v>0.7248183948574447</v>
      </c>
      <c r="T116" s="1242">
        <f t="shared" si="108"/>
        <v>1.188753645965015</v>
      </c>
      <c r="U116" s="1242">
        <f t="shared" si="108"/>
        <v>0.98869485826567116</v>
      </c>
      <c r="V116" s="1242">
        <f t="shared" si="108"/>
        <v>1.54563869468251</v>
      </c>
      <c r="W116" s="1242">
        <f t="shared" si="108"/>
        <v>1.4524071144135702</v>
      </c>
      <c r="X116" s="1242">
        <f t="shared" si="108"/>
        <v>1.3165537798677502</v>
      </c>
      <c r="Y116" s="1242">
        <f t="shared" si="108"/>
        <v>1.5752379623607236</v>
      </c>
      <c r="Z116" s="1242">
        <f t="shared" si="108"/>
        <v>1.4422612987125993</v>
      </c>
      <c r="AA116" s="1242">
        <f t="shared" si="108"/>
        <v>0.9090442728503807</v>
      </c>
      <c r="AB116" s="1242">
        <f t="shared" si="108"/>
        <v>0.71117029087578398</v>
      </c>
      <c r="AC116" s="1242">
        <f t="shared" si="108"/>
        <v>0.43478095704094777</v>
      </c>
      <c r="AD116" s="1260">
        <f t="shared" si="108"/>
        <v>3.7951267215385664E-2</v>
      </c>
      <c r="AE116" s="1242">
        <f t="shared" ref="AE116:AO116" si="109">AE115/AA115-1</f>
        <v>0.21446651579917853</v>
      </c>
      <c r="AF116" s="1242">
        <f t="shared" si="109"/>
        <v>-7.5723936263825564E-2</v>
      </c>
      <c r="AG116" s="1242">
        <f t="shared" si="109"/>
        <v>-0.24460268580305933</v>
      </c>
      <c r="AH116" s="1260">
        <f t="shared" si="109"/>
        <v>-0.19034757825810456</v>
      </c>
      <c r="AI116" s="1256">
        <f t="shared" si="109"/>
        <v>-0.26809893856367928</v>
      </c>
      <c r="AJ116" s="1256">
        <f t="shared" si="109"/>
        <v>-0.21328187364057793</v>
      </c>
      <c r="AK116" s="1256">
        <f t="shared" si="109"/>
        <v>-0.18886953466926248</v>
      </c>
      <c r="AL116" s="1260">
        <f t="shared" si="109"/>
        <v>-7.0434664863561203E-4</v>
      </c>
      <c r="AM116" s="1256">
        <f t="shared" si="109"/>
        <v>6.2571906730086946E-2</v>
      </c>
      <c r="AN116" s="1256">
        <f t="shared" si="109"/>
        <v>6.3300938698313436E-2</v>
      </c>
      <c r="AO116" s="1256">
        <f t="shared" si="109"/>
        <v>4.2917924514807693E-2</v>
      </c>
    </row>
    <row r="117" spans="1:41" ht="12">
      <c r="A117" s="1190" t="s">
        <v>1803</v>
      </c>
      <c r="B117" s="1191">
        <f t="shared" ref="B117:K117" si="110">B115/B$33</f>
        <v>-5.2367150321918444E-2</v>
      </c>
      <c r="C117" s="1191">
        <f t="shared" si="110"/>
        <v>-3.7225099590557684E-2</v>
      </c>
      <c r="D117" s="1191">
        <f t="shared" si="110"/>
        <v>-2.3062130707509003E-2</v>
      </c>
      <c r="E117" s="1191">
        <f t="shared" si="110"/>
        <v>-2.646535413094666E-2</v>
      </c>
      <c r="F117" s="1191">
        <f t="shared" si="110"/>
        <v>-3.0525472635857118E-2</v>
      </c>
      <c r="G117" s="1191">
        <f t="shared" si="110"/>
        <v>-3.8708700827291234E-2</v>
      </c>
      <c r="H117" s="1191">
        <f t="shared" si="110"/>
        <v>-3.0716770872471925E-2</v>
      </c>
      <c r="I117" s="1191">
        <f t="shared" si="110"/>
        <v>-2.3088836596703449E-2</v>
      </c>
      <c r="J117" s="1191">
        <f t="shared" si="110"/>
        <v>-2.2402105435901959E-2</v>
      </c>
      <c r="K117" s="1191">
        <f t="shared" si="110"/>
        <v>-2.1939171103795448E-2</v>
      </c>
      <c r="Q117" s="1191">
        <f>Q115/Q$33</f>
        <v>-2.9662677338528062E-2</v>
      </c>
      <c r="R117" s="1191">
        <f>R115/R$33</f>
        <v>-2.2542246668421053E-2</v>
      </c>
      <c r="S117" s="1191">
        <f>S115/S$33</f>
        <v>-2.6090802857142856E-2</v>
      </c>
      <c r="T117" s="1191">
        <f>T115/T$33</f>
        <v>-2.0956905985648533E-2</v>
      </c>
      <c r="U117" s="1191">
        <f>U115/U$33</f>
        <v>-3.6642316859259255E-2</v>
      </c>
      <c r="V117" s="1191">
        <f>V115/V$40</f>
        <v>-2.5258568052727942E-2</v>
      </c>
      <c r="W117" s="1191">
        <f t="shared" ref="W117:AJ117" si="111">W115/W$40</f>
        <v>-2.6984919836222223E-2</v>
      </c>
      <c r="X117" s="1191">
        <f t="shared" si="111"/>
        <v>-1.8969394783098593E-2</v>
      </c>
      <c r="Y117" s="1191">
        <f t="shared" si="111"/>
        <v>-3.8856322015777774E-2</v>
      </c>
      <c r="Z117" s="1191">
        <f t="shared" si="111"/>
        <v>-3.077366771159875E-2</v>
      </c>
      <c r="AA117" s="1191">
        <f t="shared" si="111"/>
        <v>-2.6513333333333333E-2</v>
      </c>
      <c r="AB117" s="1191">
        <f t="shared" si="111"/>
        <v>-2.0807605633802819E-2</v>
      </c>
      <c r="AC117" s="1191">
        <f t="shared" si="111"/>
        <v>-4.0194888888888884E-2</v>
      </c>
      <c r="AD117" s="1269">
        <f t="shared" si="111"/>
        <v>-2.3372961565401217E-2</v>
      </c>
      <c r="AE117" s="1191">
        <f t="shared" si="111"/>
        <v>-2.5217157456237871E-2</v>
      </c>
      <c r="AF117" s="1191">
        <f t="shared" si="111"/>
        <v>-1.4484778364544947E-2</v>
      </c>
      <c r="AG117" s="1191">
        <f t="shared" si="111"/>
        <v>-2.424968859770758E-2</v>
      </c>
      <c r="AH117" s="1269">
        <f t="shared" si="111"/>
        <v>-1.8105084160359341E-2</v>
      </c>
      <c r="AI117" s="1264">
        <f t="shared" si="111"/>
        <v>-1.6991106769054545E-2</v>
      </c>
      <c r="AJ117" s="1264">
        <f t="shared" si="111"/>
        <v>-1.1950640993685615E-2</v>
      </c>
      <c r="AK117" s="1264">
        <f>AK115/AK$40</f>
        <v>-1.9579568417356176E-2</v>
      </c>
      <c r="AL117" s="1269">
        <f>AL115/AL$33</f>
        <v>-2.555957461397983E-2</v>
      </c>
      <c r="AM117" s="1264">
        <f>AM115/AM$33</f>
        <v>-2.3725702719973388E-2</v>
      </c>
      <c r="AN117" s="1264">
        <f>AN115/AN$33</f>
        <v>-1.4958433641146072E-2</v>
      </c>
      <c r="AO117" s="1264">
        <f>AO115/AO$33</f>
        <v>-3.3298812270222425E-2</v>
      </c>
    </row>
    <row r="118" spans="1:41" s="1252" customFormat="1" ht="12">
      <c r="A118" s="1190" t="s">
        <v>1804</v>
      </c>
      <c r="B118" s="1191">
        <f t="shared" ref="B118:K118" si="112">B115/B$80</f>
        <v>-7.0377496757203714E-2</v>
      </c>
      <c r="C118" s="1191">
        <f t="shared" si="112"/>
        <v>-5.5716234171325027E-2</v>
      </c>
      <c r="D118" s="1191">
        <f t="shared" si="112"/>
        <v>-3.5738515056137093E-2</v>
      </c>
      <c r="E118" s="1191">
        <f t="shared" si="112"/>
        <v>-3.7184234296546569E-2</v>
      </c>
      <c r="F118" s="1191">
        <f t="shared" si="112"/>
        <v>-4.252857325977142E-2</v>
      </c>
      <c r="G118" s="1191">
        <f t="shared" si="112"/>
        <v>-5.4097101961619688E-2</v>
      </c>
      <c r="H118" s="1191">
        <f t="shared" si="112"/>
        <v>-4.1758158075672035E-2</v>
      </c>
      <c r="I118" s="1191">
        <f t="shared" si="112"/>
        <v>-3.1854022415907159E-2</v>
      </c>
      <c r="J118" s="1191">
        <f t="shared" si="112"/>
        <v>-3.0937414292111734E-2</v>
      </c>
      <c r="K118" s="1191">
        <f t="shared" si="112"/>
        <v>-3.0273156476373134E-2</v>
      </c>
      <c r="R118" s="1191">
        <f t="shared" ref="R118:AH118" si="113">R115/R$80</f>
        <v>-3.4137593628885125E-2</v>
      </c>
      <c r="S118" s="1191">
        <f t="shared" si="113"/>
        <v>-3.5574237749237424E-2</v>
      </c>
      <c r="T118" s="1191">
        <f t="shared" si="113"/>
        <v>-2.8412448553238195E-2</v>
      </c>
      <c r="U118" s="1191">
        <f t="shared" si="113"/>
        <v>-5.2711532380240352E-2</v>
      </c>
      <c r="V118" s="1191">
        <f t="shared" si="113"/>
        <v>-4.0252604086192162E-2</v>
      </c>
      <c r="W118" s="1191">
        <f t="shared" si="113"/>
        <v>-4.1164496344034518E-2</v>
      </c>
      <c r="X118" s="1191">
        <f t="shared" si="113"/>
        <v>-2.8936604162123333E-2</v>
      </c>
      <c r="Y118" s="1191">
        <f t="shared" si="113"/>
        <v>-6.6518299673016076E-2</v>
      </c>
      <c r="Z118" s="1191">
        <f t="shared" si="113"/>
        <v>-6.0399004555889382E-2</v>
      </c>
      <c r="AA118" s="1191">
        <f t="shared" si="113"/>
        <v>-5.0506098110773064E-2</v>
      </c>
      <c r="AB118" s="1191">
        <f t="shared" si="113"/>
        <v>-3.6498501731735744E-2</v>
      </c>
      <c r="AC118" s="1191">
        <f t="shared" si="113"/>
        <v>-8.5859810932497255E-2</v>
      </c>
      <c r="AD118" s="1269">
        <f t="shared" si="113"/>
        <v>-4.6628682049846305E-2</v>
      </c>
      <c r="AE118" s="1191">
        <f>AE115/AE$80</f>
        <v>-4.8890737029074233E-2</v>
      </c>
      <c r="AF118" s="1191">
        <f t="shared" si="113"/>
        <v>-2.6582787703525207E-2</v>
      </c>
      <c r="AG118" s="1191">
        <f t="shared" si="113"/>
        <v>-6.1267392604451958E-2</v>
      </c>
      <c r="AH118" s="1269">
        <f t="shared" si="113"/>
        <v>-3.5818139566743637E-2</v>
      </c>
      <c r="AI118" s="1264">
        <f>AI115/AI$80</f>
        <v>-3.267714338959473E-2</v>
      </c>
      <c r="AJ118" s="1264">
        <f>AJ115/AJ$80</f>
        <v>-2.0839747132835491E-2</v>
      </c>
      <c r="AK118" s="1264">
        <f>AK115/AK$80</f>
        <v>-5.0555947405994651E-2</v>
      </c>
      <c r="AL118" s="1269"/>
      <c r="AM118" s="1264"/>
      <c r="AN118" s="1264"/>
      <c r="AO118" s="1264"/>
    </row>
    <row r="119" spans="1:41" s="1252" customFormat="1" ht="12">
      <c r="A119" s="1190" t="s">
        <v>1797</v>
      </c>
      <c r="B119" s="1242"/>
      <c r="C119" s="1242"/>
      <c r="D119" s="1242"/>
      <c r="E119" s="1242"/>
      <c r="F119" s="1242"/>
      <c r="G119" s="1191">
        <f>G115/G$82</f>
        <v>-0.39896593312474871</v>
      </c>
      <c r="H119" s="1191">
        <f>H115/H$82</f>
        <v>-0.24882191345888033</v>
      </c>
      <c r="I119" s="1191">
        <f>I115/I$82</f>
        <v>-0.19080248679886916</v>
      </c>
      <c r="J119" s="1261">
        <v>-0.17499999999999999</v>
      </c>
      <c r="K119" s="1261">
        <v>-0.16</v>
      </c>
      <c r="R119" s="1191"/>
      <c r="S119" s="1191"/>
      <c r="T119" s="1191"/>
      <c r="U119" s="1191"/>
      <c r="V119" s="1191"/>
      <c r="W119" s="1191"/>
      <c r="X119" s="1191"/>
      <c r="Y119" s="1191"/>
      <c r="Z119" s="1191">
        <f t="shared" ref="Z119:AK119" si="114">Z115/Z$82</f>
        <v>-0.43161241760638192</v>
      </c>
      <c r="AA119" s="1191">
        <f t="shared" si="114"/>
        <v>-0.3989006910801513</v>
      </c>
      <c r="AB119" s="1191">
        <f t="shared" si="114"/>
        <v>-0.28131825443826419</v>
      </c>
      <c r="AC119" s="1191">
        <f t="shared" si="114"/>
        <v>-0.56221345691790758</v>
      </c>
      <c r="AD119" s="1269">
        <f t="shared" si="114"/>
        <v>-0.27928848502656556</v>
      </c>
      <c r="AE119" s="1191">
        <f t="shared" si="114"/>
        <v>-0.3149354036619082</v>
      </c>
      <c r="AF119" s="1191">
        <f t="shared" si="114"/>
        <v>-0.16939528709751453</v>
      </c>
      <c r="AG119" s="1191">
        <f t="shared" si="114"/>
        <v>-0.29077250478825284</v>
      </c>
      <c r="AH119" s="1269">
        <f t="shared" si="114"/>
        <v>-0.21460128648812882</v>
      </c>
      <c r="AI119" s="1264">
        <f t="shared" si="114"/>
        <v>-0.20190575916230366</v>
      </c>
      <c r="AJ119" s="1264">
        <f t="shared" si="114"/>
        <v>-0.14076744359749507</v>
      </c>
      <c r="AK119" s="1264">
        <f t="shared" si="114"/>
        <v>-0.23518626587583691</v>
      </c>
      <c r="AL119" s="1262">
        <v>-0.22500000000000001</v>
      </c>
      <c r="AM119" s="1263">
        <v>-0.193</v>
      </c>
      <c r="AN119" s="1263">
        <v>-0.12</v>
      </c>
      <c r="AO119" s="1264">
        <f>AO115/AO$82</f>
        <v>-0.20930218748033316</v>
      </c>
    </row>
    <row r="121" spans="1:41" s="1195" customFormat="1">
      <c r="A121" s="1185" t="s">
        <v>1652</v>
      </c>
      <c r="B121" s="1195">
        <f>B163+B166+B169</f>
        <v>0</v>
      </c>
      <c r="C121" s="1195">
        <f>C163+C166+C169</f>
        <v>0</v>
      </c>
      <c r="D121" s="1195">
        <f>D163+D166+D169</f>
        <v>0</v>
      </c>
      <c r="E121" s="1195">
        <f>E163+E166+E169</f>
        <v>-38.372999999999998</v>
      </c>
      <c r="F121" s="1195">
        <f>F163+F166+F169</f>
        <v>-64.358000000000004</v>
      </c>
      <c r="G121" s="1195">
        <f>SUM(Z121:AC121)</f>
        <v>-91.527999999999992</v>
      </c>
      <c r="H121" s="1195">
        <f>SUM(AD121:AG121)</f>
        <v>-97.6</v>
      </c>
      <c r="I121" s="1195">
        <f>SUM(AH121:AK121)</f>
        <v>-66.884999999999991</v>
      </c>
      <c r="J121" s="1195">
        <f>J124*J$82</f>
        <v>-76.379267437378275</v>
      </c>
      <c r="K121" s="1195">
        <f>K124*K$82</f>
        <v>-89.566819042870918</v>
      </c>
      <c r="N121" s="1195">
        <f t="shared" ref="N121:AK121" si="115">N163+N166+N169</f>
        <v>0</v>
      </c>
      <c r="O121" s="1195">
        <f t="shared" si="115"/>
        <v>0</v>
      </c>
      <c r="P121" s="1195">
        <f t="shared" si="115"/>
        <v>0</v>
      </c>
      <c r="Q121" s="1195">
        <f t="shared" si="115"/>
        <v>0</v>
      </c>
      <c r="R121" s="1195">
        <f t="shared" si="115"/>
        <v>0</v>
      </c>
      <c r="S121" s="1195">
        <f t="shared" si="115"/>
        <v>-18.331384</v>
      </c>
      <c r="T121" s="1195">
        <f t="shared" si="115"/>
        <v>-9.1507500000000004</v>
      </c>
      <c r="U121" s="1195">
        <f t="shared" si="115"/>
        <v>-10.890663999999999</v>
      </c>
      <c r="V121" s="1195">
        <f t="shared" si="115"/>
        <v>-12.707163999999999</v>
      </c>
      <c r="W121" s="1195">
        <f t="shared" si="115"/>
        <v>-11.604544000000001</v>
      </c>
      <c r="X121" s="1195">
        <f t="shared" si="115"/>
        <v>-17.776712</v>
      </c>
      <c r="Y121" s="1195">
        <f t="shared" si="115"/>
        <v>-22.269580000000001</v>
      </c>
      <c r="Z121" s="1195">
        <f t="shared" si="115"/>
        <v>-21.28</v>
      </c>
      <c r="AA121" s="1195">
        <f t="shared" si="115"/>
        <v>-23.149000000000001</v>
      </c>
      <c r="AB121" s="1195">
        <f t="shared" si="115"/>
        <v>-21.314</v>
      </c>
      <c r="AC121" s="1195">
        <f t="shared" si="115"/>
        <v>-25.785</v>
      </c>
      <c r="AD121" s="1271">
        <f t="shared" si="115"/>
        <v>-25.399000000000001</v>
      </c>
      <c r="AE121" s="1195">
        <f t="shared" si="115"/>
        <v>-22.585999999999999</v>
      </c>
      <c r="AF121" s="1195">
        <f t="shared" si="115"/>
        <v>-31.001000000000001</v>
      </c>
      <c r="AG121" s="1195">
        <f t="shared" si="115"/>
        <v>-18.613999999999997</v>
      </c>
      <c r="AH121" s="1271">
        <f t="shared" si="115"/>
        <v>-11.783999999999999</v>
      </c>
      <c r="AI121" s="1267">
        <f t="shared" si="115"/>
        <v>-24.617000000000001</v>
      </c>
      <c r="AJ121" s="1267">
        <f t="shared" si="115"/>
        <v>-19.076999999999998</v>
      </c>
      <c r="AK121" s="1267">
        <f t="shared" si="115"/>
        <v>-11.407</v>
      </c>
      <c r="AL121" s="1271">
        <f>AL124*AL$82</f>
        <v>-13.740048754740366</v>
      </c>
      <c r="AM121" s="1267">
        <f>AM124*AM$82</f>
        <v>-23.354779954535225</v>
      </c>
      <c r="AN121" s="1267">
        <f>AN124*AN$82</f>
        <v>-23.796675008068256</v>
      </c>
      <c r="AO121" s="1267">
        <f>J121-SUM(AL121:AN121)</f>
        <v>-15.48776372003443</v>
      </c>
    </row>
    <row r="122" spans="1:41" s="1287" customFormat="1" ht="12">
      <c r="A122" s="1190" t="s">
        <v>1773</v>
      </c>
      <c r="F122" s="1242">
        <f t="shared" ref="F122:K122" si="116">F121/E121-1</f>
        <v>0.67716884267583999</v>
      </c>
      <c r="G122" s="1242">
        <f t="shared" si="116"/>
        <v>0.42216973802790614</v>
      </c>
      <c r="H122" s="1242">
        <f t="shared" si="116"/>
        <v>6.6340354864085294E-2</v>
      </c>
      <c r="I122" s="1242">
        <f t="shared" si="116"/>
        <v>-0.31470286885245902</v>
      </c>
      <c r="J122" s="1242">
        <f t="shared" si="116"/>
        <v>0.14194912816593086</v>
      </c>
      <c r="K122" s="1242">
        <f t="shared" si="116"/>
        <v>0.17265878618572561</v>
      </c>
      <c r="V122" s="1242"/>
      <c r="W122" s="1242">
        <f t="shared" ref="W122:AJ122" si="117">W121/S121-1</f>
        <v>-0.36695756305143135</v>
      </c>
      <c r="X122" s="1242">
        <f t="shared" si="117"/>
        <v>0.94265082097095854</v>
      </c>
      <c r="Y122" s="1242">
        <f t="shared" si="117"/>
        <v>1.0448321608305977</v>
      </c>
      <c r="Z122" s="1242">
        <f t="shared" si="117"/>
        <v>0.67464589266338293</v>
      </c>
      <c r="AA122" s="1242">
        <f t="shared" si="117"/>
        <v>0.99482202833648614</v>
      </c>
      <c r="AB122" s="1242">
        <f t="shared" si="117"/>
        <v>0.19898437911352795</v>
      </c>
      <c r="AC122" s="1242">
        <f t="shared" si="117"/>
        <v>0.15785748990326698</v>
      </c>
      <c r="AD122" s="1260">
        <f t="shared" si="117"/>
        <v>0.19356203007518791</v>
      </c>
      <c r="AE122" s="1242">
        <f t="shared" si="117"/>
        <v>-2.4320704998056164E-2</v>
      </c>
      <c r="AF122" s="1242">
        <f t="shared" si="117"/>
        <v>0.45449000656845273</v>
      </c>
      <c r="AG122" s="1242">
        <f t="shared" si="117"/>
        <v>-0.2781074267985264</v>
      </c>
      <c r="AH122" s="1260">
        <f t="shared" si="117"/>
        <v>-0.53604472617032173</v>
      </c>
      <c r="AI122" s="1256">
        <f t="shared" si="117"/>
        <v>8.9922961126361667E-2</v>
      </c>
      <c r="AJ122" s="1256">
        <f t="shared" si="117"/>
        <v>-0.38463275378213613</v>
      </c>
      <c r="AK122" s="1256">
        <f>AK121/AG121-1</f>
        <v>-0.38718169120017187</v>
      </c>
      <c r="AL122" s="1260">
        <f>AL121/AH121-1</f>
        <v>0.16599191740838148</v>
      </c>
      <c r="AM122" s="1256">
        <f>AM121/AI121-1</f>
        <v>-5.1274324469463228E-2</v>
      </c>
      <c r="AN122" s="1256">
        <f>AN121/AJ121-1</f>
        <v>0.24740132138534676</v>
      </c>
      <c r="AO122" s="1256">
        <f>AO121/AK121-1</f>
        <v>0.35774206364814853</v>
      </c>
    </row>
    <row r="123" spans="1:41" s="1195" customFormat="1" ht="12">
      <c r="A123" s="1190" t="s">
        <v>1804</v>
      </c>
      <c r="E123" s="1236">
        <f t="shared" ref="E123:K123" si="118">E121/E$80</f>
        <v>-1.0855349979165128E-2</v>
      </c>
      <c r="F123" s="1236">
        <f t="shared" si="118"/>
        <v>-8.4180263326557904E-3</v>
      </c>
      <c r="G123" s="1236">
        <f t="shared" si="118"/>
        <v>-8.6770602163975079E-3</v>
      </c>
      <c r="H123" s="1242">
        <f t="shared" si="118"/>
        <v>-7.4720434803547744E-3</v>
      </c>
      <c r="I123" s="1242">
        <f t="shared" si="118"/>
        <v>-4.9846202366911471E-3</v>
      </c>
      <c r="J123" s="1242">
        <f t="shared" si="118"/>
        <v>-5.303556735790583E-3</v>
      </c>
      <c r="K123" s="1242">
        <f t="shared" si="118"/>
        <v>-5.6762168393199629E-3</v>
      </c>
      <c r="V123" s="1191">
        <f t="shared" ref="V123:AF123" si="119">V121/V$80</f>
        <v>-1.018016431935085E-2</v>
      </c>
      <c r="W123" s="1191">
        <f t="shared" si="119"/>
        <v>-7.6434607579267009E-3</v>
      </c>
      <c r="X123" s="1191">
        <f t="shared" si="119"/>
        <v>-5.9581546905641772E-3</v>
      </c>
      <c r="Y123" s="1191">
        <f t="shared" si="119"/>
        <v>-1.1750475015579392E-2</v>
      </c>
      <c r="Z123" s="1191">
        <f t="shared" si="119"/>
        <v>-1.0474214138614017E-2</v>
      </c>
      <c r="AA123" s="1191">
        <f t="shared" si="119"/>
        <v>-9.7993937236299199E-3</v>
      </c>
      <c r="AB123" s="1191">
        <f t="shared" si="119"/>
        <v>-5.2657415754681757E-3</v>
      </c>
      <c r="AC123" s="1191">
        <f t="shared" si="119"/>
        <v>-1.2239782973481659E-2</v>
      </c>
      <c r="AD123" s="1269">
        <f t="shared" si="119"/>
        <v>-9.2984987899852115E-3</v>
      </c>
      <c r="AE123" s="1191">
        <f>AE121/AE$80</f>
        <v>-7.6208518167170738E-3</v>
      </c>
      <c r="AF123" s="1191">
        <f t="shared" si="119"/>
        <v>-6.0352333013320323E-3</v>
      </c>
      <c r="AG123" s="1191">
        <f>AG121/AG$80</f>
        <v>-8.3466139170284732E-3</v>
      </c>
      <c r="AH123" s="1269">
        <f>AH121/AH$80</f>
        <v>-4.0929856254618953E-3</v>
      </c>
      <c r="AI123" s="1264">
        <f>AI121/AI$80</f>
        <v>-7.5851546786136247E-3</v>
      </c>
      <c r="AJ123" s="1264">
        <f>AJ121/AJ$80</f>
        <v>-3.7008476323084471E-3</v>
      </c>
      <c r="AK123" s="1264">
        <f>AK121/AK$80</f>
        <v>-5.2034837050220252E-3</v>
      </c>
      <c r="AL123" s="1269"/>
      <c r="AM123" s="1256"/>
      <c r="AN123" s="1264"/>
      <c r="AO123" s="1264"/>
    </row>
    <row r="124" spans="1:41" s="1195" customFormat="1" ht="12">
      <c r="A124" s="1190" t="s">
        <v>1797</v>
      </c>
      <c r="E124" s="1236"/>
      <c r="F124" s="1236"/>
      <c r="G124" s="1191">
        <f>G121/G$82</f>
        <v>-6.3993288004055154E-2</v>
      </c>
      <c r="H124" s="1191">
        <f>H121/H$82</f>
        <v>-4.4523231912208944E-2</v>
      </c>
      <c r="I124" s="1191">
        <f>I121/I$82</f>
        <v>-2.9857388950467131E-2</v>
      </c>
      <c r="J124" s="1261">
        <v>-0.03</v>
      </c>
      <c r="K124" s="1261">
        <f>J124</f>
        <v>-0.03</v>
      </c>
      <c r="V124" s="1242"/>
      <c r="W124" s="1242"/>
      <c r="X124" s="1242"/>
      <c r="Y124" s="1242"/>
      <c r="Z124" s="1191">
        <f t="shared" ref="Z124:AK124" si="120">Z121/Z$82</f>
        <v>-7.4848930377832343E-2</v>
      </c>
      <c r="AA124" s="1191">
        <f t="shared" si="120"/>
        <v>-7.7396296184849736E-2</v>
      </c>
      <c r="AB124" s="1191">
        <f t="shared" si="120"/>
        <v>-4.0586576381179434E-2</v>
      </c>
      <c r="AC124" s="1191">
        <f t="shared" si="120"/>
        <v>-8.0146585727473629E-2</v>
      </c>
      <c r="AD124" s="1269">
        <f t="shared" si="120"/>
        <v>-5.5694553779155824E-2</v>
      </c>
      <c r="AE124" s="1191">
        <f t="shared" si="120"/>
        <v>-4.9090608753108105E-2</v>
      </c>
      <c r="AF124" s="1191">
        <f t="shared" si="120"/>
        <v>-3.8458723335628379E-2</v>
      </c>
      <c r="AG124" s="1191">
        <f t="shared" si="120"/>
        <v>-3.9612683549691413E-2</v>
      </c>
      <c r="AH124" s="1269">
        <f t="shared" si="120"/>
        <v>-2.4522769508025462E-2</v>
      </c>
      <c r="AI124" s="1264">
        <f t="shared" si="120"/>
        <v>-4.6867206092336987E-2</v>
      </c>
      <c r="AJ124" s="1264">
        <f t="shared" si="120"/>
        <v>-2.4998329251465345E-2</v>
      </c>
      <c r="AK124" s="1264">
        <f t="shared" si="120"/>
        <v>-2.420660604581578E-2</v>
      </c>
      <c r="AL124" s="1262">
        <v>-0.03</v>
      </c>
      <c r="AM124" s="1263">
        <v>-0.04</v>
      </c>
      <c r="AN124" s="1263">
        <v>-2.5000000000000001E-2</v>
      </c>
      <c r="AO124" s="1264">
        <f>AO121/AO$82</f>
        <v>-2.8045478492031983E-2</v>
      </c>
    </row>
    <row r="125" spans="1:41" s="1195" customFormat="1" ht="12">
      <c r="A125" s="1190"/>
      <c r="E125" s="1236"/>
      <c r="F125" s="1236"/>
      <c r="G125" s="1191"/>
      <c r="H125" s="1191"/>
      <c r="I125" s="1191"/>
      <c r="J125" s="1191"/>
      <c r="K125" s="1191"/>
      <c r="V125" s="1242"/>
      <c r="W125" s="1242"/>
      <c r="X125" s="1242"/>
      <c r="Y125" s="1242"/>
      <c r="Z125" s="1191"/>
      <c r="AA125" s="1191"/>
      <c r="AB125" s="1191"/>
      <c r="AC125" s="1191"/>
      <c r="AD125" s="1269"/>
      <c r="AE125" s="1191"/>
      <c r="AF125" s="1191"/>
      <c r="AG125" s="1191"/>
      <c r="AH125" s="1269"/>
      <c r="AI125" s="1264"/>
      <c r="AJ125" s="1264"/>
      <c r="AK125" s="1264"/>
      <c r="AL125" s="1269"/>
      <c r="AM125" s="1264"/>
      <c r="AN125" s="1264"/>
      <c r="AO125" s="1264"/>
    </row>
    <row r="126" spans="1:41" s="1195" customFormat="1">
      <c r="A126" s="1185" t="s">
        <v>1807</v>
      </c>
      <c r="B126" s="1195">
        <f>B176+B177+B178</f>
        <v>0</v>
      </c>
      <c r="C126" s="1195">
        <f>C176+C177+C178</f>
        <v>0</v>
      </c>
      <c r="D126" s="1195">
        <f>D176+D177+D178</f>
        <v>0</v>
      </c>
      <c r="E126" s="1195">
        <f>E176+E177+E178</f>
        <v>0</v>
      </c>
      <c r="F126" s="1195">
        <f>F176+F177+F178</f>
        <v>-56.481000000000002</v>
      </c>
      <c r="G126" s="1195">
        <f>SUM(Z126:AC126)</f>
        <v>-141.709</v>
      </c>
      <c r="H126" s="1195">
        <f>SUM(AD126:AG126)</f>
        <v>-141.52099999999999</v>
      </c>
      <c r="I126" s="1195">
        <f>SUM(AH126:AK126)</f>
        <v>-141.55799999999996</v>
      </c>
      <c r="J126" s="1195">
        <f>J176+J177+J178</f>
        <v>-141.55799999999999</v>
      </c>
      <c r="K126" s="1195">
        <f>K176+K177+K178</f>
        <v>-141.55799999999999</v>
      </c>
      <c r="N126" s="1195">
        <f>N176+N177+N178</f>
        <v>0</v>
      </c>
      <c r="O126" s="1195">
        <f t="shared" ref="O126:AD126" si="121">O176+O177+O178</f>
        <v>0</v>
      </c>
      <c r="P126" s="1195">
        <f t="shared" si="121"/>
        <v>0</v>
      </c>
      <c r="Q126" s="1195">
        <f t="shared" si="121"/>
        <v>0</v>
      </c>
      <c r="R126" s="1195">
        <f t="shared" si="121"/>
        <v>0</v>
      </c>
      <c r="S126" s="1195">
        <f t="shared" si="121"/>
        <v>0</v>
      </c>
      <c r="T126" s="1195">
        <f t="shared" si="121"/>
        <v>0</v>
      </c>
      <c r="U126" s="1195">
        <f t="shared" si="121"/>
        <v>0</v>
      </c>
      <c r="V126" s="1195">
        <f t="shared" si="121"/>
        <v>0</v>
      </c>
      <c r="W126" s="1195">
        <f t="shared" si="121"/>
        <v>-0.75832900000000003</v>
      </c>
      <c r="X126" s="1195">
        <f t="shared" si="121"/>
        <v>-18.857980000000001</v>
      </c>
      <c r="Y126" s="1195">
        <f t="shared" si="121"/>
        <v>-36.864000000000004</v>
      </c>
      <c r="Z126" s="1195">
        <f t="shared" si="121"/>
        <v>-35.877999999999993</v>
      </c>
      <c r="AA126" s="1195">
        <f t="shared" si="121"/>
        <v>-35.130000000000003</v>
      </c>
      <c r="AB126" s="1195">
        <f t="shared" si="121"/>
        <v>-35.167999999999999</v>
      </c>
      <c r="AC126" s="1195">
        <f t="shared" si="121"/>
        <v>-35.533000000000001</v>
      </c>
      <c r="AD126" s="1271">
        <f t="shared" si="121"/>
        <v>-35.388999999999996</v>
      </c>
      <c r="AE126" s="1195">
        <f t="shared" ref="AE126:AN126" si="122">AE176+AE177+AE178</f>
        <v>-35.354999999999997</v>
      </c>
      <c r="AF126" s="1195">
        <f t="shared" si="122"/>
        <v>-35.437999999999995</v>
      </c>
      <c r="AG126" s="1195">
        <f t="shared" si="122"/>
        <v>-35.338999999999999</v>
      </c>
      <c r="AH126" s="1271">
        <f t="shared" si="122"/>
        <v>-35.338999999999999</v>
      </c>
      <c r="AI126" s="1267">
        <f t="shared" si="122"/>
        <v>-35.342999999999996</v>
      </c>
      <c r="AJ126" s="1267">
        <f t="shared" si="122"/>
        <v>-35.342999999999996</v>
      </c>
      <c r="AK126" s="1267">
        <f t="shared" si="122"/>
        <v>-35.532999999999994</v>
      </c>
      <c r="AL126" s="1271">
        <f t="shared" si="122"/>
        <v>-35.532999999999994</v>
      </c>
      <c r="AM126" s="1267">
        <f t="shared" si="122"/>
        <v>-35.532999999999994</v>
      </c>
      <c r="AN126" s="1267">
        <f t="shared" si="122"/>
        <v>-35.532999999999994</v>
      </c>
      <c r="AO126" s="1267">
        <f>J126-SUM(AL126:AN126)</f>
        <v>-34.959000000000003</v>
      </c>
    </row>
    <row r="127" spans="1:41" s="1195" customFormat="1" ht="12">
      <c r="A127" s="1290" t="s">
        <v>1773</v>
      </c>
      <c r="E127" s="1236"/>
      <c r="F127" s="1236"/>
      <c r="G127" s="1236">
        <f>G126/F126-1</f>
        <v>1.50896761742887</v>
      </c>
      <c r="H127" s="1236">
        <f>H126/G126-1</f>
        <v>-1.3266623855930915E-3</v>
      </c>
      <c r="I127" s="1236">
        <f>I126/H126-1</f>
        <v>2.614452978708659E-4</v>
      </c>
      <c r="J127" s="1236">
        <f>J126/I126-1</f>
        <v>0</v>
      </c>
      <c r="K127" s="1236">
        <f>K126/J126-1</f>
        <v>0</v>
      </c>
      <c r="V127" s="1242"/>
      <c r="W127" s="1242"/>
      <c r="X127" s="1242"/>
      <c r="Y127" s="1242"/>
      <c r="Z127" s="1191"/>
      <c r="AA127" s="1236"/>
      <c r="AB127" s="1236">
        <f t="shared" ref="AB127:AK127" si="123">AB126/X126-1</f>
        <v>0.86488690729335782</v>
      </c>
      <c r="AC127" s="1236">
        <f t="shared" si="123"/>
        <v>-3.6105685763888951E-2</v>
      </c>
      <c r="AD127" s="1274">
        <f t="shared" si="123"/>
        <v>-1.3629522269914651E-2</v>
      </c>
      <c r="AE127" s="1236">
        <f t="shared" si="123"/>
        <v>6.4047822374038166E-3</v>
      </c>
      <c r="AF127" s="1236">
        <f t="shared" si="123"/>
        <v>7.6774340309371247E-3</v>
      </c>
      <c r="AG127" s="1236">
        <f t="shared" si="123"/>
        <v>-5.4597135057552482E-3</v>
      </c>
      <c r="AH127" s="1274">
        <f t="shared" si="123"/>
        <v>-1.4128684054366403E-3</v>
      </c>
      <c r="AI127" s="1275">
        <f t="shared" si="123"/>
        <v>-3.3941450997032607E-4</v>
      </c>
      <c r="AJ127" s="1275">
        <f t="shared" si="123"/>
        <v>-2.6807381906427397E-3</v>
      </c>
      <c r="AK127" s="1275">
        <f t="shared" si="123"/>
        <v>5.4896856164576846E-3</v>
      </c>
      <c r="AL127" s="1274">
        <f>AL126/AH126-1</f>
        <v>5.4896856164576846E-3</v>
      </c>
      <c r="AM127" s="1275">
        <f>AM126/AI126-1</f>
        <v>5.3758877288287987E-3</v>
      </c>
      <c r="AN127" s="1275">
        <f>AN126/AJ126-1</f>
        <v>5.3758877288287987E-3</v>
      </c>
      <c r="AO127" s="1275">
        <f>AO126/AK126-1</f>
        <v>-1.615399769228576E-2</v>
      </c>
    </row>
    <row r="128" spans="1:41" s="1195" customFormat="1" ht="12">
      <c r="A128" s="1190" t="s">
        <v>1804</v>
      </c>
      <c r="E128" s="1236"/>
      <c r="F128" s="1236"/>
      <c r="G128" s="1242">
        <f>G126/G$80</f>
        <v>-1.3434331856977916E-2</v>
      </c>
      <c r="H128" s="1242">
        <f>H126/H$80</f>
        <v>-1.0834539604336967E-2</v>
      </c>
      <c r="I128" s="1242">
        <f>I126/I$80</f>
        <v>-1.0549642991186743E-2</v>
      </c>
      <c r="J128" s="1242">
        <f>J126/J$80</f>
        <v>-9.8293805321002341E-3</v>
      </c>
      <c r="K128" s="1242">
        <f>K126/K$80</f>
        <v>-8.9711113102705527E-3</v>
      </c>
      <c r="V128" s="1242"/>
      <c r="W128" s="1242"/>
      <c r="X128" s="1242"/>
      <c r="Y128" s="1242"/>
      <c r="Z128" s="1191"/>
      <c r="AA128" s="1191">
        <f t="shared" ref="AA128:AH128" si="124">AA126/AA$80</f>
        <v>-1.4871169446244722E-2</v>
      </c>
      <c r="AB128" s="1191">
        <f t="shared" si="124"/>
        <v>-8.6884488939694485E-3</v>
      </c>
      <c r="AC128" s="1191">
        <f t="shared" si="124"/>
        <v>-1.6867023788897567E-2</v>
      </c>
      <c r="AD128" s="1269">
        <f t="shared" si="124"/>
        <v>-1.2955808247521029E-2</v>
      </c>
      <c r="AE128" s="1191">
        <f>AE126/AE$80</f>
        <v>-1.1929302044630838E-2</v>
      </c>
      <c r="AF128" s="1191">
        <f t="shared" si="124"/>
        <v>-6.8990225390343704E-3</v>
      </c>
      <c r="AG128" s="1191">
        <f t="shared" si="124"/>
        <v>-1.5846190459539552E-2</v>
      </c>
      <c r="AH128" s="1269">
        <f t="shared" si="124"/>
        <v>-1.2274441532433632E-2</v>
      </c>
      <c r="AI128" s="1264">
        <f>AI126/AI$80</f>
        <v>-1.0890121534152874E-2</v>
      </c>
      <c r="AJ128" s="1264">
        <f>AJ126/AJ$80</f>
        <v>-6.8563745803154287E-3</v>
      </c>
      <c r="AK128" s="1264">
        <f>AK126/AK$80</f>
        <v>-1.620894069348186E-2</v>
      </c>
      <c r="AL128" s="1269"/>
      <c r="AM128" s="1256"/>
      <c r="AN128" s="1264"/>
      <c r="AO128" s="1264"/>
    </row>
    <row r="129" spans="1:41" ht="12">
      <c r="A129" s="1190" t="s">
        <v>1797</v>
      </c>
      <c r="G129" s="1191">
        <f>G126/G$82</f>
        <v>-9.9078149306951455E-2</v>
      </c>
      <c r="H129" s="1191">
        <f>H126/H$82</f>
        <v>-6.4559142453357796E-2</v>
      </c>
      <c r="I129" s="1191">
        <v>-4.5674237870088882E-2</v>
      </c>
      <c r="J129" s="1191">
        <v>-3.7098570646050974E-2</v>
      </c>
      <c r="K129" s="1191">
        <v>-3.7098570646050974E-2</v>
      </c>
      <c r="AA129" s="1191">
        <f t="shared" ref="AA129:AH129" si="125">AA126/AA$82</f>
        <v>-0.11745353514077375</v>
      </c>
      <c r="AB129" s="1191">
        <f t="shared" si="125"/>
        <v>-6.6967660606799206E-2</v>
      </c>
      <c r="AC129" s="1191">
        <f t="shared" si="125"/>
        <v>-0.11044594262766418</v>
      </c>
      <c r="AD129" s="1269">
        <f t="shared" si="125"/>
        <v>-7.7600478904309031E-2</v>
      </c>
      <c r="AE129" s="1191">
        <f>AE126/AE$82</f>
        <v>-7.684399506181426E-2</v>
      </c>
      <c r="AF129" s="1191">
        <f t="shared" si="125"/>
        <v>-4.3963105627818397E-2</v>
      </c>
      <c r="AG129" s="1191">
        <f t="shared" si="125"/>
        <v>-7.5205362843158111E-2</v>
      </c>
      <c r="AH129" s="1269">
        <f t="shared" si="125"/>
        <v>-7.3541255231170388E-2</v>
      </c>
      <c r="AI129" s="1264">
        <f>AI126/AI$82</f>
        <v>-6.7287958115183233E-2</v>
      </c>
      <c r="AJ129" s="1264">
        <f>AJ126/AJ$82</f>
        <v>-4.6313149380643688E-2</v>
      </c>
      <c r="AK129" s="1264">
        <f>AK126/AK$82</f>
        <v>-7.5403991638991141E-2</v>
      </c>
      <c r="AL129" s="1269">
        <v>-3.7098570646050974E-2</v>
      </c>
      <c r="AM129" s="1264">
        <v>-3.7098570646050974E-2</v>
      </c>
      <c r="AN129" s="1264">
        <v>-3.7098570646050974E-2</v>
      </c>
      <c r="AO129" s="1264">
        <v>-3.7098570646050974E-2</v>
      </c>
    </row>
    <row r="130" spans="1:41" ht="12">
      <c r="A130" s="1190"/>
    </row>
    <row r="131" spans="1:41">
      <c r="A131" s="1169" t="s">
        <v>1808</v>
      </c>
      <c r="B131" s="1208">
        <v>1.651</v>
      </c>
      <c r="C131" s="1208">
        <v>0.77372700000000005</v>
      </c>
      <c r="D131" s="1208">
        <v>1.6885600000000001</v>
      </c>
      <c r="E131" s="1208">
        <v>6.9020000000000001</v>
      </c>
      <c r="F131" s="1208">
        <v>12.175000000000001</v>
      </c>
      <c r="G131" s="1182">
        <f>SUM(Z131:AC131)</f>
        <v>22.323</v>
      </c>
      <c r="H131" s="1182">
        <f>SUM(AD131:AG131)</f>
        <v>21.745999999999999</v>
      </c>
      <c r="I131" s="1182">
        <f>SUM(AH131:AK131)</f>
        <v>56.599000000000004</v>
      </c>
      <c r="J131" s="1182">
        <f>I131</f>
        <v>56.599000000000004</v>
      </c>
      <c r="K131" s="1182">
        <f>J131</f>
        <v>56.599000000000004</v>
      </c>
      <c r="N131" s="1208">
        <v>0.20200000000000001</v>
      </c>
      <c r="O131" s="1208">
        <v>0.56585600000000003</v>
      </c>
      <c r="P131" s="1208">
        <v>0.49269200000000002</v>
      </c>
      <c r="Q131" s="1208">
        <v>0.42792799999999998</v>
      </c>
      <c r="R131" s="1208">
        <v>1.374411</v>
      </c>
      <c r="S131" s="1208">
        <v>1.138325</v>
      </c>
      <c r="T131" s="1208">
        <v>1.3924749999999999</v>
      </c>
      <c r="U131" s="1208">
        <v>2.9966020000000002</v>
      </c>
      <c r="V131" s="1208">
        <v>1.357313</v>
      </c>
      <c r="W131" s="1208">
        <v>2.318899</v>
      </c>
      <c r="X131" s="1208">
        <v>2.1621480000000002</v>
      </c>
      <c r="Y131" s="1192">
        <f>F131-SUM(V131:X131)</f>
        <v>6.3366400000000009</v>
      </c>
      <c r="Z131" s="1208">
        <v>2.1840000000000002</v>
      </c>
      <c r="AA131" s="1208">
        <v>5.4509999999999996</v>
      </c>
      <c r="AB131" s="1208">
        <v>3.6179999999999999</v>
      </c>
      <c r="AC131" s="1208">
        <v>11.07</v>
      </c>
      <c r="AD131" s="1284">
        <v>5.2229999999999999</v>
      </c>
      <c r="AE131" s="1208">
        <v>5.4210000000000003</v>
      </c>
      <c r="AF131" s="1208">
        <v>7.7569999999999997</v>
      </c>
      <c r="AG131" s="1192">
        <v>3.3450000000000002</v>
      </c>
      <c r="AH131" s="1284">
        <v>0.73499999999999999</v>
      </c>
      <c r="AI131" s="1285">
        <v>8.0779999999999994</v>
      </c>
      <c r="AJ131" s="1285">
        <v>15.656000000000001</v>
      </c>
      <c r="AK131" s="1285">
        <v>32.130000000000003</v>
      </c>
      <c r="AL131" s="1296">
        <v>10</v>
      </c>
      <c r="AM131" s="1297">
        <v>12</v>
      </c>
      <c r="AN131" s="1297">
        <v>15</v>
      </c>
      <c r="AO131" s="1251">
        <f>J131-SUM(AL131:AN131)</f>
        <v>19.599000000000004</v>
      </c>
    </row>
    <row r="132" spans="1:41" s="1195" customFormat="1">
      <c r="A132" s="1183" t="s">
        <v>1654</v>
      </c>
      <c r="B132" s="1193">
        <f t="shared" ref="B132:K132" si="126">B103+B109+B115+B131+B121+B126</f>
        <v>-124.20100000000001</v>
      </c>
      <c r="C132" s="1193">
        <f t="shared" si="126"/>
        <v>-152.59535599999998</v>
      </c>
      <c r="D132" s="1193">
        <f t="shared" si="126"/>
        <v>-217.05534700000001</v>
      </c>
      <c r="E132" s="1193">
        <f t="shared" si="126"/>
        <v>-699.1579999999999</v>
      </c>
      <c r="F132" s="1193">
        <f t="shared" si="126"/>
        <v>-1825.6210000000001</v>
      </c>
      <c r="G132" s="1193">
        <f t="shared" si="126"/>
        <v>-3143.5749999999998</v>
      </c>
      <c r="H132" s="1193">
        <f t="shared" si="126"/>
        <v>-2051.386</v>
      </c>
      <c r="I132" s="1193">
        <f t="shared" si="126"/>
        <v>-1524.1210000000001</v>
      </c>
      <c r="J132" s="1193">
        <f t="shared" si="126"/>
        <v>-1688.923616184944</v>
      </c>
      <c r="K132" s="1193">
        <f t="shared" si="126"/>
        <v>-1936.0065935526657</v>
      </c>
      <c r="N132" s="1193">
        <f>N103+N109+N115+N131+N121+N126</f>
        <v>-34.146000000000001</v>
      </c>
      <c r="O132" s="1193">
        <f t="shared" ref="O132:AO132" si="127">O103+O109+O115+O131+O121+O126</f>
        <v>-41.079176000000004</v>
      </c>
      <c r="P132" s="1193">
        <f t="shared" si="127"/>
        <v>-65.267263999999983</v>
      </c>
      <c r="Q132" s="1193">
        <f t="shared" si="127"/>
        <v>-76.563151000000005</v>
      </c>
      <c r="R132" s="1193">
        <f t="shared" si="127"/>
        <v>-108.81953400000002</v>
      </c>
      <c r="S132" s="1193">
        <f t="shared" si="127"/>
        <v>-159.15425499999998</v>
      </c>
      <c r="T132" s="1193">
        <f t="shared" si="127"/>
        <v>-193.13533100000001</v>
      </c>
      <c r="U132" s="1193">
        <f t="shared" si="127"/>
        <v>-238.04933799999995</v>
      </c>
      <c r="V132" s="1193">
        <f t="shared" si="127"/>
        <v>-293.81772800000005</v>
      </c>
      <c r="W132" s="1193">
        <f t="shared" si="127"/>
        <v>-363.83984700000002</v>
      </c>
      <c r="X132" s="1193">
        <f t="shared" si="127"/>
        <v>-526.88122900000008</v>
      </c>
      <c r="Y132" s="1193">
        <f t="shared" si="127"/>
        <v>-641.08219599999995</v>
      </c>
      <c r="Z132" s="1193">
        <f t="shared" si="127"/>
        <v>-647.88100000000009</v>
      </c>
      <c r="AA132" s="1193">
        <f t="shared" si="127"/>
        <v>-900.56700000000001</v>
      </c>
      <c r="AB132" s="1193">
        <f t="shared" si="127"/>
        <v>-832.30799999999999</v>
      </c>
      <c r="AC132" s="1193">
        <f t="shared" si="127"/>
        <v>-765.36599999999987</v>
      </c>
      <c r="AD132" s="1266">
        <f t="shared" si="127"/>
        <v>-559.26899999999989</v>
      </c>
      <c r="AE132" s="1193">
        <f t="shared" si="127"/>
        <v>-529.16300000000001</v>
      </c>
      <c r="AF132" s="1193">
        <f t="shared" si="127"/>
        <v>-506.89899999999994</v>
      </c>
      <c r="AG132" s="1193">
        <f t="shared" si="127"/>
        <v>-456.05499999999995</v>
      </c>
      <c r="AH132" s="1266">
        <f t="shared" si="127"/>
        <v>-383.75899999999996</v>
      </c>
      <c r="AI132" s="1193">
        <f t="shared" si="127"/>
        <v>-371.92100000000011</v>
      </c>
      <c r="AJ132" s="1193">
        <f t="shared" si="127"/>
        <v>-395.113</v>
      </c>
      <c r="AK132" s="1193">
        <f t="shared" si="127"/>
        <v>-373.32800000000003</v>
      </c>
      <c r="AL132" s="1266">
        <f t="shared" si="127"/>
        <v>-380.4842594974595</v>
      </c>
      <c r="AM132" s="1193">
        <f t="shared" si="127"/>
        <v>-407.71913025210449</v>
      </c>
      <c r="AN132" s="1193">
        <f t="shared" si="127"/>
        <v>-466.00675615103768</v>
      </c>
      <c r="AO132" s="1193">
        <f t="shared" si="127"/>
        <v>-434.71347028434212</v>
      </c>
    </row>
    <row r="133" spans="1:41" s="1287" customFormat="1" ht="12">
      <c r="A133" s="1190" t="s">
        <v>1773</v>
      </c>
      <c r="F133" s="1242">
        <f t="shared" ref="F133:K133" si="128">F132/E132-1</f>
        <v>1.61117086552682</v>
      </c>
      <c r="G133" s="1242">
        <f t="shared" si="128"/>
        <v>0.72192092444160072</v>
      </c>
      <c r="H133" s="1242">
        <f t="shared" si="128"/>
        <v>-0.34743532443157865</v>
      </c>
      <c r="I133" s="1242">
        <f t="shared" si="128"/>
        <v>-0.2570286625725241</v>
      </c>
      <c r="J133" s="1242">
        <f t="shared" si="128"/>
        <v>0.10812961450235514</v>
      </c>
      <c r="K133" s="1242">
        <f t="shared" si="128"/>
        <v>0.14629612316384666</v>
      </c>
      <c r="V133" s="1242"/>
      <c r="W133" s="1242">
        <f t="shared" ref="W133:AK133" si="129">W132/S132-1</f>
        <v>1.286083064508706</v>
      </c>
      <c r="X133" s="1242">
        <f t="shared" si="129"/>
        <v>1.7280416600730608</v>
      </c>
      <c r="Y133" s="1242">
        <f t="shared" si="129"/>
        <v>1.6930643932309533</v>
      </c>
      <c r="Z133" s="1242">
        <f t="shared" si="129"/>
        <v>1.2050439379886568</v>
      </c>
      <c r="AA133" s="1242">
        <f t="shared" si="129"/>
        <v>1.4751741938809686</v>
      </c>
      <c r="AB133" s="1242">
        <f t="shared" si="129"/>
        <v>0.57968808564254215</v>
      </c>
      <c r="AC133" s="1242">
        <f t="shared" si="129"/>
        <v>0.19386563029742909</v>
      </c>
      <c r="AD133" s="1260">
        <f t="shared" si="129"/>
        <v>-0.13677203066612564</v>
      </c>
      <c r="AE133" s="1242">
        <f t="shared" si="129"/>
        <v>-0.41241129199715287</v>
      </c>
      <c r="AF133" s="1242">
        <f t="shared" si="129"/>
        <v>-0.39097185176641347</v>
      </c>
      <c r="AG133" s="1242">
        <f t="shared" si="129"/>
        <v>-0.40413475383019359</v>
      </c>
      <c r="AH133" s="1260">
        <f t="shared" si="129"/>
        <v>-0.31382036193674234</v>
      </c>
      <c r="AI133" s="1256">
        <f t="shared" si="129"/>
        <v>-0.29715229522850217</v>
      </c>
      <c r="AJ133" s="1256">
        <f t="shared" si="129"/>
        <v>-0.22052913894089343</v>
      </c>
      <c r="AK133" s="1256">
        <f t="shared" si="129"/>
        <v>-0.18139698062733645</v>
      </c>
      <c r="AL133" s="1260">
        <f>AL132/AK132-1</f>
        <v>1.9168826065710132E-2</v>
      </c>
      <c r="AM133" s="1256">
        <f>AM132/AL132-1</f>
        <v>7.1579493960187923E-2</v>
      </c>
      <c r="AN133" s="1256">
        <f>AN132/AM132-1</f>
        <v>0.14296024290764153</v>
      </c>
      <c r="AO133" s="1256">
        <f>AO132/AN132-1</f>
        <v>-6.7152000381198507E-2</v>
      </c>
    </row>
    <row r="134" spans="1:41" s="1252" customFormat="1" ht="12">
      <c r="A134" s="1190" t="s">
        <v>1804</v>
      </c>
      <c r="B134" s="1242">
        <f t="shared" ref="B134:K134" si="130">B132/B$80</f>
        <v>-0.16223909042339882</v>
      </c>
      <c r="C134" s="1242">
        <f t="shared" si="130"/>
        <v>-0.13711745783181878</v>
      </c>
      <c r="D134" s="1242">
        <f t="shared" si="130"/>
        <v>-0.1113282803394042</v>
      </c>
      <c r="E134" s="1242">
        <f t="shared" si="130"/>
        <v>-0.19778502542759577</v>
      </c>
      <c r="F134" s="1242">
        <f t="shared" si="130"/>
        <v>-0.23879122488967019</v>
      </c>
      <c r="G134" s="1242">
        <f t="shared" si="130"/>
        <v>-0.29801797886725157</v>
      </c>
      <c r="H134" s="1242">
        <f t="shared" si="130"/>
        <v>-0.15704964535851496</v>
      </c>
      <c r="I134" s="1242">
        <f t="shared" si="130"/>
        <v>-0.11358547327152499</v>
      </c>
      <c r="J134" s="1242">
        <f t="shared" si="130"/>
        <v>-0.11727400014928592</v>
      </c>
      <c r="K134" s="1242">
        <f t="shared" si="130"/>
        <v>-0.12269268178540729</v>
      </c>
      <c r="N134" s="1242">
        <f>N132/N$80</f>
        <v>-9.2457658096746678E-2</v>
      </c>
      <c r="O134" s="1242">
        <f t="shared" ref="O134:AK134" si="131">O132/O80</f>
        <v>-0.10605153313099959</v>
      </c>
      <c r="P134" s="1242">
        <f t="shared" si="131"/>
        <v>-9.2366655819391907E-2</v>
      </c>
      <c r="Q134" s="1242">
        <f t="shared" si="131"/>
        <v>-0.15740442455824732</v>
      </c>
      <c r="R134" s="1242">
        <f t="shared" si="131"/>
        <v>-0.18821260306493726</v>
      </c>
      <c r="S134" s="1242">
        <f t="shared" si="131"/>
        <v>-0.22217008394951343</v>
      </c>
      <c r="T134" s="1242">
        <f t="shared" si="131"/>
        <v>-0.14723991302660316</v>
      </c>
      <c r="U134" s="1242">
        <f t="shared" si="131"/>
        <v>-0.25632575386577561</v>
      </c>
      <c r="V134" s="1242">
        <f t="shared" si="131"/>
        <v>-0.23538790803190499</v>
      </c>
      <c r="W134" s="1242">
        <f t="shared" si="131"/>
        <v>-0.23964712380896266</v>
      </c>
      <c r="X134" s="1242">
        <f t="shared" si="131"/>
        <v>-0.17659282919904248</v>
      </c>
      <c r="Y134" s="1242">
        <f t="shared" si="131"/>
        <v>-0.33826503809370317</v>
      </c>
      <c r="Z134" s="1242">
        <f t="shared" si="131"/>
        <v>-0.31889306063624945</v>
      </c>
      <c r="AA134" s="1242">
        <f t="shared" si="131"/>
        <v>-0.38122642911176402</v>
      </c>
      <c r="AB134" s="1242">
        <f t="shared" si="131"/>
        <v>-0.20562629441656971</v>
      </c>
      <c r="AC134" s="1242">
        <f t="shared" si="131"/>
        <v>-0.36330865756376812</v>
      </c>
      <c r="AD134" s="1260">
        <f t="shared" si="131"/>
        <v>-0.20474672702768762</v>
      </c>
      <c r="AE134" s="1242">
        <f t="shared" si="131"/>
        <v>-0.17854745461301058</v>
      </c>
      <c r="AF134" s="1242">
        <f t="shared" si="131"/>
        <v>-9.8682420735199033E-2</v>
      </c>
      <c r="AG134" s="1242">
        <f t="shared" si="131"/>
        <v>-0.20449742182929087</v>
      </c>
      <c r="AH134" s="1260">
        <f t="shared" si="131"/>
        <v>-0.13329260613048469</v>
      </c>
      <c r="AI134" s="1256">
        <f t="shared" si="131"/>
        <v>-0.11459878592942514</v>
      </c>
      <c r="AJ134" s="1256">
        <f t="shared" si="131"/>
        <v>-7.6650050350908813E-2</v>
      </c>
      <c r="AK134" s="1256">
        <f t="shared" si="131"/>
        <v>-0.17029947967287304</v>
      </c>
      <c r="AL134" s="1260"/>
      <c r="AM134" s="1256"/>
      <c r="AN134" s="1256"/>
      <c r="AO134" s="1256"/>
    </row>
    <row r="135" spans="1:41" s="1252" customFormat="1" ht="12">
      <c r="A135" s="1190" t="s">
        <v>1797</v>
      </c>
      <c r="B135" s="1242"/>
      <c r="C135" s="1242"/>
      <c r="D135" s="1242"/>
      <c r="E135" s="1242"/>
      <c r="F135" s="1242"/>
      <c r="G135" s="1242"/>
      <c r="H135" s="1191">
        <f>H132/H$82</f>
        <v>-0.93580260880592891</v>
      </c>
      <c r="I135" s="1191">
        <f>I132/I$82</f>
        <v>-0.68036590423226317</v>
      </c>
      <c r="J135" s="1191">
        <f>J132/J$82</f>
        <v>-0.66336991942335255</v>
      </c>
      <c r="K135" s="1191">
        <f>K132/K$82</f>
        <v>-0.64845663190048142</v>
      </c>
      <c r="N135" s="1242"/>
      <c r="O135" s="1242"/>
      <c r="P135" s="1242"/>
      <c r="Q135" s="1242"/>
      <c r="R135" s="1242"/>
      <c r="S135" s="1242"/>
      <c r="T135" s="1242"/>
      <c r="U135" s="1242"/>
      <c r="V135" s="1242"/>
      <c r="W135" s="1242"/>
      <c r="X135" s="1242"/>
      <c r="Y135" s="1242"/>
      <c r="Z135" s="1191">
        <f t="shared" ref="Z135:AK135" si="132">Z132/Z$82</f>
        <v>-2.2788157829943798</v>
      </c>
      <c r="AA135" s="1191">
        <f t="shared" si="132"/>
        <v>-3.0109529684349896</v>
      </c>
      <c r="AB135" s="1191">
        <f t="shared" si="132"/>
        <v>-1.5848987620656232</v>
      </c>
      <c r="AC135" s="1191">
        <f t="shared" si="132"/>
        <v>-2.378959539728275</v>
      </c>
      <c r="AD135" s="1269">
        <f t="shared" si="132"/>
        <v>-1.2263568407226542</v>
      </c>
      <c r="AE135" s="1191">
        <f t="shared" si="132"/>
        <v>-1.1501343221296796</v>
      </c>
      <c r="AF135" s="1191">
        <f t="shared" si="132"/>
        <v>-0.6288406309508302</v>
      </c>
      <c r="AG135" s="1191">
        <f t="shared" si="132"/>
        <v>-0.97053628431581174</v>
      </c>
      <c r="AH135" s="1269">
        <f t="shared" si="132"/>
        <v>-0.79861112556265645</v>
      </c>
      <c r="AI135" s="1264">
        <f t="shared" si="132"/>
        <v>-0.70808376963350805</v>
      </c>
      <c r="AJ135" s="1264">
        <f t="shared" si="132"/>
        <v>-0.51775252217509182</v>
      </c>
      <c r="AK135" s="1264">
        <f t="shared" si="132"/>
        <v>-0.79223317453075437</v>
      </c>
      <c r="AL135" s="1269">
        <f>AL132/AL$82</f>
        <v>-0.8307487104793374</v>
      </c>
      <c r="AM135" s="1264">
        <f>AM132/AM$82</f>
        <v>-0.69830523951981005</v>
      </c>
      <c r="AN135" s="1264">
        <f>AN132/AN$82</f>
        <v>-0.48957129093984586</v>
      </c>
      <c r="AO135" s="1264">
        <f>AO132/AO$82</f>
        <v>-0.78718577461801564</v>
      </c>
    </row>
    <row r="136" spans="1:41">
      <c r="AA136" s="1182">
        <f>AA132+Z132</f>
        <v>-1548.4480000000001</v>
      </c>
      <c r="AE136" s="1182">
        <f>AE132+AD132</f>
        <v>-1088.4319999999998</v>
      </c>
      <c r="AF136" s="1236">
        <f>AE136/AA136-1</f>
        <v>-0.29708198144206344</v>
      </c>
    </row>
    <row r="137" spans="1:41" s="1195" customFormat="1">
      <c r="A137" s="1185" t="s">
        <v>1655</v>
      </c>
      <c r="B137" s="1195">
        <f>B94+B132</f>
        <v>-100.37400000000001</v>
      </c>
      <c r="C137" s="1195">
        <f>C94+C132</f>
        <v>-113.44640500000031</v>
      </c>
      <c r="D137" s="1195">
        <f>D94+D132</f>
        <v>-97.033318999999921</v>
      </c>
      <c r="E137" s="1195">
        <f>E94+E132</f>
        <v>-473.01999999999981</v>
      </c>
      <c r="F137" s="1195">
        <f>F94+F132</f>
        <v>-1455.0359999999998</v>
      </c>
      <c r="G137" s="1195">
        <f>SUM(Z137:AC137)</f>
        <v>-2554.3449999999993</v>
      </c>
      <c r="H137" s="1195">
        <f>SUM(AD137:AG137)</f>
        <v>-883.44499999999982</v>
      </c>
      <c r="I137" s="1195">
        <f>SUM(AH137:AK137)</f>
        <v>-348.99400000000014</v>
      </c>
      <c r="J137" s="1195">
        <f>J94+J132</f>
        <v>-314.09680231213497</v>
      </c>
      <c r="K137" s="1195">
        <f>K94+K132</f>
        <v>-264.09263808574178</v>
      </c>
      <c r="N137" s="1195">
        <f t="shared" ref="N137:AK137" si="133">N94+N132</f>
        <v>-7.7209999999999894</v>
      </c>
      <c r="O137" s="1195">
        <f t="shared" si="133"/>
        <v>-10.608174000000062</v>
      </c>
      <c r="P137" s="1195">
        <f t="shared" si="133"/>
        <v>-19.523933999999969</v>
      </c>
      <c r="Q137" s="1195">
        <f t="shared" si="133"/>
        <v>-59.180156000000011</v>
      </c>
      <c r="R137" s="1195">
        <f t="shared" si="133"/>
        <v>-66.525648999999973</v>
      </c>
      <c r="S137" s="1195">
        <f t="shared" si="133"/>
        <v>-117.76497100000006</v>
      </c>
      <c r="T137" s="1195">
        <f t="shared" si="133"/>
        <v>-112.97006199999983</v>
      </c>
      <c r="U137" s="1195">
        <f t="shared" si="133"/>
        <v>-176.5592739999999</v>
      </c>
      <c r="V137" s="1195">
        <f t="shared" si="133"/>
        <v>-242.99612400000035</v>
      </c>
      <c r="W137" s="1195">
        <f t="shared" si="133"/>
        <v>-292.27877000000012</v>
      </c>
      <c r="X137" s="1195">
        <f t="shared" si="133"/>
        <v>-358.90267800000004</v>
      </c>
      <c r="Y137" s="1195">
        <f t="shared" si="133"/>
        <v>-560.56664099999909</v>
      </c>
      <c r="Z137" s="1195">
        <f t="shared" si="133"/>
        <v>-596.20399999999972</v>
      </c>
      <c r="AA137" s="1195">
        <f t="shared" si="133"/>
        <v>-779.9190000000001</v>
      </c>
      <c r="AB137" s="1195">
        <f t="shared" si="133"/>
        <v>-596.75899999999933</v>
      </c>
      <c r="AC137" s="1195">
        <f t="shared" si="133"/>
        <v>-581.46299999999997</v>
      </c>
      <c r="AD137" s="1271">
        <f t="shared" si="133"/>
        <v>-307.96499999999992</v>
      </c>
      <c r="AE137" s="1195">
        <f t="shared" si="133"/>
        <v>-288.60500000000002</v>
      </c>
      <c r="AF137" s="1195">
        <f t="shared" si="133"/>
        <v>-66.019999999999925</v>
      </c>
      <c r="AG137" s="1195">
        <f t="shared" si="133"/>
        <v>-220.8549999999999</v>
      </c>
      <c r="AH137" s="1271">
        <f t="shared" si="133"/>
        <v>-121.13299999999998</v>
      </c>
      <c r="AI137" s="1267">
        <f t="shared" si="133"/>
        <v>-121.14600000000013</v>
      </c>
      <c r="AJ137" s="1267">
        <f t="shared" si="133"/>
        <v>-3.6040000000000418</v>
      </c>
      <c r="AK137" s="1267">
        <f t="shared" si="133"/>
        <v>-103.11099999999999</v>
      </c>
      <c r="AL137" s="1271">
        <f>AL94+AL132</f>
        <v>-137.74339816371304</v>
      </c>
      <c r="AM137" s="1267">
        <f>AM94+AM132</f>
        <v>-104.10699084314655</v>
      </c>
      <c r="AN137" s="1267">
        <f>AN94+AN132</f>
        <v>67.038764029691322</v>
      </c>
      <c r="AO137" s="1267">
        <f>AO94+AO132</f>
        <v>-139.28517733496648</v>
      </c>
    </row>
    <row r="138" spans="1:41" s="1195" customFormat="1">
      <c r="A138" s="1293" t="s">
        <v>1656</v>
      </c>
      <c r="B138" s="1201">
        <f t="shared" ref="B138:G138" si="134">B95+B132-B121-B126</f>
        <v>-100.37400000000001</v>
      </c>
      <c r="C138" s="1201">
        <f t="shared" si="134"/>
        <v>-113.44640500000031</v>
      </c>
      <c r="D138" s="1201">
        <f t="shared" si="134"/>
        <v>-97.033318999999921</v>
      </c>
      <c r="E138" s="1201">
        <f t="shared" si="134"/>
        <v>-433.84699999999981</v>
      </c>
      <c r="F138" s="1201">
        <f t="shared" si="134"/>
        <v>-1333.12</v>
      </c>
      <c r="G138" s="1201">
        <f t="shared" si="134"/>
        <v>-2317.6699999999996</v>
      </c>
      <c r="H138" s="1201">
        <f>H98+H132-H121-H126</f>
        <v>-643.24899999999991</v>
      </c>
      <c r="I138" s="1201">
        <f>SUM(AH138:AK138)</f>
        <v>-139.06800000000021</v>
      </c>
      <c r="J138" s="1201">
        <f>J98+J132-J121-J126</f>
        <v>-96.159534874756702</v>
      </c>
      <c r="K138" s="1201">
        <f>K98+K132-K121-K126</f>
        <v>-32.967819042870872</v>
      </c>
      <c r="N138" s="1201">
        <f t="shared" ref="N138:Y138" si="135">N95+N132-N121-N126</f>
        <v>-7.7209999999999894</v>
      </c>
      <c r="O138" s="1201">
        <f t="shared" si="135"/>
        <v>-10.608174000000062</v>
      </c>
      <c r="P138" s="1201">
        <f t="shared" si="135"/>
        <v>-19.523933999999969</v>
      </c>
      <c r="Q138" s="1201">
        <f t="shared" si="135"/>
        <v>-59.180156000000011</v>
      </c>
      <c r="R138" s="1201">
        <f t="shared" si="135"/>
        <v>-66.525648999999973</v>
      </c>
      <c r="S138" s="1201">
        <f t="shared" si="135"/>
        <v>-98.77857900000005</v>
      </c>
      <c r="T138" s="1201">
        <f t="shared" si="135"/>
        <v>-103.75302499999982</v>
      </c>
      <c r="U138" s="1201">
        <f t="shared" si="135"/>
        <v>-165.59002499999991</v>
      </c>
      <c r="V138" s="1201">
        <f t="shared" si="135"/>
        <v>-230.12413200000034</v>
      </c>
      <c r="W138" s="1201">
        <f t="shared" si="135"/>
        <v>-279.72039100000018</v>
      </c>
      <c r="X138" s="1201">
        <f t="shared" si="135"/>
        <v>-322.05450600000006</v>
      </c>
      <c r="Y138" s="1201">
        <f t="shared" si="135"/>
        <v>-501.22187499999905</v>
      </c>
      <c r="Z138" s="1201">
        <f t="shared" ref="Z138:AK138" si="136">Z98+Z132-Z121-Z126</f>
        <v>-497.93000000000012</v>
      </c>
      <c r="AA138" s="1201">
        <f t="shared" si="136"/>
        <v>-711.87</v>
      </c>
      <c r="AB138" s="1201">
        <f t="shared" si="136"/>
        <v>-521.76400000000001</v>
      </c>
      <c r="AC138" s="1201">
        <f t="shared" si="136"/>
        <v>-535.5859999999999</v>
      </c>
      <c r="AD138" s="1294">
        <f t="shared" si="136"/>
        <v>-246.85599999999988</v>
      </c>
      <c r="AE138" s="1201">
        <f t="shared" si="136"/>
        <v>-230.36800000000008</v>
      </c>
      <c r="AF138" s="1201">
        <f t="shared" si="136"/>
        <v>0.64700000000008373</v>
      </c>
      <c r="AG138" s="1201">
        <f t="shared" si="136"/>
        <v>-166.67199999999991</v>
      </c>
      <c r="AH138" s="1294">
        <f t="shared" si="136"/>
        <v>-73.783000000000015</v>
      </c>
      <c r="AI138" s="1295">
        <f t="shared" si="136"/>
        <v>-60.936000000000128</v>
      </c>
      <c r="AJ138" s="1295">
        <f t="shared" si="136"/>
        <v>51.429999999999929</v>
      </c>
      <c r="AK138" s="1295">
        <f t="shared" si="136"/>
        <v>-55.779000000000003</v>
      </c>
      <c r="AL138" s="1294">
        <f>AL98+AL132-AL121-AL126</f>
        <v>-88.47034940897268</v>
      </c>
      <c r="AM138" s="1295">
        <f>AM98+AM132-AM121-AM126</f>
        <v>-45.219210888611336</v>
      </c>
      <c r="AN138" s="1295">
        <f>AN98+AN132-AN121-AN126</f>
        <v>126.36843903775957</v>
      </c>
      <c r="AO138" s="1295">
        <f>AO98+AO132-AO121-AO126</f>
        <v>-88.838413614932051</v>
      </c>
    </row>
    <row r="139" spans="1:41" s="1195" customFormat="1" ht="12">
      <c r="A139" s="1190" t="s">
        <v>1809</v>
      </c>
      <c r="B139" s="1242">
        <f>B138/B$80</f>
        <v>-0.13111477735411337</v>
      </c>
      <c r="C139" s="1242">
        <f>C138/C$80</f>
        <v>-0.10193942372505084</v>
      </c>
      <c r="D139" s="1242">
        <f>D138/D$80</f>
        <v>-4.976865435107123E-2</v>
      </c>
      <c r="E139" s="1242"/>
      <c r="F139" s="1242"/>
      <c r="G139" s="1242">
        <f>G138/G$82</f>
        <v>-1.620436629319536</v>
      </c>
      <c r="H139" s="1242">
        <f>H138/H$82</f>
        <v>-0.29343775004402139</v>
      </c>
      <c r="I139" s="1242">
        <f>I138/I$82</f>
        <v>-6.207979915621694E-2</v>
      </c>
      <c r="J139" s="1242">
        <f>J138/J$82</f>
        <v>-3.7769229046453939E-2</v>
      </c>
      <c r="K139" s="1242">
        <f>K138/K$82</f>
        <v>-1.104242153350034E-2</v>
      </c>
      <c r="N139" s="1191">
        <f t="shared" ref="N139:AC139" si="137">N138/N$80</f>
        <v>-2.0906272423270079E-2</v>
      </c>
      <c r="O139" s="1191">
        <f t="shared" si="137"/>
        <v>-2.7386457713280691E-2</v>
      </c>
      <c r="P139" s="1191">
        <f t="shared" si="137"/>
        <v>-2.7630398173554834E-2</v>
      </c>
      <c r="Q139" s="1191">
        <f t="shared" si="137"/>
        <v>-0.12166712418154406</v>
      </c>
      <c r="R139" s="1191">
        <f t="shared" si="137"/>
        <v>-0.11506174588906375</v>
      </c>
      <c r="S139" s="1191">
        <f t="shared" si="137"/>
        <v>-0.13788915155830209</v>
      </c>
      <c r="T139" s="1191">
        <f t="shared" si="137"/>
        <v>-7.9097834136038825E-2</v>
      </c>
      <c r="U139" s="1191">
        <f t="shared" si="137"/>
        <v>-0.17830332294718509</v>
      </c>
      <c r="V139" s="1191">
        <f t="shared" si="137"/>
        <v>-0.18436068642916617</v>
      </c>
      <c r="W139" s="1191">
        <f t="shared" si="137"/>
        <v>-0.18424091733379738</v>
      </c>
      <c r="X139" s="1191">
        <f t="shared" si="137"/>
        <v>-0.10794181542352879</v>
      </c>
      <c r="Y139" s="1191">
        <f t="shared" si="137"/>
        <v>-0.26446817225333147</v>
      </c>
      <c r="Z139" s="1191">
        <f t="shared" si="137"/>
        <v>-0.24508578223872549</v>
      </c>
      <c r="AA139" s="1191">
        <f t="shared" si="137"/>
        <v>-0.30134754892394622</v>
      </c>
      <c r="AB139" s="1191">
        <f t="shared" si="137"/>
        <v>-0.1289046817764182</v>
      </c>
      <c r="AC139" s="1191">
        <f t="shared" si="137"/>
        <v>-0.25423526870797541</v>
      </c>
      <c r="AD139" s="1269">
        <f>AD138/AD$82</f>
        <v>-0.54130220747695901</v>
      </c>
      <c r="AE139" s="1269">
        <f t="shared" ref="AE139:AO139" si="138">AE138/AE$82</f>
        <v>-0.50070421310705804</v>
      </c>
      <c r="AF139" s="1269">
        <f t="shared" si="138"/>
        <v>8.0264488236362632E-4</v>
      </c>
      <c r="AG139" s="1269">
        <f t="shared" si="138"/>
        <v>-0.35469674398808237</v>
      </c>
      <c r="AH139" s="1269">
        <f t="shared" si="138"/>
        <v>-0.15354408542181291</v>
      </c>
      <c r="AI139" s="1264">
        <f t="shared" si="138"/>
        <v>-0.11601332698714922</v>
      </c>
      <c r="AJ139" s="1264">
        <f t="shared" si="138"/>
        <v>6.739340951946643E-2</v>
      </c>
      <c r="AK139" s="1264">
        <f t="shared" si="138"/>
        <v>-0.11836769340138148</v>
      </c>
      <c r="AL139" s="1269">
        <f t="shared" si="138"/>
        <v>-0.19316601633989858</v>
      </c>
      <c r="AM139" s="1256">
        <f t="shared" si="138"/>
        <v>-7.7447462106925644E-2</v>
      </c>
      <c r="AN139" s="1264">
        <f t="shared" si="138"/>
        <v>0.13275850407138223</v>
      </c>
      <c r="AO139" s="1264">
        <f t="shared" si="138"/>
        <v>-0.16086995277961791</v>
      </c>
    </row>
    <row r="140" spans="1:41">
      <c r="G140" s="1236"/>
      <c r="X140" s="1182">
        <f>SUM(V138:X138)</f>
        <v>-831.89902900000061</v>
      </c>
      <c r="AB140" s="1292">
        <f>SUM(Z132:AB132)</f>
        <v>-2380.7560000000003</v>
      </c>
      <c r="AC140" s="1236"/>
      <c r="AF140" s="1292">
        <f>SUM(AD132:AF132)</f>
        <v>-1595.3309999999997</v>
      </c>
      <c r="AG140" s="1236">
        <f>AF140/AB140-1</f>
        <v>-0.32990571062301244</v>
      </c>
    </row>
    <row r="141" spans="1:41">
      <c r="A141" s="1179" t="s">
        <v>1657</v>
      </c>
      <c r="B141" s="1180"/>
      <c r="C141" s="1180"/>
      <c r="D141" s="1180"/>
      <c r="E141" s="1180"/>
      <c r="F141" s="1180"/>
      <c r="G141" s="1180"/>
      <c r="H141" s="1180"/>
      <c r="I141" s="1180"/>
      <c r="J141" s="1180"/>
      <c r="K141" s="1180"/>
      <c r="N141" s="1180"/>
      <c r="O141" s="1180"/>
      <c r="P141" s="1180"/>
      <c r="Q141" s="1180"/>
      <c r="R141" s="1180"/>
      <c r="S141" s="1180"/>
      <c r="T141" s="1180"/>
      <c r="U141" s="1180"/>
      <c r="V141" s="1180"/>
      <c r="W141" s="1180"/>
      <c r="X141" s="1180"/>
      <c r="Y141" s="1180"/>
      <c r="Z141" s="1180"/>
      <c r="AA141" s="1180"/>
      <c r="AB141" s="1180"/>
      <c r="AC141" s="1180"/>
      <c r="AD141" s="1247"/>
      <c r="AE141" s="1180"/>
      <c r="AF141" s="1180"/>
      <c r="AG141" s="1180"/>
      <c r="AH141" s="1247"/>
      <c r="AI141" s="1248"/>
      <c r="AJ141" s="1248"/>
      <c r="AK141" s="1248"/>
      <c r="AL141" s="1247"/>
      <c r="AM141" s="1248"/>
      <c r="AN141" s="1248"/>
      <c r="AO141" s="1248"/>
    </row>
    <row r="142" spans="1:41">
      <c r="A142" s="1169" t="s">
        <v>1658</v>
      </c>
      <c r="B142" s="1208">
        <v>2.2869999999999999</v>
      </c>
      <c r="C142" s="1208">
        <v>7.431724</v>
      </c>
      <c r="D142" s="1208">
        <v>16.163339000000001</v>
      </c>
      <c r="E142" s="1208">
        <v>31.283999999999999</v>
      </c>
      <c r="F142" s="1208">
        <v>76.516000000000005</v>
      </c>
      <c r="G142" s="1182">
        <f>SUM(Z142:AC142)</f>
        <v>87.305000000000007</v>
      </c>
      <c r="H142" s="1182">
        <f>SUM(AD142:AG142)</f>
        <v>130.25</v>
      </c>
      <c r="I142" s="1182">
        <f>SUM(AH142:AK142)</f>
        <v>152.929</v>
      </c>
      <c r="J142" s="1192">
        <f>J144*J143</f>
        <v>148.67593653183209</v>
      </c>
      <c r="K142" s="1192">
        <f>K144*K143</f>
        <v>147.21779484074523</v>
      </c>
      <c r="N142" s="1208">
        <v>1.8859999999999999</v>
      </c>
      <c r="O142" s="1208">
        <v>3.0286029999999999</v>
      </c>
      <c r="P142" s="1208">
        <v>5.7552149999999997</v>
      </c>
      <c r="Q142" s="1208">
        <v>5.4939140000000002</v>
      </c>
      <c r="R142" s="1208">
        <v>6.5950340000000001</v>
      </c>
      <c r="S142" s="1208">
        <v>5.584263</v>
      </c>
      <c r="T142" s="1208">
        <v>10.483114</v>
      </c>
      <c r="U142" s="1208">
        <v>8.6211819999999992</v>
      </c>
      <c r="V142" s="1208">
        <v>9.5829310000000003</v>
      </c>
      <c r="W142" s="1208">
        <v>16.505216999999998</v>
      </c>
      <c r="X142" s="1208">
        <v>28.579813999999999</v>
      </c>
      <c r="Y142" s="1208">
        <f>F142-SUM(V142:X142)</f>
        <v>21.84803800000001</v>
      </c>
      <c r="Z142" s="1208">
        <v>17.984000000000002</v>
      </c>
      <c r="AA142" s="1208">
        <v>20.942</v>
      </c>
      <c r="AB142" s="1208">
        <v>26.675000000000001</v>
      </c>
      <c r="AC142" s="1208">
        <v>21.704000000000001</v>
      </c>
      <c r="AD142" s="1284">
        <v>22.954000000000001</v>
      </c>
      <c r="AE142" s="1208">
        <v>23.006</v>
      </c>
      <c r="AF142" s="1208">
        <v>39.863999999999997</v>
      </c>
      <c r="AG142" s="1208">
        <v>44.426000000000002</v>
      </c>
      <c r="AH142" s="1284">
        <v>39.473999999999997</v>
      </c>
      <c r="AI142" s="1285">
        <v>44.591999999999999</v>
      </c>
      <c r="AJ142" s="1285">
        <v>38.167000000000002</v>
      </c>
      <c r="AK142" s="1285">
        <v>30.696000000000002</v>
      </c>
      <c r="AL142" s="1250">
        <f>AL144*AL143/4</f>
        <v>38.046574879432704</v>
      </c>
      <c r="AM142" s="1251">
        <f>AM144*AM143/4</f>
        <v>38.046574879432704</v>
      </c>
      <c r="AN142" s="1251">
        <f>AN144*AN143/4</f>
        <v>38.046574879432704</v>
      </c>
      <c r="AO142" s="1251">
        <f>J142-SUM(AL142:AN142)</f>
        <v>34.536211893533988</v>
      </c>
    </row>
    <row r="143" spans="1:41">
      <c r="A143" s="1226" t="s">
        <v>1810</v>
      </c>
      <c r="B143" s="1208"/>
      <c r="C143" s="1192">
        <f>AVERAGE([3]Finanicals!B150:C150)</f>
        <v>339.87167199999999</v>
      </c>
      <c r="D143" s="1192">
        <f>AVERAGE([3]Finanicals!C150:D150)</f>
        <v>545.88268549999998</v>
      </c>
      <c r="E143" s="1192">
        <f>AVERAGE([3]Finanicals!D150:E150)</f>
        <v>1362.9876055</v>
      </c>
      <c r="F143" s="1192">
        <f>AVERAGE([3]Finanicals!E150:F150)</f>
        <v>2818.475688</v>
      </c>
      <c r="G143" s="1192">
        <f>AVERAGE([3]Finanicals!F150:G150)</f>
        <v>4239.9614999999994</v>
      </c>
      <c r="H143" s="1182">
        <f>G143+H138</f>
        <v>3596.7124999999996</v>
      </c>
      <c r="I143" s="1182">
        <f>H143+I138</f>
        <v>3457.6444999999994</v>
      </c>
      <c r="J143" s="1182">
        <f>I143+J138</f>
        <v>3361.4849651252425</v>
      </c>
      <c r="K143" s="1182">
        <f>J143+K138</f>
        <v>3328.5171460823717</v>
      </c>
      <c r="N143" s="1208"/>
      <c r="O143" s="1208"/>
      <c r="P143" s="1208"/>
      <c r="Q143" s="1208"/>
      <c r="R143" s="1192">
        <f>AVERAGE([3]Finanicals!P61:Q61)</f>
        <v>209.70141749999999</v>
      </c>
      <c r="S143" s="1192">
        <f>AVERAGE([3]Finanicals!Q61:R61)</f>
        <v>597.96572800000001</v>
      </c>
      <c r="T143" s="1192">
        <f>AVERAGE([3]Finanicals!R61:S61)</f>
        <v>923.16025000000002</v>
      </c>
      <c r="U143" s="1192">
        <f>AVERAGE([3]Finanicals!S61:T61)</f>
        <v>1054.0557100000001</v>
      </c>
      <c r="V143" s="1192">
        <f>AVERAGE([3]Finanicals!T61:U61)</f>
        <v>1315.9219849999999</v>
      </c>
      <c r="W143" s="1192">
        <f>AVERAGE([3]Finanicals!U61:V61)</f>
        <v>2159.7411134999998</v>
      </c>
      <c r="X143" s="1192">
        <f>AVERAGE([3]Finanicals!V61:W61)</f>
        <v>2880.36015</v>
      </c>
      <c r="Y143" s="1192">
        <f>AVERAGE([3]Finanicals!W61:X61)</f>
        <v>2358.2883335000001</v>
      </c>
      <c r="Z143" s="1192">
        <f>AVERAGE([3]Finanicals!X150:Y150)</f>
        <v>4675.0659999999998</v>
      </c>
      <c r="AA143" s="1192">
        <f>AVERAGE([3]Finanicals!Y150:Z150)</f>
        <v>5810.7605000000003</v>
      </c>
      <c r="AB143" s="1192">
        <f>AVERAGE([3]Finanicals!Z150:AA150)</f>
        <v>5723.7089999999998</v>
      </c>
      <c r="AC143" s="1192">
        <f>AVERAGE([3]Finanicals!AA150:AB150)</f>
        <v>5161.3469999999998</v>
      </c>
      <c r="AD143" s="1298">
        <f t="shared" ref="AD143:AK143" si="139">AC143</f>
        <v>5161.3469999999998</v>
      </c>
      <c r="AE143" s="1192">
        <f t="shared" si="139"/>
        <v>5161.3469999999998</v>
      </c>
      <c r="AF143" s="1192">
        <f t="shared" si="139"/>
        <v>5161.3469999999998</v>
      </c>
      <c r="AG143" s="1192">
        <f t="shared" si="139"/>
        <v>5161.3469999999998</v>
      </c>
      <c r="AH143" s="1298">
        <f t="shared" si="139"/>
        <v>5161.3469999999998</v>
      </c>
      <c r="AI143" s="1299">
        <f t="shared" si="139"/>
        <v>5161.3469999999998</v>
      </c>
      <c r="AJ143" s="1299">
        <f t="shared" si="139"/>
        <v>5161.3469999999998</v>
      </c>
      <c r="AK143" s="1299">
        <f t="shared" si="139"/>
        <v>5161.3469999999998</v>
      </c>
      <c r="AL143" s="1250">
        <f>AK143+AL138</f>
        <v>5072.8766505910271</v>
      </c>
      <c r="AM143" s="1251">
        <f>AL143</f>
        <v>5072.8766505910271</v>
      </c>
      <c r="AN143" s="1251">
        <f>AM143</f>
        <v>5072.8766505910271</v>
      </c>
      <c r="AO143" s="1251">
        <f>AN143</f>
        <v>5072.8766505910271</v>
      </c>
    </row>
    <row r="144" spans="1:41">
      <c r="A144" s="1226" t="s">
        <v>1811</v>
      </c>
      <c r="B144" s="1208"/>
      <c r="C144" s="1300">
        <f t="shared" ref="C144:I144" si="140">C142/C143</f>
        <v>2.1866264864816388E-2</v>
      </c>
      <c r="D144" s="1300">
        <f t="shared" si="140"/>
        <v>2.9609546939916638E-2</v>
      </c>
      <c r="E144" s="1300">
        <f t="shared" si="140"/>
        <v>2.2952519798244048E-2</v>
      </c>
      <c r="F144" s="1300">
        <f t="shared" si="140"/>
        <v>2.7148007813505754E-2</v>
      </c>
      <c r="G144" s="1300">
        <f t="shared" si="140"/>
        <v>2.0590988856856368E-2</v>
      </c>
      <c r="H144" s="1300">
        <f t="shared" si="140"/>
        <v>3.6213625637300732E-2</v>
      </c>
      <c r="I144" s="1300">
        <f t="shared" si="140"/>
        <v>4.4229243347602691E-2</v>
      </c>
      <c r="J144" s="1301">
        <f>I144</f>
        <v>4.4229243347602691E-2</v>
      </c>
      <c r="K144" s="1301">
        <f>J144</f>
        <v>4.4229243347602691E-2</v>
      </c>
      <c r="N144" s="1208"/>
      <c r="O144" s="1208"/>
      <c r="P144" s="1208"/>
      <c r="Q144" s="1208"/>
      <c r="R144" s="1300">
        <f>R142/R143*4</f>
        <v>0.12579855832400372</v>
      </c>
      <c r="S144" s="1300">
        <f t="shared" ref="S144:AE144" si="141">S142/S143*4</f>
        <v>3.7355070623713071E-2</v>
      </c>
      <c r="T144" s="1300">
        <f t="shared" si="141"/>
        <v>4.5422726985916047E-2</v>
      </c>
      <c r="U144" s="1300">
        <f t="shared" si="141"/>
        <v>3.2716229012221751E-2</v>
      </c>
      <c r="V144" s="1300">
        <f t="shared" si="141"/>
        <v>2.9129176681397265E-2</v>
      </c>
      <c r="W144" s="1300">
        <f t="shared" si="141"/>
        <v>3.0568880495592789E-2</v>
      </c>
      <c r="X144" s="1300">
        <f t="shared" si="141"/>
        <v>3.9689222891102695E-2</v>
      </c>
      <c r="Y144" s="1300">
        <f t="shared" si="141"/>
        <v>3.7057449998193798E-2</v>
      </c>
      <c r="Z144" s="1300">
        <f t="shared" si="141"/>
        <v>1.5387162448615701E-2</v>
      </c>
      <c r="AA144" s="1300">
        <f t="shared" si="141"/>
        <v>1.441601318794674E-2</v>
      </c>
      <c r="AB144" s="1300">
        <f t="shared" si="141"/>
        <v>1.8641758342361571E-2</v>
      </c>
      <c r="AC144" s="1300">
        <f t="shared" si="141"/>
        <v>1.6820415290814589E-2</v>
      </c>
      <c r="AD144" s="1300">
        <f t="shared" si="141"/>
        <v>1.778915465284547E-2</v>
      </c>
      <c r="AE144" s="1300">
        <f t="shared" si="141"/>
        <v>1.7829454210305955E-2</v>
      </c>
      <c r="AF144" s="1300">
        <f t="shared" ref="AF144:AK144" si="142">AF142/AF143*4</f>
        <v>3.0894260742399222E-2</v>
      </c>
      <c r="AG144" s="1300">
        <f t="shared" si="142"/>
        <v>3.4429771918067127E-2</v>
      </c>
      <c r="AH144" s="1302">
        <f t="shared" si="142"/>
        <v>3.0592014061445585E-2</v>
      </c>
      <c r="AI144" s="1302">
        <f t="shared" si="142"/>
        <v>3.4558420505344828E-2</v>
      </c>
      <c r="AJ144" s="1302">
        <f t="shared" si="142"/>
        <v>2.9579100184506102E-2</v>
      </c>
      <c r="AK144" s="1302">
        <f t="shared" si="142"/>
        <v>2.3789138765519934E-2</v>
      </c>
      <c r="AL144" s="1303">
        <v>0.03</v>
      </c>
      <c r="AM144" s="1303">
        <f>AL144</f>
        <v>0.03</v>
      </c>
      <c r="AN144" s="1303">
        <f>AM144</f>
        <v>0.03</v>
      </c>
      <c r="AO144" s="1304">
        <f>AO142/AO143*4</f>
        <v>2.7232053347490928E-2</v>
      </c>
    </row>
    <row r="145" spans="1:41">
      <c r="B145" s="1208"/>
      <c r="C145" s="1208"/>
      <c r="D145" s="1208"/>
      <c r="E145" s="1208"/>
      <c r="F145" s="1208"/>
      <c r="N145" s="1208"/>
      <c r="O145" s="1208"/>
      <c r="P145" s="1208"/>
      <c r="Q145" s="1208"/>
      <c r="R145" s="1208"/>
      <c r="S145" s="1208"/>
      <c r="T145" s="1208"/>
      <c r="U145" s="1208"/>
      <c r="V145" s="1208"/>
      <c r="W145" s="1208"/>
      <c r="X145" s="1208"/>
      <c r="Y145" s="1208"/>
      <c r="Z145" s="1208"/>
      <c r="AA145" s="1208"/>
      <c r="AB145" s="1208"/>
      <c r="AC145" s="1208"/>
      <c r="AD145" s="1284"/>
      <c r="AE145" s="1208"/>
      <c r="AF145" s="1208"/>
      <c r="AG145" s="1208"/>
      <c r="AH145" s="1284"/>
      <c r="AI145" s="1285"/>
      <c r="AJ145" s="1285"/>
      <c r="AK145" s="1285"/>
    </row>
    <row r="146" spans="1:41">
      <c r="A146" s="1169" t="s">
        <v>1659</v>
      </c>
      <c r="B146" s="1208">
        <v>6.5289999999999999</v>
      </c>
      <c r="C146" s="1208">
        <v>-0.74067799999999995</v>
      </c>
      <c r="D146" s="1208">
        <v>1.2864679999999999</v>
      </c>
      <c r="E146" s="1208">
        <v>-5.3339999999999996</v>
      </c>
      <c r="F146" s="1208">
        <v>-83.117999999999995</v>
      </c>
      <c r="G146" s="1182">
        <f>SUM(Z146:AC146)</f>
        <v>-9.734</v>
      </c>
      <c r="H146" s="1182">
        <f>SUM(AD146:AG146)</f>
        <v>-2.3940000000000001</v>
      </c>
      <c r="I146" s="1182">
        <f>SUM(AH146:AK146)</f>
        <v>-11.728999999999999</v>
      </c>
      <c r="J146" s="1305">
        <f>I146</f>
        <v>-11.728999999999999</v>
      </c>
      <c r="K146" s="1305">
        <f>J146</f>
        <v>-11.728999999999999</v>
      </c>
      <c r="N146" s="1208">
        <v>0.42599999999999999</v>
      </c>
      <c r="O146" s="1208">
        <v>0.24837600000000001</v>
      </c>
      <c r="P146" s="1208">
        <v>0.59024100000000002</v>
      </c>
      <c r="Q146" s="1208">
        <v>2.2046E-2</v>
      </c>
      <c r="R146" s="1208">
        <v>-2.7522449999999998</v>
      </c>
      <c r="S146" s="1208">
        <v>-1.7461869999999999</v>
      </c>
      <c r="T146" s="1208">
        <v>-0.77204200000000001</v>
      </c>
      <c r="U146" s="1208">
        <v>-6.3170000000000004E-2</v>
      </c>
      <c r="V146" s="1208">
        <v>0.246611</v>
      </c>
      <c r="W146" s="1208">
        <v>29.722429999999999</v>
      </c>
      <c r="X146" s="1208">
        <v>-103.545323</v>
      </c>
      <c r="Y146" s="1208">
        <f>F146-SUM(V146:X146)</f>
        <v>-9.541718000000003</v>
      </c>
      <c r="Z146" s="1208">
        <v>-0.161</v>
      </c>
      <c r="AA146" s="1208">
        <v>-8.2850000000000001</v>
      </c>
      <c r="AB146" s="1208">
        <v>0.41399999999999998</v>
      </c>
      <c r="AC146" s="1208">
        <v>-1.702</v>
      </c>
      <c r="AD146" s="1284">
        <v>-1.37</v>
      </c>
      <c r="AE146" s="1208">
        <v>-0.92300000000000004</v>
      </c>
      <c r="AF146" s="1208">
        <v>1.9079999999999999</v>
      </c>
      <c r="AG146" s="1208">
        <v>-2.0089999999999999</v>
      </c>
      <c r="AH146" s="1284">
        <v>5.9770000000000003</v>
      </c>
      <c r="AI146" s="1285">
        <v>-6.633</v>
      </c>
      <c r="AJ146" s="1285">
        <v>-9.0299999999999994</v>
      </c>
      <c r="AK146" s="1285">
        <v>-2.0430000000000001</v>
      </c>
      <c r="AL146" s="1296">
        <f>AK146</f>
        <v>-2.0430000000000001</v>
      </c>
      <c r="AM146" s="1297">
        <f>AL146</f>
        <v>-2.0430000000000001</v>
      </c>
      <c r="AN146" s="1297">
        <f>AM146</f>
        <v>-2.0430000000000001</v>
      </c>
      <c r="AO146" s="1251">
        <f>J146-SUM(AL146:AN146)</f>
        <v>-5.5999999999999988</v>
      </c>
    </row>
    <row r="147" spans="1:41">
      <c r="A147" s="1169" t="s">
        <v>1660</v>
      </c>
      <c r="B147" s="1208">
        <v>-0.39200000000000002</v>
      </c>
      <c r="C147" s="1208">
        <v>-0.35667399999999999</v>
      </c>
      <c r="D147" s="1208">
        <v>-4.8566999999999999E-2</v>
      </c>
      <c r="E147" s="1208">
        <v>-0.78800000000000003</v>
      </c>
      <c r="F147" s="1208">
        <v>-1.3360000000000001</v>
      </c>
      <c r="G147" s="1182">
        <f>SUM(Z147:AC147)</f>
        <v>-2.5529999999999999</v>
      </c>
      <c r="H147" s="1182">
        <f>SUM(AD147:AG147)</f>
        <v>-0.121</v>
      </c>
      <c r="I147" s="1182">
        <f>SUM(AH147:AK147)</f>
        <v>8.5759999999999987</v>
      </c>
      <c r="J147" s="1305">
        <v>0</v>
      </c>
      <c r="K147" s="1305">
        <v>0</v>
      </c>
      <c r="N147" s="1208">
        <v>0.01</v>
      </c>
      <c r="O147" s="1208">
        <v>-4.1674999999999997E-2</v>
      </c>
      <c r="P147" s="1208">
        <v>9.8879999999999992E-3</v>
      </c>
      <c r="Q147" s="1208">
        <v>-2.7503E-2</v>
      </c>
      <c r="R147" s="1208">
        <v>-5.1429000000000002E-2</v>
      </c>
      <c r="S147" s="1208">
        <v>-0.37020399999999998</v>
      </c>
      <c r="T147" s="1208">
        <v>-0.24915699999999999</v>
      </c>
      <c r="U147" s="1208">
        <v>-0.116934</v>
      </c>
      <c r="V147" s="1208">
        <v>-5.4295000000000003E-2</v>
      </c>
      <c r="W147" s="1208">
        <v>-0.48656199999999999</v>
      </c>
      <c r="X147" s="1208">
        <v>-0.68399500000000002</v>
      </c>
      <c r="Y147" s="1208">
        <f>F147-SUM(V147:X147)</f>
        <v>-0.11114800000000002</v>
      </c>
      <c r="Z147" s="1208">
        <v>-6.0000000000000001E-3</v>
      </c>
      <c r="AA147" s="1208">
        <v>0.193</v>
      </c>
      <c r="AB147" s="1208">
        <v>-0.43</v>
      </c>
      <c r="AC147" s="1208">
        <v>-2.31</v>
      </c>
      <c r="AD147" s="1284">
        <v>0.42899999999999999</v>
      </c>
      <c r="AE147" s="1208">
        <v>-0.22900000000000001</v>
      </c>
      <c r="AF147" s="1208">
        <v>-0.17399999999999999</v>
      </c>
      <c r="AG147" s="1208">
        <v>-0.14699999999999999</v>
      </c>
      <c r="AH147" s="1284">
        <v>7.9450000000000003</v>
      </c>
      <c r="AI147" s="1285">
        <v>-0.157</v>
      </c>
      <c r="AJ147" s="1285">
        <v>1.2929999999999999</v>
      </c>
      <c r="AK147" s="1285">
        <v>-0.505</v>
      </c>
      <c r="AL147" s="1296">
        <v>0</v>
      </c>
      <c r="AM147" s="1297">
        <v>0</v>
      </c>
      <c r="AN147" s="1297">
        <v>0</v>
      </c>
      <c r="AO147" s="1251">
        <f>J147-SUM(AL147:AN147)</f>
        <v>0</v>
      </c>
    </row>
    <row r="148" spans="1:41" s="1195" customFormat="1">
      <c r="A148" s="1185" t="s">
        <v>1661</v>
      </c>
      <c r="B148" s="1195">
        <f t="shared" ref="B148:K148" si="143">B137+B142+B146+B147</f>
        <v>-91.95</v>
      </c>
      <c r="C148" s="1195">
        <f t="shared" si="143"/>
        <v>-107.11203300000031</v>
      </c>
      <c r="D148" s="1195">
        <f t="shared" si="143"/>
        <v>-79.632078999999919</v>
      </c>
      <c r="E148" s="1195">
        <f t="shared" si="143"/>
        <v>-447.85799999999983</v>
      </c>
      <c r="F148" s="1195">
        <f t="shared" si="143"/>
        <v>-1462.9739999999997</v>
      </c>
      <c r="G148" s="1195">
        <f t="shared" si="143"/>
        <v>-2479.3269999999993</v>
      </c>
      <c r="H148" s="1195">
        <f t="shared" si="143"/>
        <v>-755.70999999999981</v>
      </c>
      <c r="I148" s="1195">
        <f t="shared" si="143"/>
        <v>-199.21800000000016</v>
      </c>
      <c r="J148" s="1195">
        <f t="shared" si="143"/>
        <v>-177.14986578030289</v>
      </c>
      <c r="K148" s="1195">
        <f t="shared" si="143"/>
        <v>-128.60384324499654</v>
      </c>
      <c r="N148" s="1195">
        <f t="shared" ref="N148:AO148" si="144">N137+N142+N146+N147</f>
        <v>-5.3989999999999894</v>
      </c>
      <c r="O148" s="1195">
        <f t="shared" si="144"/>
        <v>-7.3728700000000611</v>
      </c>
      <c r="P148" s="1195">
        <f t="shared" si="144"/>
        <v>-13.168589999999968</v>
      </c>
      <c r="Q148" s="1195">
        <f t="shared" si="144"/>
        <v>-53.691699000000007</v>
      </c>
      <c r="R148" s="1195">
        <f t="shared" si="144"/>
        <v>-62.734288999999976</v>
      </c>
      <c r="S148" s="1195">
        <f t="shared" si="144"/>
        <v>-114.29709900000007</v>
      </c>
      <c r="T148" s="1195">
        <f t="shared" si="144"/>
        <v>-103.50814699999982</v>
      </c>
      <c r="U148" s="1195">
        <f t="shared" si="144"/>
        <v>-168.1181959999999</v>
      </c>
      <c r="V148" s="1195">
        <f t="shared" si="144"/>
        <v>-233.22087700000034</v>
      </c>
      <c r="W148" s="1195">
        <f t="shared" si="144"/>
        <v>-246.5376850000001</v>
      </c>
      <c r="X148" s="1195">
        <f t="shared" si="144"/>
        <v>-434.55218200000002</v>
      </c>
      <c r="Y148" s="1195">
        <f t="shared" si="144"/>
        <v>-548.37146899999902</v>
      </c>
      <c r="Z148" s="1195">
        <f t="shared" si="144"/>
        <v>-578.3869999999996</v>
      </c>
      <c r="AA148" s="1195">
        <f t="shared" si="144"/>
        <v>-767.06900000000007</v>
      </c>
      <c r="AB148" s="1195">
        <f t="shared" si="144"/>
        <v>-570.09999999999934</v>
      </c>
      <c r="AC148" s="1195">
        <f t="shared" si="144"/>
        <v>-563.77099999999996</v>
      </c>
      <c r="AD148" s="1271">
        <f t="shared" si="144"/>
        <v>-285.95199999999994</v>
      </c>
      <c r="AE148" s="1195">
        <f t="shared" si="144"/>
        <v>-266.75100000000003</v>
      </c>
      <c r="AF148" s="1195">
        <f t="shared" si="144"/>
        <v>-24.421999999999926</v>
      </c>
      <c r="AG148" s="1195">
        <f t="shared" si="144"/>
        <v>-178.58499999999989</v>
      </c>
      <c r="AH148" s="1271">
        <f t="shared" si="144"/>
        <v>-67.736999999999995</v>
      </c>
      <c r="AI148" s="1267">
        <f t="shared" si="144"/>
        <v>-83.344000000000122</v>
      </c>
      <c r="AJ148" s="1267">
        <f t="shared" si="144"/>
        <v>26.825999999999958</v>
      </c>
      <c r="AK148" s="1267">
        <f t="shared" si="144"/>
        <v>-74.962999999999994</v>
      </c>
      <c r="AL148" s="1271">
        <f t="shared" si="144"/>
        <v>-101.73982328428033</v>
      </c>
      <c r="AM148" s="1267">
        <f t="shared" si="144"/>
        <v>-68.103415963713843</v>
      </c>
      <c r="AN148" s="1267">
        <f t="shared" si="144"/>
        <v>103.04233890912403</v>
      </c>
      <c r="AO148" s="1267">
        <f t="shared" si="144"/>
        <v>-110.34896544143248</v>
      </c>
    </row>
    <row r="150" spans="1:41">
      <c r="A150" s="1169" t="s">
        <v>1662</v>
      </c>
      <c r="B150" s="1208">
        <v>0</v>
      </c>
      <c r="C150" s="1208">
        <v>-7.7890000000000001E-2</v>
      </c>
      <c r="D150" s="1208">
        <v>0</v>
      </c>
      <c r="E150" s="1208">
        <v>0</v>
      </c>
      <c r="F150" s="1208">
        <v>0.58899999999999997</v>
      </c>
      <c r="G150" s="1182">
        <f>SUM(Z150:AC150)</f>
        <v>1.7109999999999999</v>
      </c>
      <c r="H150" s="1182">
        <f>SUM(AD150:AG150)</f>
        <v>-15.625</v>
      </c>
      <c r="I150" s="1182">
        <f>SUM(AH150:AK150)</f>
        <v>-0.15300000000000002</v>
      </c>
      <c r="J150" s="1182">
        <f>J148*J151</f>
        <v>0</v>
      </c>
      <c r="K150" s="1182">
        <f>K148*K151</f>
        <v>0</v>
      </c>
      <c r="N150" s="1182">
        <v>0</v>
      </c>
      <c r="O150" s="1182">
        <v>0</v>
      </c>
      <c r="P150" s="1182">
        <v>0</v>
      </c>
      <c r="Q150" s="1182">
        <v>0</v>
      </c>
      <c r="R150" s="1182">
        <v>0</v>
      </c>
      <c r="S150" s="1182">
        <v>0</v>
      </c>
      <c r="T150" s="1182">
        <v>0</v>
      </c>
      <c r="U150" s="1182">
        <v>0</v>
      </c>
      <c r="V150" s="1182">
        <v>0</v>
      </c>
      <c r="W150" s="1182">
        <v>0.189582</v>
      </c>
      <c r="X150" s="1182">
        <v>0.61529199999999995</v>
      </c>
      <c r="Y150" s="1192">
        <f>F150-SUM(V150:X150)</f>
        <v>-0.21587400000000001</v>
      </c>
      <c r="Z150" s="1182">
        <v>0.56799999999999995</v>
      </c>
      <c r="AA150" s="1182">
        <v>0.14499999999999999</v>
      </c>
      <c r="AB150" s="1182">
        <v>-1.6120000000000001</v>
      </c>
      <c r="AC150" s="1182">
        <v>2.61</v>
      </c>
      <c r="AD150" s="1284">
        <v>-1.4059999999999999</v>
      </c>
      <c r="AE150" s="1208">
        <v>-4.0670000000000002</v>
      </c>
      <c r="AF150" s="1208">
        <v>-2.5830000000000002</v>
      </c>
      <c r="AG150" s="1208">
        <v>-7.569</v>
      </c>
      <c r="AH150" s="1284">
        <v>-3.8279999999999998</v>
      </c>
      <c r="AI150" s="1285">
        <v>0.52400000000000002</v>
      </c>
      <c r="AJ150" s="1285">
        <v>1.1259999999999999</v>
      </c>
      <c r="AK150" s="1285">
        <v>2.0249999999999999</v>
      </c>
      <c r="AL150" s="1296">
        <f>AL148*AL151</f>
        <v>0</v>
      </c>
      <c r="AM150" s="1297">
        <f>AM148*AM151</f>
        <v>0</v>
      </c>
      <c r="AN150" s="1297">
        <f>AN148*AN151</f>
        <v>0</v>
      </c>
      <c r="AO150" s="1251">
        <f>J150-SUM(AL150:AN150)</f>
        <v>0</v>
      </c>
    </row>
    <row r="151" spans="1:41" ht="12">
      <c r="A151" s="1190" t="s">
        <v>1812</v>
      </c>
      <c r="B151" s="1208"/>
      <c r="C151" s="1208"/>
      <c r="D151" s="1208"/>
      <c r="E151" s="1208"/>
      <c r="F151" s="1208"/>
      <c r="J151" s="1306">
        <v>0</v>
      </c>
      <c r="K151" s="1306">
        <v>0</v>
      </c>
      <c r="Y151" s="1192"/>
      <c r="AL151" s="1296">
        <v>0</v>
      </c>
      <c r="AM151" s="1307">
        <v>0</v>
      </c>
      <c r="AN151" s="1297">
        <v>0</v>
      </c>
      <c r="AO151" s="1251">
        <v>0</v>
      </c>
    </row>
    <row r="152" spans="1:41" s="1195" customFormat="1">
      <c r="A152" s="1185" t="s">
        <v>1663</v>
      </c>
      <c r="B152" s="1195">
        <f t="shared" ref="B152:K152" si="145">B148+B150</f>
        <v>-91.95</v>
      </c>
      <c r="C152" s="1195">
        <f t="shared" si="145"/>
        <v>-107.18992300000031</v>
      </c>
      <c r="D152" s="1195">
        <f t="shared" si="145"/>
        <v>-79.632078999999919</v>
      </c>
      <c r="E152" s="1195">
        <f t="shared" si="145"/>
        <v>-447.85799999999983</v>
      </c>
      <c r="F152" s="1195">
        <f t="shared" si="145"/>
        <v>-1462.3849999999998</v>
      </c>
      <c r="G152" s="1195">
        <f t="shared" si="145"/>
        <v>-2477.6159999999995</v>
      </c>
      <c r="H152" s="1195">
        <f t="shared" si="145"/>
        <v>-771.33499999999981</v>
      </c>
      <c r="I152" s="1195">
        <f t="shared" si="145"/>
        <v>-199.37100000000015</v>
      </c>
      <c r="J152" s="1195">
        <f t="shared" si="145"/>
        <v>-177.14986578030289</v>
      </c>
      <c r="K152" s="1195">
        <f t="shared" si="145"/>
        <v>-128.60384324499654</v>
      </c>
      <c r="N152" s="1195">
        <f t="shared" ref="N152:AO152" si="146">N148+N150</f>
        <v>-5.3989999999999894</v>
      </c>
      <c r="O152" s="1195">
        <f t="shared" si="146"/>
        <v>-7.3728700000000611</v>
      </c>
      <c r="P152" s="1195">
        <f t="shared" si="146"/>
        <v>-13.168589999999968</v>
      </c>
      <c r="Q152" s="1195">
        <f t="shared" si="146"/>
        <v>-53.691699000000007</v>
      </c>
      <c r="R152" s="1195">
        <f t="shared" si="146"/>
        <v>-62.734288999999976</v>
      </c>
      <c r="S152" s="1195">
        <f t="shared" si="146"/>
        <v>-114.29709900000007</v>
      </c>
      <c r="T152" s="1195">
        <f t="shared" si="146"/>
        <v>-103.50814699999982</v>
      </c>
      <c r="U152" s="1195">
        <f t="shared" si="146"/>
        <v>-168.1181959999999</v>
      </c>
      <c r="V152" s="1195">
        <f t="shared" si="146"/>
        <v>-233.22087700000034</v>
      </c>
      <c r="W152" s="1195">
        <f t="shared" si="146"/>
        <v>-246.34810300000009</v>
      </c>
      <c r="X152" s="1195">
        <f t="shared" si="146"/>
        <v>-433.93689000000001</v>
      </c>
      <c r="Y152" s="1195">
        <f t="shared" si="146"/>
        <v>-548.58734299999901</v>
      </c>
      <c r="Z152" s="1195">
        <f t="shared" si="146"/>
        <v>-577.81899999999962</v>
      </c>
      <c r="AA152" s="1195">
        <f t="shared" si="146"/>
        <v>-766.92400000000009</v>
      </c>
      <c r="AB152" s="1195">
        <f t="shared" si="146"/>
        <v>-571.71199999999931</v>
      </c>
      <c r="AC152" s="1195">
        <f t="shared" si="146"/>
        <v>-561.16099999999994</v>
      </c>
      <c r="AD152" s="1271">
        <f t="shared" si="146"/>
        <v>-287.35799999999995</v>
      </c>
      <c r="AE152" s="1195">
        <f t="shared" si="146"/>
        <v>-270.81800000000004</v>
      </c>
      <c r="AF152" s="1195">
        <f t="shared" si="146"/>
        <v>-27.004999999999924</v>
      </c>
      <c r="AG152" s="1195">
        <f t="shared" si="146"/>
        <v>-186.15399999999988</v>
      </c>
      <c r="AH152" s="1271">
        <f t="shared" si="146"/>
        <v>-71.564999999999998</v>
      </c>
      <c r="AI152" s="1267">
        <f t="shared" si="146"/>
        <v>-82.820000000000121</v>
      </c>
      <c r="AJ152" s="1267">
        <f t="shared" si="146"/>
        <v>27.951999999999959</v>
      </c>
      <c r="AK152" s="1267">
        <f t="shared" si="146"/>
        <v>-72.937999999999988</v>
      </c>
      <c r="AL152" s="1271">
        <f t="shared" si="146"/>
        <v>-101.73982328428033</v>
      </c>
      <c r="AM152" s="1267">
        <f t="shared" si="146"/>
        <v>-68.103415963713843</v>
      </c>
      <c r="AN152" s="1267">
        <f t="shared" si="146"/>
        <v>103.04233890912403</v>
      </c>
      <c r="AO152" s="1267">
        <f t="shared" si="146"/>
        <v>-110.34896544143248</v>
      </c>
    </row>
    <row r="153" spans="1:41">
      <c r="A153" s="1169" t="s">
        <v>1664</v>
      </c>
      <c r="B153" s="1208">
        <v>0</v>
      </c>
      <c r="C153" s="1208">
        <v>0</v>
      </c>
      <c r="D153" s="1208">
        <v>0</v>
      </c>
      <c r="E153" s="1208">
        <v>0</v>
      </c>
      <c r="F153" s="1208">
        <v>3.0059999999999998</v>
      </c>
      <c r="G153" s="1182">
        <f>SUM(Z153:AC153)</f>
        <v>14.913</v>
      </c>
      <c r="H153" s="1182">
        <f>SUM(AD153:AG153)</f>
        <v>1.8620000000000001</v>
      </c>
      <c r="I153" s="1182">
        <f>SUM(AH153:AK153)</f>
        <v>14.036999999999999</v>
      </c>
      <c r="J153" s="1305">
        <f>I153</f>
        <v>14.036999999999999</v>
      </c>
      <c r="K153" s="1305">
        <f>J153</f>
        <v>14.036999999999999</v>
      </c>
      <c r="N153" s="1208">
        <v>0</v>
      </c>
      <c r="O153" s="1208">
        <v>0</v>
      </c>
      <c r="P153" s="1208">
        <v>0</v>
      </c>
      <c r="Q153" s="1208">
        <v>0</v>
      </c>
      <c r="R153" s="1208">
        <v>0</v>
      </c>
      <c r="S153" s="1208">
        <v>0</v>
      </c>
      <c r="T153" s="1208">
        <v>0</v>
      </c>
      <c r="U153" s="1208">
        <v>0</v>
      </c>
      <c r="V153" s="1208">
        <v>0</v>
      </c>
      <c r="W153" s="1208">
        <v>9.0211E-2</v>
      </c>
      <c r="X153" s="1208">
        <v>0.41879300000000003</v>
      </c>
      <c r="Y153" s="1208">
        <f>F153-SUM(V153:X153)</f>
        <v>2.4969959999999998</v>
      </c>
      <c r="Z153" s="1208">
        <v>2.7970000000000002</v>
      </c>
      <c r="AA153" s="1208">
        <v>2.1160000000000001</v>
      </c>
      <c r="AB153" s="1208">
        <v>3.234</v>
      </c>
      <c r="AC153" s="1208">
        <f>6.838+0.034-0.106</f>
        <v>6.766</v>
      </c>
      <c r="AD153" s="1284">
        <v>0.751</v>
      </c>
      <c r="AE153" s="1208">
        <f>1.853-0.226</f>
        <v>1.627</v>
      </c>
      <c r="AF153" s="1208">
        <v>-0.60899999999999999</v>
      </c>
      <c r="AG153" s="1208">
        <v>9.2999999999999999E-2</v>
      </c>
      <c r="AH153" s="1284">
        <f>-1.299</f>
        <v>-1.2989999999999999</v>
      </c>
      <c r="AI153" s="1285">
        <f>1.721</f>
        <v>1.7210000000000001</v>
      </c>
      <c r="AJ153" s="1285">
        <f>4.104</f>
        <v>4.1040000000000001</v>
      </c>
      <c r="AK153" s="1285">
        <f>9.511</f>
        <v>9.5109999999999992</v>
      </c>
      <c r="AL153" s="1296">
        <v>2</v>
      </c>
      <c r="AM153" s="1297">
        <f>AL153</f>
        <v>2</v>
      </c>
      <c r="AN153" s="1297">
        <f>AM153</f>
        <v>2</v>
      </c>
      <c r="AO153" s="1251">
        <f>J153-SUM(AL153:AN153)</f>
        <v>8.036999999999999</v>
      </c>
    </row>
    <row r="154" spans="1:41">
      <c r="A154" s="1169" t="s">
        <v>1665</v>
      </c>
      <c r="B154" s="1208">
        <v>-30.928999999999998</v>
      </c>
      <c r="C154" s="1208">
        <v>0</v>
      </c>
      <c r="D154" s="1208">
        <v>-59.428400000000003</v>
      </c>
      <c r="E154" s="1208">
        <v>-15.606</v>
      </c>
      <c r="F154" s="1208">
        <v>0</v>
      </c>
      <c r="G154" s="1182">
        <f>SUM(Z154:AC154)</f>
        <v>-0.106</v>
      </c>
      <c r="H154" s="1182">
        <f>SUM(AA154:AD154)</f>
        <v>-1.4620000000000002</v>
      </c>
      <c r="I154" s="1182">
        <f>SUM(AH154:AK154)</f>
        <v>-2.5999999999999996</v>
      </c>
      <c r="J154" s="1305">
        <f>SUM(AC154:AF154)</f>
        <v>-4.5880000000000001</v>
      </c>
      <c r="K154" s="1305">
        <f>SUM(AD154:AG154)</f>
        <v>-2.7250000000000005</v>
      </c>
      <c r="N154" s="1208">
        <v>0</v>
      </c>
      <c r="O154" s="1208">
        <v>0</v>
      </c>
      <c r="P154" s="1208">
        <v>-59.428400000000003</v>
      </c>
      <c r="Q154" s="1208">
        <v>0</v>
      </c>
      <c r="R154" s="1208">
        <v>0</v>
      </c>
      <c r="S154" s="1208">
        <v>-15.605907999999999</v>
      </c>
      <c r="T154" s="1208">
        <v>0</v>
      </c>
      <c r="U154" s="1208">
        <v>0</v>
      </c>
      <c r="V154" s="1208">
        <v>0</v>
      </c>
      <c r="W154" s="1208">
        <v>0</v>
      </c>
      <c r="X154" s="1208">
        <v>0</v>
      </c>
      <c r="Y154" s="1208">
        <f>F154-SUM(V154:X154)</f>
        <v>0</v>
      </c>
      <c r="Z154" s="1208">
        <v>0</v>
      </c>
      <c r="AA154" s="1208">
        <v>0</v>
      </c>
      <c r="AB154" s="1208">
        <v>0</v>
      </c>
      <c r="AC154" s="1208">
        <v>-0.106</v>
      </c>
      <c r="AD154" s="1284">
        <v>-1.3560000000000001</v>
      </c>
      <c r="AE154" s="1208">
        <v>-1.4350000000000001</v>
      </c>
      <c r="AF154" s="1208">
        <f>-1.177-0.514</f>
        <v>-1.6910000000000001</v>
      </c>
      <c r="AG154" s="1208">
        <v>1.7569999999999999</v>
      </c>
      <c r="AH154" s="1284">
        <f>-0.869-0.94</f>
        <v>-1.8089999999999999</v>
      </c>
      <c r="AI154" s="1285">
        <f>-0.255+1.733</f>
        <v>1.4780000000000002</v>
      </c>
      <c r="AJ154" s="1285">
        <f>-0.831-0.204</f>
        <v>-1.0349999999999999</v>
      </c>
      <c r="AK154" s="1285">
        <f>1.848-3.082</f>
        <v>-1.2339999999999998</v>
      </c>
      <c r="AL154" s="1296">
        <v>-1</v>
      </c>
      <c r="AM154" s="1297">
        <v>-1</v>
      </c>
      <c r="AN154" s="1297">
        <v>-1</v>
      </c>
      <c r="AO154" s="1251">
        <f>J154-SUM(AL154:AN154)</f>
        <v>-1.5880000000000001</v>
      </c>
    </row>
    <row r="155" spans="1:41" s="1195" customFormat="1">
      <c r="A155" s="1183" t="s">
        <v>1666</v>
      </c>
      <c r="B155" s="1193">
        <f>B152+B153+B154</f>
        <v>-122.879</v>
      </c>
      <c r="C155" s="1193">
        <f t="shared" ref="C155:K155" si="147">C152+C153+C154</f>
        <v>-107.18992300000031</v>
      </c>
      <c r="D155" s="1193">
        <f t="shared" si="147"/>
        <v>-139.06047899999993</v>
      </c>
      <c r="E155" s="1193">
        <f t="shared" si="147"/>
        <v>-463.46399999999983</v>
      </c>
      <c r="F155" s="1193">
        <f t="shared" si="147"/>
        <v>-1459.3789999999997</v>
      </c>
      <c r="G155" s="1193">
        <f t="shared" si="147"/>
        <v>-2462.8089999999997</v>
      </c>
      <c r="H155" s="1193">
        <f t="shared" si="147"/>
        <v>-770.93499999999983</v>
      </c>
      <c r="I155" s="1193">
        <f t="shared" si="147"/>
        <v>-187.93400000000014</v>
      </c>
      <c r="J155" s="1193">
        <f t="shared" si="147"/>
        <v>-167.70086578030288</v>
      </c>
      <c r="K155" s="1193">
        <f t="shared" si="147"/>
        <v>-117.29184324499653</v>
      </c>
      <c r="N155" s="1193">
        <f t="shared" ref="N155:AF155" si="148">N152+N153+N154</f>
        <v>-5.3989999999999894</v>
      </c>
      <c r="O155" s="1193">
        <f t="shared" si="148"/>
        <v>-7.3728700000000611</v>
      </c>
      <c r="P155" s="1193">
        <f t="shared" si="148"/>
        <v>-72.596989999999977</v>
      </c>
      <c r="Q155" s="1193">
        <f t="shared" si="148"/>
        <v>-53.691699000000007</v>
      </c>
      <c r="R155" s="1193">
        <f t="shared" si="148"/>
        <v>-62.734288999999976</v>
      </c>
      <c r="S155" s="1193">
        <f t="shared" si="148"/>
        <v>-129.90300700000006</v>
      </c>
      <c r="T155" s="1193">
        <f t="shared" si="148"/>
        <v>-103.50814699999982</v>
      </c>
      <c r="U155" s="1193">
        <f t="shared" si="148"/>
        <v>-168.1181959999999</v>
      </c>
      <c r="V155" s="1193">
        <f t="shared" si="148"/>
        <v>-233.22087700000034</v>
      </c>
      <c r="W155" s="1193">
        <f t="shared" si="148"/>
        <v>-246.25789200000008</v>
      </c>
      <c r="X155" s="1193">
        <f t="shared" si="148"/>
        <v>-433.51809700000001</v>
      </c>
      <c r="Y155" s="1193">
        <f t="shared" si="148"/>
        <v>-546.09034699999904</v>
      </c>
      <c r="Z155" s="1193">
        <f t="shared" si="148"/>
        <v>-575.02199999999959</v>
      </c>
      <c r="AA155" s="1193">
        <f t="shared" si="148"/>
        <v>-764.80800000000011</v>
      </c>
      <c r="AB155" s="1193">
        <f t="shared" si="148"/>
        <v>-568.47799999999927</v>
      </c>
      <c r="AC155" s="1193">
        <f t="shared" si="148"/>
        <v>-554.50099999999998</v>
      </c>
      <c r="AD155" s="1266">
        <f t="shared" si="148"/>
        <v>-287.96299999999997</v>
      </c>
      <c r="AE155" s="1193">
        <f t="shared" si="148"/>
        <v>-270.62600000000003</v>
      </c>
      <c r="AF155" s="1193">
        <f t="shared" si="148"/>
        <v>-29.304999999999925</v>
      </c>
      <c r="AG155" s="1193">
        <f>AG152+AG153+AG154</f>
        <v>-184.30399999999989</v>
      </c>
      <c r="AH155" s="1266">
        <f t="shared" ref="AH155:AO155" si="149">AH152+AH153+AH154</f>
        <v>-74.673000000000002</v>
      </c>
      <c r="AI155" s="1193">
        <f t="shared" si="149"/>
        <v>-79.621000000000123</v>
      </c>
      <c r="AJ155" s="1193">
        <f t="shared" si="149"/>
        <v>31.020999999999962</v>
      </c>
      <c r="AK155" s="1193">
        <f t="shared" si="149"/>
        <v>-64.660999999999987</v>
      </c>
      <c r="AL155" s="1266">
        <f t="shared" si="149"/>
        <v>-100.73982328428033</v>
      </c>
      <c r="AM155" s="1193">
        <f t="shared" si="149"/>
        <v>-67.103415963713843</v>
      </c>
      <c r="AN155" s="1193">
        <f t="shared" si="149"/>
        <v>104.04233890912403</v>
      </c>
      <c r="AO155" s="1193">
        <f t="shared" si="149"/>
        <v>-103.89996544143247</v>
      </c>
    </row>
    <row r="156" spans="1:41" s="1195" customFormat="1">
      <c r="A156" s="1293" t="s">
        <v>1813</v>
      </c>
      <c r="B156" s="1201">
        <f>B155-B172-B179</f>
        <v>-122.879</v>
      </c>
      <c r="C156" s="1201">
        <f t="shared" ref="C156:K156" si="150">C155-C172-C179</f>
        <v>-107.18992300000031</v>
      </c>
      <c r="D156" s="1201">
        <f t="shared" si="150"/>
        <v>-139.06047899999993</v>
      </c>
      <c r="E156" s="1201">
        <f t="shared" si="150"/>
        <v>-424.29099999999983</v>
      </c>
      <c r="F156" s="1201">
        <f t="shared" si="150"/>
        <v>-1337.4629999999997</v>
      </c>
      <c r="G156" s="1201">
        <f t="shared" si="150"/>
        <v>-2228.973</v>
      </c>
      <c r="H156" s="1201">
        <f t="shared" si="150"/>
        <v>-530.73899999999992</v>
      </c>
      <c r="I156" s="1201">
        <f t="shared" si="150"/>
        <v>21.991999999999862</v>
      </c>
      <c r="J156" s="1201">
        <f t="shared" si="150"/>
        <v>58.25248107753491</v>
      </c>
      <c r="K156" s="1201">
        <f t="shared" si="150"/>
        <v>116.73563469521859</v>
      </c>
      <c r="N156" s="1201">
        <f>N155-N172-N179</f>
        <v>-5.3989999999999894</v>
      </c>
      <c r="O156" s="1201">
        <f t="shared" ref="O156:AG156" si="151">O155-O172-O179</f>
        <v>-7.3728700000000611</v>
      </c>
      <c r="P156" s="1201">
        <f t="shared" si="151"/>
        <v>-72.596989999999977</v>
      </c>
      <c r="Q156" s="1201">
        <f t="shared" si="151"/>
        <v>-53.691699000000007</v>
      </c>
      <c r="R156" s="1201">
        <f t="shared" si="151"/>
        <v>-62.734288999999976</v>
      </c>
      <c r="S156" s="1201">
        <f t="shared" si="151"/>
        <v>-110.91661500000006</v>
      </c>
      <c r="T156" s="1201">
        <f t="shared" si="151"/>
        <v>-94.291109999999819</v>
      </c>
      <c r="U156" s="1201">
        <f t="shared" si="151"/>
        <v>-157.14894699999991</v>
      </c>
      <c r="V156" s="1201">
        <f t="shared" si="151"/>
        <v>-220.34888500000034</v>
      </c>
      <c r="W156" s="1201">
        <f t="shared" si="151"/>
        <v>-233.69951300000008</v>
      </c>
      <c r="X156" s="1201">
        <f t="shared" si="151"/>
        <v>-396.66992500000003</v>
      </c>
      <c r="Y156" s="1201">
        <f t="shared" si="151"/>
        <v>-486.45358099999902</v>
      </c>
      <c r="Z156" s="1201">
        <f>Z138+Z142+Z146+Z147+Z150+Z153-Z154</f>
        <v>-476.7480000000001</v>
      </c>
      <c r="AA156" s="1201">
        <f>AA138+AA142+AA146+AA147+AA150+AA153-AA154</f>
        <v>-696.75900000000001</v>
      </c>
      <c r="AB156" s="1201">
        <f>AB138+AB142+AB146+AB147+AB150+AB153-AB154</f>
        <v>-493.48300000000006</v>
      </c>
      <c r="AC156" s="1201">
        <f>AC138+AC142+AC146+AC147+AC150+AC153-AC154</f>
        <v>-508.41199999999986</v>
      </c>
      <c r="AD156" s="1294">
        <f t="shared" si="151"/>
        <v>-226.85399999999993</v>
      </c>
      <c r="AE156" s="1201">
        <f t="shared" si="151"/>
        <v>-212.38900000000004</v>
      </c>
      <c r="AF156" s="1201">
        <f>AF155-AF172-AF179</f>
        <v>37.362000000000066</v>
      </c>
      <c r="AG156" s="1201">
        <f t="shared" si="151"/>
        <v>-130.1209999999999</v>
      </c>
      <c r="AH156" s="1294">
        <f>AH155-AH172-AH179</f>
        <v>-27.323000000000008</v>
      </c>
      <c r="AI156" s="1295">
        <f t="shared" ref="AI156:AO156" si="152">AI155-AI172-AI179</f>
        <v>-19.411000000000129</v>
      </c>
      <c r="AJ156" s="1295">
        <f t="shared" si="152"/>
        <v>86.05499999999995</v>
      </c>
      <c r="AK156" s="1295">
        <f t="shared" si="152"/>
        <v>-17.328999999999994</v>
      </c>
      <c r="AL156" s="1294">
        <f t="shared" si="152"/>
        <v>-53.739166647486833</v>
      </c>
      <c r="AM156" s="1295">
        <f t="shared" si="152"/>
        <v>-16.951221258123162</v>
      </c>
      <c r="AN156" s="1295">
        <f t="shared" si="152"/>
        <v>163.40862535178616</v>
      </c>
      <c r="AO156" s="1295">
        <f t="shared" si="152"/>
        <v>-33.891756368641005</v>
      </c>
    </row>
    <row r="157" spans="1:41" s="1195" customFormat="1">
      <c r="A157" s="1185"/>
      <c r="AD157" s="1271"/>
      <c r="AH157" s="1271"/>
      <c r="AI157" s="1267"/>
      <c r="AJ157" s="1267"/>
      <c r="AK157" s="1267"/>
      <c r="AL157" s="1271"/>
      <c r="AM157" s="1267"/>
      <c r="AN157" s="1267"/>
      <c r="AO157" s="1267"/>
    </row>
    <row r="159" spans="1:41">
      <c r="A159" s="1179" t="s">
        <v>1652</v>
      </c>
      <c r="B159" s="1179"/>
      <c r="C159" s="1179"/>
      <c r="D159" s="1179"/>
      <c r="E159" s="1179"/>
      <c r="F159" s="1179"/>
      <c r="G159" s="1179"/>
      <c r="H159" s="1179"/>
      <c r="I159" s="1179"/>
      <c r="J159" s="1179"/>
      <c r="K159" s="1179"/>
      <c r="N159" s="1179"/>
      <c r="O159" s="1179"/>
      <c r="P159" s="1179"/>
      <c r="Q159" s="1179"/>
      <c r="R159" s="1179"/>
      <c r="S159" s="1179"/>
      <c r="T159" s="1179"/>
      <c r="U159" s="1179"/>
      <c r="V159" s="1179"/>
      <c r="W159" s="1179"/>
      <c r="X159" s="1179"/>
      <c r="Y159" s="1179"/>
      <c r="Z159" s="1179"/>
      <c r="AA159" s="1179"/>
      <c r="AB159" s="1179"/>
      <c r="AC159" s="1179"/>
      <c r="AD159" s="1308"/>
      <c r="AE159" s="1179"/>
      <c r="AF159" s="1179"/>
      <c r="AG159" s="1179"/>
      <c r="AH159" s="1308"/>
      <c r="AI159" s="1309"/>
      <c r="AJ159" s="1309"/>
      <c r="AK159" s="1309"/>
      <c r="AL159" s="1308"/>
      <c r="AM159" s="1309"/>
      <c r="AN159" s="1309"/>
      <c r="AO159" s="1309"/>
    </row>
    <row r="160" spans="1:41">
      <c r="A160" s="1169" t="s">
        <v>1668</v>
      </c>
      <c r="E160" s="1310">
        <v>-0.8</v>
      </c>
      <c r="F160" s="1208">
        <v>-0.78500000000000003</v>
      </c>
      <c r="G160" s="1182">
        <f>SUM(Z160:AC160)</f>
        <v>-0.89100000000000001</v>
      </c>
      <c r="H160" s="1182">
        <f>SUM(AD160:AG160)</f>
        <v>-1.075</v>
      </c>
      <c r="I160" s="1182">
        <f>SUM(AH160:AK160)</f>
        <v>-1.4830000000000001</v>
      </c>
      <c r="J160" s="1192">
        <f>J161*J$80</f>
        <v>-1.5916690278534844</v>
      </c>
      <c r="K160" s="1192">
        <f>K161*K$80</f>
        <v>-1.7439445365056021</v>
      </c>
      <c r="N160" s="1182">
        <v>0</v>
      </c>
      <c r="O160" s="1182">
        <v>0</v>
      </c>
      <c r="P160" s="1182">
        <v>0</v>
      </c>
      <c r="Q160" s="1182">
        <v>0</v>
      </c>
      <c r="R160" s="1182">
        <v>0</v>
      </c>
      <c r="S160" s="1208">
        <v>-0.65500800000000003</v>
      </c>
      <c r="T160" s="1208">
        <v>-6.6286999999999999E-2</v>
      </c>
      <c r="U160" s="1208">
        <v>-7.8585000000000002E-2</v>
      </c>
      <c r="V160" s="1208">
        <v>-0.164828</v>
      </c>
      <c r="W160" s="1208">
        <v>-0.19550600000000001</v>
      </c>
      <c r="X160" s="1208">
        <v>-0.21348</v>
      </c>
      <c r="Y160" s="1192">
        <f>F160-SUM(V160:X160)</f>
        <v>-0.21118599999999998</v>
      </c>
      <c r="Z160" s="1208">
        <v>-0.23799999999999999</v>
      </c>
      <c r="AA160" s="1208">
        <v>-0.182</v>
      </c>
      <c r="AB160" s="1208">
        <v>-0.19500000000000001</v>
      </c>
      <c r="AC160" s="1208">
        <v>-0.27600000000000002</v>
      </c>
      <c r="AD160" s="1284">
        <v>-0.32100000000000001</v>
      </c>
      <c r="AE160" s="1208">
        <v>-0.29599999999999999</v>
      </c>
      <c r="AF160" s="1208">
        <v>-0.22800000000000001</v>
      </c>
      <c r="AG160" s="1208">
        <v>-0.23</v>
      </c>
      <c r="AH160" s="1284">
        <v>-0.22700000000000001</v>
      </c>
      <c r="AI160" s="1285">
        <v>-0.25</v>
      </c>
      <c r="AJ160" s="1285">
        <v>-0.61399999999999999</v>
      </c>
      <c r="AK160" s="1285">
        <v>-0.39200000000000002</v>
      </c>
      <c r="AL160" s="1284">
        <f>AL162*AL$82</f>
        <v>-0.38099172825011041</v>
      </c>
      <c r="AM160" s="1299">
        <f>AM162*AM$82</f>
        <v>-0.48569576443694806</v>
      </c>
      <c r="AN160" s="1285">
        <f>AN162*AN$82</f>
        <v>-0.79181695783740647</v>
      </c>
      <c r="AO160" s="1285">
        <f>J160-SUM(AL160:AN160)</f>
        <v>6.6835422670980638E-2</v>
      </c>
    </row>
    <row r="161" spans="1:41" s="1252" customFormat="1" ht="12">
      <c r="A161" s="1190" t="s">
        <v>1804</v>
      </c>
      <c r="B161" s="1311"/>
      <c r="C161" s="1311"/>
      <c r="D161" s="1311"/>
      <c r="E161" s="1311">
        <f>E160/E$80</f>
        <v>-2.2631225036697948E-4</v>
      </c>
      <c r="F161" s="1311">
        <f>F160/F$80</f>
        <v>-1.0267799917857601E-4</v>
      </c>
      <c r="G161" s="1311">
        <f>G160/G$80</f>
        <v>-8.4468803566233077E-5</v>
      </c>
      <c r="H161" s="1311">
        <f>H160/H$80</f>
        <v>-8.2299659235464983E-5</v>
      </c>
      <c r="I161" s="1311">
        <f>I160/I$80</f>
        <v>-1.1052092114843347E-4</v>
      </c>
      <c r="J161" s="1312">
        <f>I161</f>
        <v>-1.1052092114843347E-4</v>
      </c>
      <c r="K161" s="1312">
        <f>J161</f>
        <v>-1.1052092114843347E-4</v>
      </c>
      <c r="S161" s="1311">
        <f>S160/S$80</f>
        <v>-9.1435307430268154E-4</v>
      </c>
      <c r="T161" s="1311">
        <f t="shared" ref="T161:AK161" si="153">T160/T$80</f>
        <v>-5.0534990487030279E-5</v>
      </c>
      <c r="U161" s="1311">
        <f t="shared" si="153"/>
        <v>-8.4618422116939393E-5</v>
      </c>
      <c r="V161" s="1311">
        <f t="shared" si="153"/>
        <v>-1.3204961582536921E-4</v>
      </c>
      <c r="W161" s="1311">
        <f t="shared" si="153"/>
        <v>-1.2877218087494155E-4</v>
      </c>
      <c r="X161" s="1311">
        <f t="shared" si="153"/>
        <v>-7.1551300563436058E-5</v>
      </c>
      <c r="Y161" s="1311">
        <f t="shared" si="153"/>
        <v>-1.1143163978126885E-4</v>
      </c>
      <c r="Z161" s="1311">
        <f t="shared" si="153"/>
        <v>-1.1714581602397255E-4</v>
      </c>
      <c r="AA161" s="1311">
        <f t="shared" si="153"/>
        <v>-7.7043917996485605E-5</v>
      </c>
      <c r="AB161" s="1311">
        <f t="shared" si="153"/>
        <v>-4.8175828432781005E-5</v>
      </c>
      <c r="AC161" s="1311">
        <f t="shared" si="153"/>
        <v>-1.3101338377665068E-4</v>
      </c>
      <c r="AD161" s="1313">
        <f t="shared" si="153"/>
        <v>-1.1751715073763743E-4</v>
      </c>
      <c r="AE161" s="1311">
        <f t="shared" si="153"/>
        <v>-9.9874795791563518E-5</v>
      </c>
      <c r="AF161" s="1311">
        <f t="shared" si="153"/>
        <v>-4.4386735676387971E-5</v>
      </c>
      <c r="AG161" s="1311">
        <f t="shared" si="153"/>
        <v>-1.0313319012122861E-4</v>
      </c>
      <c r="AH161" s="1313">
        <f t="shared" si="153"/>
        <v>-7.8844852085866457E-5</v>
      </c>
      <c r="AI161" s="1314">
        <f t="shared" si="153"/>
        <v>-7.7031672001194547E-5</v>
      </c>
      <c r="AJ161" s="1314">
        <f t="shared" si="153"/>
        <v>-1.1911309148384896E-4</v>
      </c>
      <c r="AK161" s="1314">
        <f t="shared" si="153"/>
        <v>-1.7881700818520504E-4</v>
      </c>
      <c r="AL161" s="1313"/>
      <c r="AM161" s="1315"/>
      <c r="AN161" s="1314"/>
      <c r="AO161" s="1314"/>
    </row>
    <row r="162" spans="1:41" ht="12">
      <c r="A162" s="1190" t="s">
        <v>1797</v>
      </c>
      <c r="E162" s="1191"/>
      <c r="F162" s="1191"/>
      <c r="G162" s="1191"/>
      <c r="H162" s="1191">
        <f>H160/H$82</f>
        <v>-4.9039420395107186E-4</v>
      </c>
      <c r="I162" s="1191">
        <f>I160/I$82</f>
        <v>-6.6200953597283043E-4</v>
      </c>
      <c r="J162" s="1191">
        <f>J160/J$82</f>
        <v>-6.2517057884528408E-4</v>
      </c>
      <c r="K162" s="1191">
        <f>K160/K$82</f>
        <v>-5.8412631657853153E-4</v>
      </c>
      <c r="S162" s="1208"/>
      <c r="T162" s="1208"/>
      <c r="U162" s="1208"/>
      <c r="V162" s="1208"/>
      <c r="W162" s="1208"/>
      <c r="X162" s="1208"/>
      <c r="Y162" s="1192"/>
      <c r="Z162" s="1208"/>
      <c r="AA162" s="1208"/>
      <c r="AB162" s="1208"/>
      <c r="AC162" s="1208"/>
      <c r="AD162" s="1269">
        <f t="shared" ref="AD162:AK162" si="154">AD160/AD$82</f>
        <v>-7.0388408059801643E-4</v>
      </c>
      <c r="AE162" s="1191">
        <f t="shared" si="154"/>
        <v>-6.4335518422562637E-4</v>
      </c>
      <c r="AF162" s="1191">
        <f t="shared" si="154"/>
        <v>-2.8284858296581623E-4</v>
      </c>
      <c r="AG162" s="1208">
        <f t="shared" si="154"/>
        <v>-4.894658437965524E-4</v>
      </c>
      <c r="AH162" s="1269">
        <f t="shared" si="154"/>
        <v>-4.7239211458942473E-4</v>
      </c>
      <c r="AI162" s="1264">
        <f t="shared" si="154"/>
        <v>-4.7596382674916705E-4</v>
      </c>
      <c r="AJ162" s="1264">
        <f t="shared" si="154"/>
        <v>-8.0458007864966832E-4</v>
      </c>
      <c r="AK162" s="1264">
        <f t="shared" si="154"/>
        <v>-8.318567169246767E-4</v>
      </c>
      <c r="AL162" s="1269">
        <f>AK162</f>
        <v>-8.318567169246767E-4</v>
      </c>
      <c r="AM162" s="1264">
        <f>AL162</f>
        <v>-8.318567169246767E-4</v>
      </c>
      <c r="AN162" s="1264">
        <f>AM162</f>
        <v>-8.318567169246767E-4</v>
      </c>
      <c r="AO162" s="1264">
        <f>AO160/AO$82</f>
        <v>1.2102660157451624E-4</v>
      </c>
    </row>
    <row r="163" spans="1:41">
      <c r="A163" s="1169" t="s">
        <v>1649</v>
      </c>
      <c r="E163" s="1208">
        <v>-1.972</v>
      </c>
      <c r="F163" s="1208">
        <v>-3.5379999999999998</v>
      </c>
      <c r="G163" s="1182">
        <f>SUM(Z163:AC163)</f>
        <v>-5.702</v>
      </c>
      <c r="H163" s="1182">
        <f>SUM(AD163:AG163)</f>
        <v>-6.8639999999999999</v>
      </c>
      <c r="I163" s="1182">
        <f>SUM(AH163:AK163)</f>
        <v>-9.1240000000000006</v>
      </c>
      <c r="J163" s="1192">
        <f>J164*J$80</f>
        <v>-9.7925746528221111</v>
      </c>
      <c r="K163" s="1192">
        <f>K164*K$80</f>
        <v>-10.729433547590771</v>
      </c>
      <c r="N163" s="1182">
        <v>0</v>
      </c>
      <c r="O163" s="1182">
        <v>0</v>
      </c>
      <c r="P163" s="1182">
        <v>0</v>
      </c>
      <c r="Q163" s="1182">
        <v>0</v>
      </c>
      <c r="R163" s="1182">
        <v>0</v>
      </c>
      <c r="S163" s="1208">
        <v>-1.2325159999999999</v>
      </c>
      <c r="T163" s="1208">
        <v>-0.265963</v>
      </c>
      <c r="U163" s="1208">
        <v>-0.47317599999999999</v>
      </c>
      <c r="V163" s="1208">
        <v>-0.70542400000000005</v>
      </c>
      <c r="W163" s="1208">
        <v>-0.86577099999999996</v>
      </c>
      <c r="X163" s="1208">
        <v>-0.837924</v>
      </c>
      <c r="Y163" s="1192">
        <f>F163-SUM(V163:X163)</f>
        <v>-1.1288809999999998</v>
      </c>
      <c r="Z163" s="1208">
        <v>-1.3169999999999999</v>
      </c>
      <c r="AA163" s="1208">
        <v>-1.2889999999999999</v>
      </c>
      <c r="AB163" s="1208">
        <v>-1.387</v>
      </c>
      <c r="AC163" s="1208">
        <v>-1.7090000000000001</v>
      </c>
      <c r="AD163" s="1284">
        <v>-1.7829999999999999</v>
      </c>
      <c r="AE163" s="1208">
        <v>-1.752</v>
      </c>
      <c r="AF163" s="1208">
        <v>-2.0049999999999999</v>
      </c>
      <c r="AG163" s="1208">
        <v>-1.3240000000000001</v>
      </c>
      <c r="AH163" s="1284">
        <v>-1.26</v>
      </c>
      <c r="AI163" s="1285">
        <v>-1.901</v>
      </c>
      <c r="AJ163" s="1285">
        <v>-3.79</v>
      </c>
      <c r="AK163" s="1285">
        <v>-2.173</v>
      </c>
      <c r="AL163" s="1284">
        <f>AL165*AL$82</f>
        <v>-2.1119771058354333</v>
      </c>
      <c r="AM163" s="1299">
        <f>AM165*AM$82</f>
        <v>-2.6923900411262451</v>
      </c>
      <c r="AN163" s="1285">
        <f>AN165*AN$82</f>
        <v>-4.3893322688282765</v>
      </c>
      <c r="AO163" s="1285">
        <f>J163-SUM(AL163:AN163)</f>
        <v>-0.59887523703215706</v>
      </c>
    </row>
    <row r="164" spans="1:41" s="1252" customFormat="1" ht="12">
      <c r="A164" s="1190" t="s">
        <v>1804</v>
      </c>
      <c r="B164" s="1311"/>
      <c r="C164" s="1311"/>
      <c r="D164" s="1311"/>
      <c r="E164" s="1311">
        <f>E163/E$80</f>
        <v>-5.578596971546044E-4</v>
      </c>
      <c r="F164" s="1311">
        <f>F163/F$80</f>
        <v>-4.6277039629783677E-4</v>
      </c>
      <c r="G164" s="1311">
        <f>G163/G$80</f>
        <v>-5.405624219244231E-4</v>
      </c>
      <c r="H164" s="1311">
        <f>H163/H$80</f>
        <v>-5.2549289394626208E-4</v>
      </c>
      <c r="I164" s="1311">
        <f>I163/I$80</f>
        <v>-6.7996822964147465E-4</v>
      </c>
      <c r="J164" s="1312">
        <f>I164</f>
        <v>-6.7996822964147465E-4</v>
      </c>
      <c r="K164" s="1312">
        <f>J164</f>
        <v>-6.7996822964147465E-4</v>
      </c>
      <c r="S164" s="1311">
        <f>S163/S$80</f>
        <v>-1.720520655819843E-3</v>
      </c>
      <c r="T164" s="1311">
        <f t="shared" ref="T164:AK164" si="155">T163/T$80</f>
        <v>-2.0276129067391848E-4</v>
      </c>
      <c r="U164" s="1311">
        <f t="shared" si="155"/>
        <v>-5.09504441096964E-4</v>
      </c>
      <c r="V164" s="1311">
        <f t="shared" si="155"/>
        <v>-5.6514043848129728E-4</v>
      </c>
      <c r="W164" s="1311">
        <f t="shared" si="155"/>
        <v>-5.7024960772702115E-4</v>
      </c>
      <c r="X164" s="1311">
        <f t="shared" si="155"/>
        <v>-2.8084388220590498E-4</v>
      </c>
      <c r="Y164" s="1311">
        <f t="shared" si="155"/>
        <v>-5.956505684463864E-4</v>
      </c>
      <c r="Z164" s="1311">
        <f t="shared" si="155"/>
        <v>-6.4823966262004976E-4</v>
      </c>
      <c r="AA164" s="1311">
        <f t="shared" si="155"/>
        <v>-5.4565719943664803E-4</v>
      </c>
      <c r="AB164" s="1311">
        <f t="shared" si="155"/>
        <v>-3.4266602069880643E-4</v>
      </c>
      <c r="AC164" s="1311">
        <f t="shared" si="155"/>
        <v>-8.1123866983440587E-4</v>
      </c>
      <c r="AD164" s="1313">
        <f t="shared" si="155"/>
        <v>-6.5275102730594236E-4</v>
      </c>
      <c r="AE164" s="1311">
        <f t="shared" si="155"/>
        <v>-5.9115081833384896E-4</v>
      </c>
      <c r="AF164" s="1311">
        <f t="shared" si="155"/>
        <v>-3.9033072382086787E-4</v>
      </c>
      <c r="AG164" s="1311">
        <f t="shared" si="155"/>
        <v>-5.9368845095872467E-4</v>
      </c>
      <c r="AH164" s="1313">
        <f t="shared" si="155"/>
        <v>-4.3764102919908256E-4</v>
      </c>
      <c r="AI164" s="1314">
        <f t="shared" si="155"/>
        <v>-5.8574883389708331E-4</v>
      </c>
      <c r="AJ164" s="1314">
        <f t="shared" si="155"/>
        <v>-7.3524204678141294E-4</v>
      </c>
      <c r="AK164" s="1314">
        <f t="shared" si="155"/>
        <v>-9.9124836425114934E-4</v>
      </c>
      <c r="AL164" s="1313"/>
      <c r="AM164" s="1315"/>
      <c r="AN164" s="1314"/>
      <c r="AO164" s="1314"/>
    </row>
    <row r="165" spans="1:41" ht="12">
      <c r="A165" s="1190" t="s">
        <v>1797</v>
      </c>
      <c r="E165" s="1208"/>
      <c r="F165" s="1208"/>
      <c r="H165" s="1191">
        <f>H163/H$82</f>
        <v>-3.1312240148094485E-3</v>
      </c>
      <c r="I165" s="1191">
        <f>I163/I$82</f>
        <v>-4.0729433622495653E-3</v>
      </c>
      <c r="J165" s="1191">
        <f>J163/J$82</f>
        <v>-3.846295590953723E-3</v>
      </c>
      <c r="K165" s="1191">
        <f>K163/K$82</f>
        <v>-3.5937751264076344E-3</v>
      </c>
      <c r="S165" s="1208"/>
      <c r="T165" s="1208"/>
      <c r="U165" s="1208"/>
      <c r="V165" s="1208"/>
      <c r="W165" s="1208"/>
      <c r="X165" s="1208"/>
      <c r="Y165" s="1192"/>
      <c r="Z165" s="1208"/>
      <c r="AA165" s="1208"/>
      <c r="AB165" s="1208"/>
      <c r="AC165" s="1208"/>
      <c r="AD165" s="1269">
        <f t="shared" ref="AD165:AK165" si="156">AD163/AD$82</f>
        <v>-3.9097361860008202E-3</v>
      </c>
      <c r="AE165" s="1191">
        <f t="shared" si="156"/>
        <v>-3.8079671714976266E-3</v>
      </c>
      <c r="AF165" s="1191">
        <f t="shared" si="156"/>
        <v>-2.4873307405546561E-3</v>
      </c>
      <c r="AG165" s="1208">
        <f t="shared" si="156"/>
        <v>-2.8176207703766759E-3</v>
      </c>
      <c r="AH165" s="1269">
        <f t="shared" si="156"/>
        <v>-2.6220883893509918E-3</v>
      </c>
      <c r="AI165" s="1264">
        <f t="shared" si="156"/>
        <v>-3.6192289386006663E-3</v>
      </c>
      <c r="AJ165" s="1264">
        <f t="shared" si="156"/>
        <v>-4.9663819187007211E-3</v>
      </c>
      <c r="AK165" s="1264">
        <f t="shared" si="156"/>
        <v>-4.6112873619319449E-3</v>
      </c>
      <c r="AL165" s="1269">
        <v>-4.6112873619319449E-3</v>
      </c>
      <c r="AM165" s="1264">
        <v>-4.6112873619319449E-3</v>
      </c>
      <c r="AN165" s="1264">
        <v>-4.6112873619319449E-3</v>
      </c>
      <c r="AO165" s="1264">
        <f>AO163/AO$82</f>
        <v>-1.0844524027616416E-3</v>
      </c>
    </row>
    <row r="166" spans="1:41">
      <c r="A166" s="1169" t="s">
        <v>1650</v>
      </c>
      <c r="E166" s="1208">
        <v>-0.85699999999999998</v>
      </c>
      <c r="F166" s="1208">
        <v>-1.1359999999999999</v>
      </c>
      <c r="G166" s="1182">
        <f>SUM(Z166:AC166)</f>
        <v>-1.3900000000000001</v>
      </c>
      <c r="H166" s="1182">
        <f>SUM(AD166:AG166)</f>
        <v>-1.65</v>
      </c>
      <c r="I166" s="1182">
        <f>SUM(AH166:AK166)</f>
        <v>-0.93500000000000005</v>
      </c>
      <c r="J166" s="1192">
        <f>J167*J$80</f>
        <v>-1.0035135138523317</v>
      </c>
      <c r="K166" s="1192">
        <f>K167*K$80</f>
        <v>-1.099519987614793</v>
      </c>
      <c r="N166" s="1182">
        <v>0</v>
      </c>
      <c r="O166" s="1182">
        <v>0</v>
      </c>
      <c r="P166" s="1182">
        <v>0</v>
      </c>
      <c r="Q166" s="1182">
        <v>0</v>
      </c>
      <c r="R166" s="1182">
        <v>0</v>
      </c>
      <c r="S166" s="1208">
        <v>-0.68136099999999999</v>
      </c>
      <c r="T166" s="1208">
        <v>-4.1889000000000003E-2</v>
      </c>
      <c r="U166" s="1208">
        <v>-0.133608</v>
      </c>
      <c r="V166" s="1208">
        <v>-0.23</v>
      </c>
      <c r="W166" s="1208">
        <v>-0.29816199999999998</v>
      </c>
      <c r="X166" s="1208">
        <v>-0.30527700000000002</v>
      </c>
      <c r="Y166" s="1192">
        <f>F166-SUM(V166:X166)</f>
        <v>-0.30256099999999986</v>
      </c>
      <c r="Z166" s="1208">
        <v>-0.32300000000000001</v>
      </c>
      <c r="AA166" s="1208">
        <v>-0.32800000000000001</v>
      </c>
      <c r="AB166" s="1208">
        <v>-0.32</v>
      </c>
      <c r="AC166" s="1208">
        <v>-0.41899999999999998</v>
      </c>
      <c r="AD166" s="1284">
        <v>-0.47699999999999998</v>
      </c>
      <c r="AE166" s="1208">
        <v>-0.42699999999999999</v>
      </c>
      <c r="AF166" s="1208">
        <v>-0.54500000000000004</v>
      </c>
      <c r="AG166" s="1208">
        <v>-0.20100000000000001</v>
      </c>
      <c r="AH166" s="1284">
        <f>--0.185</f>
        <v>0.185</v>
      </c>
      <c r="AI166" s="1285">
        <v>-0.23100000000000001</v>
      </c>
      <c r="AJ166" s="1285">
        <v>-0.55600000000000005</v>
      </c>
      <c r="AK166" s="1285">
        <v>-0.33300000000000002</v>
      </c>
      <c r="AL166" s="1284">
        <f>AL168*AL$82</f>
        <v>-0.32364858547777237</v>
      </c>
      <c r="AM166" s="1299">
        <f>AM168*AM$82</f>
        <v>-0.41259359580995841</v>
      </c>
      <c r="AN166" s="1285">
        <f>AN168*AN$82</f>
        <v>-0.67264042591800088</v>
      </c>
      <c r="AO166" s="1285">
        <f>J166-SUM(AL166:AN166)</f>
        <v>0.40536909335339999</v>
      </c>
    </row>
    <row r="167" spans="1:41" s="1252" customFormat="1" ht="12">
      <c r="A167" s="1190" t="s">
        <v>1804</v>
      </c>
      <c r="E167" s="1311">
        <f>E166/E$80</f>
        <v>-2.4243699820562675E-4</v>
      </c>
      <c r="F167" s="1311">
        <f>F166/F$80</f>
        <v>-1.4858879881128958E-4</v>
      </c>
      <c r="G167" s="1311">
        <f>G166/G$80</f>
        <v>-1.3177512565327047E-4</v>
      </c>
      <c r="H167" s="1311">
        <f>H166/H$80</f>
        <v>-1.2632040719862068E-4</v>
      </c>
      <c r="I167" s="1311">
        <f>I166/I$80</f>
        <v>-6.9681093239234854E-5</v>
      </c>
      <c r="J167" s="1312">
        <f>I167</f>
        <v>-6.9681093239234854E-5</v>
      </c>
      <c r="K167" s="1312">
        <f>J167</f>
        <v>-6.9681093239234854E-5</v>
      </c>
      <c r="S167" s="1311">
        <f t="shared" ref="S167:AK167" si="157">S166/S$80</f>
        <v>-9.5114032967528539E-4</v>
      </c>
      <c r="T167" s="1311">
        <f t="shared" si="157"/>
        <v>-3.193477177291492E-5</v>
      </c>
      <c r="U167" s="1311">
        <f t="shared" si="157"/>
        <v>-1.4386585407138818E-4</v>
      </c>
      <c r="V167" s="1311">
        <f t="shared" si="157"/>
        <v>-1.8426123983689008E-4</v>
      </c>
      <c r="W167" s="1311">
        <f t="shared" si="157"/>
        <v>-1.9638768628090349E-4</v>
      </c>
      <c r="X167" s="1311">
        <f t="shared" si="157"/>
        <v>-1.0231856090549031E-4</v>
      </c>
      <c r="Y167" s="1311">
        <f t="shared" si="157"/>
        <v>-1.5964537594282042E-4</v>
      </c>
      <c r="Z167" s="1311">
        <f t="shared" si="157"/>
        <v>-1.5898360746110561E-4</v>
      </c>
      <c r="AA167" s="1311">
        <f t="shared" si="157"/>
        <v>-1.3884837968597405E-4</v>
      </c>
      <c r="AB167" s="1311">
        <f t="shared" si="157"/>
        <v>-7.9057769735845754E-5</v>
      </c>
      <c r="AC167" s="1311">
        <f t="shared" si="157"/>
        <v>-1.9889350653049505E-4</v>
      </c>
      <c r="AD167" s="1313">
        <f t="shared" si="157"/>
        <v>-1.7462828941387242E-4</v>
      </c>
      <c r="AE167" s="1311">
        <f t="shared" si="157"/>
        <v>-1.4407614122634334E-4</v>
      </c>
      <c r="AF167" s="1311">
        <f t="shared" si="157"/>
        <v>-1.0609987255978703E-4</v>
      </c>
      <c r="AG167" s="1311">
        <f t="shared" si="157"/>
        <v>-9.0129440062465001E-5</v>
      </c>
      <c r="AH167" s="1313">
        <f t="shared" si="157"/>
        <v>6.4256817779230377E-5</v>
      </c>
      <c r="AI167" s="1314">
        <f t="shared" si="157"/>
        <v>-7.117726492910376E-5</v>
      </c>
      <c r="AJ167" s="1314">
        <f t="shared" si="157"/>
        <v>-1.0786136622967432E-4</v>
      </c>
      <c r="AK167" s="1314">
        <f t="shared" si="157"/>
        <v>-1.5190322378998285E-4</v>
      </c>
      <c r="AL167" s="1313"/>
      <c r="AM167" s="1315"/>
      <c r="AN167" s="1314"/>
      <c r="AO167" s="1314"/>
    </row>
    <row r="168" spans="1:41" ht="12">
      <c r="A168" s="1190" t="s">
        <v>1797</v>
      </c>
      <c r="E168" s="1208"/>
      <c r="F168" s="1208"/>
      <c r="H168" s="1191">
        <f>H166/H$82</f>
        <v>-7.5269808048304048E-4</v>
      </c>
      <c r="I168" s="1191">
        <f>I166/I$82</f>
        <v>-4.1738295086621476E-4</v>
      </c>
      <c r="J168" s="1191">
        <f>J166/J$82</f>
        <v>-3.941567708835742E-4</v>
      </c>
      <c r="K168" s="1191">
        <f>K166/K$82</f>
        <v>-3.6827923533440794E-4</v>
      </c>
      <c r="S168" s="1208"/>
      <c r="T168" s="1208"/>
      <c r="U168" s="1208"/>
      <c r="V168" s="1208"/>
      <c r="W168" s="1208"/>
      <c r="X168" s="1208"/>
      <c r="Y168" s="1192"/>
      <c r="Z168" s="1208"/>
      <c r="AA168" s="1208"/>
      <c r="AB168" s="1208"/>
      <c r="AC168" s="1208"/>
      <c r="AD168" s="1269">
        <f t="shared" ref="AD168:AK168" si="158">AD166/AD$82</f>
        <v>-1.0459585870568654E-3</v>
      </c>
      <c r="AE168" s="1191">
        <f t="shared" si="158"/>
        <v>-9.2808332319034624E-4</v>
      </c>
      <c r="AF168" s="1191">
        <f t="shared" si="158"/>
        <v>-6.76107358405131E-4</v>
      </c>
      <c r="AG168" s="1208">
        <f t="shared" si="158"/>
        <v>-4.2775058523090016E-4</v>
      </c>
      <c r="AH168" s="1269">
        <f t="shared" si="158"/>
        <v>3.8498916827772495E-4</v>
      </c>
      <c r="AI168" s="1264">
        <f t="shared" si="158"/>
        <v>-4.3979057591623041E-4</v>
      </c>
      <c r="AJ168" s="1264">
        <f t="shared" si="158"/>
        <v>-7.2857740021044887E-4</v>
      </c>
      <c r="AK168" s="1264">
        <f t="shared" si="158"/>
        <v>-7.0665379269366669E-4</v>
      </c>
      <c r="AL168" s="1269">
        <f>AK168</f>
        <v>-7.0665379269366669E-4</v>
      </c>
      <c r="AM168" s="1264">
        <f>AL168</f>
        <v>-7.0665379269366669E-4</v>
      </c>
      <c r="AN168" s="1264">
        <f>AM168</f>
        <v>-7.0665379269366669E-4</v>
      </c>
      <c r="AO168" s="1264">
        <f>AO166/AO$82</f>
        <v>7.3404852982558364E-4</v>
      </c>
    </row>
    <row r="169" spans="1:41">
      <c r="A169" s="1169" t="s">
        <v>1651</v>
      </c>
      <c r="E169" s="1208">
        <v>-35.543999999999997</v>
      </c>
      <c r="F169" s="1208">
        <v>-59.683999999999997</v>
      </c>
      <c r="G169" s="1182">
        <f>SUM(Z169:AC169)</f>
        <v>-84.435999999999993</v>
      </c>
      <c r="H169" s="1182">
        <f>SUM(AD169:AG169)</f>
        <v>-89.085999999999999</v>
      </c>
      <c r="I169" s="1182">
        <f>SUM(AH169:AK169)</f>
        <v>-56.826000000000008</v>
      </c>
      <c r="J169" s="1192">
        <f>J170*J$80</f>
        <v>-72.007589663309872</v>
      </c>
      <c r="K169" s="1192">
        <f>K170*K$80</f>
        <v>-78.896579868503963</v>
      </c>
      <c r="N169" s="1182">
        <v>0</v>
      </c>
      <c r="O169" s="1182">
        <v>0</v>
      </c>
      <c r="P169" s="1182">
        <v>0</v>
      </c>
      <c r="Q169" s="1182">
        <v>0</v>
      </c>
      <c r="R169" s="1182">
        <v>0</v>
      </c>
      <c r="S169" s="1208">
        <v>-16.417507000000001</v>
      </c>
      <c r="T169" s="1208">
        <v>-8.8428979999999999</v>
      </c>
      <c r="U169" s="1208">
        <v>-10.28388</v>
      </c>
      <c r="V169" s="1208">
        <v>-11.771739999999999</v>
      </c>
      <c r="W169" s="1208">
        <v>-10.440611000000001</v>
      </c>
      <c r="X169" s="1208">
        <v>-16.633510999999999</v>
      </c>
      <c r="Y169" s="1192">
        <f>F169-SUM(V169:X169)</f>
        <v>-20.838138000000001</v>
      </c>
      <c r="Z169" s="1208">
        <v>-19.64</v>
      </c>
      <c r="AA169" s="1208">
        <v>-21.532</v>
      </c>
      <c r="AB169" s="1208">
        <v>-19.606999999999999</v>
      </c>
      <c r="AC169" s="1208">
        <v>-23.657</v>
      </c>
      <c r="AD169" s="1284">
        <v>-23.138999999999999</v>
      </c>
      <c r="AE169" s="1208">
        <v>-20.407</v>
      </c>
      <c r="AF169" s="1208">
        <v>-28.451000000000001</v>
      </c>
      <c r="AG169" s="1208">
        <v>-17.088999999999999</v>
      </c>
      <c r="AH169" s="1284">
        <v>-10.709</v>
      </c>
      <c r="AI169" s="1285">
        <v>-22.484999999999999</v>
      </c>
      <c r="AJ169" s="1285">
        <v>-14.731</v>
      </c>
      <c r="AK169" s="1285">
        <v>-8.9009999999999998</v>
      </c>
      <c r="AL169" s="1284">
        <f>AL171*AL$82</f>
        <v>-8.6510392172301849</v>
      </c>
      <c r="AM169" s="1299">
        <f>AM171*AM$82</f>
        <v>-11.028515304217535</v>
      </c>
      <c r="AN169" s="1285">
        <f>AN171*AN$82</f>
        <v>-17.979496790078457</v>
      </c>
      <c r="AO169" s="1285">
        <f>J169-SUM(AL169:AN169)</f>
        <v>-34.348538351783695</v>
      </c>
    </row>
    <row r="170" spans="1:41" s="1252" customFormat="1" ht="12">
      <c r="A170" s="1190" t="s">
        <v>1804</v>
      </c>
      <c r="E170" s="1311">
        <f>E169/E$80</f>
        <v>-1.0055053283804898E-2</v>
      </c>
      <c r="F170" s="1311">
        <f>F169/F$80</f>
        <v>-7.8066671375466622E-3</v>
      </c>
      <c r="G170" s="1311">
        <f>G169/G$80</f>
        <v>-8.0047226688198161E-3</v>
      </c>
      <c r="H170" s="1311">
        <f>H169/H$80</f>
        <v>-6.8202301792098918E-3</v>
      </c>
      <c r="I170" s="1311">
        <f>I169/I$80</f>
        <v>-4.234970913810439E-3</v>
      </c>
      <c r="J170" s="1312">
        <v>-5.0000000000000001E-3</v>
      </c>
      <c r="K170" s="1312">
        <v>-5.0000000000000001E-3</v>
      </c>
      <c r="S170" s="1311">
        <f t="shared" ref="S170:AK170" si="159">S169/S$80</f>
        <v>-2.2917884969093194E-2</v>
      </c>
      <c r="T170" s="1311">
        <f t="shared" si="159"/>
        <v>-6.7415295051485068E-3</v>
      </c>
      <c r="U170" s="1311">
        <f t="shared" si="159"/>
        <v>-1.1073432574154746E-2</v>
      </c>
      <c r="V170" s="1311">
        <f t="shared" si="159"/>
        <v>-9.4307626410326632E-3</v>
      </c>
      <c r="W170" s="1311">
        <f t="shared" si="159"/>
        <v>-6.8768234639187764E-3</v>
      </c>
      <c r="X170" s="1311">
        <f t="shared" si="159"/>
        <v>-5.5749922474527813E-3</v>
      </c>
      <c r="Y170" s="1311">
        <f t="shared" si="159"/>
        <v>-1.0995179071190185E-2</v>
      </c>
      <c r="Z170" s="1311">
        <f t="shared" si="159"/>
        <v>-9.6669908685328605E-3</v>
      </c>
      <c r="AA170" s="1311">
        <f t="shared" si="159"/>
        <v>-9.1148881445072966E-3</v>
      </c>
      <c r="AB170" s="1311">
        <f t="shared" si="159"/>
        <v>-4.8440177850335234E-3</v>
      </c>
      <c r="AC170" s="1311">
        <f t="shared" si="159"/>
        <v>-1.1229650797116757E-2</v>
      </c>
      <c r="AD170" s="1313">
        <f t="shared" si="159"/>
        <v>-8.4711194732653965E-3</v>
      </c>
      <c r="AE170" s="1311">
        <f t="shared" si="159"/>
        <v>-6.8856248571568818E-3</v>
      </c>
      <c r="AF170" s="1311">
        <f t="shared" si="159"/>
        <v>-5.5388027049513774E-3</v>
      </c>
      <c r="AG170" s="1311">
        <f t="shared" si="159"/>
        <v>-7.6627960260072844E-3</v>
      </c>
      <c r="AH170" s="1313">
        <f t="shared" si="159"/>
        <v>-3.7196014140420436E-3</v>
      </c>
      <c r="AI170" s="1314">
        <f t="shared" si="159"/>
        <v>-6.9282285797874375E-3</v>
      </c>
      <c r="AJ170" s="1314">
        <f t="shared" si="159"/>
        <v>-2.85774421929736E-3</v>
      </c>
      <c r="AK170" s="1314">
        <f t="shared" si="159"/>
        <v>-4.0603321169808927E-3</v>
      </c>
      <c r="AL170" s="1313"/>
      <c r="AM170" s="1315"/>
      <c r="AN170" s="1314"/>
      <c r="AO170" s="1314"/>
    </row>
    <row r="171" spans="1:41" ht="12">
      <c r="A171" s="1190" t="s">
        <v>1797</v>
      </c>
      <c r="E171" s="1208"/>
      <c r="F171" s="1208"/>
      <c r="H171" s="1191">
        <f>H169/H$82</f>
        <v>-4.0639309816916457E-2</v>
      </c>
      <c r="I171" s="1191">
        <f>I169/I$82</f>
        <v>-2.5367062637351358E-2</v>
      </c>
      <c r="J171" s="1191">
        <f>J169/J$82</f>
        <v>-2.8282906636547943E-2</v>
      </c>
      <c r="K171" s="1191">
        <f>K169/K$82</f>
        <v>-2.6426051760554427E-2</v>
      </c>
      <c r="S171" s="1208"/>
      <c r="T171" s="1208"/>
      <c r="U171" s="1208"/>
      <c r="V171" s="1208"/>
      <c r="W171" s="1208"/>
      <c r="X171" s="1208"/>
      <c r="Y171" s="1192"/>
      <c r="Z171" s="1208"/>
      <c r="AA171" s="1208"/>
      <c r="AB171" s="1208"/>
      <c r="AC171" s="1208"/>
      <c r="AD171" s="1269">
        <f t="shared" ref="AD171:AK171" si="160">AD169/AD$82</f>
        <v>-5.0738859006098133E-2</v>
      </c>
      <c r="AE171" s="1191">
        <f t="shared" si="160"/>
        <v>-4.4354558258420135E-2</v>
      </c>
      <c r="AF171" s="1191">
        <f t="shared" si="160"/>
        <v>-3.529528523666859E-2</v>
      </c>
      <c r="AG171" s="1191">
        <f t="shared" si="160"/>
        <v>-3.6367312194083845E-2</v>
      </c>
      <c r="AH171" s="1269">
        <f t="shared" si="160"/>
        <v>-2.2285670286952199E-2</v>
      </c>
      <c r="AI171" s="1264">
        <f t="shared" si="160"/>
        <v>-4.2808186577820082E-2</v>
      </c>
      <c r="AJ171" s="1264">
        <f t="shared" si="160"/>
        <v>-1.9303369932554177E-2</v>
      </c>
      <c r="AK171" s="1264">
        <f t="shared" si="160"/>
        <v>-1.888866489119017E-2</v>
      </c>
      <c r="AL171" s="1269">
        <v>-1.888866489119017E-2</v>
      </c>
      <c r="AM171" s="1264">
        <v>-1.888866489119017E-2</v>
      </c>
      <c r="AN171" s="1264">
        <v>-1.888866489119017E-2</v>
      </c>
      <c r="AO171" s="1264">
        <f>AO169/AO$82</f>
        <v>-6.2198856529013725E-2</v>
      </c>
    </row>
    <row r="172" spans="1:41" s="1195" customFormat="1">
      <c r="A172" s="1183" t="s">
        <v>1280</v>
      </c>
      <c r="B172" s="1193"/>
      <c r="C172" s="1193"/>
      <c r="D172" s="1193"/>
      <c r="E172" s="1265">
        <f t="shared" ref="E172:K172" si="161">E160+E163+E166+E169</f>
        <v>-39.172999999999995</v>
      </c>
      <c r="F172" s="1265">
        <f t="shared" si="161"/>
        <v>-65.143000000000001</v>
      </c>
      <c r="G172" s="1193">
        <f t="shared" si="161"/>
        <v>-92.418999999999997</v>
      </c>
      <c r="H172" s="1193">
        <f t="shared" si="161"/>
        <v>-98.674999999999997</v>
      </c>
      <c r="I172" s="1193">
        <f t="shared" si="161"/>
        <v>-68.368000000000009</v>
      </c>
      <c r="J172" s="1193">
        <f t="shared" si="161"/>
        <v>-84.395346857837794</v>
      </c>
      <c r="K172" s="1193">
        <f t="shared" si="161"/>
        <v>-92.469477940215128</v>
      </c>
      <c r="N172" s="1194">
        <f t="shared" ref="N172:AE172" si="162">N160+N163+N166+N169</f>
        <v>0</v>
      </c>
      <c r="O172" s="1194">
        <f t="shared" si="162"/>
        <v>0</v>
      </c>
      <c r="P172" s="1194">
        <f t="shared" si="162"/>
        <v>0</v>
      </c>
      <c r="Q172" s="1194">
        <f t="shared" si="162"/>
        <v>0</v>
      </c>
      <c r="R172" s="1194">
        <f t="shared" si="162"/>
        <v>0</v>
      </c>
      <c r="S172" s="1194">
        <f t="shared" si="162"/>
        <v>-18.986392000000002</v>
      </c>
      <c r="T172" s="1194">
        <f t="shared" si="162"/>
        <v>-9.2170369999999995</v>
      </c>
      <c r="U172" s="1194">
        <f t="shared" si="162"/>
        <v>-10.969249</v>
      </c>
      <c r="V172" s="1194">
        <f t="shared" si="162"/>
        <v>-12.871991999999999</v>
      </c>
      <c r="W172" s="1194">
        <f t="shared" si="162"/>
        <v>-11.800050000000001</v>
      </c>
      <c r="X172" s="1194">
        <f t="shared" si="162"/>
        <v>-17.990192</v>
      </c>
      <c r="Y172" s="1194">
        <f t="shared" si="162"/>
        <v>-22.480765999999999</v>
      </c>
      <c r="Z172" s="1194">
        <f t="shared" si="162"/>
        <v>-21.518000000000001</v>
      </c>
      <c r="AA172" s="1194">
        <f t="shared" si="162"/>
        <v>-23.331</v>
      </c>
      <c r="AB172" s="1194">
        <f t="shared" si="162"/>
        <v>-21.509</v>
      </c>
      <c r="AC172" s="1194">
        <f t="shared" si="162"/>
        <v>-26.061</v>
      </c>
      <c r="AD172" s="1316">
        <f t="shared" si="162"/>
        <v>-25.72</v>
      </c>
      <c r="AE172" s="1194">
        <f t="shared" si="162"/>
        <v>-22.882000000000001</v>
      </c>
      <c r="AF172" s="1194">
        <f>AF160+AF163+AF166+AF169</f>
        <v>-31.228999999999999</v>
      </c>
      <c r="AG172" s="1194">
        <f>AG160+AG163+AG166+AG169</f>
        <v>-18.843999999999998</v>
      </c>
      <c r="AH172" s="1316">
        <f t="shared" ref="AH172:AO172" si="163">AH160+AH163+AH166+AH169</f>
        <v>-12.010999999999999</v>
      </c>
      <c r="AI172" s="1194">
        <f t="shared" si="163"/>
        <v>-24.866999999999997</v>
      </c>
      <c r="AJ172" s="1194">
        <f t="shared" si="163"/>
        <v>-19.690999999999999</v>
      </c>
      <c r="AK172" s="1194">
        <f t="shared" si="163"/>
        <v>-11.798999999999999</v>
      </c>
      <c r="AL172" s="1316">
        <f t="shared" si="163"/>
        <v>-11.467656636793501</v>
      </c>
      <c r="AM172" s="1193">
        <f t="shared" si="163"/>
        <v>-14.619194705590687</v>
      </c>
      <c r="AN172" s="1194">
        <f t="shared" si="163"/>
        <v>-23.833286442662143</v>
      </c>
      <c r="AO172" s="1194">
        <f t="shared" si="163"/>
        <v>-34.475209072791472</v>
      </c>
    </row>
    <row r="173" spans="1:41">
      <c r="Y173" s="1192"/>
    </row>
    <row r="174" spans="1:41" s="1195" customFormat="1">
      <c r="A174" s="1185" t="s">
        <v>1807</v>
      </c>
      <c r="Y174" s="1202"/>
      <c r="AD174" s="1271"/>
      <c r="AH174" s="1271"/>
      <c r="AI174" s="1267"/>
      <c r="AJ174" s="1267"/>
      <c r="AK174" s="1267"/>
      <c r="AL174" s="1271"/>
      <c r="AM174" s="1267"/>
      <c r="AN174" s="1267"/>
      <c r="AO174" s="1267"/>
    </row>
    <row r="175" spans="1:41">
      <c r="A175" s="1169" t="s">
        <v>1668</v>
      </c>
      <c r="F175" s="1208">
        <v>-0.29199999999999998</v>
      </c>
      <c r="G175" s="1182">
        <f>SUM(Z175:AC175)</f>
        <v>0.29199999999999998</v>
      </c>
      <c r="H175" s="1182">
        <f>SUM(AD175:AG175)</f>
        <v>0</v>
      </c>
      <c r="I175" s="1182">
        <f>SUM(AH175:AK175)</f>
        <v>0</v>
      </c>
      <c r="J175" s="1192">
        <f t="shared" ref="J175:K178" si="164">I175</f>
        <v>0</v>
      </c>
      <c r="K175" s="1192">
        <f t="shared" si="164"/>
        <v>0</v>
      </c>
      <c r="W175" s="1208">
        <v>0</v>
      </c>
      <c r="X175" s="1208">
        <v>0</v>
      </c>
      <c r="Y175" s="1208">
        <v>-0.29199999999999998</v>
      </c>
      <c r="Z175" s="1208">
        <v>0.29199999999999998</v>
      </c>
      <c r="AA175" s="1208">
        <v>0</v>
      </c>
      <c r="AB175" s="1208">
        <v>0</v>
      </c>
      <c r="AC175" s="1208">
        <v>0</v>
      </c>
      <c r="AD175" s="1284">
        <f>AC175</f>
        <v>0</v>
      </c>
      <c r="AE175" s="1208">
        <f>AD175</f>
        <v>0</v>
      </c>
      <c r="AF175" s="1208">
        <f>AE175</f>
        <v>0</v>
      </c>
      <c r="AG175" s="1208">
        <v>0</v>
      </c>
      <c r="AH175" s="1284">
        <f t="shared" ref="AH175:AO178" si="165">AG175</f>
        <v>0</v>
      </c>
      <c r="AI175" s="1285">
        <f t="shared" si="165"/>
        <v>0</v>
      </c>
      <c r="AJ175" s="1285">
        <f t="shared" si="165"/>
        <v>0</v>
      </c>
      <c r="AK175" s="1285">
        <f t="shared" si="165"/>
        <v>0</v>
      </c>
      <c r="AL175" s="1284">
        <f t="shared" si="165"/>
        <v>0</v>
      </c>
      <c r="AM175" s="1299">
        <f t="shared" si="165"/>
        <v>0</v>
      </c>
      <c r="AN175" s="1285">
        <f t="shared" si="165"/>
        <v>0</v>
      </c>
      <c r="AO175" s="1285">
        <f t="shared" si="165"/>
        <v>0</v>
      </c>
    </row>
    <row r="176" spans="1:41">
      <c r="A176" s="1169" t="s">
        <v>1649</v>
      </c>
      <c r="F176" s="1208">
        <v>-0.71499999999999997</v>
      </c>
      <c r="G176" s="1182">
        <f>SUM(Z176:AC176)</f>
        <v>-1.7470000000000001</v>
      </c>
      <c r="H176" s="1182">
        <f>SUM(AD176:AG176)</f>
        <v>-1.5960000000000001</v>
      </c>
      <c r="I176" s="1182">
        <f>SUM(AH176:AK176)</f>
        <v>-1.786</v>
      </c>
      <c r="J176" s="1192">
        <f t="shared" si="164"/>
        <v>-1.786</v>
      </c>
      <c r="K176" s="1192">
        <f t="shared" si="164"/>
        <v>-1.786</v>
      </c>
      <c r="W176" s="1208">
        <v>0</v>
      </c>
      <c r="X176" s="1208">
        <v>-0.31620599999999999</v>
      </c>
      <c r="Y176" s="1208">
        <v>-0.39900000000000002</v>
      </c>
      <c r="Z176" s="1208">
        <v>-0.55000000000000004</v>
      </c>
      <c r="AA176" s="1208">
        <v>-0.39900000000000002</v>
      </c>
      <c r="AB176" s="1208">
        <v>-0.39900000000000002</v>
      </c>
      <c r="AC176" s="1208">
        <v>-0.39900000000000002</v>
      </c>
      <c r="AD176" s="1284">
        <v>-0.39900000000000002</v>
      </c>
      <c r="AE176" s="1208">
        <v>-0.39900000000000002</v>
      </c>
      <c r="AF176" s="1208">
        <v>-0.39900000000000002</v>
      </c>
      <c r="AG176" s="1208">
        <v>-0.39900000000000002</v>
      </c>
      <c r="AH176" s="1284">
        <f t="shared" si="165"/>
        <v>-0.39900000000000002</v>
      </c>
      <c r="AI176" s="1285">
        <v>-0.39900000000000002</v>
      </c>
      <c r="AJ176" s="1285">
        <v>-0.39900000000000002</v>
      </c>
      <c r="AK176" s="1285">
        <v>-0.58899999999999997</v>
      </c>
      <c r="AL176" s="1284">
        <f t="shared" si="165"/>
        <v>-0.58899999999999997</v>
      </c>
      <c r="AM176" s="1299">
        <f t="shared" si="165"/>
        <v>-0.58899999999999997</v>
      </c>
      <c r="AN176" s="1285">
        <f t="shared" si="165"/>
        <v>-0.58899999999999997</v>
      </c>
      <c r="AO176" s="1285">
        <f t="shared" si="165"/>
        <v>-0.58899999999999997</v>
      </c>
    </row>
    <row r="177" spans="1:41">
      <c r="A177" s="1169" t="s">
        <v>1650</v>
      </c>
      <c r="F177" s="1208">
        <v>-55.15</v>
      </c>
      <c r="G177" s="1182">
        <f>SUM(Z177:AC177)</f>
        <v>-136.239</v>
      </c>
      <c r="H177" s="1182">
        <f>SUM(AD177:AG177)</f>
        <v>-136.65199999999999</v>
      </c>
      <c r="I177" s="1182">
        <f>SUM(AH177:AK177)</f>
        <v>-136.65199999999999</v>
      </c>
      <c r="J177" s="1192">
        <f t="shared" si="164"/>
        <v>-136.65199999999999</v>
      </c>
      <c r="K177" s="1192">
        <f t="shared" si="164"/>
        <v>-136.65199999999999</v>
      </c>
      <c r="W177" s="1208">
        <v>-0.75832900000000003</v>
      </c>
      <c r="X177" s="1208">
        <v>-17.611433000000002</v>
      </c>
      <c r="Y177" s="1208">
        <v>-36.78</v>
      </c>
      <c r="Z177" s="1208">
        <v>-33.847999999999999</v>
      </c>
      <c r="AA177" s="1208">
        <v>-34.11</v>
      </c>
      <c r="AB177" s="1208">
        <v>-34.113</v>
      </c>
      <c r="AC177" s="1208">
        <v>-34.167999999999999</v>
      </c>
      <c r="AD177" s="1284">
        <v>-34.162999999999997</v>
      </c>
      <c r="AE177" s="1208">
        <v>-34.162999999999997</v>
      </c>
      <c r="AF177" s="1208">
        <v>-34.162999999999997</v>
      </c>
      <c r="AG177" s="1208">
        <v>-34.162999999999997</v>
      </c>
      <c r="AH177" s="1284">
        <f t="shared" si="165"/>
        <v>-34.162999999999997</v>
      </c>
      <c r="AI177" s="1285">
        <v>-34.162999999999997</v>
      </c>
      <c r="AJ177" s="1285">
        <v>-34.162999999999997</v>
      </c>
      <c r="AK177" s="1285">
        <v>-34.162999999999997</v>
      </c>
      <c r="AL177" s="1284">
        <f t="shared" si="165"/>
        <v>-34.162999999999997</v>
      </c>
      <c r="AM177" s="1299">
        <f t="shared" si="165"/>
        <v>-34.162999999999997</v>
      </c>
      <c r="AN177" s="1285">
        <f t="shared" si="165"/>
        <v>-34.162999999999997</v>
      </c>
      <c r="AO177" s="1285">
        <f t="shared" si="165"/>
        <v>-34.162999999999997</v>
      </c>
    </row>
    <row r="178" spans="1:41">
      <c r="A178" s="1169" t="s">
        <v>1651</v>
      </c>
      <c r="F178" s="1208">
        <v>-0.61599999999999999</v>
      </c>
      <c r="G178" s="1182">
        <f>SUM(Z178:AC178)</f>
        <v>-3.7229999999999999</v>
      </c>
      <c r="H178" s="1182">
        <f>SUM(AD178:AG178)</f>
        <v>-3.2730000000000001</v>
      </c>
      <c r="I178" s="1182">
        <f>SUM(AH178:AK178)</f>
        <v>-3.12</v>
      </c>
      <c r="J178" s="1192">
        <f t="shared" si="164"/>
        <v>-3.12</v>
      </c>
      <c r="K178" s="1192">
        <f t="shared" si="164"/>
        <v>-3.12</v>
      </c>
      <c r="W178" s="1208">
        <v>0</v>
      </c>
      <c r="X178" s="1208">
        <v>-0.93034099999999997</v>
      </c>
      <c r="Y178" s="1208">
        <v>0.315</v>
      </c>
      <c r="Z178" s="1208">
        <v>-1.48</v>
      </c>
      <c r="AA178" s="1208">
        <v>-0.621</v>
      </c>
      <c r="AB178" s="1208">
        <v>-0.65600000000000003</v>
      </c>
      <c r="AC178" s="1208">
        <v>-0.96599999999999997</v>
      </c>
      <c r="AD178" s="1284">
        <v>-0.82699999999999996</v>
      </c>
      <c r="AE178" s="1208">
        <v>-0.79300000000000004</v>
      </c>
      <c r="AF178" s="1208">
        <v>-0.876</v>
      </c>
      <c r="AG178" s="1208">
        <v>-0.77700000000000002</v>
      </c>
      <c r="AH178" s="1284">
        <f t="shared" si="165"/>
        <v>-0.77700000000000002</v>
      </c>
      <c r="AI178" s="1285">
        <v>-0.78100000000000003</v>
      </c>
      <c r="AJ178" s="1285">
        <v>-0.78100000000000003</v>
      </c>
      <c r="AK178" s="1285">
        <v>-0.78100000000000003</v>
      </c>
      <c r="AL178" s="1284">
        <f t="shared" si="165"/>
        <v>-0.78100000000000003</v>
      </c>
      <c r="AM178" s="1299">
        <f t="shared" si="165"/>
        <v>-0.78100000000000003</v>
      </c>
      <c r="AN178" s="1285">
        <f t="shared" si="165"/>
        <v>-0.78100000000000003</v>
      </c>
      <c r="AO178" s="1285">
        <f t="shared" si="165"/>
        <v>-0.78100000000000003</v>
      </c>
    </row>
    <row r="179" spans="1:41" s="1195" customFormat="1">
      <c r="A179" s="1183" t="s">
        <v>1280</v>
      </c>
      <c r="B179" s="1193"/>
      <c r="C179" s="1193"/>
      <c r="D179" s="1193"/>
      <c r="E179" s="1193"/>
      <c r="F179" s="1265">
        <f t="shared" ref="F179:K179" si="166">F175+F176+F177+F178</f>
        <v>-56.772999999999996</v>
      </c>
      <c r="G179" s="1194">
        <f t="shared" si="166"/>
        <v>-141.41700000000003</v>
      </c>
      <c r="H179" s="1194">
        <f t="shared" si="166"/>
        <v>-141.52099999999999</v>
      </c>
      <c r="I179" s="1194">
        <f t="shared" si="166"/>
        <v>-141.55799999999999</v>
      </c>
      <c r="J179" s="1194">
        <f t="shared" si="166"/>
        <v>-141.55799999999999</v>
      </c>
      <c r="K179" s="1194">
        <f t="shared" si="166"/>
        <v>-141.55799999999999</v>
      </c>
      <c r="N179" s="1194"/>
      <c r="O179" s="1194"/>
      <c r="P179" s="1194"/>
      <c r="Q179" s="1194"/>
      <c r="R179" s="1194"/>
      <c r="S179" s="1194"/>
      <c r="T179" s="1194"/>
      <c r="U179" s="1194"/>
      <c r="V179" s="1194"/>
      <c r="W179" s="1265">
        <f t="shared" ref="W179:AE179" si="167">W175+W176+W177+W178</f>
        <v>-0.75832900000000003</v>
      </c>
      <c r="X179" s="1265">
        <f t="shared" si="167"/>
        <v>-18.857980000000001</v>
      </c>
      <c r="Y179" s="1265">
        <f t="shared" si="167"/>
        <v>-37.156000000000006</v>
      </c>
      <c r="Z179" s="1265">
        <f t="shared" si="167"/>
        <v>-35.585999999999999</v>
      </c>
      <c r="AA179" s="1265">
        <f t="shared" si="167"/>
        <v>-35.130000000000003</v>
      </c>
      <c r="AB179" s="1265">
        <f t="shared" si="167"/>
        <v>-35.167999999999999</v>
      </c>
      <c r="AC179" s="1265">
        <f t="shared" si="167"/>
        <v>-35.533000000000001</v>
      </c>
      <c r="AD179" s="1283">
        <f t="shared" si="167"/>
        <v>-35.388999999999996</v>
      </c>
      <c r="AE179" s="1265">
        <f t="shared" si="167"/>
        <v>-35.354999999999997</v>
      </c>
      <c r="AF179" s="1265">
        <f>AF175+AF176+AF177+AF178</f>
        <v>-35.437999999999995</v>
      </c>
      <c r="AG179" s="1265">
        <f>AG175+AG176+AG177+AG178</f>
        <v>-35.338999999999999</v>
      </c>
      <c r="AH179" s="1283">
        <f t="shared" ref="AH179:AO179" si="168">AH175+AH176+AH177+AH178</f>
        <v>-35.338999999999999</v>
      </c>
      <c r="AI179" s="1265">
        <f t="shared" si="168"/>
        <v>-35.342999999999996</v>
      </c>
      <c r="AJ179" s="1265">
        <f t="shared" si="168"/>
        <v>-35.342999999999996</v>
      </c>
      <c r="AK179" s="1265">
        <f t="shared" si="168"/>
        <v>-35.532999999999994</v>
      </c>
      <c r="AL179" s="1283">
        <f t="shared" si="168"/>
        <v>-35.532999999999994</v>
      </c>
      <c r="AM179" s="1194">
        <f t="shared" si="168"/>
        <v>-35.532999999999994</v>
      </c>
      <c r="AN179" s="1265">
        <f t="shared" si="168"/>
        <v>-35.532999999999994</v>
      </c>
      <c r="AO179" s="1265">
        <f t="shared" si="168"/>
        <v>-35.532999999999994</v>
      </c>
    </row>
    <row r="180" spans="1:41">
      <c r="Y180" s="1192"/>
    </row>
    <row r="181" spans="1:41">
      <c r="A181" s="1181" t="s">
        <v>1814</v>
      </c>
      <c r="Y181" s="1192"/>
    </row>
    <row r="182" spans="1:41" s="1252" customFormat="1" ht="12">
      <c r="A182" s="1171" t="s">
        <v>1815</v>
      </c>
      <c r="B182" s="1282">
        <v>-741.71600000000001</v>
      </c>
      <c r="C182" s="1282">
        <v>-1073.7316290000001</v>
      </c>
      <c r="D182" s="1282">
        <v>-1829.6653859999999</v>
      </c>
      <c r="E182" s="1282">
        <v>-3308.8009999999999</v>
      </c>
      <c r="F182" s="1282">
        <v>-7274.6750000000002</v>
      </c>
      <c r="G182" s="1252">
        <f>SUM(Z182:AC182)</f>
        <v>-9956.2039999999997</v>
      </c>
      <c r="H182" s="1252">
        <f>SUM(AD182:AG182)</f>
        <v>0</v>
      </c>
      <c r="I182" s="1317">
        <f>I160+I85</f>
        <v>-12296.313498367244</v>
      </c>
      <c r="J182" s="1317">
        <f>J160+J85</f>
        <v>-13028.282787817017</v>
      </c>
      <c r="K182" s="1317">
        <f>K160+K85</f>
        <v>-14109.145962770375</v>
      </c>
      <c r="N182" s="1282">
        <v>-342.89</v>
      </c>
      <c r="O182" s="1282">
        <v>-356.88007900000002</v>
      </c>
      <c r="P182" s="1282">
        <v>-660.86733400000003</v>
      </c>
      <c r="Q182" s="1282">
        <v>-469.02741700000001</v>
      </c>
      <c r="R182" s="1282">
        <v>-535.87958600000002</v>
      </c>
      <c r="S182" s="1282">
        <v>-674.972938</v>
      </c>
      <c r="T182" s="1282">
        <v>-1231.5397370000001</v>
      </c>
      <c r="U182" s="1282">
        <v>-867.20841599999994</v>
      </c>
      <c r="V182" s="1282">
        <v>-1197.4061850000001</v>
      </c>
      <c r="W182" s="1282">
        <v>-1446.670568</v>
      </c>
      <c r="X182" s="1282">
        <v>-2815.6150149999999</v>
      </c>
      <c r="Y182" s="1317">
        <f>F182-SUM(V182:X182)</f>
        <v>-1814.9832319999996</v>
      </c>
      <c r="Z182" s="1282">
        <v>-1979.6869999999999</v>
      </c>
      <c r="AA182" s="1282">
        <v>-2241.6410000000001</v>
      </c>
      <c r="AB182" s="1282">
        <v>-3812.1239999999998</v>
      </c>
      <c r="AC182" s="1282">
        <v>-1922.752</v>
      </c>
      <c r="AD182" s="1318"/>
      <c r="AE182" s="1317"/>
      <c r="AF182" s="1317"/>
      <c r="AG182" s="1317"/>
      <c r="AH182" s="1318"/>
      <c r="AI182" s="1319"/>
      <c r="AJ182" s="1319"/>
      <c r="AK182" s="1319"/>
      <c r="AL182" s="1318"/>
      <c r="AM182" s="1319"/>
      <c r="AN182" s="1319"/>
      <c r="AO182" s="1319"/>
    </row>
    <row r="183" spans="1:41">
      <c r="A183" s="1169" t="s">
        <v>1668</v>
      </c>
      <c r="B183" s="1208"/>
      <c r="C183" s="1208"/>
      <c r="D183" s="1208"/>
      <c r="E183" s="1208"/>
      <c r="F183" s="1208"/>
      <c r="H183" s="1182">
        <f>SUM(AD183:AG183)</f>
        <v>-1024.173</v>
      </c>
      <c r="I183" s="1192">
        <f>SUM(AH183:AK183)</f>
        <v>-1065.0220000000002</v>
      </c>
      <c r="J183" s="1192"/>
      <c r="K183" s="1192"/>
      <c r="N183" s="1208"/>
      <c r="O183" s="1208"/>
      <c r="P183" s="1208"/>
      <c r="Q183" s="1208"/>
      <c r="R183" s="1208"/>
      <c r="S183" s="1208"/>
      <c r="T183" s="1208"/>
      <c r="U183" s="1208"/>
      <c r="V183" s="1208"/>
      <c r="W183" s="1208"/>
      <c r="X183" s="1208"/>
      <c r="Y183" s="1192"/>
      <c r="Z183" s="1208">
        <v>-191.459</v>
      </c>
      <c r="AA183" s="1208">
        <v>-168.86099999999999</v>
      </c>
      <c r="AB183" s="1208">
        <v>-271.28199999999998</v>
      </c>
      <c r="AC183" s="1208">
        <v>-153.53700000000001</v>
      </c>
      <c r="AD183" s="1284">
        <v>-204.73699999999999</v>
      </c>
      <c r="AE183" s="1208">
        <v>-219.53</v>
      </c>
      <c r="AF183" s="1208">
        <v>-365.20600000000002</v>
      </c>
      <c r="AG183" s="1208">
        <v>-234.7</v>
      </c>
      <c r="AH183" s="1284">
        <v>-217.90700000000001</v>
      </c>
      <c r="AI183" s="1285">
        <v>-274.47500000000002</v>
      </c>
      <c r="AJ183" s="1285">
        <v>-371.62200000000001</v>
      </c>
      <c r="AK183" s="1285">
        <v>-201.018</v>
      </c>
      <c r="AL183" s="1284">
        <v>-217.90700000000001</v>
      </c>
      <c r="AM183" s="1299"/>
      <c r="AN183" s="1285"/>
      <c r="AO183" s="1285"/>
    </row>
    <row r="184" spans="1:41">
      <c r="A184" s="1169" t="s">
        <v>1649</v>
      </c>
      <c r="B184" s="1208">
        <v>-21.385999999999999</v>
      </c>
      <c r="C184" s="1208">
        <v>-33.369748999999999</v>
      </c>
      <c r="D184" s="1208">
        <v>-38.994362000000002</v>
      </c>
      <c r="E184" s="1208">
        <v>-104.881</v>
      </c>
      <c r="F184" s="1208">
        <v>-298.19900000000001</v>
      </c>
      <c r="G184" s="1182">
        <f>SUM(Z184:AC184)</f>
        <v>-601.40200000000004</v>
      </c>
      <c r="H184" s="1182">
        <f>SUM(AD184:AG184)</f>
        <v>-541.17499999999995</v>
      </c>
      <c r="I184" s="1192">
        <f>SUM(AH184:AK184)</f>
        <v>-315.22199999999998</v>
      </c>
      <c r="J184" s="1192">
        <f>J163+J103</f>
        <v>-353.49927812102436</v>
      </c>
      <c r="K184" s="1192">
        <f>K163+K103</f>
        <v>-428.70792241432173</v>
      </c>
      <c r="N184" s="1208">
        <v>-8.0820000000000007</v>
      </c>
      <c r="O184" s="1208">
        <v>-7.6190949999999997</v>
      </c>
      <c r="P184" s="1208">
        <v>-9.2998849999999997</v>
      </c>
      <c r="Q184" s="1208">
        <v>-13.993553</v>
      </c>
      <c r="R184" s="1208">
        <v>-16.976928000000001</v>
      </c>
      <c r="S184" s="1208">
        <v>-21.476835000000001</v>
      </c>
      <c r="T184" s="1208">
        <v>-27.710367999999999</v>
      </c>
      <c r="U184" s="1208">
        <v>-38.717404000000002</v>
      </c>
      <c r="V184" s="1208">
        <v>-43.507531</v>
      </c>
      <c r="W184" s="1208">
        <v>-61.530935999999997</v>
      </c>
      <c r="X184" s="1208">
        <v>-87.149910000000006</v>
      </c>
      <c r="Y184" s="1192">
        <f>F184-SUM(V184:X184)</f>
        <v>-106.01062300000001</v>
      </c>
      <c r="Z184" s="1208">
        <v>-121.98699999999999</v>
      </c>
      <c r="AA184" s="1208">
        <v>-141.25899999999999</v>
      </c>
      <c r="AB184" s="1208">
        <v>-168.03299999999999</v>
      </c>
      <c r="AC184" s="1208">
        <v>-170.12299999999999</v>
      </c>
      <c r="AD184" s="1284">
        <v>-159.40299999999999</v>
      </c>
      <c r="AE184" s="1208">
        <v>-146.59800000000001</v>
      </c>
      <c r="AF184" s="1208">
        <v>-123.974</v>
      </c>
      <c r="AG184" s="1208">
        <v>-111.2</v>
      </c>
      <c r="AH184" s="1284">
        <v>-84.054000000000002</v>
      </c>
      <c r="AI184" s="1285">
        <v>-77.043999999999997</v>
      </c>
      <c r="AJ184" s="1285">
        <v>-78.27</v>
      </c>
      <c r="AK184" s="1285">
        <v>-75.853999999999999</v>
      </c>
      <c r="AL184" s="1284">
        <v>-84.054000000000002</v>
      </c>
      <c r="AM184" s="1299"/>
      <c r="AN184" s="1285"/>
      <c r="AO184" s="1285"/>
    </row>
    <row r="185" spans="1:41">
      <c r="A185" s="1169" t="s">
        <v>1650</v>
      </c>
      <c r="B185" s="1208">
        <v>-50.588999999999999</v>
      </c>
      <c r="C185" s="1208">
        <v>-57.993819000000002</v>
      </c>
      <c r="D185" s="1208">
        <v>-110.070612</v>
      </c>
      <c r="E185" s="1208">
        <v>-434.19099999999997</v>
      </c>
      <c r="F185" s="1208">
        <v>-1154.155</v>
      </c>
      <c r="G185" s="1182">
        <f>SUM(Z185:AC185)</f>
        <v>-1905.7060000000001</v>
      </c>
      <c r="H185" s="1182">
        <f>SUM(AD185:AG185)</f>
        <v>-894.15200000000004</v>
      </c>
      <c r="I185" s="1192">
        <f>SUM(AH185:AK185)</f>
        <v>-778.12599999999998</v>
      </c>
      <c r="J185" s="1192">
        <f>J166+J109</f>
        <v>-739.33643207517559</v>
      </c>
      <c r="K185" s="1192">
        <f>K166+K109</f>
        <v>-866.91210406870027</v>
      </c>
      <c r="N185" s="1208">
        <v>-13.005000000000001</v>
      </c>
      <c r="O185" s="1208">
        <v>-19.251024999999998</v>
      </c>
      <c r="P185" s="1208">
        <v>-39.432685999999997</v>
      </c>
      <c r="Q185" s="1208">
        <v>-38.381824000000002</v>
      </c>
      <c r="R185" s="1208">
        <v>-73.479566000000005</v>
      </c>
      <c r="S185" s="1208">
        <v>-96.914197999999999</v>
      </c>
      <c r="T185" s="1208">
        <v>-120.705789</v>
      </c>
      <c r="U185" s="1208">
        <v>-143.09153599999999</v>
      </c>
      <c r="V185" s="1208">
        <v>-189.65135100000001</v>
      </c>
      <c r="W185" s="1208">
        <v>-231.68995799999999</v>
      </c>
      <c r="X185" s="1208">
        <v>-337.99454900000001</v>
      </c>
      <c r="Y185" s="1192">
        <f>F185-SUM(V185:X185)</f>
        <v>-394.81914199999994</v>
      </c>
      <c r="Z185" s="1208">
        <v>-384.41899999999998</v>
      </c>
      <c r="AA185" s="1208">
        <v>-623.29600000000005</v>
      </c>
      <c r="AB185" s="1208">
        <v>-499.89600000000002</v>
      </c>
      <c r="AC185" s="1208">
        <v>-398.09500000000003</v>
      </c>
      <c r="AD185" s="1284">
        <v>-253.756</v>
      </c>
      <c r="AE185" s="1208">
        <v>-221.88800000000001</v>
      </c>
      <c r="AF185" s="1208">
        <v>-224.80799999999999</v>
      </c>
      <c r="AG185" s="1208">
        <v>-193.7</v>
      </c>
      <c r="AH185" s="1284">
        <v>-185.83099999999999</v>
      </c>
      <c r="AI185" s="1285">
        <v>-173.63800000000001</v>
      </c>
      <c r="AJ185" s="1285">
        <v>-209.56299999999999</v>
      </c>
      <c r="AK185" s="1285">
        <v>-209.09399999999999</v>
      </c>
      <c r="AL185" s="1284">
        <v>-185.83099999999999</v>
      </c>
      <c r="AM185" s="1299"/>
      <c r="AN185" s="1285"/>
      <c r="AO185" s="1285"/>
    </row>
    <row r="186" spans="1:41">
      <c r="A186" s="1169" t="s">
        <v>1651</v>
      </c>
      <c r="B186" s="1208">
        <v>-53.877000000000002</v>
      </c>
      <c r="C186" s="1208">
        <v>-62.005515000000003</v>
      </c>
      <c r="D186" s="1208">
        <v>-69.678933000000001</v>
      </c>
      <c r="E186" s="1208">
        <v>-166.988</v>
      </c>
      <c r="F186" s="1208">
        <v>-385.44200000000001</v>
      </c>
      <c r="G186" s="1182">
        <f>SUM(Z186:AC186)</f>
        <v>-658.79</v>
      </c>
      <c r="H186" s="1182">
        <f>SUM(AD186:AG186)</f>
        <v>-637.80500000000006</v>
      </c>
      <c r="I186" s="1192">
        <f>SUM(AH186:AK186)</f>
        <v>-487.37199999999996</v>
      </c>
      <c r="J186" s="1192">
        <f>J169+J115</f>
        <v>-517.55331638134976</v>
      </c>
      <c r="K186" s="1192">
        <f>K169+K115</f>
        <v>-556.58628143048213</v>
      </c>
      <c r="N186" s="1208">
        <v>-13.260999999999999</v>
      </c>
      <c r="O186" s="1208">
        <v>-14.774912</v>
      </c>
      <c r="P186" s="1208">
        <v>-17.027384999999999</v>
      </c>
      <c r="Q186" s="1208">
        <v>-24.615701999999999</v>
      </c>
      <c r="R186" s="1208">
        <v>-19.737451</v>
      </c>
      <c r="S186" s="1208">
        <v>-41.901547000000001</v>
      </c>
      <c r="T186" s="1208">
        <v>-46.111649</v>
      </c>
      <c r="U186" s="1208">
        <v>-59.236999999999995</v>
      </c>
      <c r="V186" s="1208">
        <v>-62.016159000000002</v>
      </c>
      <c r="W186" s="1208">
        <v>-72.937852000000007</v>
      </c>
      <c r="X186" s="1208">
        <v>-103.89891799999999</v>
      </c>
      <c r="Y186" s="1192">
        <f>F186-SUM(V186:X186)</f>
        <v>-146.58907099999999</v>
      </c>
      <c r="Z186" s="1208">
        <v>-143.83000000000001</v>
      </c>
      <c r="AA186" s="1208">
        <v>-141.46299999999999</v>
      </c>
      <c r="AB186" s="1208">
        <v>-167.99700000000001</v>
      </c>
      <c r="AC186" s="1208">
        <v>-205.5</v>
      </c>
      <c r="AD186" s="1284">
        <v>-151.333</v>
      </c>
      <c r="AE186" s="1208">
        <v>-166.09800000000001</v>
      </c>
      <c r="AF186" s="1208">
        <v>-165.874</v>
      </c>
      <c r="AG186" s="1208">
        <v>-154.5</v>
      </c>
      <c r="AH186" s="1284">
        <v>-114.60899999999999</v>
      </c>
      <c r="AI186" s="1285">
        <v>-129.31700000000001</v>
      </c>
      <c r="AJ186" s="1285">
        <v>-122.93600000000001</v>
      </c>
      <c r="AK186" s="1285">
        <v>-120.51</v>
      </c>
      <c r="AL186" s="1284">
        <v>-114.60899999999999</v>
      </c>
      <c r="AM186" s="1299"/>
      <c r="AN186" s="1285"/>
      <c r="AO186" s="1285"/>
    </row>
  </sheetData>
  <phoneticPr fontId="11" type="noConversion"/>
  <pageMargins left="0.7" right="0.7" top="0.75" bottom="0.75" header="0.3" footer="0.3"/>
  <pageSetup paperSize="9" orientation="portrait"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3:AG58"/>
  <sheetViews>
    <sheetView workbookViewId="0"/>
  </sheetViews>
  <sheetFormatPr defaultColWidth="9" defaultRowHeight="12.5"/>
  <cols>
    <col min="1" max="1" width="26.25" style="1326" bestFit="1" customWidth="1"/>
    <col min="2" max="29" width="9" style="1326"/>
    <col min="30" max="33" width="9" style="1327"/>
    <col min="34" max="16384" width="9" style="1328"/>
  </cols>
  <sheetData>
    <row r="3" spans="1:33" ht="13">
      <c r="A3" s="1325" t="s">
        <v>1820</v>
      </c>
    </row>
    <row r="4" spans="1:33" ht="13">
      <c r="A4" s="1329" t="s">
        <v>1618</v>
      </c>
    </row>
    <row r="6" spans="1:33" ht="13">
      <c r="A6" s="1330"/>
      <c r="B6" s="1331">
        <v>2017</v>
      </c>
      <c r="C6" s="1331">
        <f>B6+1</f>
        <v>2018</v>
      </c>
      <c r="D6" s="1331">
        <f t="shared" ref="D6:M6" si="0">C6+1</f>
        <v>2019</v>
      </c>
      <c r="E6" s="1331">
        <f t="shared" si="0"/>
        <v>2020</v>
      </c>
      <c r="F6" s="1331">
        <f t="shared" si="0"/>
        <v>2021</v>
      </c>
      <c r="G6" s="1331">
        <f t="shared" si="0"/>
        <v>2022</v>
      </c>
      <c r="H6" s="1331">
        <f t="shared" si="0"/>
        <v>2023</v>
      </c>
      <c r="I6" s="1331">
        <f t="shared" si="0"/>
        <v>2024</v>
      </c>
      <c r="J6" s="1331">
        <f t="shared" si="0"/>
        <v>2025</v>
      </c>
      <c r="K6" s="1331">
        <f t="shared" si="0"/>
        <v>2026</v>
      </c>
      <c r="L6" s="1331">
        <f t="shared" si="0"/>
        <v>2027</v>
      </c>
      <c r="M6" s="1331">
        <f t="shared" si="0"/>
        <v>2028</v>
      </c>
    </row>
    <row r="7" spans="1:33">
      <c r="A7" s="1326" t="s">
        <v>1637</v>
      </c>
      <c r="B7" s="1332">
        <f>[3]Finanicals!H14</f>
        <v>2192.114</v>
      </c>
      <c r="C7" s="1332">
        <f>[3]Finanicals!I14</f>
        <v>2186.98247718422</v>
      </c>
      <c r="D7" s="1332">
        <f>[3]Finanicals!J14</f>
        <v>2545.9755812459398</v>
      </c>
      <c r="E7" s="1332">
        <f>D7*(1+E8)</f>
        <v>2912.9778802948758</v>
      </c>
      <c r="F7" s="1332">
        <f t="shared" ref="F7:M7" si="1">E7*(1+F8)</f>
        <v>3274.6239914714488</v>
      </c>
      <c r="G7" s="1332">
        <f t="shared" si="1"/>
        <v>3615.6759760171753</v>
      </c>
      <c r="H7" s="1332">
        <f t="shared" si="1"/>
        <v>3919.9349943841075</v>
      </c>
      <c r="I7" s="1332">
        <f t="shared" si="1"/>
        <v>4171.3986995804335</v>
      </c>
      <c r="J7" s="1332">
        <f t="shared" si="1"/>
        <v>4397.279806470221</v>
      </c>
      <c r="K7" s="1332">
        <f t="shared" si="1"/>
        <v>4635.3923681127962</v>
      </c>
      <c r="L7" s="1332">
        <f t="shared" si="1"/>
        <v>4886.3987173939395</v>
      </c>
      <c r="M7" s="1332">
        <f t="shared" si="1"/>
        <v>5150.9970525041263</v>
      </c>
    </row>
    <row r="8" spans="1:33" ht="13">
      <c r="A8" s="1333" t="s">
        <v>1773</v>
      </c>
      <c r="C8" s="1334">
        <f>C7/B7-1</f>
        <v>-2.3409014384196958E-3</v>
      </c>
      <c r="D8" s="1334">
        <f>D7/C7-1</f>
        <v>0.16414996818992811</v>
      </c>
      <c r="E8" s="1335">
        <f>D8-0.02</f>
        <v>0.14414996818992812</v>
      </c>
      <c r="F8" s="1335">
        <f>E8-0.02</f>
        <v>0.12414996818992811</v>
      </c>
      <c r="G8" s="1335">
        <f>F8-0.02</f>
        <v>0.10414996818992811</v>
      </c>
      <c r="H8" s="1335">
        <f>G8-0.02</f>
        <v>8.4149968189928107E-2</v>
      </c>
      <c r="I8" s="1335">
        <f>H8-0.02</f>
        <v>6.4149968189928103E-2</v>
      </c>
      <c r="J8" s="1335">
        <f>I8-0.01</f>
        <v>5.4149968189928101E-2</v>
      </c>
      <c r="K8" s="1335">
        <f>J8</f>
        <v>5.4149968189928101E-2</v>
      </c>
      <c r="L8" s="1335">
        <f>K8</f>
        <v>5.4149968189928101E-2</v>
      </c>
      <c r="M8" s="1335">
        <f>L8</f>
        <v>5.4149968189928101E-2</v>
      </c>
    </row>
    <row r="9" spans="1:33">
      <c r="A9" s="1326" t="s">
        <v>1821</v>
      </c>
      <c r="B9" s="1332">
        <f>[3]Finanicals!H30</f>
        <v>-643.24900000000002</v>
      </c>
      <c r="C9" s="1332">
        <f>[3]Finanicals!I30</f>
        <v>-192.23452281578099</v>
      </c>
      <c r="D9" s="1332">
        <f>[3]Finanicals!J30</f>
        <v>-96.159534874756702</v>
      </c>
      <c r="E9" s="1332">
        <f>E10*E7</f>
        <v>-22.6315923592649</v>
      </c>
      <c r="F9" s="1332">
        <f t="shared" ref="F9:M9" si="2">F10*F7</f>
        <v>72.797415913388406</v>
      </c>
      <c r="G9" s="1332">
        <f t="shared" si="2"/>
        <v>152.69278398542028</v>
      </c>
      <c r="H9" s="1332">
        <f t="shared" si="2"/>
        <v>283.13992673214818</v>
      </c>
      <c r="I9" s="1332">
        <f t="shared" si="2"/>
        <v>343.01733102111831</v>
      </c>
      <c r="J9" s="1332">
        <f t="shared" si="2"/>
        <v>383.57810761685704</v>
      </c>
      <c r="K9" s="1332">
        <f t="shared" si="2"/>
        <v>427.52581178322663</v>
      </c>
      <c r="L9" s="1332">
        <f t="shared" si="2"/>
        <v>475.1083144786312</v>
      </c>
      <c r="M9" s="1332">
        <f t="shared" si="2"/>
        <v>500.83541459441938</v>
      </c>
    </row>
    <row r="10" spans="1:33" ht="13">
      <c r="A10" s="1333" t="s">
        <v>1822</v>
      </c>
      <c r="C10" s="1334">
        <f>C9/C7</f>
        <v>-8.7899434413066926E-2</v>
      </c>
      <c r="D10" s="1334">
        <f>D9/D7</f>
        <v>-3.7769229046453981E-2</v>
      </c>
      <c r="E10" s="1335">
        <f>D10+0.03</f>
        <v>-7.769229046453982E-3</v>
      </c>
      <c r="F10" s="1335">
        <f>E10+0.03</f>
        <v>2.2230770953546017E-2</v>
      </c>
      <c r="G10" s="1335">
        <f>F10+0.02</f>
        <v>4.2230770953546021E-2</v>
      </c>
      <c r="H10" s="1335">
        <f>G10+0.03</f>
        <v>7.223077095354602E-2</v>
      </c>
      <c r="I10" s="1335">
        <f>H10+0.01</f>
        <v>8.2230770953546015E-2</v>
      </c>
      <c r="J10" s="1335">
        <f>I10+0.005</f>
        <v>8.7230770953546019E-2</v>
      </c>
      <c r="K10" s="1335">
        <f>J10+0.005</f>
        <v>9.2230770953546024E-2</v>
      </c>
      <c r="L10" s="1335">
        <f>K10+0.005</f>
        <v>9.7230770953546028E-2</v>
      </c>
      <c r="M10" s="1335">
        <f>L10</f>
        <v>9.7230770953546028E-2</v>
      </c>
    </row>
    <row r="11" spans="1:33">
      <c r="A11" s="1326" t="s">
        <v>1823</v>
      </c>
      <c r="B11" s="1332">
        <f>[3]Finanicals!H107</f>
        <v>65.703999999999994</v>
      </c>
      <c r="C11" s="1332">
        <f>[3]Finanicals!I107</f>
        <v>83.963270817468498</v>
      </c>
      <c r="D11" s="1332">
        <f>[3]Finanicals!J107</f>
        <v>94.377539999999996</v>
      </c>
      <c r="E11" s="1332">
        <f>D11/D7*E7*0.9</f>
        <v>97.183853449959301</v>
      </c>
      <c r="F11" s="1332">
        <f t="shared" ref="F11:M11" si="3">E11/E7*F7*0.9</f>
        <v>98.324303187911738</v>
      </c>
      <c r="G11" s="1332">
        <f t="shared" si="3"/>
        <v>97.708298613506642</v>
      </c>
      <c r="H11" s="1332">
        <f t="shared" si="3"/>
        <v>95.337403950352694</v>
      </c>
      <c r="I11" s="1332">
        <f t="shared" si="3"/>
        <v>91.307965842970319</v>
      </c>
      <c r="J11" s="1332">
        <f t="shared" si="3"/>
        <v>86.627060359968766</v>
      </c>
      <c r="K11" s="1332">
        <f t="shared" si="3"/>
        <v>82.186121630563235</v>
      </c>
      <c r="L11" s="1332">
        <f t="shared" si="3"/>
        <v>77.97284775226062</v>
      </c>
      <c r="M11" s="1332">
        <f t="shared" si="3"/>
        <v>73.97556747995128</v>
      </c>
    </row>
    <row r="12" spans="1:33" ht="13">
      <c r="A12" s="1336" t="s">
        <v>1824</v>
      </c>
      <c r="B12" s="1337">
        <f>B9+B11</f>
        <v>-577.54500000000007</v>
      </c>
      <c r="C12" s="1337">
        <f t="shared" ref="C12:M12" si="4">C9+C11</f>
        <v>-108.27125199831249</v>
      </c>
      <c r="D12" s="1337">
        <f t="shared" si="4"/>
        <v>-1.7819948747567054</v>
      </c>
      <c r="E12" s="1337">
        <f t="shared" si="4"/>
        <v>74.552261090694401</v>
      </c>
      <c r="F12" s="1337">
        <f t="shared" si="4"/>
        <v>171.12171910130013</v>
      </c>
      <c r="G12" s="1337">
        <f t="shared" si="4"/>
        <v>250.40108259892691</v>
      </c>
      <c r="H12" s="1337">
        <f t="shared" si="4"/>
        <v>378.47733068250091</v>
      </c>
      <c r="I12" s="1337">
        <f t="shared" si="4"/>
        <v>434.32529686408861</v>
      </c>
      <c r="J12" s="1337">
        <f t="shared" si="4"/>
        <v>470.20516797682581</v>
      </c>
      <c r="K12" s="1337">
        <f t="shared" si="4"/>
        <v>509.71193341378989</v>
      </c>
      <c r="L12" s="1337">
        <f t="shared" si="4"/>
        <v>553.08116223089178</v>
      </c>
      <c r="M12" s="1337">
        <f t="shared" si="4"/>
        <v>574.81098207437071</v>
      </c>
    </row>
    <row r="13" spans="1:33" s="1341" customFormat="1" ht="13">
      <c r="A13" s="1333" t="s">
        <v>1825</v>
      </c>
      <c r="B13" s="1338"/>
      <c r="C13" s="1339">
        <f t="shared" ref="C13:M13" si="5">C12/C7</f>
        <v>-4.9507141976607751E-2</v>
      </c>
      <c r="D13" s="1339">
        <f t="shared" si="5"/>
        <v>-6.9992614535785902E-4</v>
      </c>
      <c r="E13" s="1339">
        <f t="shared" si="5"/>
        <v>2.5593143564532527E-2</v>
      </c>
      <c r="F13" s="1339">
        <f t="shared" si="5"/>
        <v>5.2256906303433867E-2</v>
      </c>
      <c r="G13" s="1339">
        <f t="shared" si="5"/>
        <v>6.9254292768445094E-2</v>
      </c>
      <c r="H13" s="1339">
        <f t="shared" si="5"/>
        <v>9.6551940586955196E-2</v>
      </c>
      <c r="I13" s="1339">
        <f t="shared" si="5"/>
        <v>0.10411982362361426</v>
      </c>
      <c r="J13" s="1339">
        <f t="shared" si="5"/>
        <v>0.10693091835660745</v>
      </c>
      <c r="K13" s="1339">
        <f t="shared" si="5"/>
        <v>0.10996090361630131</v>
      </c>
      <c r="L13" s="1339">
        <f t="shared" si="5"/>
        <v>0.11318789035002577</v>
      </c>
      <c r="M13" s="1339">
        <f t="shared" si="5"/>
        <v>0.11159217841037782</v>
      </c>
      <c r="N13" s="1329"/>
      <c r="O13" s="1329"/>
      <c r="P13" s="1329"/>
      <c r="Q13" s="1329"/>
      <c r="R13" s="1329"/>
      <c r="S13" s="1329"/>
      <c r="T13" s="1329"/>
      <c r="U13" s="1329"/>
      <c r="V13" s="1329"/>
      <c r="W13" s="1329"/>
      <c r="X13" s="1329"/>
      <c r="Y13" s="1329"/>
      <c r="Z13" s="1329"/>
      <c r="AA13" s="1329"/>
      <c r="AB13" s="1329"/>
      <c r="AC13" s="1329"/>
      <c r="AD13" s="1340"/>
      <c r="AE13" s="1340"/>
      <c r="AF13" s="1340"/>
      <c r="AG13" s="1340"/>
    </row>
    <row r="14" spans="1:33">
      <c r="A14" s="1326" t="s">
        <v>1826</v>
      </c>
      <c r="B14" s="1332">
        <f>[3]Finanicals!H38</f>
        <v>-15.625</v>
      </c>
      <c r="C14" s="1332">
        <f>[3]Finanicals!I38</f>
        <v>-0.153</v>
      </c>
      <c r="D14" s="1332">
        <f>[3]Finanicals!J38</f>
        <v>0</v>
      </c>
      <c r="E14" s="1332">
        <f>-E12*0.1</f>
        <v>-7.4552261090694403</v>
      </c>
      <c r="F14" s="1332">
        <f>-F12*0.1</f>
        <v>-17.112171910130012</v>
      </c>
      <c r="G14" s="1332">
        <f>-G12*0.1</f>
        <v>-25.040108259892691</v>
      </c>
      <c r="H14" s="1332">
        <f>-H12*0.15</f>
        <v>-56.771599602375133</v>
      </c>
      <c r="I14" s="1332">
        <f>-I12*0.15</f>
        <v>-65.148794529613284</v>
      </c>
      <c r="J14" s="1332">
        <f>-J12*0.15</f>
        <v>-70.530775196523862</v>
      </c>
      <c r="K14" s="1332">
        <f>-K12*0.25</f>
        <v>-127.42798335344747</v>
      </c>
      <c r="L14" s="1332">
        <f>-L12*0.25</f>
        <v>-138.27029055772294</v>
      </c>
      <c r="M14" s="1332">
        <f>-M12*0.25</f>
        <v>-143.70274551859268</v>
      </c>
    </row>
    <row r="15" spans="1:33">
      <c r="A15" s="1326" t="s">
        <v>1827</v>
      </c>
      <c r="B15" s="1332">
        <f>[3]Finanicals!H115</f>
        <v>-12.105</v>
      </c>
      <c r="C15" s="1332">
        <f>[3]Finanicals!I115</f>
        <v>-233.04300000000001</v>
      </c>
      <c r="D15" s="1332">
        <f>[3]Finanicals!J115</f>
        <v>64.963199999999702</v>
      </c>
      <c r="E15" s="1332">
        <f>D15/D7*E7</f>
        <v>74.3276432135156</v>
      </c>
      <c r="F15" s="1332">
        <f t="shared" ref="F15:M15" si="6">E15/E7*F7*0.9</f>
        <v>75.199875978695303</v>
      </c>
      <c r="G15" s="1332">
        <f t="shared" si="6"/>
        <v>74.728746602786671</v>
      </c>
      <c r="H15" s="1332">
        <f t="shared" si="6"/>
        <v>72.915451427055928</v>
      </c>
      <c r="I15" s="1332">
        <f t="shared" si="6"/>
        <v>69.833677784990229</v>
      </c>
      <c r="J15" s="1332">
        <f t="shared" si="6"/>
        <v>66.253652294069823</v>
      </c>
      <c r="K15" s="1332">
        <f t="shared" si="6"/>
        <v>62.857156912434235</v>
      </c>
      <c r="L15" s="1332">
        <f t="shared" si="6"/>
        <v>59.634782963776686</v>
      </c>
      <c r="M15" s="1332">
        <f t="shared" si="6"/>
        <v>56.577604107850611</v>
      </c>
    </row>
    <row r="16" spans="1:33">
      <c r="A16" s="1326" t="s">
        <v>1828</v>
      </c>
      <c r="B16" s="1332">
        <f>[3]Finanicals!H121</f>
        <v>-160.49700000000001</v>
      </c>
      <c r="C16" s="1332">
        <f>[3]Finanicals!I121</f>
        <v>-150</v>
      </c>
      <c r="D16" s="1332">
        <f>[3]Finanicals!J121</f>
        <v>-180</v>
      </c>
      <c r="E16" s="1332">
        <f>D16/D7*E7*0.9</f>
        <v>-185.35229484676836</v>
      </c>
      <c r="F16" s="1332">
        <f>E16/E7*F7*0.9</f>
        <v>-187.52739872033234</v>
      </c>
      <c r="G16" s="1332">
        <f t="shared" ref="G16:M16" si="7">F16/F7*G7</f>
        <v>-207.05837133179492</v>
      </c>
      <c r="H16" s="1332">
        <f t="shared" si="7"/>
        <v>-224.48232669282376</v>
      </c>
      <c r="I16" s="1332">
        <f t="shared" si="7"/>
        <v>-238.88286080936942</v>
      </c>
      <c r="J16" s="1332">
        <f t="shared" si="7"/>
        <v>-251.81836012331578</v>
      </c>
      <c r="K16" s="1332">
        <f t="shared" si="7"/>
        <v>-265.45431631363317</v>
      </c>
      <c r="L16" s="1332">
        <f t="shared" si="7"/>
        <v>-279.82865909789547</v>
      </c>
      <c r="M16" s="1332">
        <f t="shared" si="7"/>
        <v>-294.98137208667669</v>
      </c>
    </row>
    <row r="17" spans="1:33" ht="13">
      <c r="A17" s="1336" t="s">
        <v>1829</v>
      </c>
      <c r="B17" s="1337">
        <f>B12+B14+B15+B16</f>
        <v>-765.77200000000016</v>
      </c>
      <c r="C17" s="1337">
        <f t="shared" ref="C17:M17" si="8">C12+C14+C15+C16</f>
        <v>-491.46725199831252</v>
      </c>
      <c r="D17" s="1337">
        <f t="shared" si="8"/>
        <v>-116.818794874757</v>
      </c>
      <c r="E17" s="1337">
        <f t="shared" si="8"/>
        <v>-43.927616651627801</v>
      </c>
      <c r="F17" s="1337">
        <f t="shared" si="8"/>
        <v>41.682024449533088</v>
      </c>
      <c r="G17" s="1337">
        <f t="shared" si="8"/>
        <v>93.031349610025956</v>
      </c>
      <c r="H17" s="1337">
        <f t="shared" si="8"/>
        <v>170.13885581435792</v>
      </c>
      <c r="I17" s="1337">
        <f t="shared" si="8"/>
        <v>200.12731931009617</v>
      </c>
      <c r="J17" s="1337">
        <f t="shared" si="8"/>
        <v>214.10968495105598</v>
      </c>
      <c r="K17" s="1337">
        <f t="shared" si="8"/>
        <v>179.68679065914347</v>
      </c>
      <c r="L17" s="1337">
        <f t="shared" si="8"/>
        <v>194.61699553905004</v>
      </c>
      <c r="M17" s="1337">
        <f t="shared" si="8"/>
        <v>192.70446857695197</v>
      </c>
    </row>
    <row r="19" spans="1:33">
      <c r="A19" s="1326" t="s">
        <v>1830</v>
      </c>
      <c r="B19" s="1342">
        <v>0.02</v>
      </c>
    </row>
    <row r="20" spans="1:33">
      <c r="A20" s="1326" t="s">
        <v>1831</v>
      </c>
      <c r="B20" s="1342">
        <v>0.11</v>
      </c>
    </row>
    <row r="21" spans="1:33" ht="13">
      <c r="A21" s="1343" t="s">
        <v>1832</v>
      </c>
      <c r="B21" s="1344">
        <f>M17*(1+B19)/(B20-B19)</f>
        <v>2183.9839772054556</v>
      </c>
    </row>
    <row r="23" spans="1:33">
      <c r="A23" s="1326" t="s">
        <v>1833</v>
      </c>
      <c r="B23" s="1332">
        <f ca="1">-PV(B20, (DATE(M6,12,31)-TODAY())/365,0,B21)</f>
        <v>1699.6133207087603</v>
      </c>
    </row>
    <row r="24" spans="1:33">
      <c r="A24" s="1326" t="s">
        <v>1834</v>
      </c>
      <c r="B24" s="1332">
        <f>NPV(B20,C17:M17)</f>
        <v>-6.8376534931592925</v>
      </c>
    </row>
    <row r="25" spans="1:33" s="1347" customFormat="1" ht="13">
      <c r="A25" s="1345" t="s">
        <v>1835</v>
      </c>
      <c r="B25" s="1344">
        <f ca="1">B23+B24</f>
        <v>1692.7756672156011</v>
      </c>
      <c r="C25" s="1325"/>
      <c r="D25" s="1325"/>
      <c r="E25" s="1325"/>
      <c r="F25" s="1325"/>
      <c r="G25" s="1325"/>
      <c r="H25" s="1325"/>
      <c r="I25" s="1325"/>
      <c r="J25" s="1325"/>
      <c r="K25" s="1325"/>
      <c r="L25" s="1325"/>
      <c r="M25" s="1325"/>
      <c r="N25" s="1325"/>
      <c r="O25" s="1325"/>
      <c r="P25" s="1325"/>
      <c r="Q25" s="1325"/>
      <c r="R25" s="1325"/>
      <c r="S25" s="1325"/>
      <c r="T25" s="1325"/>
      <c r="U25" s="1325"/>
      <c r="V25" s="1325"/>
      <c r="W25" s="1325"/>
      <c r="X25" s="1325"/>
      <c r="Y25" s="1325"/>
      <c r="Z25" s="1325"/>
      <c r="AA25" s="1325"/>
      <c r="AB25" s="1325"/>
      <c r="AC25" s="1325"/>
      <c r="AD25" s="1346"/>
      <c r="AE25" s="1346"/>
      <c r="AF25" s="1346"/>
      <c r="AG25" s="1346"/>
    </row>
    <row r="26" spans="1:33">
      <c r="A26" s="1326" t="s">
        <v>1836</v>
      </c>
      <c r="B26" s="1279">
        <f>-[3]Finanicals!J150</f>
        <v>-4525.2895520496804</v>
      </c>
    </row>
    <row r="27" spans="1:33" ht="13">
      <c r="A27" s="1345" t="s">
        <v>1837</v>
      </c>
      <c r="B27" s="1344">
        <f ca="1">B25-B26</f>
        <v>6218.0652192652815</v>
      </c>
    </row>
    <row r="28" spans="1:33">
      <c r="A28" s="1326" t="s">
        <v>1838</v>
      </c>
      <c r="B28" s="1348">
        <v>6.7</v>
      </c>
    </row>
    <row r="29" spans="1:33" ht="13">
      <c r="A29" s="1345" t="s">
        <v>1839</v>
      </c>
      <c r="B29" s="1344">
        <f ca="1">B27/B28</f>
        <v>928.069435711236</v>
      </c>
    </row>
    <row r="30" spans="1:33">
      <c r="A30" s="1326" t="s">
        <v>1840</v>
      </c>
      <c r="B30" s="1349">
        <f>[3]Finanicals!J159</f>
        <v>123.071955</v>
      </c>
    </row>
    <row r="31" spans="1:33" ht="13.5" thickBot="1">
      <c r="A31" s="1350" t="s">
        <v>1841</v>
      </c>
      <c r="B31" s="1351">
        <f ca="1">ROUND(B29/B30,0)</f>
        <v>8</v>
      </c>
    </row>
    <row r="32" spans="1:33">
      <c r="A32" s="1352" t="s">
        <v>1842</v>
      </c>
      <c r="B32" s="1348">
        <v>5</v>
      </c>
    </row>
    <row r="33" spans="1:33" ht="13">
      <c r="A33" s="1353" t="s">
        <v>1843</v>
      </c>
      <c r="B33" s="1354">
        <f ca="1">B31/B32-1</f>
        <v>0.60000000000000009</v>
      </c>
    </row>
    <row r="34" spans="1:33" ht="13">
      <c r="A34" s="1355" t="s">
        <v>1844</v>
      </c>
      <c r="B34" s="1356">
        <f ca="1">$B$31/([3]Finanicals!H14/[3]Finanicals!H159/[3]Finanicals!H152)</f>
        <v>2.8416465380687321</v>
      </c>
    </row>
    <row r="35" spans="1:33" ht="13">
      <c r="A35" s="1355" t="s">
        <v>1845</v>
      </c>
      <c r="B35" s="1357">
        <f ca="1">B31/([3]Finanicals!I14/[3]Finanicals!I159/[3]Finanicals!I152)</f>
        <v>2.9776217867694927</v>
      </c>
    </row>
    <row r="38" spans="1:33" ht="13">
      <c r="A38" s="1330" t="s">
        <v>1846</v>
      </c>
      <c r="B38" s="1358"/>
    </row>
    <row r="39" spans="1:33">
      <c r="A39" s="1326" t="s">
        <v>1847</v>
      </c>
      <c r="B39" s="1357">
        <v>26</v>
      </c>
    </row>
    <row r="40" spans="1:33">
      <c r="A40" s="1326" t="s">
        <v>1848</v>
      </c>
      <c r="B40" s="1357">
        <v>85.852919</v>
      </c>
    </row>
    <row r="41" spans="1:33">
      <c r="A41" s="1326" t="s">
        <v>1849</v>
      </c>
      <c r="B41" s="1357">
        <v>37.406666000000001</v>
      </c>
    </row>
    <row r="42" spans="1:33">
      <c r="A42" s="1326" t="s">
        <v>1850</v>
      </c>
      <c r="B42" s="1357">
        <v>36.812868000000002</v>
      </c>
      <c r="C42" s="1326" t="s">
        <v>1851</v>
      </c>
    </row>
    <row r="43" spans="1:33">
      <c r="A43" s="1326" t="s">
        <v>1852</v>
      </c>
      <c r="B43" s="1357">
        <v>2.3634689999999998</v>
      </c>
    </row>
    <row r="44" spans="1:33" s="1347" customFormat="1" ht="13">
      <c r="A44" s="1345" t="s">
        <v>1853</v>
      </c>
      <c r="B44" s="1359">
        <f>SUM(B39:B43)</f>
        <v>188.43592200000003</v>
      </c>
      <c r="C44" s="1325"/>
      <c r="D44" s="1325"/>
      <c r="E44" s="1325"/>
      <c r="F44" s="1325"/>
      <c r="G44" s="1325"/>
      <c r="H44" s="1325"/>
      <c r="I44" s="1325"/>
      <c r="J44" s="1325"/>
      <c r="K44" s="1325"/>
      <c r="L44" s="1325"/>
      <c r="M44" s="1325"/>
      <c r="N44" s="1325"/>
      <c r="O44" s="1325"/>
      <c r="P44" s="1325"/>
      <c r="Q44" s="1325"/>
      <c r="R44" s="1325"/>
      <c r="S44" s="1325"/>
      <c r="T44" s="1325"/>
      <c r="U44" s="1325"/>
      <c r="V44" s="1325"/>
      <c r="W44" s="1325"/>
      <c r="X44" s="1325"/>
      <c r="Y44" s="1325"/>
      <c r="Z44" s="1325"/>
      <c r="AA44" s="1325"/>
      <c r="AB44" s="1325"/>
      <c r="AC44" s="1325"/>
      <c r="AD44" s="1346"/>
      <c r="AE44" s="1346"/>
      <c r="AF44" s="1346"/>
      <c r="AG44" s="1346"/>
    </row>
    <row r="45" spans="1:33">
      <c r="A45" s="1326" t="s">
        <v>1854</v>
      </c>
      <c r="B45" s="1357">
        <v>93.75</v>
      </c>
      <c r="C45" s="1326" t="s">
        <v>1855</v>
      </c>
    </row>
    <row r="46" spans="1:33">
      <c r="A46" s="1326" t="s">
        <v>1852</v>
      </c>
      <c r="B46" s="1357">
        <v>4.7849700000000004</v>
      </c>
    </row>
    <row r="47" spans="1:33" ht="13">
      <c r="A47" s="1345" t="s">
        <v>1856</v>
      </c>
      <c r="B47" s="1359">
        <f>SUM(B44:B46)</f>
        <v>286.97089199999999</v>
      </c>
    </row>
    <row r="48" spans="1:33">
      <c r="A48" s="1326" t="s">
        <v>1857</v>
      </c>
      <c r="B48" s="1357">
        <v>90.909091000000004</v>
      </c>
      <c r="C48" s="1326" t="s">
        <v>1858</v>
      </c>
    </row>
    <row r="49" spans="1:33">
      <c r="A49" s="1326" t="s">
        <v>1852</v>
      </c>
      <c r="B49" s="1357">
        <v>1.5907739999999999</v>
      </c>
    </row>
    <row r="50" spans="1:33" ht="13">
      <c r="A50" s="1345" t="s">
        <v>1859</v>
      </c>
      <c r="B50" s="1359">
        <f>SUM(B47:B49)</f>
        <v>379.47075699999999</v>
      </c>
    </row>
    <row r="53" spans="1:33" s="1365" customFormat="1" ht="26">
      <c r="A53" s="1360" t="s">
        <v>1860</v>
      </c>
      <c r="B53" s="1361" t="s">
        <v>1861</v>
      </c>
      <c r="C53" s="1362" t="s">
        <v>1862</v>
      </c>
      <c r="D53" s="1363"/>
      <c r="E53" s="1363"/>
      <c r="F53" s="1363"/>
      <c r="G53" s="1363"/>
      <c r="H53" s="1363"/>
      <c r="I53" s="1363"/>
      <c r="J53" s="1363"/>
      <c r="K53" s="1363"/>
      <c r="L53" s="1363"/>
      <c r="M53" s="1363"/>
      <c r="N53" s="1363"/>
      <c r="O53" s="1363"/>
      <c r="P53" s="1363"/>
      <c r="Q53" s="1363"/>
      <c r="R53" s="1363"/>
      <c r="S53" s="1363"/>
      <c r="T53" s="1363"/>
      <c r="U53" s="1363"/>
      <c r="V53" s="1363"/>
      <c r="W53" s="1363"/>
      <c r="X53" s="1363"/>
      <c r="Y53" s="1363"/>
      <c r="Z53" s="1363"/>
      <c r="AA53" s="1363"/>
      <c r="AB53" s="1363"/>
      <c r="AC53" s="1363"/>
      <c r="AD53" s="1364"/>
      <c r="AE53" s="1364"/>
      <c r="AF53" s="1364"/>
      <c r="AG53" s="1364"/>
    </row>
    <row r="54" spans="1:33">
      <c r="A54" s="1366" t="s">
        <v>1863</v>
      </c>
      <c r="B54" s="1367">
        <v>0.26500000000000001</v>
      </c>
      <c r="C54" s="1368">
        <v>0.188</v>
      </c>
    </row>
    <row r="55" spans="1:33">
      <c r="A55" s="1369" t="s">
        <v>1864</v>
      </c>
      <c r="B55" s="1370">
        <v>0.20599999999999999</v>
      </c>
      <c r="C55" s="1371">
        <v>0.14599999999999999</v>
      </c>
    </row>
    <row r="56" spans="1:33">
      <c r="A56" s="1369" t="s">
        <v>1865</v>
      </c>
      <c r="B56" s="1370">
        <v>7.1999999999999995E-2</v>
      </c>
      <c r="C56" s="1371">
        <v>5.0999999999999997E-2</v>
      </c>
    </row>
    <row r="57" spans="1:33">
      <c r="A57" s="1369" t="s">
        <v>1866</v>
      </c>
      <c r="B57" s="1370">
        <f>0.05+0.038</f>
        <v>8.7999999999999995E-2</v>
      </c>
      <c r="C57" s="1371">
        <v>0.20200000000000001</v>
      </c>
    </row>
    <row r="58" spans="1:33">
      <c r="A58" s="1372" t="s">
        <v>1867</v>
      </c>
      <c r="B58" s="1373">
        <v>7.3999999999999996E-2</v>
      </c>
      <c r="C58" s="1374">
        <v>0.17</v>
      </c>
    </row>
  </sheetData>
  <phoneticPr fontId="11" type="noConversion"/>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7:L25"/>
  <sheetViews>
    <sheetView workbookViewId="0"/>
  </sheetViews>
  <sheetFormatPr defaultColWidth="9" defaultRowHeight="15"/>
  <cols>
    <col min="1" max="3" width="9" style="194"/>
    <col min="4" max="4" width="25.08203125" style="194" bestFit="1" customWidth="1"/>
    <col min="5" max="16384" width="9" style="194"/>
  </cols>
  <sheetData>
    <row r="7" spans="4:12">
      <c r="D7" s="1139"/>
      <c r="E7" s="1140" t="s">
        <v>1593</v>
      </c>
      <c r="F7" s="1140" t="s">
        <v>1594</v>
      </c>
      <c r="G7" s="1140" t="s">
        <v>1595</v>
      </c>
      <c r="H7" s="1140" t="s">
        <v>1596</v>
      </c>
      <c r="I7" s="1140" t="s">
        <v>1597</v>
      </c>
      <c r="J7" s="1140" t="s">
        <v>2036</v>
      </c>
      <c r="K7" s="1140" t="s">
        <v>2066</v>
      </c>
      <c r="L7" s="1140" t="s">
        <v>2077</v>
      </c>
    </row>
    <row r="8" spans="4:12">
      <c r="D8" s="1141" t="s">
        <v>1598</v>
      </c>
      <c r="E8" s="1142">
        <v>164</v>
      </c>
      <c r="F8" s="1142">
        <f>E8+51</f>
        <v>215</v>
      </c>
      <c r="G8" s="1143">
        <v>308</v>
      </c>
      <c r="H8" s="1143">
        <v>415</v>
      </c>
      <c r="I8" s="1143">
        <v>509</v>
      </c>
      <c r="J8" s="1143">
        <v>536</v>
      </c>
      <c r="K8" s="1143" t="str">
        <f>'TOUR (RMB)'!AD140</f>
        <v>&gt;500</v>
      </c>
      <c r="L8" s="1143" t="str">
        <f>'TOUR (RMB)'!AE140</f>
        <v>~500</v>
      </c>
    </row>
    <row r="9" spans="4:12">
      <c r="D9" s="1141" t="s">
        <v>1599</v>
      </c>
      <c r="E9" s="1144">
        <v>0.09</v>
      </c>
      <c r="F9" s="1144">
        <v>0.1</v>
      </c>
      <c r="G9" s="1144">
        <v>0.13</v>
      </c>
      <c r="H9" s="1145">
        <v>0.15</v>
      </c>
      <c r="I9" s="1145">
        <v>0.17</v>
      </c>
      <c r="J9" s="1145">
        <v>0.2</v>
      </c>
      <c r="K9" s="1145">
        <f>'TOUR (RMB)'!AD141</f>
        <v>0.22</v>
      </c>
      <c r="L9" s="1145" t="s">
        <v>2082</v>
      </c>
    </row>
    <row r="12" spans="4:12">
      <c r="D12" s="1139"/>
      <c r="E12" s="1140" t="s">
        <v>1594</v>
      </c>
      <c r="F12" s="1140" t="s">
        <v>1595</v>
      </c>
      <c r="G12" s="1140" t="s">
        <v>1596</v>
      </c>
      <c r="H12" s="1140" t="s">
        <v>1597</v>
      </c>
      <c r="I12" s="2015"/>
    </row>
    <row r="13" spans="4:12">
      <c r="D13" s="1141" t="s">
        <v>1600</v>
      </c>
      <c r="E13" s="1144">
        <v>2</v>
      </c>
      <c r="F13" s="1144">
        <v>1.3</v>
      </c>
      <c r="G13" s="1144">
        <v>1.2</v>
      </c>
      <c r="H13" s="1145">
        <v>1.4</v>
      </c>
      <c r="I13" s="2015"/>
    </row>
    <row r="16" spans="4:12">
      <c r="D16" s="1139"/>
      <c r="E16" s="1140" t="s">
        <v>1594</v>
      </c>
      <c r="F16" s="1140" t="s">
        <v>1595</v>
      </c>
      <c r="G16" s="1140" t="s">
        <v>1596</v>
      </c>
      <c r="H16" s="1140" t="s">
        <v>1597</v>
      </c>
      <c r="I16" s="1140" t="s">
        <v>2036</v>
      </c>
      <c r="J16" s="1140" t="s">
        <v>2066</v>
      </c>
    </row>
    <row r="17" spans="3:10">
      <c r="D17" s="1141" t="s">
        <v>2068</v>
      </c>
      <c r="E17" s="1144">
        <v>0.4</v>
      </c>
      <c r="F17" s="1144">
        <v>0.55000000000000004</v>
      </c>
      <c r="G17" s="1145">
        <v>0.6</v>
      </c>
      <c r="H17" s="1145">
        <v>0.6</v>
      </c>
      <c r="I17" s="1145">
        <f>'TOUR (RMB)'!AC152</f>
        <v>0.6</v>
      </c>
      <c r="J17" s="1145">
        <f>'TOUR (RMB)'!AD152</f>
        <v>0.6</v>
      </c>
    </row>
    <row r="20" spans="3:10">
      <c r="D20" s="1139"/>
      <c r="E20" s="1140" t="s">
        <v>1594</v>
      </c>
      <c r="F20" s="1140" t="s">
        <v>1595</v>
      </c>
      <c r="G20" s="1140" t="s">
        <v>1596</v>
      </c>
      <c r="H20" s="1146" t="s">
        <v>1597</v>
      </c>
      <c r="I20" s="1147">
        <v>2017</v>
      </c>
      <c r="J20" s="1140">
        <v>2018</v>
      </c>
    </row>
    <row r="21" spans="3:10">
      <c r="D21" s="1141" t="s">
        <v>1601</v>
      </c>
      <c r="E21" s="1148">
        <v>21</v>
      </c>
      <c r="F21" s="1148">
        <v>25</v>
      </c>
      <c r="G21" s="1148">
        <v>26</v>
      </c>
      <c r="H21" s="1149">
        <v>29</v>
      </c>
      <c r="I21" s="3536"/>
      <c r="J21" s="3537"/>
    </row>
    <row r="22" spans="3:10">
      <c r="C22" s="2015"/>
      <c r="D22" s="1150" t="s">
        <v>1602</v>
      </c>
      <c r="E22" s="1142">
        <v>20</v>
      </c>
      <c r="F22" s="1142">
        <v>21</v>
      </c>
      <c r="G22" s="1142">
        <v>22</v>
      </c>
      <c r="H22" s="1151">
        <v>25</v>
      </c>
      <c r="I22" s="3538"/>
      <c r="J22" s="3539"/>
    </row>
    <row r="23" spans="3:10" ht="15.5" thickBot="1">
      <c r="C23" s="2015"/>
      <c r="D23" s="1152" t="s">
        <v>1603</v>
      </c>
      <c r="E23" s="1153">
        <v>1</v>
      </c>
      <c r="F23" s="1153">
        <v>4</v>
      </c>
      <c r="G23" s="1153">
        <v>4</v>
      </c>
      <c r="H23" s="1154">
        <v>4</v>
      </c>
      <c r="I23" s="3538"/>
      <c r="J23" s="3539"/>
    </row>
    <row r="24" spans="3:10" ht="16" thickTop="1" thickBot="1">
      <c r="D24" s="1155" t="s">
        <v>1604</v>
      </c>
      <c r="E24" s="1156"/>
      <c r="F24" s="1157" t="s">
        <v>1605</v>
      </c>
      <c r="G24" s="1158" t="s">
        <v>1606</v>
      </c>
      <c r="H24" s="1159"/>
      <c r="I24" s="3540"/>
      <c r="J24" s="3541"/>
    </row>
    <row r="25" spans="3:10" ht="15.5" thickTop="1">
      <c r="D25" s="1160" t="s">
        <v>1607</v>
      </c>
      <c r="E25" s="3542"/>
      <c r="F25" s="3543"/>
      <c r="G25" s="3543"/>
      <c r="H25" s="3544"/>
      <c r="I25" s="1161" t="s">
        <v>1608</v>
      </c>
      <c r="J25" s="1161" t="s">
        <v>1609</v>
      </c>
    </row>
  </sheetData>
  <mergeCells count="2">
    <mergeCell ref="I21:J24"/>
    <mergeCell ref="E25:H25"/>
  </mergeCells>
  <phoneticPr fontId="1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2:M50"/>
  <sheetViews>
    <sheetView workbookViewId="0"/>
  </sheetViews>
  <sheetFormatPr defaultColWidth="9" defaultRowHeight="15"/>
  <cols>
    <col min="1" max="1" width="9" style="194"/>
    <col min="2" max="2" width="20.5" style="194" bestFit="1" customWidth="1"/>
    <col min="3" max="11" width="9" style="194"/>
    <col min="12" max="12" width="9" style="194" customWidth="1"/>
    <col min="13" max="16384" width="9" style="194"/>
  </cols>
  <sheetData>
    <row r="2" spans="2:13">
      <c r="B2" s="1162" t="s">
        <v>1610</v>
      </c>
      <c r="C2" s="1163" t="s">
        <v>1188</v>
      </c>
      <c r="D2" s="1163" t="s">
        <v>1189</v>
      </c>
      <c r="E2" s="1163" t="s">
        <v>1190</v>
      </c>
      <c r="F2" s="1163" t="s">
        <v>1191</v>
      </c>
      <c r="G2" s="1163" t="s">
        <v>1192</v>
      </c>
      <c r="H2" s="1163" t="s">
        <v>1193</v>
      </c>
      <c r="I2" s="1163" t="s">
        <v>1309</v>
      </c>
      <c r="J2" s="1163" t="s">
        <v>1430</v>
      </c>
      <c r="K2" s="1163" t="s">
        <v>1768</v>
      </c>
      <c r="L2" s="1163" t="s">
        <v>1769</v>
      </c>
      <c r="M2" s="1163" t="s">
        <v>1770</v>
      </c>
    </row>
    <row r="3" spans="2:13">
      <c r="B3" s="1164" t="s">
        <v>1611</v>
      </c>
      <c r="C3" s="1165">
        <v>4009.3308279999997</v>
      </c>
      <c r="D3" s="1165">
        <v>3997.1284568000005</v>
      </c>
      <c r="E3" s="1165">
        <v>6678.1897592208843</v>
      </c>
      <c r="F3" s="1165">
        <v>3072.6211542219726</v>
      </c>
      <c r="G3" s="1165">
        <v>4227.0034045367993</v>
      </c>
      <c r="H3" s="1165">
        <v>4405.2352722392816</v>
      </c>
      <c r="I3" s="1165">
        <v>6789.9812510415613</v>
      </c>
      <c r="J3" s="1165">
        <v>3090.0164167813091</v>
      </c>
      <c r="K3" s="1165">
        <v>4031.7715461582548</v>
      </c>
      <c r="L3" s="1165">
        <v>4130.7300048585539</v>
      </c>
      <c r="M3" s="1165"/>
    </row>
    <row r="4" spans="2:13">
      <c r="B4" s="1166" t="s">
        <v>1612</v>
      </c>
      <c r="C4" s="1165">
        <v>5780</v>
      </c>
      <c r="D4" s="1165">
        <v>5465.0117515602169</v>
      </c>
      <c r="E4" s="1165">
        <v>9713.0733379777303</v>
      </c>
      <c r="F4" s="1165">
        <v>6470.3782444145054</v>
      </c>
      <c r="G4" s="1165">
        <v>6967.2610856100646</v>
      </c>
      <c r="H4" s="1165">
        <v>8533.0112006254876</v>
      </c>
      <c r="I4" s="1165">
        <v>13982.81405681564</v>
      </c>
      <c r="J4" s="1165">
        <v>8256.9014894612374</v>
      </c>
      <c r="K4" s="1165">
        <v>10346.282952842381</v>
      </c>
      <c r="L4" s="1165">
        <v>11031.9</v>
      </c>
      <c r="M4" s="1165"/>
    </row>
    <row r="5" spans="2:13">
      <c r="B5" s="1164" t="s">
        <v>1613</v>
      </c>
      <c r="C5" s="1167">
        <v>0.29856868923076907</v>
      </c>
      <c r="D5" s="1167">
        <v>0.22958301242771029</v>
      </c>
      <c r="E5" s="1167">
        <v>0.25373899881772832</v>
      </c>
      <c r="F5" s="1167">
        <v>-1.3432212121997633E-3</v>
      </c>
      <c r="G5" s="1167">
        <v>5.4291497976828973E-2</v>
      </c>
      <c r="H5" s="1167">
        <v>0.1021000000000003</v>
      </c>
      <c r="I5" s="1167">
        <v>1.6739789651277981E-2</v>
      </c>
      <c r="J5" s="1167">
        <v>5.6613756419121586E-3</v>
      </c>
      <c r="K5" s="1167">
        <v>-4.6186823074001793E-2</v>
      </c>
      <c r="L5" s="1167">
        <v>-6.2313418107448837E-2</v>
      </c>
      <c r="M5" s="1167"/>
    </row>
    <row r="6" spans="2:13">
      <c r="B6" s="1166" t="s">
        <v>1614</v>
      </c>
      <c r="C6" s="1167">
        <v>0.28997830179314277</v>
      </c>
      <c r="D6" s="1167">
        <v>0.36270781391523976</v>
      </c>
      <c r="E6" s="1167">
        <v>0.49006193327100367</v>
      </c>
      <c r="F6" s="1167">
        <v>0.67704271642616964</v>
      </c>
      <c r="G6" s="1167">
        <v>0.19444778801539053</v>
      </c>
      <c r="H6" s="1167">
        <v>0.56138935990199523</v>
      </c>
      <c r="I6" s="1167">
        <v>0.43958699479220376</v>
      </c>
      <c r="J6" s="1167">
        <v>0.27610800753247022</v>
      </c>
      <c r="K6" s="1167">
        <f>K4/G4-1</f>
        <v>0.48498568170657896</v>
      </c>
      <c r="L6" s="1167">
        <f>L4/H4-1</f>
        <v>0.29284958622711499</v>
      </c>
      <c r="M6" s="1167"/>
    </row>
    <row r="17" spans="2:13">
      <c r="B17" s="1162"/>
      <c r="C17" s="1163" t="s">
        <v>1188</v>
      </c>
      <c r="D17" s="1163" t="s">
        <v>1189</v>
      </c>
      <c r="E17" s="1163" t="s">
        <v>1190</v>
      </c>
      <c r="F17" s="1163" t="s">
        <v>1191</v>
      </c>
      <c r="G17" s="1163" t="s">
        <v>1192</v>
      </c>
      <c r="H17" s="1163" t="s">
        <v>1193</v>
      </c>
      <c r="I17" s="1163" t="s">
        <v>1309</v>
      </c>
      <c r="J17" s="1163" t="s">
        <v>1430</v>
      </c>
      <c r="K17" s="1163" t="s">
        <v>1768</v>
      </c>
      <c r="L17" s="1163" t="s">
        <v>2067</v>
      </c>
      <c r="M17" s="1163" t="s">
        <v>2069</v>
      </c>
    </row>
    <row r="18" spans="2:13">
      <c r="B18" s="1166" t="s">
        <v>1615</v>
      </c>
      <c r="C18" s="1168">
        <v>8.8779902499978983E-2</v>
      </c>
      <c r="D18" s="1168">
        <v>8.488693912820558E-2</v>
      </c>
      <c r="E18" s="1168">
        <v>9.0450709215916553E-2</v>
      </c>
      <c r="F18" s="1168">
        <v>9.4414503265846675E-2</v>
      </c>
      <c r="G18" s="1168">
        <v>9.526346715685366E-2</v>
      </c>
      <c r="H18" s="1168">
        <v>9.9338394650044043E-2</v>
      </c>
      <c r="I18" s="1168">
        <v>9.3184793389958512E-2</v>
      </c>
      <c r="J18" s="1168">
        <v>0.11573368932858648</v>
      </c>
      <c r="K18" s="1168">
        <v>9.0754150082897014E-2</v>
      </c>
      <c r="L18" s="1168">
        <v>0.10397677880055661</v>
      </c>
      <c r="M18" s="1168"/>
    </row>
    <row r="19" spans="2:13">
      <c r="B19" s="1166" t="s">
        <v>1616</v>
      </c>
      <c r="C19" s="1168">
        <v>8.6701897202666064E-2</v>
      </c>
      <c r="D19" s="1168">
        <v>8.8891403535806338E-2</v>
      </c>
      <c r="E19" s="1168">
        <v>8.3022620581312268E-2</v>
      </c>
      <c r="F19" s="1168">
        <v>7.910136912301774E-2</v>
      </c>
      <c r="G19" s="1168">
        <v>7.6956512401364044E-2</v>
      </c>
      <c r="H19" s="1168">
        <v>8.5056821389021098E-2</v>
      </c>
      <c r="I19" s="1168">
        <v>7.9530177243865699E-2</v>
      </c>
      <c r="J19" s="1168">
        <v>7.7262111822919408E-2</v>
      </c>
      <c r="K19" s="2047">
        <v>8.4000000000000005E-2</v>
      </c>
      <c r="L19" s="1168"/>
      <c r="M19" s="1168"/>
    </row>
    <row r="24" spans="2:13">
      <c r="B24" s="1321"/>
      <c r="C24" s="1322" t="s">
        <v>1188</v>
      </c>
      <c r="D24" s="1322" t="s">
        <v>1189</v>
      </c>
      <c r="E24" s="1322" t="s">
        <v>1190</v>
      </c>
      <c r="F24" s="1322" t="s">
        <v>1191</v>
      </c>
      <c r="G24" s="1322" t="s">
        <v>1192</v>
      </c>
      <c r="H24" s="1322" t="s">
        <v>1193</v>
      </c>
      <c r="I24" s="1322" t="s">
        <v>1309</v>
      </c>
      <c r="J24" s="1322" t="s">
        <v>1430</v>
      </c>
    </row>
    <row r="25" spans="2:13" ht="15.5">
      <c r="B25" s="1321" t="s">
        <v>1819</v>
      </c>
      <c r="C25" s="1323">
        <f>'TOUR Assumptions'!AD33</f>
        <v>4009.3308279999997</v>
      </c>
      <c r="D25" s="1323">
        <f>'TOUR Assumptions'!AE33</f>
        <v>3997.1284568000005</v>
      </c>
      <c r="E25" s="1323">
        <f>'TOUR Assumptions'!AF33</f>
        <v>6678.1897592208843</v>
      </c>
      <c r="F25" s="1323">
        <f>'TOUR Assumptions'!AG33</f>
        <v>3072.6211542219726</v>
      </c>
      <c r="G25" s="1323">
        <f>'TOUR Assumptions'!AH33</f>
        <v>4227.0034045367993</v>
      </c>
      <c r="H25" s="1323">
        <f>'TOUR Assumptions'!AI33</f>
        <v>4405.2352722392816</v>
      </c>
      <c r="I25" s="1323">
        <f>'TOUR Assumptions'!AJ33</f>
        <v>6789.9812510415613</v>
      </c>
      <c r="J25" s="1323">
        <f>'TOUR Assumptions'!AK33</f>
        <v>3090.0164167813091</v>
      </c>
    </row>
    <row r="26" spans="2:13" ht="15.5">
      <c r="B26" s="1321" t="s">
        <v>1816</v>
      </c>
      <c r="C26" s="1323">
        <v>5833.0394643589825</v>
      </c>
      <c r="D26" s="1323">
        <v>5465.0117515602169</v>
      </c>
      <c r="E26" s="1323">
        <v>9713.0733379777303</v>
      </c>
      <c r="F26" s="1323">
        <v>6470.3782444145054</v>
      </c>
      <c r="G26" s="1323">
        <v>6967.2610856100646</v>
      </c>
      <c r="H26" s="1323">
        <v>8533.0112006254876</v>
      </c>
      <c r="I26" s="1323">
        <v>13982.81405681564</v>
      </c>
      <c r="J26" s="1323">
        <v>8256.9014894612374</v>
      </c>
    </row>
    <row r="27" spans="2:13" ht="15.5">
      <c r="B27" s="1321" t="s">
        <v>1817</v>
      </c>
      <c r="C27" s="1324">
        <v>0.29856868923076907</v>
      </c>
      <c r="D27" s="1324">
        <v>0.22958301242771029</v>
      </c>
      <c r="E27" s="1324">
        <v>0.25373899881772832</v>
      </c>
      <c r="F27" s="1324">
        <v>-1.3432212121997633E-3</v>
      </c>
      <c r="G27" s="1324">
        <v>5.4291497976828973E-2</v>
      </c>
      <c r="H27" s="1324">
        <v>0.1021000000000003</v>
      </c>
      <c r="I27" s="1324">
        <v>1.6739789651277981E-2</v>
      </c>
      <c r="J27" s="1324">
        <v>5.6613756419121586E-3</v>
      </c>
    </row>
    <row r="28" spans="2:13" ht="15.5">
      <c r="B28" s="1321" t="s">
        <v>1818</v>
      </c>
      <c r="C28" s="1324">
        <v>0.28997830179314277</v>
      </c>
      <c r="D28" s="1324">
        <v>0.36270781391523976</v>
      </c>
      <c r="E28" s="1324">
        <v>0.49006193327100367</v>
      </c>
      <c r="F28" s="1324">
        <v>0.67704271642616964</v>
      </c>
      <c r="G28" s="1324">
        <v>0.19444778801539053</v>
      </c>
      <c r="H28" s="1324">
        <v>0.56138935990199523</v>
      </c>
      <c r="I28" s="1324">
        <v>0.43958699479220376</v>
      </c>
      <c r="J28" s="1324">
        <v>0.27610800753247022</v>
      </c>
    </row>
    <row r="29" spans="2:13">
      <c r="B29" s="1320"/>
      <c r="C29" s="1320"/>
      <c r="D29" s="1320"/>
      <c r="E29" s="1320"/>
      <c r="F29" s="1320"/>
      <c r="G29" s="1320"/>
      <c r="H29" s="1320"/>
      <c r="I29" s="1320"/>
      <c r="J29" s="1320"/>
    </row>
    <row r="30" spans="2:13">
      <c r="B30" s="1320"/>
      <c r="C30" s="1320"/>
      <c r="D30" s="1320"/>
      <c r="E30" s="1320"/>
      <c r="F30" s="1320"/>
      <c r="G30" s="1320"/>
      <c r="H30" s="1320"/>
      <c r="I30" s="1320"/>
      <c r="J30" s="1320"/>
    </row>
    <row r="31" spans="2:13">
      <c r="B31" s="1320"/>
      <c r="C31" s="1320"/>
      <c r="D31" s="1320"/>
      <c r="E31" s="1320"/>
      <c r="F31" s="1320"/>
      <c r="G31" s="1320"/>
      <c r="H31" s="1320"/>
      <c r="I31" s="1320"/>
      <c r="J31" s="1320"/>
    </row>
    <row r="32" spans="2:13">
      <c r="B32" s="1320"/>
      <c r="C32" s="1320"/>
      <c r="D32" s="1320"/>
      <c r="E32" s="1320"/>
      <c r="F32" s="1320"/>
      <c r="G32" s="1320"/>
      <c r="H32" s="1320"/>
      <c r="I32" s="1320"/>
      <c r="J32" s="1320"/>
    </row>
    <row r="33" spans="2:10">
      <c r="B33" s="1320"/>
      <c r="C33" s="1320"/>
      <c r="D33" s="1320"/>
      <c r="E33" s="1320"/>
      <c r="F33" s="1320"/>
      <c r="G33" s="1320"/>
      <c r="H33" s="1320"/>
      <c r="I33" s="1320"/>
      <c r="J33" s="1320"/>
    </row>
    <row r="34" spans="2:10">
      <c r="B34" s="1320"/>
      <c r="C34" s="1320"/>
      <c r="D34" s="1320"/>
      <c r="E34" s="1320"/>
      <c r="F34" s="1320"/>
      <c r="G34" s="1320"/>
      <c r="H34" s="1320"/>
      <c r="I34" s="1320"/>
      <c r="J34" s="1320"/>
    </row>
    <row r="35" spans="2:10">
      <c r="B35" s="1320"/>
      <c r="C35" s="1320"/>
      <c r="D35" s="1320"/>
      <c r="E35" s="1320"/>
      <c r="F35" s="1320"/>
      <c r="G35" s="1320"/>
      <c r="H35" s="1320"/>
      <c r="I35" s="1320"/>
      <c r="J35" s="1320"/>
    </row>
    <row r="36" spans="2:10">
      <c r="B36" s="1320"/>
      <c r="C36" s="1320"/>
      <c r="D36" s="1320"/>
      <c r="E36" s="1320"/>
      <c r="F36" s="1320"/>
      <c r="G36" s="1320"/>
      <c r="H36" s="1320"/>
      <c r="I36" s="1320"/>
      <c r="J36" s="1320"/>
    </row>
    <row r="37" spans="2:10">
      <c r="B37" s="1320"/>
      <c r="C37" s="1320"/>
      <c r="D37" s="1320"/>
      <c r="E37" s="1320"/>
      <c r="F37" s="1320"/>
      <c r="G37" s="1320"/>
      <c r="H37" s="1320"/>
      <c r="I37" s="1320"/>
      <c r="J37" s="1320"/>
    </row>
    <row r="38" spans="2:10">
      <c r="B38" s="1320"/>
      <c r="C38" s="1320"/>
      <c r="D38" s="1320"/>
      <c r="E38" s="1320"/>
      <c r="F38" s="1320"/>
      <c r="G38" s="1320"/>
      <c r="H38" s="1320"/>
      <c r="I38" s="1320"/>
      <c r="J38" s="1320"/>
    </row>
    <row r="39" spans="2:10">
      <c r="B39" s="1320"/>
      <c r="C39" s="1320"/>
      <c r="D39" s="1320"/>
      <c r="E39" s="1320"/>
      <c r="F39" s="1320"/>
      <c r="G39" s="1320"/>
      <c r="H39" s="1320"/>
      <c r="I39" s="1320"/>
      <c r="J39" s="1320"/>
    </row>
    <row r="40" spans="2:10">
      <c r="B40" s="1320"/>
      <c r="C40" s="1320"/>
      <c r="D40" s="1320"/>
      <c r="E40" s="1320"/>
      <c r="F40" s="1320"/>
      <c r="G40" s="1320"/>
      <c r="H40" s="1320"/>
      <c r="I40" s="1320"/>
      <c r="J40" s="1320"/>
    </row>
    <row r="41" spans="2:10">
      <c r="B41" s="1320"/>
      <c r="C41" s="1320"/>
      <c r="D41" s="1320"/>
      <c r="E41" s="1320"/>
      <c r="F41" s="1320"/>
      <c r="G41" s="1320"/>
      <c r="H41" s="1320"/>
      <c r="I41" s="1320"/>
      <c r="J41" s="1320"/>
    </row>
    <row r="42" spans="2:10">
      <c r="B42" s="1320"/>
      <c r="C42" s="1320"/>
      <c r="D42" s="1320"/>
      <c r="E42" s="1320"/>
      <c r="F42" s="1320"/>
      <c r="G42" s="1320"/>
      <c r="H42" s="1320"/>
      <c r="I42" s="1320"/>
      <c r="J42" s="1320"/>
    </row>
    <row r="43" spans="2:10">
      <c r="B43" s="1320"/>
      <c r="C43" s="1320"/>
      <c r="D43" s="1320"/>
      <c r="E43" s="1320"/>
      <c r="F43" s="1320"/>
      <c r="G43" s="1320"/>
      <c r="H43" s="1320"/>
      <c r="I43" s="1320"/>
      <c r="J43" s="1320"/>
    </row>
    <row r="44" spans="2:10">
      <c r="B44" s="1320"/>
      <c r="C44" s="1320"/>
      <c r="D44" s="1320"/>
      <c r="E44" s="1320"/>
      <c r="F44" s="1320"/>
      <c r="G44" s="1320"/>
      <c r="H44" s="1320"/>
      <c r="I44" s="1320"/>
      <c r="J44" s="1320"/>
    </row>
    <row r="45" spans="2:10">
      <c r="B45" s="1320"/>
      <c r="C45" s="1320"/>
      <c r="D45" s="1320"/>
      <c r="E45" s="1320"/>
      <c r="F45" s="1320"/>
      <c r="G45" s="1320"/>
      <c r="H45" s="1320"/>
      <c r="I45" s="1320"/>
      <c r="J45" s="1320"/>
    </row>
    <row r="46" spans="2:10">
      <c r="B46" s="1320"/>
      <c r="C46" s="1320"/>
      <c r="D46" s="1320"/>
      <c r="E46" s="1320"/>
      <c r="F46" s="1320"/>
      <c r="G46" s="1320"/>
      <c r="H46" s="1320"/>
      <c r="I46" s="1320"/>
      <c r="J46" s="1320"/>
    </row>
    <row r="47" spans="2:10">
      <c r="B47" s="1320"/>
      <c r="C47" s="1320"/>
      <c r="D47" s="1320"/>
      <c r="E47" s="1320"/>
      <c r="F47" s="1320"/>
      <c r="G47" s="1320"/>
      <c r="H47" s="1320"/>
      <c r="I47" s="1320"/>
      <c r="J47" s="1320"/>
    </row>
    <row r="48" spans="2:10">
      <c r="B48" s="1320"/>
      <c r="C48" s="1320"/>
      <c r="D48" s="1320"/>
      <c r="E48" s="1320"/>
      <c r="F48" s="1320"/>
      <c r="G48" s="1320"/>
      <c r="H48" s="1320"/>
      <c r="I48" s="1320"/>
      <c r="J48" s="1320"/>
    </row>
    <row r="49" spans="2:10">
      <c r="B49" s="1320"/>
      <c r="C49" s="1320"/>
      <c r="D49" s="1320"/>
      <c r="E49" s="1320"/>
      <c r="F49" s="1320"/>
      <c r="G49" s="1320"/>
      <c r="H49" s="1320"/>
      <c r="I49" s="1320"/>
      <c r="J49" s="1320"/>
    </row>
    <row r="50" spans="2:10">
      <c r="B50" s="1320"/>
      <c r="C50" s="1320"/>
      <c r="D50" s="1320"/>
      <c r="E50" s="1320"/>
      <c r="F50" s="1320"/>
      <c r="G50" s="1320"/>
      <c r="H50" s="1320"/>
      <c r="I50" s="1320"/>
      <c r="J50" s="1320"/>
    </row>
  </sheetData>
  <phoneticPr fontId="11"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pageSetUpPr fitToPage="1"/>
  </sheetPr>
  <dimension ref="A1:AE169"/>
  <sheetViews>
    <sheetView workbookViewId="0"/>
  </sheetViews>
  <sheetFormatPr defaultColWidth="9" defaultRowHeight="11.5" outlineLevelCol="1"/>
  <cols>
    <col min="1" max="1" width="33.58203125" style="159" customWidth="1"/>
    <col min="2" max="2" width="10.25" style="137" hidden="1" customWidth="1" outlineLevel="1"/>
    <col min="3" max="4" width="10.25" style="133" hidden="1" customWidth="1" outlineLevel="1"/>
    <col min="5" max="5" width="10.75" style="136" customWidth="1" collapsed="1"/>
    <col min="6" max="6" width="10.33203125" style="159" customWidth="1"/>
    <col min="7" max="7" width="10.08203125" style="133" customWidth="1"/>
    <col min="8" max="8" width="3.58203125" style="133" customWidth="1"/>
    <col min="9" max="9" width="10.25" style="133" customWidth="1"/>
    <col min="10" max="10" width="10.25" style="133" customWidth="1" collapsed="1"/>
    <col min="11" max="11" width="12" style="133" customWidth="1" collapsed="1"/>
    <col min="12" max="15" width="12.33203125" style="133" customWidth="1"/>
    <col min="16" max="16" width="12.33203125" style="133" customWidth="1" collapsed="1"/>
    <col min="17" max="20" width="12.33203125" style="133" customWidth="1"/>
    <col min="21" max="21" width="12.5" style="526" customWidth="1"/>
    <col min="22" max="24" width="11.25" style="133" bestFit="1" customWidth="1"/>
    <col min="25" max="25" width="11.33203125" style="133" customWidth="1"/>
    <col min="26" max="26" width="12.5" style="526" customWidth="1"/>
    <col min="27" max="28" width="11.25" style="133" bestFit="1" customWidth="1"/>
    <col min="29" max="30" width="9" style="133"/>
    <col min="31" max="31" width="9" style="136"/>
    <col min="32" max="16384" width="9" style="133"/>
  </cols>
  <sheetData>
    <row r="1" spans="1:31">
      <c r="A1" s="130"/>
      <c r="B1" s="15"/>
      <c r="C1" s="16"/>
      <c r="D1" s="16"/>
      <c r="E1" s="131"/>
      <c r="F1" s="130"/>
      <c r="G1" s="132"/>
      <c r="H1" s="132"/>
      <c r="I1" s="16"/>
      <c r="J1" s="16"/>
      <c r="K1" s="16"/>
      <c r="L1" s="16"/>
      <c r="M1" s="16"/>
      <c r="N1" s="16"/>
      <c r="O1" s="16"/>
      <c r="P1" s="16"/>
      <c r="Q1" s="16"/>
      <c r="R1" s="16"/>
      <c r="S1" s="16"/>
      <c r="T1" s="16"/>
      <c r="U1" s="522"/>
      <c r="Z1" s="522"/>
    </row>
    <row r="2" spans="1:31">
      <c r="A2" s="66"/>
      <c r="B2" s="17"/>
      <c r="C2" s="1"/>
      <c r="D2" s="1"/>
      <c r="G2" s="133" t="s">
        <v>15</v>
      </c>
      <c r="I2" s="1"/>
      <c r="J2" s="1"/>
      <c r="K2" s="1"/>
      <c r="L2" s="1"/>
      <c r="M2" s="1"/>
      <c r="N2" s="1"/>
      <c r="O2" s="1"/>
      <c r="P2" s="1"/>
      <c r="Q2" s="1"/>
      <c r="R2" s="1"/>
      <c r="S2" s="1"/>
      <c r="T2" s="1"/>
      <c r="U2" s="406"/>
      <c r="Z2" s="406"/>
    </row>
    <row r="3" spans="1:31" s="138" customFormat="1">
      <c r="A3" s="95" t="s">
        <v>40</v>
      </c>
      <c r="B3" s="18" t="s">
        <v>41</v>
      </c>
      <c r="C3" s="5" t="s">
        <v>41</v>
      </c>
      <c r="D3" s="5" t="s">
        <v>41</v>
      </c>
      <c r="E3" s="96" t="s">
        <v>41</v>
      </c>
      <c r="F3" s="61" t="s">
        <v>41</v>
      </c>
      <c r="G3" s="5" t="s">
        <v>10</v>
      </c>
      <c r="H3" s="5" t="s">
        <v>686</v>
      </c>
      <c r="I3" s="5" t="s">
        <v>686</v>
      </c>
      <c r="J3" s="5" t="s">
        <v>686</v>
      </c>
      <c r="K3" s="5" t="s">
        <v>686</v>
      </c>
      <c r="L3" s="5" t="s">
        <v>686</v>
      </c>
      <c r="M3" s="5" t="s">
        <v>686</v>
      </c>
      <c r="N3" s="5" t="s">
        <v>686</v>
      </c>
      <c r="O3" s="5" t="s">
        <v>686</v>
      </c>
      <c r="P3" s="5" t="s">
        <v>686</v>
      </c>
      <c r="Q3" s="5" t="s">
        <v>686</v>
      </c>
      <c r="R3" s="5" t="s">
        <v>686</v>
      </c>
      <c r="S3" s="5" t="s">
        <v>686</v>
      </c>
      <c r="T3" s="5" t="s">
        <v>686</v>
      </c>
      <c r="U3" s="523" t="s">
        <v>686</v>
      </c>
      <c r="V3" s="212" t="s">
        <v>686</v>
      </c>
      <c r="W3" s="212" t="s">
        <v>686</v>
      </c>
      <c r="X3" s="212" t="s">
        <v>686</v>
      </c>
      <c r="Y3" s="212" t="s">
        <v>686</v>
      </c>
      <c r="Z3" s="523" t="s">
        <v>776</v>
      </c>
      <c r="AA3" s="212" t="s">
        <v>686</v>
      </c>
      <c r="AB3" s="212" t="s">
        <v>686</v>
      </c>
      <c r="AC3" s="212" t="s">
        <v>686</v>
      </c>
      <c r="AD3" s="212" t="s">
        <v>686</v>
      </c>
      <c r="AE3" s="523" t="s">
        <v>776</v>
      </c>
    </row>
    <row r="4" spans="1:31" s="138" customFormat="1">
      <c r="A4" s="61" t="s">
        <v>42</v>
      </c>
      <c r="B4" s="18">
        <v>2009</v>
      </c>
      <c r="C4" s="5">
        <v>2010</v>
      </c>
      <c r="D4" s="5">
        <v>2011</v>
      </c>
      <c r="E4" s="96">
        <v>2012</v>
      </c>
      <c r="F4" s="61">
        <v>2015</v>
      </c>
      <c r="G4" s="5">
        <v>2009</v>
      </c>
      <c r="H4" s="5">
        <v>2010</v>
      </c>
      <c r="I4" s="5">
        <v>2011</v>
      </c>
      <c r="J4" s="5">
        <v>2012</v>
      </c>
      <c r="K4" s="5">
        <v>2013</v>
      </c>
      <c r="L4" s="5" t="s">
        <v>832</v>
      </c>
      <c r="M4" s="5" t="s">
        <v>829</v>
      </c>
      <c r="N4" s="5" t="s">
        <v>830</v>
      </c>
      <c r="O4" s="5" t="s">
        <v>831</v>
      </c>
      <c r="P4" s="5">
        <v>2014</v>
      </c>
      <c r="Q4" s="5" t="s">
        <v>828</v>
      </c>
      <c r="R4" s="5" t="s">
        <v>703</v>
      </c>
      <c r="S4" s="5" t="s">
        <v>699</v>
      </c>
      <c r="T4" s="5" t="s">
        <v>700</v>
      </c>
      <c r="U4" s="96">
        <v>2015</v>
      </c>
      <c r="V4" s="208" t="s">
        <v>696</v>
      </c>
      <c r="W4" s="208" t="s">
        <v>744</v>
      </c>
      <c r="X4" s="208" t="s">
        <v>760</v>
      </c>
      <c r="Y4" s="208" t="s">
        <v>775</v>
      </c>
      <c r="Z4" s="96">
        <v>2016</v>
      </c>
      <c r="AA4" s="208" t="s">
        <v>777</v>
      </c>
      <c r="AB4" s="208" t="s">
        <v>772</v>
      </c>
      <c r="AC4" s="208" t="s">
        <v>773</v>
      </c>
      <c r="AD4" s="208" t="s">
        <v>774</v>
      </c>
      <c r="AE4" s="96">
        <v>2017</v>
      </c>
    </row>
    <row r="5" spans="1:31" hidden="1">
      <c r="A5" s="62" t="s">
        <v>43</v>
      </c>
      <c r="B5" s="139" t="s">
        <v>20</v>
      </c>
      <c r="C5" s="140" t="s">
        <v>20</v>
      </c>
      <c r="D5" s="140" t="s">
        <v>20</v>
      </c>
      <c r="E5" s="141" t="s">
        <v>20</v>
      </c>
      <c r="F5" s="449"/>
      <c r="G5" s="140" t="s">
        <v>20</v>
      </c>
      <c r="H5" s="140" t="s">
        <v>20</v>
      </c>
      <c r="I5" s="12" t="s">
        <v>20</v>
      </c>
      <c r="J5" s="12"/>
      <c r="K5" s="12"/>
      <c r="L5" s="12"/>
      <c r="M5" s="12"/>
      <c r="N5" s="12"/>
      <c r="O5" s="12"/>
      <c r="P5" s="12"/>
      <c r="Q5" s="12"/>
      <c r="R5" s="12"/>
      <c r="S5" s="12"/>
      <c r="T5" s="12"/>
      <c r="U5" s="518"/>
      <c r="Z5" s="518"/>
    </row>
    <row r="6" spans="1:31" s="424" customFormat="1">
      <c r="A6" s="435" t="s">
        <v>52</v>
      </c>
      <c r="B6" s="423" t="e">
        <f>SUM(#REF!)</f>
        <v>#REF!</v>
      </c>
      <c r="C6" s="424" t="e">
        <f>SUM(#REF!)</f>
        <v>#REF!</v>
      </c>
      <c r="D6" s="424" t="e">
        <f>SUM(#REF!)</f>
        <v>#REF!</v>
      </c>
      <c r="E6" s="425">
        <v>707.72415599999999</v>
      </c>
      <c r="F6" s="442">
        <v>1774.82</v>
      </c>
      <c r="G6" s="424" t="e">
        <f>SUM(#REF!)</f>
        <v>#REF!</v>
      </c>
      <c r="H6" s="424" t="e">
        <f>SUM(#REF!)</f>
        <v>#REF!</v>
      </c>
      <c r="I6" s="427">
        <v>637.06299999999999</v>
      </c>
      <c r="J6" s="427">
        <v>763</v>
      </c>
      <c r="K6" s="427">
        <v>945</v>
      </c>
      <c r="L6" s="427">
        <v>281</v>
      </c>
      <c r="M6" s="427">
        <v>323</v>
      </c>
      <c r="N6" s="427">
        <v>354</v>
      </c>
      <c r="O6" s="427">
        <v>288</v>
      </c>
      <c r="P6" s="427">
        <v>1246</v>
      </c>
      <c r="Q6" s="427">
        <v>363</v>
      </c>
      <c r="R6" s="427">
        <v>405</v>
      </c>
      <c r="S6" s="427">
        <v>415</v>
      </c>
      <c r="T6" s="427">
        <v>309</v>
      </c>
      <c r="U6" s="430">
        <v>1492</v>
      </c>
      <c r="V6" s="424">
        <v>352</v>
      </c>
      <c r="W6" s="424">
        <v>391</v>
      </c>
      <c r="X6" s="424">
        <v>421</v>
      </c>
      <c r="Y6" s="424">
        <v>316</v>
      </c>
      <c r="Z6" s="430">
        <f>SUM(V6:Y6)</f>
        <v>1480</v>
      </c>
      <c r="AA6" s="424">
        <v>372</v>
      </c>
      <c r="AB6" s="424">
        <v>424</v>
      </c>
      <c r="AE6" s="430">
        <f>SUM(AA6:AD6)</f>
        <v>796</v>
      </c>
    </row>
    <row r="7" spans="1:31" s="424" customFormat="1">
      <c r="A7" s="422" t="s">
        <v>838</v>
      </c>
      <c r="B7" s="423"/>
      <c r="E7" s="425"/>
      <c r="F7" s="442">
        <v>713</v>
      </c>
      <c r="I7" s="427" t="s">
        <v>690</v>
      </c>
      <c r="J7" s="427">
        <v>732</v>
      </c>
      <c r="K7" s="427">
        <v>899</v>
      </c>
      <c r="L7" s="427">
        <v>266</v>
      </c>
      <c r="M7" s="427">
        <v>303</v>
      </c>
      <c r="N7" s="427">
        <v>315</v>
      </c>
      <c r="O7" s="427">
        <v>251</v>
      </c>
      <c r="P7" s="427">
        <v>1135</v>
      </c>
      <c r="Q7" s="427">
        <v>320</v>
      </c>
      <c r="R7" s="427">
        <v>343</v>
      </c>
      <c r="S7" s="427">
        <v>340</v>
      </c>
      <c r="T7" s="427">
        <v>260</v>
      </c>
      <c r="U7" s="430">
        <v>1263</v>
      </c>
      <c r="V7" s="424">
        <v>303</v>
      </c>
      <c r="W7" s="424">
        <v>316</v>
      </c>
      <c r="X7" s="424">
        <v>320</v>
      </c>
      <c r="Y7" s="424">
        <v>252</v>
      </c>
      <c r="Z7" s="430">
        <v>1190</v>
      </c>
      <c r="AA7" s="424">
        <v>314</v>
      </c>
      <c r="AB7" s="424">
        <v>326</v>
      </c>
      <c r="AE7" s="430">
        <f>SUM(AA7:AD7)</f>
        <v>640</v>
      </c>
    </row>
    <row r="8" spans="1:31" s="424" customFormat="1">
      <c r="A8" s="422" t="s">
        <v>835</v>
      </c>
      <c r="B8" s="423"/>
      <c r="E8" s="425"/>
      <c r="F8" s="442"/>
      <c r="I8" s="427"/>
      <c r="J8" s="427"/>
      <c r="K8" s="427"/>
      <c r="L8" s="427"/>
      <c r="M8" s="427"/>
      <c r="N8" s="427"/>
      <c r="O8" s="427"/>
      <c r="P8" s="427"/>
      <c r="Q8" s="427">
        <v>218</v>
      </c>
      <c r="R8" s="427">
        <v>237</v>
      </c>
      <c r="S8" s="427">
        <v>228</v>
      </c>
      <c r="T8" s="427">
        <v>154</v>
      </c>
      <c r="U8" s="430">
        <v>837</v>
      </c>
      <c r="V8" s="424">
        <v>189</v>
      </c>
      <c r="W8" s="424">
        <v>201</v>
      </c>
      <c r="X8" s="424">
        <v>206</v>
      </c>
      <c r="Y8" s="424">
        <v>154</v>
      </c>
      <c r="Z8" s="430">
        <v>750</v>
      </c>
      <c r="AA8" s="424">
        <v>211</v>
      </c>
      <c r="AB8" s="424">
        <v>214</v>
      </c>
      <c r="AE8" s="430"/>
    </row>
    <row r="9" spans="1:31" s="424" customFormat="1">
      <c r="A9" s="422" t="s">
        <v>836</v>
      </c>
      <c r="B9" s="423"/>
      <c r="E9" s="425"/>
      <c r="F9" s="442"/>
      <c r="I9" s="427"/>
      <c r="J9" s="427"/>
      <c r="K9" s="427"/>
      <c r="L9" s="427"/>
      <c r="M9" s="427"/>
      <c r="N9" s="427"/>
      <c r="O9" s="427"/>
      <c r="P9" s="427"/>
      <c r="Q9" s="427">
        <v>61</v>
      </c>
      <c r="R9" s="427">
        <v>68</v>
      </c>
      <c r="S9" s="427">
        <v>72</v>
      </c>
      <c r="T9" s="427">
        <v>71</v>
      </c>
      <c r="U9" s="430">
        <v>272</v>
      </c>
      <c r="V9" s="424">
        <v>68</v>
      </c>
      <c r="W9" s="424">
        <v>72</v>
      </c>
      <c r="X9" s="424">
        <v>73</v>
      </c>
      <c r="Y9" s="424">
        <v>69</v>
      </c>
      <c r="Z9" s="430">
        <v>282</v>
      </c>
      <c r="AA9" s="424">
        <v>65</v>
      </c>
      <c r="AB9" s="424">
        <v>74</v>
      </c>
      <c r="AE9" s="430"/>
    </row>
    <row r="10" spans="1:31" s="424" customFormat="1">
      <c r="A10" s="422" t="s">
        <v>837</v>
      </c>
      <c r="B10" s="423"/>
      <c r="E10" s="425"/>
      <c r="F10" s="442"/>
      <c r="I10" s="427"/>
      <c r="J10" s="427"/>
      <c r="K10" s="427"/>
      <c r="L10" s="427"/>
      <c r="M10" s="427"/>
      <c r="N10" s="427"/>
      <c r="O10" s="427"/>
      <c r="P10" s="427"/>
      <c r="Q10" s="427">
        <v>41</v>
      </c>
      <c r="R10" s="427">
        <v>38</v>
      </c>
      <c r="S10" s="427">
        <v>40</v>
      </c>
      <c r="T10" s="427">
        <v>35</v>
      </c>
      <c r="U10" s="430">
        <v>154</v>
      </c>
      <c r="V10" s="424">
        <v>46</v>
      </c>
      <c r="W10" s="424">
        <v>43</v>
      </c>
      <c r="X10" s="424">
        <v>41</v>
      </c>
      <c r="Y10" s="424">
        <v>29</v>
      </c>
      <c r="Z10" s="430">
        <v>158</v>
      </c>
      <c r="AA10" s="424">
        <v>38</v>
      </c>
      <c r="AB10" s="424">
        <v>38</v>
      </c>
      <c r="AE10" s="430"/>
    </row>
    <row r="11" spans="1:31" s="424" customFormat="1">
      <c r="A11" s="422" t="s">
        <v>839</v>
      </c>
      <c r="B11" s="423"/>
      <c r="E11" s="425"/>
      <c r="F11" s="442"/>
      <c r="I11" s="427"/>
      <c r="J11" s="427"/>
      <c r="K11" s="427"/>
      <c r="L11" s="427"/>
      <c r="M11" s="427"/>
      <c r="N11" s="427"/>
      <c r="O11" s="427"/>
      <c r="P11" s="427"/>
      <c r="Q11" s="427">
        <v>43</v>
      </c>
      <c r="R11" s="427">
        <v>62</v>
      </c>
      <c r="S11" s="427">
        <v>75</v>
      </c>
      <c r="T11" s="427">
        <v>49</v>
      </c>
      <c r="U11" s="430">
        <v>229</v>
      </c>
      <c r="V11" s="424">
        <v>49</v>
      </c>
      <c r="W11" s="424">
        <v>75</v>
      </c>
      <c r="X11" s="424">
        <v>101</v>
      </c>
      <c r="Y11" s="424">
        <v>64</v>
      </c>
      <c r="Z11" s="430">
        <v>290</v>
      </c>
      <c r="AA11" s="424">
        <v>58</v>
      </c>
      <c r="AB11" s="424">
        <v>98</v>
      </c>
      <c r="AE11" s="430"/>
    </row>
    <row r="12" spans="1:31" s="424" customFormat="1">
      <c r="A12" s="434" t="s">
        <v>53</v>
      </c>
      <c r="B12" s="423">
        <v>-19.712421512181542</v>
      </c>
      <c r="C12" s="424">
        <v>-28.102958181818185</v>
      </c>
      <c r="D12" s="424">
        <v>-36</v>
      </c>
      <c r="E12" s="425">
        <v>-40.192132999999998</v>
      </c>
      <c r="F12" s="442">
        <v>-92.528000000000006</v>
      </c>
      <c r="G12" s="426"/>
      <c r="H12" s="426"/>
      <c r="I12" s="426"/>
      <c r="J12" s="426"/>
      <c r="K12" s="426"/>
      <c r="L12" s="426"/>
      <c r="M12" s="426"/>
      <c r="N12" s="427"/>
      <c r="O12" s="426"/>
      <c r="P12" s="426"/>
      <c r="Q12" s="426"/>
      <c r="R12" s="426"/>
      <c r="S12" s="427"/>
      <c r="T12" s="426"/>
      <c r="U12" s="430"/>
      <c r="Z12" s="430"/>
      <c r="AE12" s="430"/>
    </row>
    <row r="13" spans="1:31" s="424" customFormat="1">
      <c r="A13" s="435" t="s">
        <v>54</v>
      </c>
      <c r="B13" s="423" t="e">
        <f>SUM(B6:B12)</f>
        <v>#REF!</v>
      </c>
      <c r="C13" s="424" t="e">
        <f>SUM(C6:C12)</f>
        <v>#REF!</v>
      </c>
      <c r="D13" s="424" t="e">
        <f>SUM(D6:D12)</f>
        <v>#REF!</v>
      </c>
      <c r="E13" s="425">
        <v>667.53202299999998</v>
      </c>
      <c r="F13" s="442">
        <f>SUM(F6:F12)</f>
        <v>2395.2919999999999</v>
      </c>
      <c r="G13" s="424" t="e">
        <f>SUM(G6:G12)</f>
        <v>#REF!</v>
      </c>
      <c r="H13" s="424" t="e">
        <f>SUM(H6:H12)</f>
        <v>#REF!</v>
      </c>
      <c r="I13" s="427">
        <f t="shared" ref="I13:T13" si="0">I6</f>
        <v>637.06299999999999</v>
      </c>
      <c r="J13" s="427">
        <f t="shared" si="0"/>
        <v>763</v>
      </c>
      <c r="K13" s="427">
        <f t="shared" si="0"/>
        <v>945</v>
      </c>
      <c r="L13" s="427">
        <f>L6</f>
        <v>281</v>
      </c>
      <c r="M13" s="427">
        <f>M6</f>
        <v>323</v>
      </c>
      <c r="N13" s="427">
        <f>N6</f>
        <v>354</v>
      </c>
      <c r="O13" s="427">
        <f>O6</f>
        <v>288</v>
      </c>
      <c r="P13" s="427">
        <f t="shared" si="0"/>
        <v>1246</v>
      </c>
      <c r="Q13" s="427">
        <f t="shared" si="0"/>
        <v>363</v>
      </c>
      <c r="R13" s="427">
        <f t="shared" si="0"/>
        <v>405</v>
      </c>
      <c r="S13" s="427">
        <f t="shared" si="0"/>
        <v>415</v>
      </c>
      <c r="T13" s="427">
        <f t="shared" si="0"/>
        <v>309</v>
      </c>
      <c r="U13" s="430">
        <f>U6</f>
        <v>1492</v>
      </c>
      <c r="V13" s="424">
        <v>352</v>
      </c>
      <c r="W13" s="424">
        <f>W6</f>
        <v>391</v>
      </c>
      <c r="X13" s="424">
        <f>X6</f>
        <v>421</v>
      </c>
      <c r="Y13" s="424">
        <f t="shared" ref="Y13:AD13" si="1">Y6</f>
        <v>316</v>
      </c>
      <c r="Z13" s="430">
        <f t="shared" si="1"/>
        <v>1480</v>
      </c>
      <c r="AA13" s="424">
        <f t="shared" si="1"/>
        <v>372</v>
      </c>
      <c r="AB13" s="424">
        <f t="shared" si="1"/>
        <v>424</v>
      </c>
      <c r="AC13" s="424">
        <f t="shared" si="1"/>
        <v>0</v>
      </c>
      <c r="AD13" s="424">
        <f t="shared" si="1"/>
        <v>0</v>
      </c>
      <c r="AE13" s="430">
        <f>AE6</f>
        <v>796</v>
      </c>
    </row>
    <row r="14" spans="1:31" s="424" customFormat="1">
      <c r="A14" s="422" t="s">
        <v>55</v>
      </c>
      <c r="B14" s="423">
        <v>-66.013679221787598</v>
      </c>
      <c r="C14" s="424">
        <v>-94.736566969696966</v>
      </c>
      <c r="D14" s="424">
        <v>-128</v>
      </c>
      <c r="E14" s="425">
        <v>-166.576956</v>
      </c>
      <c r="F14" s="442">
        <v>-469.82600000000002</v>
      </c>
      <c r="G14" s="424">
        <v>-43.561</v>
      </c>
      <c r="I14" s="424">
        <v>-10.872999999999999</v>
      </c>
      <c r="J14" s="424">
        <v>-12.074</v>
      </c>
      <c r="K14" s="424">
        <v>-17.713999999999999</v>
      </c>
      <c r="P14" s="424">
        <v>-40</v>
      </c>
      <c r="R14" s="424">
        <v>-16</v>
      </c>
      <c r="S14" s="424">
        <v>-16</v>
      </c>
      <c r="T14" s="424">
        <v>-12</v>
      </c>
      <c r="U14" s="430">
        <v>-58</v>
      </c>
      <c r="V14" s="424">
        <v>-16</v>
      </c>
      <c r="W14" s="424">
        <v>-20</v>
      </c>
      <c r="X14" s="424">
        <v>-19</v>
      </c>
      <c r="Y14" s="424">
        <v>-16</v>
      </c>
      <c r="Z14" s="430">
        <f>SUM(V14:Y14)</f>
        <v>-71</v>
      </c>
      <c r="AA14" s="424">
        <v>-17</v>
      </c>
      <c r="AB14" s="424">
        <v>-20</v>
      </c>
      <c r="AE14" s="430">
        <f>SUM(AA14:AD14)</f>
        <v>-37</v>
      </c>
    </row>
    <row r="15" spans="1:31" s="424" customFormat="1">
      <c r="A15" s="435" t="s">
        <v>19</v>
      </c>
      <c r="B15" s="423" t="e">
        <f>SUM(B13:B14)</f>
        <v>#REF!</v>
      </c>
      <c r="C15" s="424" t="e">
        <f>SUM(C13:C14)</f>
        <v>#REF!</v>
      </c>
      <c r="D15" s="424" t="e">
        <f>SUM(D13:D14)</f>
        <v>#REF!</v>
      </c>
      <c r="E15" s="425">
        <v>500.95506699999999</v>
      </c>
      <c r="F15" s="442">
        <f>SUM(F13:F14)</f>
        <v>1925.4659999999999</v>
      </c>
      <c r="G15" s="424" t="e">
        <f t="shared" ref="G15:V15" si="2">SUM(G13:G14)</f>
        <v>#REF!</v>
      </c>
      <c r="H15" s="424" t="e">
        <f t="shared" si="2"/>
        <v>#REF!</v>
      </c>
      <c r="I15" s="424">
        <f t="shared" si="2"/>
        <v>626.18999999999994</v>
      </c>
      <c r="J15" s="424">
        <f t="shared" si="2"/>
        <v>750.92600000000004</v>
      </c>
      <c r="K15" s="424">
        <f t="shared" si="2"/>
        <v>927.28600000000006</v>
      </c>
      <c r="L15" s="424">
        <f>SUM(L13:L14)</f>
        <v>281</v>
      </c>
      <c r="M15" s="424">
        <f>SUM(M13:M14)</f>
        <v>323</v>
      </c>
      <c r="N15" s="424">
        <f>SUM(N13:N14)</f>
        <v>354</v>
      </c>
      <c r="O15" s="424">
        <f>SUM(O13:O14)</f>
        <v>288</v>
      </c>
      <c r="P15" s="424">
        <f t="shared" si="2"/>
        <v>1206</v>
      </c>
      <c r="R15" s="424">
        <f>SUM(R13:R14)</f>
        <v>389</v>
      </c>
      <c r="S15" s="424">
        <f>SUM(S13:S14)</f>
        <v>399</v>
      </c>
      <c r="T15" s="424">
        <f>SUM(T13:T14)</f>
        <v>297</v>
      </c>
      <c r="U15" s="430">
        <f t="shared" si="2"/>
        <v>1434</v>
      </c>
      <c r="V15" s="424">
        <f t="shared" si="2"/>
        <v>336</v>
      </c>
      <c r="W15" s="424">
        <f t="shared" ref="W15:AD15" si="3">SUM(W13:W14)</f>
        <v>371</v>
      </c>
      <c r="X15" s="424">
        <f t="shared" si="3"/>
        <v>402</v>
      </c>
      <c r="Y15" s="424">
        <f t="shared" si="3"/>
        <v>300</v>
      </c>
      <c r="Z15" s="430">
        <f t="shared" si="3"/>
        <v>1409</v>
      </c>
      <c r="AA15" s="424">
        <f t="shared" si="3"/>
        <v>355</v>
      </c>
      <c r="AB15" s="424">
        <f t="shared" si="3"/>
        <v>404</v>
      </c>
      <c r="AC15" s="424">
        <f t="shared" si="3"/>
        <v>0</v>
      </c>
      <c r="AD15" s="424">
        <f t="shared" si="3"/>
        <v>0</v>
      </c>
      <c r="AE15" s="430">
        <f>SUM(AE13:AE14)</f>
        <v>759</v>
      </c>
    </row>
    <row r="16" spans="1:31" s="211" customFormat="1">
      <c r="A16" s="67" t="s">
        <v>7</v>
      </c>
      <c r="B16" s="447" t="e">
        <f t="shared" ref="B16:G16" si="4">B15/B13</f>
        <v>#REF!</v>
      </c>
      <c r="C16" s="211" t="e">
        <f t="shared" si="4"/>
        <v>#REF!</v>
      </c>
      <c r="D16" s="211" t="e">
        <f t="shared" si="4"/>
        <v>#REF!</v>
      </c>
      <c r="E16" s="446">
        <f t="shared" si="4"/>
        <v>0.75045847950278788</v>
      </c>
      <c r="F16" s="451">
        <f t="shared" si="4"/>
        <v>0.80385439437028972</v>
      </c>
      <c r="G16" s="211" t="e">
        <f t="shared" si="4"/>
        <v>#REF!</v>
      </c>
      <c r="H16" s="211" t="e">
        <f t="shared" ref="H16:P16" si="5">H15/H6</f>
        <v>#REF!</v>
      </c>
      <c r="I16" s="211">
        <f t="shared" si="5"/>
        <v>0.98293261419985145</v>
      </c>
      <c r="J16" s="211">
        <f t="shared" si="5"/>
        <v>0.98417562254259505</v>
      </c>
      <c r="K16" s="211">
        <f t="shared" si="5"/>
        <v>0.98125502645502649</v>
      </c>
      <c r="L16" s="211">
        <f t="shared" si="5"/>
        <v>1</v>
      </c>
      <c r="M16" s="211">
        <f t="shared" si="5"/>
        <v>1</v>
      </c>
      <c r="N16" s="211">
        <f t="shared" si="5"/>
        <v>1</v>
      </c>
      <c r="O16" s="211">
        <f t="shared" si="5"/>
        <v>1</v>
      </c>
      <c r="P16" s="211">
        <f t="shared" si="5"/>
        <v>0.9678972712680578</v>
      </c>
      <c r="R16" s="211">
        <f>R15/R6</f>
        <v>0.96049382716049381</v>
      </c>
      <c r="S16" s="211">
        <f>S15/S6</f>
        <v>0.96144578313253015</v>
      </c>
      <c r="T16" s="211">
        <f>T15/T6</f>
        <v>0.96116504854368934</v>
      </c>
      <c r="U16" s="445">
        <f>U15/U6</f>
        <v>0.96112600536193027</v>
      </c>
      <c r="V16" s="211">
        <f>V15/V6</f>
        <v>0.95454545454545459</v>
      </c>
      <c r="W16" s="211">
        <f t="shared" ref="W16:AD16" si="6">W15/W6</f>
        <v>0.94884910485933505</v>
      </c>
      <c r="X16" s="211">
        <f t="shared" si="6"/>
        <v>0.95486935866983369</v>
      </c>
      <c r="Y16" s="211">
        <f t="shared" si="6"/>
        <v>0.94936708860759489</v>
      </c>
      <c r="Z16" s="445">
        <f t="shared" si="6"/>
        <v>0.95202702702702702</v>
      </c>
      <c r="AA16" s="211">
        <f t="shared" si="6"/>
        <v>0.95430107526881724</v>
      </c>
      <c r="AB16" s="211">
        <f t="shared" si="6"/>
        <v>0.95283018867924529</v>
      </c>
      <c r="AC16" s="211" t="e">
        <f t="shared" si="6"/>
        <v>#DIV/0!</v>
      </c>
      <c r="AD16" s="211" t="e">
        <f t="shared" si="6"/>
        <v>#DIV/0!</v>
      </c>
      <c r="AE16" s="445">
        <f>AE15/AE6</f>
        <v>0.95351758793969854</v>
      </c>
    </row>
    <row r="17" spans="1:31" s="424" customFormat="1">
      <c r="A17" s="422"/>
      <c r="B17" s="423"/>
      <c r="E17" s="425"/>
      <c r="F17" s="442"/>
      <c r="U17" s="430"/>
      <c r="Z17" s="430"/>
      <c r="AE17" s="430"/>
    </row>
    <row r="18" spans="1:31" s="424" customFormat="1">
      <c r="A18" s="435" t="s">
        <v>56</v>
      </c>
      <c r="B18" s="423"/>
      <c r="E18" s="425"/>
      <c r="F18" s="442"/>
      <c r="U18" s="430"/>
      <c r="Z18" s="430"/>
      <c r="AE18" s="430"/>
    </row>
    <row r="19" spans="1:31" s="424" customFormat="1">
      <c r="A19" s="437" t="s">
        <v>57</v>
      </c>
      <c r="B19" s="423">
        <v>-45.188377796334549</v>
      </c>
      <c r="C19" s="424">
        <v>-68.765606060606061</v>
      </c>
      <c r="D19" s="424">
        <v>-96</v>
      </c>
      <c r="E19" s="425">
        <v>-146.3708</v>
      </c>
      <c r="F19" s="442">
        <v>-508.92200000000003</v>
      </c>
      <c r="G19" s="426" t="s">
        <v>20</v>
      </c>
      <c r="H19" s="426"/>
      <c r="I19" s="424">
        <v>-57.448</v>
      </c>
      <c r="J19" s="424">
        <v>-86.64</v>
      </c>
      <c r="K19" s="424">
        <v>-130.673</v>
      </c>
      <c r="P19" s="424">
        <v>-171</v>
      </c>
      <c r="R19" s="424">
        <v>-50</v>
      </c>
      <c r="S19" s="424">
        <v>-54</v>
      </c>
      <c r="T19" s="424">
        <v>-55</v>
      </c>
      <c r="U19" s="430">
        <v>-207</v>
      </c>
      <c r="V19" s="424">
        <v>-61</v>
      </c>
      <c r="W19" s="424">
        <v>-62</v>
      </c>
      <c r="X19" s="424">
        <v>-62</v>
      </c>
      <c r="Y19" s="424">
        <v>-58</v>
      </c>
      <c r="Z19" s="430">
        <f t="shared" ref="Z19:Z24" si="7">SUM(V19:Y19)</f>
        <v>-243</v>
      </c>
      <c r="AA19" s="424">
        <v>-59</v>
      </c>
      <c r="AB19" s="424">
        <v>-64</v>
      </c>
      <c r="AE19" s="430">
        <f t="shared" ref="AE19:AE24" si="8">SUM(AA19:AD19)</f>
        <v>-123</v>
      </c>
    </row>
    <row r="20" spans="1:31" s="424" customFormat="1" ht="12.75" customHeight="1">
      <c r="A20" s="437" t="s">
        <v>58</v>
      </c>
      <c r="B20" s="423">
        <v>-50.585168109699815</v>
      </c>
      <c r="C20" s="424">
        <v>-68.680712272727277</v>
      </c>
      <c r="D20" s="424">
        <v>-99</v>
      </c>
      <c r="E20" s="425">
        <v>-157.94323800000001</v>
      </c>
      <c r="F20" s="442">
        <v>-476.70400000000001</v>
      </c>
      <c r="G20" s="426" t="s">
        <v>20</v>
      </c>
      <c r="H20" s="426"/>
      <c r="I20" s="424">
        <v>-209.17599999999999</v>
      </c>
      <c r="J20" s="424">
        <v>-266.23899999999998</v>
      </c>
      <c r="K20" s="424">
        <v>-368.35300000000001</v>
      </c>
      <c r="P20" s="424">
        <v>-502</v>
      </c>
      <c r="R20" s="424">
        <v>-192</v>
      </c>
      <c r="S20" s="424">
        <v>-197</v>
      </c>
      <c r="T20" s="424">
        <v>-145</v>
      </c>
      <c r="U20" s="430">
        <v>-692</v>
      </c>
      <c r="V20" s="424">
        <v>-172</v>
      </c>
      <c r="W20" s="424">
        <v>-202</v>
      </c>
      <c r="X20" s="424">
        <v>-210</v>
      </c>
      <c r="Y20" s="424">
        <v>-172</v>
      </c>
      <c r="Z20" s="430">
        <f t="shared" si="7"/>
        <v>-756</v>
      </c>
      <c r="AA20" s="424">
        <v>-207</v>
      </c>
      <c r="AB20" s="424">
        <v>-229</v>
      </c>
      <c r="AE20" s="430">
        <f t="shared" si="8"/>
        <v>-436</v>
      </c>
    </row>
    <row r="21" spans="1:31" s="424" customFormat="1">
      <c r="A21" s="437" t="s">
        <v>59</v>
      </c>
      <c r="B21" s="423">
        <v>-28.757718982112248</v>
      </c>
      <c r="C21" s="424">
        <v>-44.651691818181817</v>
      </c>
      <c r="D21" s="424">
        <v>-64</v>
      </c>
      <c r="E21" s="425">
        <v>-91.569552000000002</v>
      </c>
      <c r="F21" s="442">
        <v>-168.02</v>
      </c>
      <c r="G21" s="424">
        <v>-9.6797699999999995</v>
      </c>
      <c r="I21" s="424">
        <v>-44.77</v>
      </c>
      <c r="J21" s="424">
        <v>-75.641000000000005</v>
      </c>
      <c r="K21" s="424">
        <v>-98.120999999999995</v>
      </c>
      <c r="P21" s="424">
        <v>-128</v>
      </c>
      <c r="R21" s="424">
        <v>-44</v>
      </c>
      <c r="S21" s="424">
        <v>-37</v>
      </c>
      <c r="T21" s="424">
        <v>-96</v>
      </c>
      <c r="U21" s="430">
        <v>-210</v>
      </c>
      <c r="V21" s="424">
        <v>-37</v>
      </c>
      <c r="W21" s="424">
        <v>-34</v>
      </c>
      <c r="X21" s="424">
        <v>-38</v>
      </c>
      <c r="Y21" s="424">
        <v>-34</v>
      </c>
      <c r="Z21" s="430">
        <f t="shared" si="7"/>
        <v>-143</v>
      </c>
      <c r="AA21" s="424">
        <v>-35</v>
      </c>
      <c r="AB21" s="424">
        <v>-38</v>
      </c>
      <c r="AE21" s="430">
        <f t="shared" si="8"/>
        <v>-73</v>
      </c>
    </row>
    <row r="22" spans="1:31" s="424" customFormat="1">
      <c r="A22" s="422" t="s">
        <v>60</v>
      </c>
      <c r="B22" s="431" t="s">
        <v>20</v>
      </c>
      <c r="C22" s="426" t="s">
        <v>20</v>
      </c>
      <c r="D22" s="426" t="s">
        <v>20</v>
      </c>
      <c r="E22" s="432" t="s">
        <v>20</v>
      </c>
      <c r="F22" s="453" t="s">
        <v>660</v>
      </c>
      <c r="G22" s="424">
        <v>-1.5586869999999999</v>
      </c>
      <c r="I22" s="424">
        <v>-7.5229999999999997</v>
      </c>
      <c r="J22" s="424">
        <v>-6.11</v>
      </c>
      <c r="K22" s="424">
        <v>-5.7309999999999999</v>
      </c>
      <c r="P22" s="424">
        <v>-36</v>
      </c>
      <c r="R22" s="424">
        <f>-9-15</f>
        <v>-24</v>
      </c>
      <c r="S22" s="424">
        <f>-10-13</f>
        <v>-23</v>
      </c>
      <c r="T22" s="424">
        <f>-10-16</f>
        <v>-26</v>
      </c>
      <c r="U22" s="430">
        <v>-36</v>
      </c>
      <c r="V22" s="424">
        <v>-8</v>
      </c>
      <c r="W22" s="424">
        <v>-8</v>
      </c>
      <c r="X22" s="424">
        <v>-8</v>
      </c>
      <c r="Y22" s="424">
        <v>-8</v>
      </c>
      <c r="Z22" s="430">
        <f t="shared" si="7"/>
        <v>-32</v>
      </c>
      <c r="AA22" s="424">
        <v>-8</v>
      </c>
      <c r="AB22" s="424">
        <v>-8</v>
      </c>
      <c r="AE22" s="430">
        <f t="shared" si="8"/>
        <v>-16</v>
      </c>
    </row>
    <row r="23" spans="1:31" s="424" customFormat="1">
      <c r="A23" s="422" t="s">
        <v>63</v>
      </c>
      <c r="B23" s="431" t="s">
        <v>20</v>
      </c>
      <c r="C23" s="426" t="s">
        <v>20</v>
      </c>
      <c r="D23" s="426" t="s">
        <v>20</v>
      </c>
      <c r="E23" s="432" t="s">
        <v>20</v>
      </c>
      <c r="F23" s="453" t="s">
        <v>660</v>
      </c>
      <c r="G23" s="424">
        <f>-(24.369906+0.49178)</f>
        <v>-24.861685999999999</v>
      </c>
      <c r="I23" s="424">
        <f>-(9.222+18.362+6.932)</f>
        <v>-34.515999999999998</v>
      </c>
      <c r="J23" s="424">
        <v>-19.966000000000001</v>
      </c>
      <c r="K23" s="424">
        <v>-29.495000000000001</v>
      </c>
      <c r="P23" s="424">
        <v>-47</v>
      </c>
      <c r="U23" s="430">
        <v>-57</v>
      </c>
      <c r="V23" s="424">
        <f>-16</f>
        <v>-16</v>
      </c>
      <c r="W23" s="424">
        <v>-17</v>
      </c>
      <c r="X23" s="424">
        <v>-18</v>
      </c>
      <c r="Y23" s="424">
        <v>-18</v>
      </c>
      <c r="Z23" s="430">
        <f t="shared" si="7"/>
        <v>-69</v>
      </c>
      <c r="AA23" s="424">
        <v>-19</v>
      </c>
      <c r="AB23" s="424">
        <v>-19</v>
      </c>
      <c r="AE23" s="430">
        <f t="shared" si="8"/>
        <v>-38</v>
      </c>
    </row>
    <row r="24" spans="1:31" s="424" customFormat="1">
      <c r="A24" s="437" t="s">
        <v>21</v>
      </c>
      <c r="B24" s="438">
        <v>19.122581198083768</v>
      </c>
      <c r="C24" s="424">
        <v>36.751736060606063</v>
      </c>
      <c r="D24" s="424">
        <v>54.464061549999997</v>
      </c>
      <c r="E24" s="425">
        <v>69.296049999999994</v>
      </c>
      <c r="F24" s="442">
        <v>99.2</v>
      </c>
      <c r="G24" s="426" t="s">
        <v>20</v>
      </c>
      <c r="H24" s="426"/>
      <c r="I24" s="424">
        <f>3.216+3.931+10.197</f>
        <v>17.344000000000001</v>
      </c>
      <c r="J24" s="424">
        <f>4.622+11.4+14.08</f>
        <v>30.101999999999997</v>
      </c>
      <c r="K24" s="424">
        <f>SUM(10.643+21.053+17.257)</f>
        <v>48.953000000000003</v>
      </c>
      <c r="P24" s="424">
        <f>13+27+23</f>
        <v>63</v>
      </c>
      <c r="R24" s="424">
        <f>4+7+7</f>
        <v>18</v>
      </c>
      <c r="S24" s="424">
        <f>4+8+7</f>
        <v>19</v>
      </c>
      <c r="T24" s="424">
        <f>4+8+7</f>
        <v>19</v>
      </c>
      <c r="U24" s="430">
        <f>16+28+28</f>
        <v>72</v>
      </c>
      <c r="V24" s="424">
        <v>19</v>
      </c>
      <c r="W24" s="424">
        <v>22</v>
      </c>
      <c r="X24" s="424">
        <f>5+11+6</f>
        <v>22</v>
      </c>
      <c r="Y24" s="424">
        <v>22</v>
      </c>
      <c r="Z24" s="430">
        <f t="shared" si="7"/>
        <v>85</v>
      </c>
      <c r="AA24" s="424">
        <f>5+7+7</f>
        <v>19</v>
      </c>
      <c r="AB24" s="424">
        <v>28</v>
      </c>
      <c r="AE24" s="430">
        <f t="shared" si="8"/>
        <v>47</v>
      </c>
    </row>
    <row r="25" spans="1:31" s="424" customFormat="1">
      <c r="A25" s="440" t="s">
        <v>22</v>
      </c>
      <c r="B25" s="424">
        <f>SUM(B19:B23)</f>
        <v>-124.53126488814662</v>
      </c>
      <c r="C25" s="424">
        <f>SUM(C19:C23)</f>
        <v>-182.09801015151515</v>
      </c>
      <c r="D25" s="424">
        <f>SUM(D19:D23)</f>
        <v>-259</v>
      </c>
      <c r="E25" s="425">
        <v>-395.88359000000003</v>
      </c>
      <c r="F25" s="442">
        <f t="shared" ref="F25:U25" si="9">SUM(F19:F23)</f>
        <v>-1153.646</v>
      </c>
      <c r="G25" s="424">
        <f t="shared" si="9"/>
        <v>-36.100143000000003</v>
      </c>
      <c r="H25" s="424">
        <f t="shared" si="9"/>
        <v>0</v>
      </c>
      <c r="I25" s="424">
        <f t="shared" si="9"/>
        <v>-353.43299999999999</v>
      </c>
      <c r="J25" s="424">
        <f t="shared" si="9"/>
        <v>-454.596</v>
      </c>
      <c r="K25" s="424">
        <f t="shared" si="9"/>
        <v>-632.37300000000005</v>
      </c>
      <c r="L25" s="424">
        <f>SUM(L19:L23)</f>
        <v>0</v>
      </c>
      <c r="M25" s="424">
        <f>SUM(M19:M23)</f>
        <v>0</v>
      </c>
      <c r="N25" s="424">
        <f>SUM(N19:N23)</f>
        <v>0</v>
      </c>
      <c r="O25" s="424">
        <f>SUM(O19:O23)</f>
        <v>0</v>
      </c>
      <c r="P25" s="424">
        <f t="shared" si="9"/>
        <v>-884</v>
      </c>
      <c r="R25" s="424">
        <f>SUM(R19:R23)</f>
        <v>-310</v>
      </c>
      <c r="S25" s="424">
        <f>SUM(S19:S23)</f>
        <v>-311</v>
      </c>
      <c r="T25" s="424">
        <f>SUM(T19:T23)</f>
        <v>-322</v>
      </c>
      <c r="U25" s="430">
        <f t="shared" si="9"/>
        <v>-1202</v>
      </c>
      <c r="V25" s="424">
        <f>SUM(V19:V23)</f>
        <v>-294</v>
      </c>
      <c r="W25" s="424">
        <f>SUM(W19:W23)</f>
        <v>-323</v>
      </c>
      <c r="X25" s="424">
        <f>SUM(X19:X23)</f>
        <v>-336</v>
      </c>
      <c r="Y25" s="424">
        <f>SUM(Y19:Y23)</f>
        <v>-290</v>
      </c>
      <c r="Z25" s="430">
        <f>SUM(Z19:Z23)</f>
        <v>-1243</v>
      </c>
      <c r="AA25" s="424">
        <f>SUM(AA19:AA24)</f>
        <v>-309</v>
      </c>
      <c r="AB25" s="424">
        <f>SUM(AB19:AB24)</f>
        <v>-330</v>
      </c>
      <c r="AC25" s="424">
        <f>SUM(AC19:AC24)</f>
        <v>0</v>
      </c>
      <c r="AD25" s="424">
        <f>SUM(AD19:AD24)</f>
        <v>0</v>
      </c>
      <c r="AE25" s="430">
        <f>SUM(AE19:AE23)</f>
        <v>-686</v>
      </c>
    </row>
    <row r="26" spans="1:31" s="424" customFormat="1">
      <c r="A26" s="422" t="s">
        <v>65</v>
      </c>
      <c r="B26" s="424">
        <f>SUM(B24:B25)</f>
        <v>-105.40868369006286</v>
      </c>
      <c r="C26" s="424">
        <f>SUM(C24:C25)</f>
        <v>-145.34627409090911</v>
      </c>
      <c r="D26" s="424">
        <f>SUM(D24:D25)</f>
        <v>-204.53593845</v>
      </c>
      <c r="E26" s="425">
        <f>E25+E24</f>
        <v>-326.58754000000005</v>
      </c>
      <c r="F26" s="442">
        <f t="shared" ref="F26:P26" si="10">SUM(F24:F25)</f>
        <v>-1054.4459999999999</v>
      </c>
      <c r="G26" s="424">
        <f t="shared" si="10"/>
        <v>-36.100143000000003</v>
      </c>
      <c r="H26" s="424">
        <f t="shared" si="10"/>
        <v>0</v>
      </c>
      <c r="I26" s="424">
        <f t="shared" si="10"/>
        <v>-336.089</v>
      </c>
      <c r="J26" s="424">
        <f t="shared" si="10"/>
        <v>-424.49400000000003</v>
      </c>
      <c r="K26" s="424">
        <f t="shared" si="10"/>
        <v>-583.42000000000007</v>
      </c>
      <c r="L26" s="424">
        <f t="shared" si="10"/>
        <v>0</v>
      </c>
      <c r="M26" s="424">
        <f t="shared" si="10"/>
        <v>0</v>
      </c>
      <c r="N26" s="424">
        <f t="shared" si="10"/>
        <v>0</v>
      </c>
      <c r="O26" s="424">
        <f t="shared" si="10"/>
        <v>0</v>
      </c>
      <c r="P26" s="424">
        <f t="shared" si="10"/>
        <v>-821</v>
      </c>
      <c r="R26" s="424">
        <f t="shared" ref="R26:AE26" si="11">SUM(R24:R25)</f>
        <v>-292</v>
      </c>
      <c r="S26" s="424">
        <f t="shared" si="11"/>
        <v>-292</v>
      </c>
      <c r="T26" s="424">
        <f t="shared" si="11"/>
        <v>-303</v>
      </c>
      <c r="U26" s="430">
        <f t="shared" si="11"/>
        <v>-1130</v>
      </c>
      <c r="V26" s="424">
        <f t="shared" si="11"/>
        <v>-275</v>
      </c>
      <c r="W26" s="424">
        <f t="shared" si="11"/>
        <v>-301</v>
      </c>
      <c r="X26" s="424">
        <f t="shared" si="11"/>
        <v>-314</v>
      </c>
      <c r="Y26" s="424">
        <f t="shared" si="11"/>
        <v>-268</v>
      </c>
      <c r="Z26" s="430">
        <f t="shared" si="11"/>
        <v>-1158</v>
      </c>
      <c r="AA26" s="424">
        <f t="shared" si="11"/>
        <v>-290</v>
      </c>
      <c r="AB26" s="424">
        <f t="shared" si="11"/>
        <v>-302</v>
      </c>
      <c r="AC26" s="424">
        <f t="shared" si="11"/>
        <v>0</v>
      </c>
      <c r="AD26" s="424">
        <f t="shared" si="11"/>
        <v>0</v>
      </c>
      <c r="AE26" s="430">
        <f t="shared" si="11"/>
        <v>-639</v>
      </c>
    </row>
    <row r="27" spans="1:31">
      <c r="A27" s="17"/>
      <c r="B27" s="146"/>
      <c r="C27" s="146"/>
      <c r="D27" s="146"/>
      <c r="E27" s="147"/>
      <c r="F27" s="419"/>
      <c r="G27" s="146"/>
      <c r="H27" s="146"/>
      <c r="I27" s="146"/>
      <c r="J27" s="146"/>
      <c r="K27" s="146"/>
      <c r="L27" s="146"/>
      <c r="M27" s="146"/>
      <c r="N27" s="146"/>
      <c r="O27" s="146"/>
      <c r="P27" s="146"/>
      <c r="Q27" s="146"/>
      <c r="R27" s="146"/>
      <c r="S27" s="146"/>
      <c r="T27" s="146"/>
      <c r="U27" s="518"/>
      <c r="Z27" s="518"/>
      <c r="AE27" s="518"/>
    </row>
    <row r="28" spans="1:31">
      <c r="A28" s="145" t="s">
        <v>23</v>
      </c>
      <c r="B28" s="145">
        <v>100.699720769422</v>
      </c>
      <c r="C28" s="146">
        <v>159.71595272727271</v>
      </c>
      <c r="D28" s="146">
        <v>169</v>
      </c>
      <c r="E28" s="147">
        <v>105.071477</v>
      </c>
      <c r="F28" s="419">
        <f>F15+F25</f>
        <v>771.81999999999994</v>
      </c>
      <c r="G28" s="146" t="e">
        <f t="shared" ref="G28:U28" si="12">G15+G25</f>
        <v>#REF!</v>
      </c>
      <c r="H28" s="146" t="e">
        <f t="shared" si="12"/>
        <v>#REF!</v>
      </c>
      <c r="I28" s="146">
        <f t="shared" si="12"/>
        <v>272.75699999999995</v>
      </c>
      <c r="J28" s="146">
        <f t="shared" si="12"/>
        <v>296.33000000000004</v>
      </c>
      <c r="K28" s="146">
        <f t="shared" si="12"/>
        <v>294.91300000000001</v>
      </c>
      <c r="L28" s="146">
        <f>L15+L25</f>
        <v>281</v>
      </c>
      <c r="M28" s="146">
        <f>M15+M25</f>
        <v>323</v>
      </c>
      <c r="N28" s="146">
        <f>N15+N25</f>
        <v>354</v>
      </c>
      <c r="O28" s="424">
        <f>O15+O25</f>
        <v>288</v>
      </c>
      <c r="P28" s="146">
        <f t="shared" si="12"/>
        <v>322</v>
      </c>
      <c r="Q28" s="146"/>
      <c r="R28" s="146">
        <f>R15+R25</f>
        <v>79</v>
      </c>
      <c r="S28" s="146">
        <f>S15+S25</f>
        <v>88</v>
      </c>
      <c r="T28" s="424">
        <f>T15+T25</f>
        <v>-25</v>
      </c>
      <c r="U28" s="518">
        <f t="shared" si="12"/>
        <v>232</v>
      </c>
      <c r="V28" s="146">
        <f t="shared" ref="V28:AE28" si="13">V15+V25</f>
        <v>42</v>
      </c>
      <c r="W28" s="424">
        <f t="shared" si="13"/>
        <v>48</v>
      </c>
      <c r="X28" s="424">
        <f t="shared" si="13"/>
        <v>66</v>
      </c>
      <c r="Y28" s="424">
        <f t="shared" si="13"/>
        <v>10</v>
      </c>
      <c r="Z28" s="518">
        <f t="shared" si="13"/>
        <v>166</v>
      </c>
      <c r="AA28" s="133">
        <f t="shared" si="13"/>
        <v>46</v>
      </c>
      <c r="AB28" s="133">
        <f t="shared" si="13"/>
        <v>74</v>
      </c>
      <c r="AC28" s="133">
        <f t="shared" si="13"/>
        <v>0</v>
      </c>
      <c r="AD28" s="133">
        <f t="shared" si="13"/>
        <v>0</v>
      </c>
      <c r="AE28" s="518">
        <f t="shared" si="13"/>
        <v>73</v>
      </c>
    </row>
    <row r="29" spans="1:31" s="473" customFormat="1">
      <c r="A29" s="474" t="s">
        <v>66</v>
      </c>
      <c r="B29" s="475" t="e">
        <f>B28/B13</f>
        <v>#REF!</v>
      </c>
      <c r="C29" s="444" t="e">
        <f>C28/C13</f>
        <v>#REF!</v>
      </c>
      <c r="D29" s="444" t="e">
        <f>D28/D13</f>
        <v>#REF!</v>
      </c>
      <c r="E29" s="445">
        <f>E28/E13</f>
        <v>0.15740290110396696</v>
      </c>
      <c r="F29" s="451">
        <f t="shared" ref="F29:U29" si="14">F28/F6</f>
        <v>0.43487226873711132</v>
      </c>
      <c r="G29" s="211" t="e">
        <f t="shared" si="14"/>
        <v>#REF!</v>
      </c>
      <c r="H29" s="211" t="e">
        <f t="shared" si="14"/>
        <v>#REF!</v>
      </c>
      <c r="I29" s="211">
        <f t="shared" si="14"/>
        <v>0.42814760863525264</v>
      </c>
      <c r="J29" s="211">
        <f t="shared" si="14"/>
        <v>0.38837483617300134</v>
      </c>
      <c r="K29" s="211">
        <f t="shared" si="14"/>
        <v>0.31207724867724868</v>
      </c>
      <c r="L29" s="211">
        <f>L28/L6</f>
        <v>1</v>
      </c>
      <c r="M29" s="211">
        <f>M28/M6</f>
        <v>1</v>
      </c>
      <c r="N29" s="211">
        <f>N28/N6</f>
        <v>1</v>
      </c>
      <c r="O29" s="211">
        <f>O28/O6</f>
        <v>1</v>
      </c>
      <c r="P29" s="211">
        <f t="shared" si="14"/>
        <v>0.25842696629213485</v>
      </c>
      <c r="Q29" s="211"/>
      <c r="R29" s="211">
        <f>R28/R6</f>
        <v>0.19506172839506172</v>
      </c>
      <c r="S29" s="211">
        <f>S28/S6</f>
        <v>0.21204819277108433</v>
      </c>
      <c r="T29" s="211">
        <f>T28/T6</f>
        <v>-8.0906148867313912E-2</v>
      </c>
      <c r="U29" s="445">
        <f t="shared" si="14"/>
        <v>0.15549597855227881</v>
      </c>
      <c r="V29" s="211">
        <f>V28/V6</f>
        <v>0.11931818181818182</v>
      </c>
      <c r="W29" s="211">
        <f>W28/W6</f>
        <v>0.12276214833759591</v>
      </c>
      <c r="X29" s="211">
        <f>X28/X6</f>
        <v>0.15676959619952494</v>
      </c>
      <c r="Y29" s="473">
        <f t="shared" ref="Y29:AD29" si="15">Y28/Y6</f>
        <v>3.1645569620253167E-2</v>
      </c>
      <c r="Z29" s="445">
        <f t="shared" si="15"/>
        <v>0.11216216216216217</v>
      </c>
      <c r="AA29" s="473">
        <f t="shared" si="15"/>
        <v>0.12365591397849462</v>
      </c>
      <c r="AB29" s="473">
        <f t="shared" si="15"/>
        <v>0.17452830188679244</v>
      </c>
      <c r="AC29" s="473" t="e">
        <f t="shared" si="15"/>
        <v>#DIV/0!</v>
      </c>
      <c r="AD29" s="473" t="e">
        <f t="shared" si="15"/>
        <v>#DIV/0!</v>
      </c>
      <c r="AE29" s="445">
        <f>AE28/AE6</f>
        <v>9.1708542713567834E-2</v>
      </c>
    </row>
    <row r="30" spans="1:31" s="473" customFormat="1">
      <c r="A30" s="476" t="s">
        <v>67</v>
      </c>
      <c r="B30" s="23" t="e">
        <f>B28/B15</f>
        <v>#REF!</v>
      </c>
      <c r="C30" s="211" t="e">
        <f>C28/C15</f>
        <v>#REF!</v>
      </c>
      <c r="D30" s="211" t="e">
        <f>D28/D15</f>
        <v>#REF!</v>
      </c>
      <c r="E30" s="446">
        <f>E28/E15</f>
        <v>0.20974231806702137</v>
      </c>
      <c r="F30" s="451">
        <f>F28/F15</f>
        <v>0.40084841799335846</v>
      </c>
      <c r="G30" s="2" t="e">
        <f t="shared" ref="G30:U30" si="16">G28/G15</f>
        <v>#REF!</v>
      </c>
      <c r="H30" s="211" t="e">
        <f t="shared" si="16"/>
        <v>#REF!</v>
      </c>
      <c r="I30" s="211">
        <f t="shared" si="16"/>
        <v>0.4355818521534997</v>
      </c>
      <c r="J30" s="211">
        <f t="shared" si="16"/>
        <v>0.39461944319413633</v>
      </c>
      <c r="K30" s="211">
        <f t="shared" si="16"/>
        <v>0.31803887905133904</v>
      </c>
      <c r="L30" s="211">
        <f>L28/L15</f>
        <v>1</v>
      </c>
      <c r="M30" s="211">
        <f>M28/M15</f>
        <v>1</v>
      </c>
      <c r="N30" s="211">
        <f>N28/N15</f>
        <v>1</v>
      </c>
      <c r="O30" s="211">
        <f>O28/O15</f>
        <v>1</v>
      </c>
      <c r="P30" s="211">
        <f t="shared" si="16"/>
        <v>0.2669983416252073</v>
      </c>
      <c r="Q30" s="211"/>
      <c r="R30" s="211">
        <f>R28/R15</f>
        <v>0.20308483290488433</v>
      </c>
      <c r="S30" s="211">
        <f>S28/S15</f>
        <v>0.22055137844611528</v>
      </c>
      <c r="T30" s="211">
        <f>T28/T15</f>
        <v>-8.4175084175084181E-2</v>
      </c>
      <c r="U30" s="507">
        <f t="shared" si="16"/>
        <v>0.16178521617852162</v>
      </c>
      <c r="V30" s="211">
        <f>V28/V15</f>
        <v>0.125</v>
      </c>
      <c r="W30" s="211">
        <f>W28/W15</f>
        <v>0.1293800539083558</v>
      </c>
      <c r="X30" s="211">
        <f>X28/X15</f>
        <v>0.16417910447761194</v>
      </c>
      <c r="Y30" s="473">
        <f t="shared" ref="Y30:AD30" si="17">Y28/Y15</f>
        <v>3.3333333333333333E-2</v>
      </c>
      <c r="Z30" s="507">
        <f t="shared" si="17"/>
        <v>0.11781405251951739</v>
      </c>
      <c r="AA30" s="473">
        <f t="shared" si="17"/>
        <v>0.12957746478873239</v>
      </c>
      <c r="AB30" s="473">
        <f t="shared" si="17"/>
        <v>0.18316831683168316</v>
      </c>
      <c r="AC30" s="473" t="e">
        <f t="shared" si="17"/>
        <v>#DIV/0!</v>
      </c>
      <c r="AD30" s="473" t="e">
        <f t="shared" si="17"/>
        <v>#DIV/0!</v>
      </c>
      <c r="AE30" s="507">
        <f>AE28/AE15</f>
        <v>9.6179183135704879E-2</v>
      </c>
    </row>
    <row r="31" spans="1:31">
      <c r="A31" s="65" t="s">
        <v>68</v>
      </c>
      <c r="B31" s="99">
        <f t="shared" ref="B31:I31" si="18">B28+B24</f>
        <v>119.82230196750577</v>
      </c>
      <c r="C31" s="146">
        <f t="shared" si="18"/>
        <v>196.46768878787879</v>
      </c>
      <c r="D31" s="146">
        <f t="shared" si="18"/>
        <v>223.46406155</v>
      </c>
      <c r="E31" s="147">
        <f t="shared" si="18"/>
        <v>174.367527</v>
      </c>
      <c r="F31" s="419">
        <f t="shared" si="18"/>
        <v>871.02</v>
      </c>
      <c r="G31" s="36" t="e">
        <f t="shared" si="18"/>
        <v>#REF!</v>
      </c>
      <c r="H31" s="146" t="e">
        <f t="shared" si="18"/>
        <v>#REF!</v>
      </c>
      <c r="I31" s="146">
        <f t="shared" si="18"/>
        <v>290.10099999999994</v>
      </c>
      <c r="J31" s="146">
        <f>J28+K24</f>
        <v>345.28300000000002</v>
      </c>
      <c r="K31" s="146">
        <f t="shared" ref="K31:P31" si="19">K28+K24</f>
        <v>343.86599999999999</v>
      </c>
      <c r="L31" s="146">
        <f t="shared" si="19"/>
        <v>281</v>
      </c>
      <c r="M31" s="146">
        <f t="shared" si="19"/>
        <v>323</v>
      </c>
      <c r="N31" s="146">
        <f t="shared" si="19"/>
        <v>354</v>
      </c>
      <c r="O31" s="424">
        <f t="shared" si="19"/>
        <v>288</v>
      </c>
      <c r="P31" s="146">
        <f t="shared" si="19"/>
        <v>385</v>
      </c>
      <c r="Q31" s="146"/>
      <c r="R31" s="146">
        <f t="shared" ref="R31:X31" si="20">R28+R24</f>
        <v>97</v>
      </c>
      <c r="S31" s="146">
        <f t="shared" si="20"/>
        <v>107</v>
      </c>
      <c r="T31" s="424">
        <f t="shared" si="20"/>
        <v>-6</v>
      </c>
      <c r="U31" s="518">
        <f t="shared" si="20"/>
        <v>304</v>
      </c>
      <c r="V31" s="146">
        <f t="shared" si="20"/>
        <v>61</v>
      </c>
      <c r="W31" s="146">
        <f t="shared" si="20"/>
        <v>70</v>
      </c>
      <c r="X31" s="146">
        <f t="shared" si="20"/>
        <v>88</v>
      </c>
      <c r="Y31" s="133">
        <f t="shared" ref="Y31:AD31" si="21">Y28+Y24</f>
        <v>32</v>
      </c>
      <c r="Z31" s="518">
        <f t="shared" si="21"/>
        <v>251</v>
      </c>
      <c r="AA31" s="133">
        <f t="shared" si="21"/>
        <v>65</v>
      </c>
      <c r="AB31" s="133">
        <f t="shared" si="21"/>
        <v>102</v>
      </c>
      <c r="AC31" s="133">
        <f t="shared" si="21"/>
        <v>0</v>
      </c>
      <c r="AD31" s="133">
        <f t="shared" si="21"/>
        <v>0</v>
      </c>
      <c r="AE31" s="518">
        <f>AE28+AE24</f>
        <v>120</v>
      </c>
    </row>
    <row r="32" spans="1:31" s="473" customFormat="1">
      <c r="A32" s="67" t="s">
        <v>69</v>
      </c>
      <c r="B32" s="23" t="e">
        <f>B31/B13</f>
        <v>#REF!</v>
      </c>
      <c r="C32" s="211" t="e">
        <f>C31/C13</f>
        <v>#REF!</v>
      </c>
      <c r="D32" s="211" t="e">
        <f>D31/D13</f>
        <v>#REF!</v>
      </c>
      <c r="E32" s="446">
        <f>E31/E13</f>
        <v>0.26121222801621308</v>
      </c>
      <c r="F32" s="451">
        <f t="shared" ref="F32:U32" si="22">F31/F6</f>
        <v>0.49076526070249377</v>
      </c>
      <c r="G32" s="2" t="e">
        <f t="shared" si="22"/>
        <v>#REF!</v>
      </c>
      <c r="H32" s="211" t="e">
        <f t="shared" si="22"/>
        <v>#REF!</v>
      </c>
      <c r="I32" s="211">
        <f t="shared" si="22"/>
        <v>0.45537254557241585</v>
      </c>
      <c r="J32" s="211">
        <f t="shared" si="22"/>
        <v>0.45253342070773267</v>
      </c>
      <c r="K32" s="211">
        <f t="shared" si="22"/>
        <v>0.36387936507936508</v>
      </c>
      <c r="L32" s="211">
        <f>L31/L6</f>
        <v>1</v>
      </c>
      <c r="M32" s="211">
        <f>M31/M6</f>
        <v>1</v>
      </c>
      <c r="N32" s="211">
        <f>N31/N6</f>
        <v>1</v>
      </c>
      <c r="O32" s="211">
        <f>O31/O6</f>
        <v>1</v>
      </c>
      <c r="P32" s="211">
        <f t="shared" si="22"/>
        <v>0.3089887640449438</v>
      </c>
      <c r="Q32" s="211"/>
      <c r="R32" s="211">
        <f>R31/R6</f>
        <v>0.23950617283950618</v>
      </c>
      <c r="S32" s="211">
        <f>S31/S6</f>
        <v>0.25783132530120484</v>
      </c>
      <c r="T32" s="211">
        <f>T31/T6</f>
        <v>-1.9417475728155338E-2</v>
      </c>
      <c r="U32" s="445">
        <f t="shared" si="22"/>
        <v>0.20375335120643431</v>
      </c>
      <c r="V32" s="211">
        <f>V31/V6</f>
        <v>0.17329545454545456</v>
      </c>
      <c r="W32" s="211">
        <f>W31/W6</f>
        <v>0.17902813299232737</v>
      </c>
      <c r="X32" s="211">
        <f>X31/X6</f>
        <v>0.20902612826603326</v>
      </c>
      <c r="Y32" s="473">
        <f t="shared" ref="Y32:AD32" si="23">Y31/Y6</f>
        <v>0.10126582278481013</v>
      </c>
      <c r="Z32" s="445">
        <f t="shared" si="23"/>
        <v>0.16959459459459458</v>
      </c>
      <c r="AA32" s="473">
        <f t="shared" si="23"/>
        <v>0.17473118279569894</v>
      </c>
      <c r="AB32" s="473">
        <f t="shared" si="23"/>
        <v>0.24056603773584906</v>
      </c>
      <c r="AC32" s="473" t="e">
        <f t="shared" si="23"/>
        <v>#DIV/0!</v>
      </c>
      <c r="AD32" s="473" t="e">
        <f t="shared" si="23"/>
        <v>#DIV/0!</v>
      </c>
      <c r="AE32" s="445">
        <f>AE31/AE6</f>
        <v>0.15075376884422109</v>
      </c>
    </row>
    <row r="33" spans="1:31" s="473" customFormat="1">
      <c r="A33" s="476" t="s">
        <v>70</v>
      </c>
      <c r="B33" s="23" t="e">
        <f>B31/B15</f>
        <v>#REF!</v>
      </c>
      <c r="C33" s="211" t="e">
        <f>C31/C15</f>
        <v>#REF!</v>
      </c>
      <c r="D33" s="211" t="e">
        <f>D31/D15</f>
        <v>#REF!</v>
      </c>
      <c r="E33" s="446">
        <f>E31/E15</f>
        <v>0.3480701932894113</v>
      </c>
      <c r="F33" s="451">
        <f>F31/F15</f>
        <v>0.45236841367232661</v>
      </c>
      <c r="G33" s="2" t="e">
        <f t="shared" ref="G33:U33" si="24">G31/G15</f>
        <v>#REF!</v>
      </c>
      <c r="H33" s="211" t="e">
        <f t="shared" si="24"/>
        <v>#REF!</v>
      </c>
      <c r="I33" s="211">
        <f t="shared" si="24"/>
        <v>0.46327951580191312</v>
      </c>
      <c r="J33" s="211">
        <f t="shared" si="24"/>
        <v>0.45980962172038259</v>
      </c>
      <c r="K33" s="211">
        <f t="shared" si="24"/>
        <v>0.37083057438589601</v>
      </c>
      <c r="L33" s="211">
        <f>L31/L15</f>
        <v>1</v>
      </c>
      <c r="M33" s="211">
        <f>M31/M15</f>
        <v>1</v>
      </c>
      <c r="N33" s="211">
        <f>N31/N15</f>
        <v>1</v>
      </c>
      <c r="O33" s="211">
        <f>O31/O15</f>
        <v>1</v>
      </c>
      <c r="P33" s="211">
        <f t="shared" si="24"/>
        <v>0.31923714759535654</v>
      </c>
      <c r="Q33" s="211"/>
      <c r="R33" s="211">
        <f>R31/R15</f>
        <v>0.24935732647814909</v>
      </c>
      <c r="S33" s="211">
        <f>S31/S15</f>
        <v>0.26817042606516289</v>
      </c>
      <c r="T33" s="211">
        <f>T31/T15</f>
        <v>-2.0202020202020204E-2</v>
      </c>
      <c r="U33" s="507">
        <f t="shared" si="24"/>
        <v>0.21199442119944212</v>
      </c>
      <c r="V33" s="211">
        <f>V31/V15</f>
        <v>0.18154761904761904</v>
      </c>
      <c r="W33" s="211">
        <f>W31/W15</f>
        <v>0.18867924528301888</v>
      </c>
      <c r="X33" s="211">
        <f>X31/X15</f>
        <v>0.21890547263681592</v>
      </c>
      <c r="Y33" s="473">
        <f t="shared" ref="Y33:AD33" si="25">Y31/Y15</f>
        <v>0.10666666666666667</v>
      </c>
      <c r="Z33" s="507">
        <f t="shared" si="25"/>
        <v>0.17814052519517387</v>
      </c>
      <c r="AA33" s="473">
        <f t="shared" si="25"/>
        <v>0.18309859154929578</v>
      </c>
      <c r="AB33" s="473">
        <f t="shared" si="25"/>
        <v>0.25247524752475248</v>
      </c>
      <c r="AC33" s="473" t="e">
        <f t="shared" si="25"/>
        <v>#DIV/0!</v>
      </c>
      <c r="AD33" s="473" t="e">
        <f t="shared" si="25"/>
        <v>#DIV/0!</v>
      </c>
      <c r="AE33" s="507">
        <f>AE31/AE15</f>
        <v>0.15810276679841898</v>
      </c>
    </row>
    <row r="34" spans="1:31" hidden="1">
      <c r="A34" s="66"/>
      <c r="B34" s="149"/>
      <c r="C34" s="150"/>
      <c r="D34" s="150"/>
      <c r="E34" s="153"/>
      <c r="F34" s="454"/>
      <c r="G34" s="146"/>
      <c r="H34" s="146"/>
      <c r="I34" s="146"/>
      <c r="J34" s="146"/>
      <c r="K34" s="146"/>
      <c r="L34" s="146"/>
      <c r="M34" s="146"/>
      <c r="N34" s="146"/>
      <c r="O34" s="146"/>
      <c r="P34" s="146"/>
      <c r="Q34" s="146"/>
      <c r="R34" s="146"/>
      <c r="S34" s="146"/>
      <c r="T34" s="146"/>
      <c r="U34" s="518"/>
      <c r="Z34" s="518"/>
      <c r="AE34" s="518"/>
    </row>
    <row r="35" spans="1:31" s="424" customFormat="1" hidden="1">
      <c r="A35" s="422" t="s">
        <v>71</v>
      </c>
      <c r="B35" s="423">
        <v>2.5480115442652251</v>
      </c>
      <c r="C35" s="424">
        <v>5.6948280303030305</v>
      </c>
      <c r="D35" s="424">
        <v>17</v>
      </c>
      <c r="E35" s="425">
        <v>26.612729000000002</v>
      </c>
      <c r="F35" s="442">
        <v>68.814999999999998</v>
      </c>
      <c r="G35" s="426" t="s">
        <v>20</v>
      </c>
      <c r="H35" s="426"/>
      <c r="U35" s="430"/>
      <c r="Z35" s="430"/>
      <c r="AE35" s="430"/>
    </row>
    <row r="36" spans="1:31" s="424" customFormat="1" hidden="1">
      <c r="A36" s="422" t="s">
        <v>72</v>
      </c>
      <c r="B36" s="431" t="s">
        <v>20</v>
      </c>
      <c r="C36" s="426" t="s">
        <v>20</v>
      </c>
      <c r="D36" s="426" t="s">
        <v>20</v>
      </c>
      <c r="E36" s="432" t="s">
        <v>20</v>
      </c>
      <c r="F36" s="455">
        <v>-46.686999999999998</v>
      </c>
      <c r="G36" s="424">
        <v>3.2441230000000001</v>
      </c>
      <c r="U36" s="430"/>
      <c r="Z36" s="430"/>
      <c r="AE36" s="430"/>
    </row>
    <row r="37" spans="1:31" s="424" customFormat="1" hidden="1">
      <c r="A37" s="422" t="s">
        <v>24</v>
      </c>
      <c r="B37" s="423">
        <v>8.9074378470238358</v>
      </c>
      <c r="C37" s="424">
        <v>15.019017575757577</v>
      </c>
      <c r="D37" s="424">
        <v>19</v>
      </c>
      <c r="E37" s="425">
        <v>20.912656999999999</v>
      </c>
      <c r="F37" s="442">
        <v>382.99700000000001</v>
      </c>
      <c r="U37" s="430"/>
      <c r="Z37" s="430"/>
      <c r="AE37" s="430"/>
    </row>
    <row r="38" spans="1:31" s="424" customFormat="1" ht="23" hidden="1">
      <c r="A38" s="441" t="s">
        <v>25</v>
      </c>
      <c r="B38" s="423">
        <v>112.15517016071141</v>
      </c>
      <c r="C38" s="424">
        <v>180.42979833333331</v>
      </c>
      <c r="D38" s="424">
        <v>205</v>
      </c>
      <c r="E38" s="425">
        <v>152.59686300000001</v>
      </c>
      <c r="F38" s="442">
        <v>463.94799999999998</v>
      </c>
      <c r="G38" s="424">
        <v>-7.373507</v>
      </c>
      <c r="U38" s="430"/>
      <c r="Z38" s="430"/>
      <c r="AE38" s="430"/>
    </row>
    <row r="39" spans="1:31" s="424" customFormat="1" hidden="1">
      <c r="A39" s="422" t="s">
        <v>73</v>
      </c>
      <c r="B39" s="423">
        <v>-19.288018429804129</v>
      </c>
      <c r="C39" s="424">
        <v>-31.063175909090909</v>
      </c>
      <c r="D39" s="424">
        <v>-42</v>
      </c>
      <c r="E39" s="425">
        <v>-47.274675999999999</v>
      </c>
      <c r="F39" s="442">
        <v>-72.584999999999994</v>
      </c>
      <c r="G39" s="424">
        <v>2.5291000000000001E-2</v>
      </c>
      <c r="U39" s="430"/>
      <c r="Z39" s="430"/>
      <c r="AE39" s="430"/>
    </row>
    <row r="40" spans="1:31" s="424" customFormat="1" hidden="1">
      <c r="A40" s="422" t="s">
        <v>74</v>
      </c>
      <c r="B40" s="423">
        <v>4.815397090493561</v>
      </c>
      <c r="C40" s="424">
        <v>10.026059393939395</v>
      </c>
      <c r="D40" s="424">
        <v>9</v>
      </c>
      <c r="E40" s="425">
        <v>5.5124320000000004</v>
      </c>
      <c r="F40" s="453" t="s">
        <v>20</v>
      </c>
      <c r="G40" s="426" t="s">
        <v>20</v>
      </c>
      <c r="H40" s="426"/>
      <c r="I40" s="426"/>
      <c r="J40" s="426"/>
      <c r="K40" s="426"/>
      <c r="L40" s="426"/>
      <c r="M40" s="426"/>
      <c r="N40" s="426"/>
      <c r="O40" s="426"/>
      <c r="P40" s="426"/>
      <c r="Q40" s="426"/>
      <c r="R40" s="426"/>
      <c r="S40" s="426"/>
      <c r="T40" s="426"/>
      <c r="U40" s="430"/>
      <c r="Z40" s="430"/>
      <c r="AE40" s="430"/>
    </row>
    <row r="41" spans="1:31" s="424" customFormat="1" hidden="1">
      <c r="A41" s="422" t="s">
        <v>14</v>
      </c>
      <c r="B41" s="423"/>
      <c r="E41" s="425"/>
      <c r="F41" s="453" t="s">
        <v>20</v>
      </c>
      <c r="G41" s="426"/>
      <c r="H41" s="426"/>
      <c r="I41" s="427"/>
      <c r="J41" s="427"/>
      <c r="K41" s="427"/>
      <c r="L41" s="427"/>
      <c r="M41" s="427"/>
      <c r="N41" s="427"/>
      <c r="O41" s="427"/>
      <c r="P41" s="427"/>
      <c r="Q41" s="427"/>
      <c r="R41" s="427"/>
      <c r="S41" s="427"/>
      <c r="T41" s="427"/>
      <c r="U41" s="430"/>
      <c r="Z41" s="430"/>
      <c r="AE41" s="430"/>
    </row>
    <row r="42" spans="1:31" s="424" customFormat="1" hidden="1">
      <c r="A42" s="422" t="s">
        <v>75</v>
      </c>
      <c r="B42" s="423"/>
      <c r="E42" s="425"/>
      <c r="F42" s="453" t="s">
        <v>20</v>
      </c>
      <c r="G42" s="426"/>
      <c r="H42" s="426"/>
      <c r="U42" s="430"/>
      <c r="Z42" s="430"/>
      <c r="AE42" s="430"/>
    </row>
    <row r="43" spans="1:31" s="424" customFormat="1" hidden="1">
      <c r="A43" s="422" t="s">
        <v>76</v>
      </c>
      <c r="B43" s="423">
        <v>-1.1423674533761115</v>
      </c>
      <c r="C43" s="424">
        <v>-0.59423621212121214</v>
      </c>
      <c r="D43" s="424">
        <v>-1</v>
      </c>
      <c r="E43" s="425">
        <v>3.8354279999999998</v>
      </c>
      <c r="F43" s="442">
        <v>16.716000000000001</v>
      </c>
      <c r="G43" s="426" t="s">
        <v>20</v>
      </c>
      <c r="H43" s="426"/>
      <c r="U43" s="430"/>
      <c r="Z43" s="430"/>
      <c r="AE43" s="430"/>
    </row>
    <row r="44" spans="1:31" s="691" customFormat="1">
      <c r="A44" s="641" t="s">
        <v>77</v>
      </c>
      <c r="B44" s="690">
        <v>96.540181368024733</v>
      </c>
      <c r="C44" s="691">
        <v>158.7984456060606</v>
      </c>
      <c r="D44" s="691">
        <v>171</v>
      </c>
      <c r="E44" s="692">
        <v>114.670047</v>
      </c>
      <c r="F44" s="693">
        <v>387.11500000000001</v>
      </c>
      <c r="G44" s="691">
        <v>-7.3482159999999999</v>
      </c>
      <c r="I44" s="691">
        <v>177.67699999999999</v>
      </c>
      <c r="J44" s="691">
        <v>194.06899999999999</v>
      </c>
      <c r="K44" s="691">
        <v>205.44300000000001</v>
      </c>
      <c r="P44" s="691">
        <v>226</v>
      </c>
      <c r="R44" s="691">
        <v>58</v>
      </c>
      <c r="S44" s="691">
        <v>74</v>
      </c>
      <c r="T44" s="691">
        <v>3</v>
      </c>
      <c r="U44" s="694">
        <v>198</v>
      </c>
      <c r="V44" s="691">
        <v>27</v>
      </c>
      <c r="W44" s="691">
        <v>34</v>
      </c>
      <c r="X44" s="691">
        <v>55</v>
      </c>
      <c r="Y44" s="691">
        <v>1</v>
      </c>
      <c r="Z44" s="694">
        <v>120</v>
      </c>
      <c r="AA44" s="691">
        <v>13</v>
      </c>
      <c r="AB44" s="691">
        <v>27</v>
      </c>
      <c r="AE44" s="694"/>
    </row>
    <row r="45" spans="1:31" hidden="1">
      <c r="A45" s="66" t="s">
        <v>78</v>
      </c>
      <c r="B45" s="139" t="s">
        <v>20</v>
      </c>
      <c r="C45" s="140" t="s">
        <v>20</v>
      </c>
      <c r="D45" s="140" t="s">
        <v>20</v>
      </c>
      <c r="E45" s="141" t="s">
        <v>20</v>
      </c>
      <c r="F45" s="449"/>
      <c r="G45" s="140" t="s">
        <v>20</v>
      </c>
      <c r="H45" s="140" t="s">
        <v>20</v>
      </c>
      <c r="I45" s="146" t="s">
        <v>20</v>
      </c>
      <c r="J45" s="146" t="s">
        <v>20</v>
      </c>
      <c r="K45" s="146"/>
      <c r="L45" s="146"/>
      <c r="M45" s="146"/>
      <c r="N45" s="146"/>
      <c r="O45" s="146"/>
      <c r="P45" s="146"/>
      <c r="Q45" s="146"/>
      <c r="R45" s="146"/>
      <c r="S45" s="146"/>
      <c r="T45" s="146"/>
      <c r="U45" s="518"/>
      <c r="Z45" s="518"/>
      <c r="AE45" s="518"/>
    </row>
    <row r="46" spans="1:31" hidden="1">
      <c r="A46" s="66" t="s">
        <v>79</v>
      </c>
      <c r="B46" s="139" t="s">
        <v>20</v>
      </c>
      <c r="C46" s="140" t="s">
        <v>20</v>
      </c>
      <c r="D46" s="140" t="s">
        <v>20</v>
      </c>
      <c r="E46" s="141" t="s">
        <v>20</v>
      </c>
      <c r="F46" s="449"/>
      <c r="G46" s="140" t="s">
        <v>20</v>
      </c>
      <c r="H46" s="140" t="s">
        <v>20</v>
      </c>
      <c r="I46" s="146" t="s">
        <v>20</v>
      </c>
      <c r="J46" s="146" t="s">
        <v>20</v>
      </c>
      <c r="K46" s="146"/>
      <c r="L46" s="146"/>
      <c r="M46" s="146"/>
      <c r="N46" s="146"/>
      <c r="O46" s="146"/>
      <c r="P46" s="146"/>
      <c r="Q46" s="146"/>
      <c r="R46" s="146"/>
      <c r="S46" s="146"/>
      <c r="T46" s="146"/>
      <c r="U46" s="518"/>
      <c r="Z46" s="518"/>
      <c r="AE46" s="518"/>
    </row>
    <row r="47" spans="1:31" s="473" customFormat="1">
      <c r="A47" s="67" t="s">
        <v>80</v>
      </c>
      <c r="B47" s="447" t="e">
        <f>B44/B13</f>
        <v>#REF!</v>
      </c>
      <c r="C47" s="211" t="e">
        <f>C44/C13</f>
        <v>#REF!</v>
      </c>
      <c r="D47" s="211" t="e">
        <f>D44/D13</f>
        <v>#REF!</v>
      </c>
      <c r="E47" s="446">
        <f>E44/E13</f>
        <v>0.17178209141885617</v>
      </c>
      <c r="F47" s="451">
        <f>F44/F13</f>
        <v>0.16161495132952475</v>
      </c>
      <c r="G47" s="466" t="e">
        <f t="shared" ref="G47:U47" si="26">G44/G13</f>
        <v>#REF!</v>
      </c>
      <c r="H47" s="466" t="e">
        <f t="shared" si="26"/>
        <v>#REF!</v>
      </c>
      <c r="I47" s="211">
        <f t="shared" si="26"/>
        <v>0.27890020296265833</v>
      </c>
      <c r="J47" s="211">
        <f t="shared" si="26"/>
        <v>0.25434993446920051</v>
      </c>
      <c r="K47" s="211">
        <f t="shared" si="26"/>
        <v>0.21740000000000001</v>
      </c>
      <c r="L47" s="211">
        <f>L44/L13</f>
        <v>0</v>
      </c>
      <c r="M47" s="211">
        <f>M44/M13</f>
        <v>0</v>
      </c>
      <c r="N47" s="211">
        <f>N44/N13</f>
        <v>0</v>
      </c>
      <c r="O47" s="211">
        <f>O44/O13</f>
        <v>0</v>
      </c>
      <c r="P47" s="211">
        <f t="shared" si="26"/>
        <v>0.18138041733547353</v>
      </c>
      <c r="Q47" s="211"/>
      <c r="R47" s="211">
        <f>R44/R13</f>
        <v>0.14320987654320988</v>
      </c>
      <c r="S47" s="211">
        <f>S44/S13</f>
        <v>0.1783132530120482</v>
      </c>
      <c r="T47" s="211">
        <f>T44/T13</f>
        <v>9.7087378640776691E-3</v>
      </c>
      <c r="U47" s="445">
        <f t="shared" si="26"/>
        <v>0.13270777479892762</v>
      </c>
      <c r="V47" s="211">
        <f>V44/V13</f>
        <v>7.6704545454545456E-2</v>
      </c>
      <c r="W47" s="473">
        <f>W44/W13</f>
        <v>8.6956521739130432E-2</v>
      </c>
      <c r="X47" s="473">
        <f>X44/X13</f>
        <v>0.13064133016627077</v>
      </c>
      <c r="Y47" s="473">
        <f t="shared" ref="Y47:AD47" si="27">Y44/Y13</f>
        <v>3.1645569620253164E-3</v>
      </c>
      <c r="Z47" s="445">
        <f t="shared" si="27"/>
        <v>8.1081081081081086E-2</v>
      </c>
      <c r="AA47" s="473">
        <f t="shared" si="27"/>
        <v>3.4946236559139782E-2</v>
      </c>
      <c r="AB47" s="473">
        <f t="shared" si="27"/>
        <v>6.3679245283018868E-2</v>
      </c>
      <c r="AC47" s="473" t="e">
        <f t="shared" si="27"/>
        <v>#DIV/0!</v>
      </c>
      <c r="AD47" s="473" t="e">
        <f t="shared" si="27"/>
        <v>#DIV/0!</v>
      </c>
      <c r="AE47" s="445">
        <f>AE44/AE13</f>
        <v>0</v>
      </c>
    </row>
    <row r="48" spans="1:31" s="473" customFormat="1">
      <c r="A48" s="67" t="s">
        <v>81</v>
      </c>
      <c r="B48" s="465" t="s">
        <v>20</v>
      </c>
      <c r="C48" s="466" t="s">
        <v>20</v>
      </c>
      <c r="D48" s="466" t="s">
        <v>20</v>
      </c>
      <c r="E48" s="467" t="s">
        <v>20</v>
      </c>
      <c r="F48" s="451">
        <f>F44/F15</f>
        <v>0.20105003152483608</v>
      </c>
      <c r="G48" s="466" t="e">
        <f t="shared" ref="G48:U48" si="28">G44/G15</f>
        <v>#REF!</v>
      </c>
      <c r="H48" s="466" t="e">
        <f t="shared" si="28"/>
        <v>#REF!</v>
      </c>
      <c r="I48" s="211">
        <f t="shared" si="28"/>
        <v>0.28374295341669464</v>
      </c>
      <c r="J48" s="211">
        <f t="shared" si="28"/>
        <v>0.2584395799319773</v>
      </c>
      <c r="K48" s="211">
        <f t="shared" si="28"/>
        <v>0.22155300522168997</v>
      </c>
      <c r="L48" s="211">
        <f>L44/L15</f>
        <v>0</v>
      </c>
      <c r="M48" s="211">
        <f>M44/M15</f>
        <v>0</v>
      </c>
      <c r="N48" s="211">
        <f>N44/N15</f>
        <v>0</v>
      </c>
      <c r="O48" s="211">
        <f>O44/O15</f>
        <v>0</v>
      </c>
      <c r="P48" s="211">
        <f t="shared" si="28"/>
        <v>0.18739635157545606</v>
      </c>
      <c r="Q48" s="211"/>
      <c r="R48" s="211">
        <f>R44/R15</f>
        <v>0.14910025706940874</v>
      </c>
      <c r="S48" s="211">
        <f>S44/S15</f>
        <v>0.18546365914786966</v>
      </c>
      <c r="T48" s="211">
        <f>T44/T15</f>
        <v>1.0101010101010102E-2</v>
      </c>
      <c r="U48" s="507">
        <f t="shared" si="28"/>
        <v>0.13807531380753138</v>
      </c>
      <c r="V48" s="211">
        <f>V44/V15</f>
        <v>8.0357142857142863E-2</v>
      </c>
      <c r="W48" s="473">
        <f>W44/W15</f>
        <v>9.1644204851752023E-2</v>
      </c>
      <c r="X48" s="473">
        <f>X44/X15</f>
        <v>0.13681592039800994</v>
      </c>
      <c r="Y48" s="473">
        <f t="shared" ref="Y48:AD48" si="29">Y44/Y15</f>
        <v>3.3333333333333335E-3</v>
      </c>
      <c r="Z48" s="507">
        <f t="shared" si="29"/>
        <v>8.5166784953867994E-2</v>
      </c>
      <c r="AA48" s="473">
        <f t="shared" si="29"/>
        <v>3.6619718309859155E-2</v>
      </c>
      <c r="AB48" s="473">
        <f t="shared" si="29"/>
        <v>6.6831683168316836E-2</v>
      </c>
      <c r="AC48" s="473" t="e">
        <f t="shared" si="29"/>
        <v>#DIV/0!</v>
      </c>
      <c r="AD48" s="473" t="e">
        <f t="shared" si="29"/>
        <v>#DIV/0!</v>
      </c>
      <c r="AE48" s="507">
        <f>AE44/AE15</f>
        <v>0</v>
      </c>
    </row>
    <row r="49" spans="1:31" s="473" customFormat="1" hidden="1">
      <c r="A49" s="476" t="s">
        <v>82</v>
      </c>
      <c r="B49" s="23">
        <f>-B39/B38</f>
        <v>0.17197618622632907</v>
      </c>
      <c r="C49" s="2">
        <f>-C39/C38</f>
        <v>0.17216211621377275</v>
      </c>
      <c r="D49" s="2">
        <f>-D39/D38</f>
        <v>0.20487804878048779</v>
      </c>
      <c r="E49" s="480">
        <f>-E39/E38</f>
        <v>0.30980109990858723</v>
      </c>
      <c r="F49" s="67">
        <f>-F39/F38</f>
        <v>0.15645072292584514</v>
      </c>
      <c r="G49" s="2">
        <f t="shared" ref="G49:U49" si="30">-G39/G38</f>
        <v>3.4299825035766563E-3</v>
      </c>
      <c r="H49" s="2" t="e">
        <f t="shared" si="30"/>
        <v>#DIV/0!</v>
      </c>
      <c r="I49" s="2" t="e">
        <f t="shared" si="30"/>
        <v>#DIV/0!</v>
      </c>
      <c r="J49" s="2" t="e">
        <f t="shared" si="30"/>
        <v>#DIV/0!</v>
      </c>
      <c r="K49" s="2" t="e">
        <f t="shared" si="30"/>
        <v>#DIV/0!</v>
      </c>
      <c r="L49" s="2"/>
      <c r="M49" s="2"/>
      <c r="N49" s="2"/>
      <c r="O49" s="2"/>
      <c r="P49" s="2" t="e">
        <f t="shared" si="30"/>
        <v>#DIV/0!</v>
      </c>
      <c r="Q49" s="2"/>
      <c r="R49" s="2"/>
      <c r="S49" s="2"/>
      <c r="T49" s="2"/>
      <c r="U49" s="504" t="e">
        <f t="shared" si="30"/>
        <v>#DIV/0!</v>
      </c>
      <c r="Z49" s="504"/>
      <c r="AE49" s="504"/>
    </row>
    <row r="50" spans="1:31">
      <c r="A50" s="66"/>
      <c r="B50" s="100"/>
      <c r="C50" s="10"/>
      <c r="D50" s="10"/>
      <c r="E50" s="101"/>
      <c r="F50" s="448"/>
      <c r="G50" s="10"/>
      <c r="H50" s="10"/>
      <c r="I50" s="10"/>
      <c r="J50" s="10"/>
      <c r="K50" s="10"/>
      <c r="L50" s="10"/>
      <c r="M50" s="10"/>
      <c r="N50" s="10"/>
      <c r="O50" s="10"/>
      <c r="P50" s="10"/>
      <c r="Q50" s="10"/>
      <c r="R50" s="10"/>
      <c r="S50" s="10"/>
      <c r="T50" s="10"/>
      <c r="U50" s="78"/>
      <c r="Z50" s="78"/>
      <c r="AE50" s="78"/>
    </row>
    <row r="51" spans="1:31">
      <c r="A51" s="68" t="s">
        <v>83</v>
      </c>
      <c r="B51" s="145">
        <f>B44+B24</f>
        <v>115.6627625661085</v>
      </c>
      <c r="C51" s="146">
        <f>C44+C24</f>
        <v>195.55018166666667</v>
      </c>
      <c r="D51" s="146">
        <f>D44+D24</f>
        <v>225.46406155</v>
      </c>
      <c r="E51" s="147">
        <f>E44+E24</f>
        <v>183.96609699999999</v>
      </c>
      <c r="F51" s="419">
        <f>F44+F24</f>
        <v>486.315</v>
      </c>
      <c r="G51" s="419" t="e">
        <f t="shared" ref="G51:U51" si="31">G44+G24</f>
        <v>#VALUE!</v>
      </c>
      <c r="H51" s="419">
        <f t="shared" si="31"/>
        <v>0</v>
      </c>
      <c r="I51" s="146">
        <f t="shared" si="31"/>
        <v>195.02099999999999</v>
      </c>
      <c r="J51" s="146">
        <f>J44+K24</f>
        <v>243.02199999999999</v>
      </c>
      <c r="K51" s="146">
        <f>K44+P24</f>
        <v>268.44299999999998</v>
      </c>
      <c r="L51" s="146">
        <f>L44+L24</f>
        <v>0</v>
      </c>
      <c r="M51" s="146">
        <f>M44+M24</f>
        <v>0</v>
      </c>
      <c r="N51" s="146">
        <f>N44+N24</f>
        <v>0</v>
      </c>
      <c r="O51" s="146">
        <f>O44+O24</f>
        <v>0</v>
      </c>
      <c r="P51" s="146">
        <f t="shared" si="31"/>
        <v>289</v>
      </c>
      <c r="Q51" s="146"/>
      <c r="R51" s="146">
        <f t="shared" si="31"/>
        <v>76</v>
      </c>
      <c r="S51" s="146">
        <f t="shared" si="31"/>
        <v>93</v>
      </c>
      <c r="T51" s="146">
        <f t="shared" si="31"/>
        <v>22</v>
      </c>
      <c r="U51" s="146">
        <f t="shared" si="31"/>
        <v>270</v>
      </c>
      <c r="V51" s="146">
        <f>V44+V24</f>
        <v>46</v>
      </c>
      <c r="W51" s="133">
        <f>W44+W24</f>
        <v>56</v>
      </c>
      <c r="X51" s="133">
        <f>X44+X24</f>
        <v>77</v>
      </c>
      <c r="Y51" s="133">
        <f t="shared" ref="Y51:AD51" si="32">Y44+Y24</f>
        <v>23</v>
      </c>
      <c r="Z51" s="146">
        <f t="shared" si="32"/>
        <v>205</v>
      </c>
      <c r="AA51" s="133">
        <f t="shared" si="32"/>
        <v>32</v>
      </c>
      <c r="AB51" s="133">
        <f t="shared" si="32"/>
        <v>55</v>
      </c>
      <c r="AC51" s="133">
        <f t="shared" si="32"/>
        <v>0</v>
      </c>
      <c r="AD51" s="133">
        <f t="shared" si="32"/>
        <v>0</v>
      </c>
      <c r="AE51" s="146">
        <f>AE44+AE24</f>
        <v>47</v>
      </c>
    </row>
    <row r="52" spans="1:31" s="473" customFormat="1">
      <c r="A52" s="476" t="s">
        <v>84</v>
      </c>
      <c r="B52" s="23" t="e">
        <f>B51/B13</f>
        <v>#REF!</v>
      </c>
      <c r="C52" s="2" t="e">
        <f>C51/C13</f>
        <v>#REF!</v>
      </c>
      <c r="D52" s="2" t="e">
        <f>D51/D13</f>
        <v>#REF!</v>
      </c>
      <c r="E52" s="480">
        <f>E51/E13</f>
        <v>0.27559141833110229</v>
      </c>
      <c r="F52" s="67">
        <f>F51/F13</f>
        <v>0.20302952625400161</v>
      </c>
      <c r="G52" s="2" t="e">
        <f t="shared" ref="G52:U52" si="33">G51/G13</f>
        <v>#VALUE!</v>
      </c>
      <c r="H52" s="2" t="e">
        <f t="shared" si="33"/>
        <v>#REF!</v>
      </c>
      <c r="I52" s="2">
        <f t="shared" si="33"/>
        <v>0.30612513989982149</v>
      </c>
      <c r="J52" s="2">
        <f t="shared" si="33"/>
        <v>0.31850851900393184</v>
      </c>
      <c r="K52" s="2">
        <f t="shared" si="33"/>
        <v>0.28406666666666663</v>
      </c>
      <c r="L52" s="2">
        <f>L51/L13</f>
        <v>0</v>
      </c>
      <c r="M52" s="2">
        <f>M51/M13</f>
        <v>0</v>
      </c>
      <c r="N52" s="2">
        <f>N51/N13</f>
        <v>0</v>
      </c>
      <c r="O52" s="2">
        <f>O51/O13</f>
        <v>0</v>
      </c>
      <c r="P52" s="2">
        <f t="shared" si="33"/>
        <v>0.2319422150882825</v>
      </c>
      <c r="Q52" s="2"/>
      <c r="R52" s="2">
        <f>R51/R13</f>
        <v>0.18765432098765433</v>
      </c>
      <c r="S52" s="2">
        <f>S51/S13</f>
        <v>0.22409638554216868</v>
      </c>
      <c r="T52" s="2">
        <f>T51/T13</f>
        <v>7.1197411003236247E-2</v>
      </c>
      <c r="U52" s="504">
        <f t="shared" si="33"/>
        <v>0.18096514745308312</v>
      </c>
      <c r="V52" s="2">
        <f>V51/V13</f>
        <v>0.13068181818181818</v>
      </c>
      <c r="W52" s="473">
        <f>W51/W13</f>
        <v>0.14322250639386189</v>
      </c>
      <c r="X52" s="473">
        <f>X51/X13</f>
        <v>0.1828978622327791</v>
      </c>
      <c r="Y52" s="473">
        <f t="shared" ref="Y52:AD52" si="34">Y51/Y13</f>
        <v>7.2784810126582278E-2</v>
      </c>
      <c r="Z52" s="504">
        <f t="shared" si="34"/>
        <v>0.13851351351351351</v>
      </c>
      <c r="AA52" s="473">
        <f t="shared" si="34"/>
        <v>8.6021505376344093E-2</v>
      </c>
      <c r="AB52" s="473">
        <f t="shared" si="34"/>
        <v>0.12971698113207547</v>
      </c>
      <c r="AC52" s="473" t="e">
        <f t="shared" si="34"/>
        <v>#DIV/0!</v>
      </c>
      <c r="AD52" s="473" t="e">
        <f t="shared" si="34"/>
        <v>#DIV/0!</v>
      </c>
      <c r="AE52" s="504">
        <f>AE51/AE13</f>
        <v>5.9045226130653265E-2</v>
      </c>
    </row>
    <row r="53" spans="1:31" s="473" customFormat="1">
      <c r="A53" s="476" t="s">
        <v>662</v>
      </c>
      <c r="B53" s="23" t="e">
        <f>B51/B15</f>
        <v>#REF!</v>
      </c>
      <c r="C53" s="2" t="e">
        <f>C51/C15</f>
        <v>#REF!</v>
      </c>
      <c r="D53" s="2" t="e">
        <f>D51/D15</f>
        <v>#REF!</v>
      </c>
      <c r="E53" s="480">
        <f>E51/E15</f>
        <v>0.36723073408897167</v>
      </c>
      <c r="F53" s="67">
        <f>F51/F15</f>
        <v>0.25257002720380417</v>
      </c>
      <c r="G53" s="2" t="e">
        <f t="shared" ref="G53:U53" si="35">G51/G15</f>
        <v>#VALUE!</v>
      </c>
      <c r="H53" s="2" t="e">
        <f t="shared" si="35"/>
        <v>#REF!</v>
      </c>
      <c r="I53" s="2">
        <f t="shared" si="35"/>
        <v>0.31144061706510806</v>
      </c>
      <c r="J53" s="2">
        <f t="shared" si="35"/>
        <v>0.32362975845822356</v>
      </c>
      <c r="K53" s="2">
        <f t="shared" si="35"/>
        <v>0.28949320921484845</v>
      </c>
      <c r="L53" s="2">
        <f>L51/L15</f>
        <v>0</v>
      </c>
      <c r="M53" s="2">
        <f>M51/M15</f>
        <v>0</v>
      </c>
      <c r="N53" s="2">
        <f>N51/N15</f>
        <v>0</v>
      </c>
      <c r="O53" s="2">
        <f>O51/O15</f>
        <v>0</v>
      </c>
      <c r="P53" s="2">
        <f t="shared" si="35"/>
        <v>0.2396351575456053</v>
      </c>
      <c r="Q53" s="2"/>
      <c r="R53" s="2">
        <f>R51/R15</f>
        <v>0.19537275064267351</v>
      </c>
      <c r="S53" s="2">
        <f>S51/S15</f>
        <v>0.23308270676691728</v>
      </c>
      <c r="T53" s="2">
        <f>T51/T15</f>
        <v>7.407407407407407E-2</v>
      </c>
      <c r="U53" s="504">
        <f t="shared" si="35"/>
        <v>0.18828451882845187</v>
      </c>
      <c r="V53" s="2">
        <f>V51/V15</f>
        <v>0.13690476190476192</v>
      </c>
      <c r="W53" s="473">
        <f>W51/W15</f>
        <v>0.15094339622641509</v>
      </c>
      <c r="X53" s="473">
        <f>X51/X15</f>
        <v>0.19154228855721392</v>
      </c>
      <c r="Y53" s="473">
        <f t="shared" ref="Y53:AD53" si="36">Y51/Y15</f>
        <v>7.6666666666666661E-2</v>
      </c>
      <c r="Z53" s="504">
        <f t="shared" si="36"/>
        <v>0.14549325762952448</v>
      </c>
      <c r="AA53" s="473">
        <f t="shared" si="36"/>
        <v>9.014084507042254E-2</v>
      </c>
      <c r="AB53" s="473">
        <f t="shared" si="36"/>
        <v>0.13613861386138615</v>
      </c>
      <c r="AC53" s="473" t="e">
        <f t="shared" si="36"/>
        <v>#DIV/0!</v>
      </c>
      <c r="AD53" s="473" t="e">
        <f t="shared" si="36"/>
        <v>#DIV/0!</v>
      </c>
      <c r="AE53" s="504">
        <f>AE51/AE15</f>
        <v>6.1923583662714096E-2</v>
      </c>
    </row>
    <row r="54" spans="1:31" hidden="1">
      <c r="A54" s="67" t="s">
        <v>85</v>
      </c>
      <c r="B54" s="100"/>
      <c r="C54" s="10"/>
      <c r="D54" s="10"/>
      <c r="E54" s="101"/>
      <c r="F54" s="448"/>
      <c r="G54" s="10"/>
      <c r="H54" s="10"/>
      <c r="I54" s="10"/>
      <c r="J54" s="10"/>
      <c r="K54" s="10"/>
      <c r="L54" s="10"/>
      <c r="M54" s="10"/>
      <c r="N54" s="10"/>
      <c r="O54" s="10"/>
      <c r="P54" s="10"/>
      <c r="Q54" s="10"/>
      <c r="R54" s="10"/>
      <c r="S54" s="10"/>
      <c r="T54" s="10"/>
      <c r="U54" s="78"/>
      <c r="Z54" s="78"/>
    </row>
    <row r="55" spans="1:31">
      <c r="A55" s="67"/>
      <c r="B55" s="100"/>
      <c r="C55" s="10"/>
      <c r="D55" s="10"/>
      <c r="E55" s="101"/>
      <c r="F55" s="448"/>
      <c r="G55" s="10"/>
      <c r="H55" s="10"/>
      <c r="I55" s="10"/>
      <c r="J55" s="10"/>
      <c r="K55" s="10"/>
      <c r="L55" s="10"/>
      <c r="M55" s="10"/>
      <c r="N55" s="10"/>
      <c r="O55" s="10"/>
      <c r="P55" s="10"/>
      <c r="Q55" s="10"/>
      <c r="R55" s="10"/>
      <c r="S55" s="10"/>
      <c r="T55" s="10"/>
      <c r="U55" s="78"/>
      <c r="Z55" s="78"/>
    </row>
    <row r="56" spans="1:31" s="163" customFormat="1">
      <c r="A56" s="62" t="s">
        <v>834</v>
      </c>
      <c r="B56" s="123"/>
      <c r="C56" s="124"/>
      <c r="D56" s="124"/>
      <c r="E56" s="125"/>
      <c r="F56" s="544"/>
      <c r="G56" s="545"/>
      <c r="H56" s="545"/>
      <c r="I56" s="547"/>
      <c r="J56" s="547"/>
      <c r="K56" s="547"/>
      <c r="L56" s="545">
        <v>122</v>
      </c>
      <c r="M56" s="545">
        <v>129</v>
      </c>
      <c r="N56" s="545">
        <v>119</v>
      </c>
      <c r="O56" s="545">
        <v>98</v>
      </c>
      <c r="P56" s="545">
        <v>468</v>
      </c>
      <c r="Q56" s="545">
        <v>127</v>
      </c>
      <c r="R56" s="545">
        <v>123</v>
      </c>
      <c r="S56" s="545">
        <v>130</v>
      </c>
      <c r="T56" s="545">
        <v>87</v>
      </c>
      <c r="U56" s="546">
        <v>466</v>
      </c>
      <c r="V56" s="163">
        <v>85</v>
      </c>
      <c r="W56" s="163">
        <v>95</v>
      </c>
      <c r="X56" s="163">
        <v>114</v>
      </c>
      <c r="Y56" s="163">
        <v>58</v>
      </c>
      <c r="Z56" s="546">
        <v>352</v>
      </c>
      <c r="AA56" s="163">
        <v>73</v>
      </c>
      <c r="AB56" s="163">
        <v>101</v>
      </c>
      <c r="AE56" s="164"/>
    </row>
    <row r="57" spans="1:31" s="211" customFormat="1">
      <c r="A57" s="70" t="s">
        <v>833</v>
      </c>
      <c r="B57" s="23"/>
      <c r="C57" s="2"/>
      <c r="D57" s="2"/>
      <c r="E57" s="480"/>
      <c r="F57" s="67"/>
      <c r="G57" s="2"/>
      <c r="H57" s="2"/>
      <c r="I57" s="2"/>
      <c r="J57" s="2"/>
      <c r="K57" s="2"/>
      <c r="L57" s="2">
        <f>L56/L13</f>
        <v>0.43416370106761565</v>
      </c>
      <c r="M57" s="2">
        <f t="shared" ref="M57:AA57" si="37">M56/M13</f>
        <v>0.39938080495356038</v>
      </c>
      <c r="N57" s="2">
        <f t="shared" si="37"/>
        <v>0.33615819209039549</v>
      </c>
      <c r="O57" s="2">
        <f t="shared" si="37"/>
        <v>0.34027777777777779</v>
      </c>
      <c r="P57" s="2">
        <f t="shared" si="37"/>
        <v>0.3756019261637239</v>
      </c>
      <c r="Q57" s="2">
        <f t="shared" si="37"/>
        <v>0.34986225895316803</v>
      </c>
      <c r="R57" s="2">
        <f t="shared" si="37"/>
        <v>0.3037037037037037</v>
      </c>
      <c r="S57" s="2">
        <f t="shared" si="37"/>
        <v>0.31325301204819278</v>
      </c>
      <c r="T57" s="2">
        <f t="shared" si="37"/>
        <v>0.28155339805825241</v>
      </c>
      <c r="U57" s="504">
        <f t="shared" si="37"/>
        <v>0.31233243967828417</v>
      </c>
      <c r="V57" s="211">
        <f t="shared" si="37"/>
        <v>0.24147727272727273</v>
      </c>
      <c r="W57" s="211">
        <f t="shared" si="37"/>
        <v>0.24296675191815856</v>
      </c>
      <c r="X57" s="211">
        <f t="shared" si="37"/>
        <v>0.27078384798099764</v>
      </c>
      <c r="Y57" s="211">
        <f t="shared" si="37"/>
        <v>0.18354430379746836</v>
      </c>
      <c r="Z57" s="504">
        <f t="shared" si="37"/>
        <v>0.23783783783783785</v>
      </c>
      <c r="AA57" s="211">
        <f t="shared" si="37"/>
        <v>0.19623655913978494</v>
      </c>
      <c r="AB57" s="211">
        <v>0.24</v>
      </c>
      <c r="AE57" s="446"/>
    </row>
    <row r="58" spans="1:31">
      <c r="A58" s="67"/>
      <c r="B58" s="100"/>
      <c r="C58" s="10"/>
      <c r="D58" s="10"/>
      <c r="E58" s="101"/>
      <c r="F58" s="448"/>
      <c r="G58" s="10"/>
      <c r="H58" s="10"/>
      <c r="I58" s="10"/>
      <c r="J58" s="10"/>
      <c r="K58" s="10"/>
      <c r="L58" s="10"/>
      <c r="M58" s="10"/>
      <c r="N58" s="10"/>
      <c r="O58" s="10"/>
      <c r="P58" s="10"/>
      <c r="Q58" s="10"/>
      <c r="R58" s="10"/>
      <c r="S58" s="10"/>
      <c r="T58" s="10"/>
      <c r="U58" s="78"/>
      <c r="Z58" s="78"/>
    </row>
    <row r="59" spans="1:31">
      <c r="A59" s="62" t="s">
        <v>86</v>
      </c>
      <c r="B59" s="123">
        <f>4*35.250335</f>
        <v>141.00134</v>
      </c>
      <c r="C59" s="124">
        <f>4*37.577056</f>
        <v>150.308224</v>
      </c>
      <c r="D59" s="124">
        <f>4*38.030974</f>
        <v>152.123896</v>
      </c>
      <c r="E59" s="125">
        <f>4*36.090785</f>
        <v>144.36313999999999</v>
      </c>
      <c r="F59" s="544">
        <v>57</v>
      </c>
      <c r="G59" s="545">
        <v>29.762</v>
      </c>
      <c r="H59" s="545"/>
      <c r="I59" s="547">
        <v>134.86516900000001</v>
      </c>
      <c r="J59" s="547">
        <v>141.34100000000001</v>
      </c>
      <c r="K59" s="547">
        <v>145.26300000000001</v>
      </c>
      <c r="L59" s="545"/>
      <c r="M59" s="545"/>
      <c r="N59" s="545"/>
      <c r="O59" s="545"/>
      <c r="P59" s="545">
        <v>146</v>
      </c>
      <c r="Q59" s="545"/>
      <c r="R59" s="545">
        <v>146</v>
      </c>
      <c r="S59" s="545">
        <v>146</v>
      </c>
      <c r="T59" s="545">
        <v>146</v>
      </c>
      <c r="U59" s="546">
        <v>146</v>
      </c>
      <c r="V59" s="133">
        <v>147</v>
      </c>
      <c r="W59" s="133">
        <v>147</v>
      </c>
      <c r="X59" s="133">
        <v>147</v>
      </c>
      <c r="Y59" s="133">
        <v>146</v>
      </c>
      <c r="Z59" s="546">
        <v>147</v>
      </c>
      <c r="AA59" s="133">
        <v>145</v>
      </c>
      <c r="AB59" s="133">
        <v>141</v>
      </c>
    </row>
    <row r="60" spans="1:31">
      <c r="A60" s="65" t="s">
        <v>87</v>
      </c>
      <c r="C60" s="1"/>
      <c r="D60" s="1"/>
      <c r="E60" s="102"/>
      <c r="F60" s="66"/>
      <c r="I60" s="1"/>
      <c r="J60" s="1"/>
      <c r="K60" s="1"/>
      <c r="L60" s="1"/>
      <c r="M60" s="1"/>
      <c r="N60" s="1"/>
      <c r="O60" s="1"/>
      <c r="P60" s="1"/>
      <c r="Q60" s="1"/>
      <c r="R60" s="1"/>
      <c r="S60" s="1"/>
      <c r="T60" s="1"/>
    </row>
    <row r="61" spans="1:31">
      <c r="A61" s="70" t="s">
        <v>88</v>
      </c>
      <c r="B61" s="103">
        <v>0.71846884298084746</v>
      </c>
      <c r="C61" s="7">
        <v>1.121919045245888</v>
      </c>
      <c r="D61" s="7">
        <v>1.1884315225081505</v>
      </c>
      <c r="E61" s="155">
        <v>0.83733130450044613</v>
      </c>
      <c r="F61" s="456">
        <v>1.28</v>
      </c>
      <c r="G61" s="85">
        <v>-0.42</v>
      </c>
      <c r="H61" s="85"/>
      <c r="I61" s="7">
        <v>1.33</v>
      </c>
      <c r="J61" s="7">
        <v>1.39</v>
      </c>
      <c r="K61" s="7">
        <v>1.44</v>
      </c>
      <c r="L61" s="7"/>
      <c r="M61" s="7"/>
      <c r="N61" s="7"/>
      <c r="O61" s="7"/>
      <c r="P61" s="7">
        <v>1.58</v>
      </c>
      <c r="Q61" s="7"/>
      <c r="R61" s="7">
        <v>0.4</v>
      </c>
      <c r="S61" s="7">
        <v>0.51</v>
      </c>
      <c r="T61" s="7">
        <v>0.02</v>
      </c>
      <c r="U61" s="524">
        <v>1.38</v>
      </c>
      <c r="V61" s="133">
        <v>0.19</v>
      </c>
      <c r="W61" s="133">
        <v>0.23</v>
      </c>
      <c r="X61" s="133">
        <v>0.38</v>
      </c>
      <c r="Y61" s="133">
        <v>0.01</v>
      </c>
      <c r="Z61" s="524">
        <v>0.83</v>
      </c>
      <c r="AA61" s="133">
        <v>0.09</v>
      </c>
      <c r="AB61" s="133">
        <v>0.19</v>
      </c>
    </row>
    <row r="62" spans="1:31">
      <c r="A62" s="70" t="s">
        <v>89</v>
      </c>
      <c r="B62" s="103">
        <v>0.68467563051545988</v>
      </c>
      <c r="C62" s="7">
        <v>1.0564854096477156</v>
      </c>
      <c r="D62" s="7">
        <v>1.1242487643380727</v>
      </c>
      <c r="E62" s="155">
        <v>0.79945054685983263</v>
      </c>
      <c r="F62" s="456">
        <v>1.1000000000000001</v>
      </c>
      <c r="G62" s="7">
        <v>-0.55000000000000004</v>
      </c>
      <c r="H62" s="85"/>
      <c r="I62" s="7">
        <v>1.32</v>
      </c>
      <c r="J62" s="7">
        <v>1.37</v>
      </c>
      <c r="K62" s="7">
        <v>1.41</v>
      </c>
      <c r="L62" s="7"/>
      <c r="M62" s="7"/>
      <c r="N62" s="7"/>
      <c r="O62" s="7"/>
      <c r="P62" s="7">
        <v>1.55</v>
      </c>
      <c r="Q62" s="7"/>
      <c r="R62" s="7">
        <v>0.4</v>
      </c>
      <c r="S62" s="7">
        <v>0.51</v>
      </c>
      <c r="T62" s="7">
        <v>0.02</v>
      </c>
      <c r="U62" s="527">
        <v>1.36</v>
      </c>
      <c r="V62" s="133">
        <v>0.18</v>
      </c>
      <c r="W62" s="133">
        <v>0.23</v>
      </c>
      <c r="X62" s="133">
        <v>0.37</v>
      </c>
      <c r="Y62" s="133">
        <v>0.01</v>
      </c>
      <c r="Z62" s="527">
        <v>0.82</v>
      </c>
      <c r="AA62" s="133">
        <v>0.09</v>
      </c>
      <c r="AB62" s="133">
        <v>0.19</v>
      </c>
    </row>
    <row r="63" spans="1:31" s="473" customFormat="1">
      <c r="A63" s="70" t="s">
        <v>664</v>
      </c>
      <c r="B63" s="482"/>
      <c r="C63" s="483"/>
      <c r="D63" s="483"/>
      <c r="E63" s="480">
        <f>E62/C62-1</f>
        <v>-0.24329239234225786</v>
      </c>
      <c r="F63" s="67">
        <v>8.3149999999999995</v>
      </c>
      <c r="G63" s="483"/>
      <c r="H63" s="484"/>
      <c r="I63" s="2"/>
      <c r="J63" s="2">
        <f>J62/I62-1</f>
        <v>3.7878787878787845E-2</v>
      </c>
      <c r="K63" s="2">
        <f>K62/J62-1</f>
        <v>2.9197080291970767E-2</v>
      </c>
      <c r="L63" s="2"/>
      <c r="M63" s="2"/>
      <c r="N63" s="2"/>
      <c r="O63" s="2"/>
      <c r="P63" s="2">
        <f>P62/K62-1</f>
        <v>9.9290780141844115E-2</v>
      </c>
      <c r="Q63" s="2"/>
      <c r="R63" s="2"/>
      <c r="S63" s="2"/>
      <c r="T63" s="2"/>
      <c r="U63" s="504">
        <f>U62/P62-1</f>
        <v>-0.1225806451612903</v>
      </c>
      <c r="V63" s="2">
        <f>V62/0.02-1</f>
        <v>8</v>
      </c>
      <c r="W63" s="473">
        <f>W61/R61-1</f>
        <v>-0.42500000000000004</v>
      </c>
      <c r="X63" s="473">
        <f>X61/S61-1</f>
        <v>-0.25490196078431371</v>
      </c>
      <c r="Y63" s="473">
        <f t="shared" ref="Y63:AE63" si="38">Y61/T61-1</f>
        <v>-0.5</v>
      </c>
      <c r="Z63" s="504">
        <f>Z61/U61-1</f>
        <v>-0.39855072463768115</v>
      </c>
      <c r="AA63" s="473">
        <f t="shared" si="38"/>
        <v>-0.52631578947368429</v>
      </c>
      <c r="AB63" s="473">
        <f t="shared" si="38"/>
        <v>-0.17391304347826086</v>
      </c>
      <c r="AC63" s="473">
        <f t="shared" si="38"/>
        <v>-1</v>
      </c>
      <c r="AD63" s="473">
        <f t="shared" si="38"/>
        <v>-1</v>
      </c>
      <c r="AE63" s="486">
        <f t="shared" si="38"/>
        <v>-1</v>
      </c>
    </row>
    <row r="64" spans="1:31">
      <c r="A64" s="70" t="s">
        <v>779</v>
      </c>
      <c r="B64" s="103"/>
      <c r="C64" s="7"/>
      <c r="D64" s="7"/>
      <c r="E64" s="155"/>
      <c r="F64" s="456"/>
      <c r="I64" s="7"/>
      <c r="J64" s="7"/>
      <c r="K64" s="7"/>
      <c r="L64" s="7"/>
      <c r="M64" s="7"/>
      <c r="N64" s="7"/>
      <c r="O64" s="7"/>
      <c r="P64" s="7"/>
      <c r="Q64" s="7"/>
      <c r="R64" s="7"/>
      <c r="S64" s="7"/>
      <c r="T64" s="7"/>
      <c r="Z64" s="445"/>
      <c r="AE64" s="445">
        <f>AE62/Z62-1</f>
        <v>-1</v>
      </c>
    </row>
    <row r="65" spans="1:31">
      <c r="B65" s="21" t="s">
        <v>41</v>
      </c>
      <c r="C65" s="6" t="s">
        <v>41</v>
      </c>
      <c r="D65" s="6" t="s">
        <v>41</v>
      </c>
      <c r="E65" s="111" t="s">
        <v>41</v>
      </c>
      <c r="F65" s="64" t="s">
        <v>665</v>
      </c>
      <c r="G65" s="6" t="s">
        <v>10</v>
      </c>
      <c r="H65" s="6" t="s">
        <v>685</v>
      </c>
      <c r="I65" s="6" t="s">
        <v>685</v>
      </c>
      <c r="J65" s="6" t="s">
        <v>685</v>
      </c>
      <c r="K65" s="6" t="s">
        <v>685</v>
      </c>
      <c r="L65" s="5" t="s">
        <v>686</v>
      </c>
      <c r="M65" s="5" t="s">
        <v>686</v>
      </c>
      <c r="N65" s="5" t="s">
        <v>686</v>
      </c>
      <c r="O65" s="5" t="s">
        <v>686</v>
      </c>
      <c r="P65" s="6" t="s">
        <v>685</v>
      </c>
      <c r="Q65" s="6"/>
      <c r="R65" s="6" t="s">
        <v>685</v>
      </c>
      <c r="S65" s="6" t="s">
        <v>685</v>
      </c>
      <c r="T65" s="6" t="s">
        <v>685</v>
      </c>
      <c r="U65" s="525" t="s">
        <v>685</v>
      </c>
      <c r="V65" s="6" t="s">
        <v>685</v>
      </c>
      <c r="W65" s="6" t="s">
        <v>685</v>
      </c>
      <c r="X65" s="6" t="s">
        <v>685</v>
      </c>
      <c r="Y65" s="6" t="s">
        <v>686</v>
      </c>
      <c r="Z65" s="525" t="s">
        <v>686</v>
      </c>
      <c r="AA65" s="6" t="s">
        <v>685</v>
      </c>
      <c r="AB65" s="6" t="s">
        <v>685</v>
      </c>
      <c r="AC65" s="6" t="s">
        <v>685</v>
      </c>
      <c r="AD65" s="6" t="s">
        <v>776</v>
      </c>
      <c r="AE65" s="525" t="s">
        <v>776</v>
      </c>
    </row>
    <row r="66" spans="1:31" ht="12.75" customHeight="1">
      <c r="A66" s="64" t="s">
        <v>91</v>
      </c>
      <c r="B66" s="21">
        <v>2009</v>
      </c>
      <c r="C66" s="6">
        <v>2010</v>
      </c>
      <c r="D66" s="6">
        <v>2011</v>
      </c>
      <c r="E66" s="111">
        <v>2012</v>
      </c>
      <c r="F66" s="64">
        <v>2015</v>
      </c>
      <c r="G66" s="6">
        <v>2009</v>
      </c>
      <c r="H66" s="6">
        <v>2010</v>
      </c>
      <c r="I66" s="6">
        <v>2011</v>
      </c>
      <c r="J66" s="6">
        <v>2012</v>
      </c>
      <c r="K66" s="6">
        <v>2013</v>
      </c>
      <c r="L66" s="5" t="s">
        <v>832</v>
      </c>
      <c r="M66" s="5" t="s">
        <v>829</v>
      </c>
      <c r="N66" s="5" t="s">
        <v>830</v>
      </c>
      <c r="O66" s="5" t="s">
        <v>831</v>
      </c>
      <c r="P66" s="6">
        <v>2014</v>
      </c>
      <c r="Q66" s="6"/>
      <c r="R66" s="6" t="s">
        <v>698</v>
      </c>
      <c r="S66" s="6" t="s">
        <v>699</v>
      </c>
      <c r="T66" s="6" t="s">
        <v>700</v>
      </c>
      <c r="U66" s="111">
        <v>2015</v>
      </c>
      <c r="V66" s="6" t="s">
        <v>745</v>
      </c>
      <c r="W66" s="6" t="s">
        <v>743</v>
      </c>
      <c r="X66" s="6" t="s">
        <v>760</v>
      </c>
      <c r="Y66" s="6" t="s">
        <v>775</v>
      </c>
      <c r="Z66" s="111">
        <v>2016</v>
      </c>
      <c r="AA66" s="6" t="s">
        <v>777</v>
      </c>
      <c r="AB66" s="6" t="s">
        <v>772</v>
      </c>
      <c r="AC66" s="6" t="s">
        <v>773</v>
      </c>
      <c r="AD66" s="6" t="s">
        <v>778</v>
      </c>
      <c r="AE66" s="111">
        <v>2017</v>
      </c>
    </row>
    <row r="67" spans="1:31">
      <c r="A67" s="70" t="s">
        <v>93</v>
      </c>
      <c r="B67" s="103"/>
      <c r="C67" s="7"/>
      <c r="D67" s="7"/>
      <c r="E67" s="155"/>
      <c r="F67" s="456"/>
      <c r="H67" s="7"/>
      <c r="I67" s="7"/>
      <c r="J67" s="7"/>
      <c r="K67" s="7"/>
      <c r="L67" s="7"/>
      <c r="M67" s="7"/>
      <c r="N67" s="7"/>
      <c r="O67" s="7"/>
      <c r="P67" s="7"/>
      <c r="Q67" s="7"/>
      <c r="R67" s="7"/>
      <c r="S67" s="7"/>
      <c r="T67" s="7"/>
      <c r="U67" s="527"/>
      <c r="Z67" s="527"/>
    </row>
    <row r="68" spans="1:31" s="488" customFormat="1">
      <c r="A68" s="492" t="s">
        <v>670</v>
      </c>
      <c r="B68" s="470" t="e">
        <f>-B19/B13</f>
        <v>#REF!</v>
      </c>
      <c r="C68" s="469" t="e">
        <f>-C19/C13</f>
        <v>#REF!</v>
      </c>
      <c r="D68" s="469" t="e">
        <f>-D19/D13</f>
        <v>#REF!</v>
      </c>
      <c r="E68" s="504">
        <f>-E19/E13</f>
        <v>0.21927157792698135</v>
      </c>
      <c r="F68" s="505">
        <f>-F19/F13</f>
        <v>0.21246762398905855</v>
      </c>
      <c r="G68" s="485" t="e">
        <f t="shared" ref="G68:U68" si="39">-G19/G13</f>
        <v>#VALUE!</v>
      </c>
      <c r="H68" s="485" t="e">
        <f t="shared" si="39"/>
        <v>#REF!</v>
      </c>
      <c r="I68" s="469">
        <f t="shared" si="39"/>
        <v>9.0176324790483833E-2</v>
      </c>
      <c r="J68" s="469">
        <f t="shared" si="39"/>
        <v>0.11355176933158585</v>
      </c>
      <c r="K68" s="469">
        <f t="shared" si="39"/>
        <v>0.13827830687830689</v>
      </c>
      <c r="L68" s="469">
        <f>-L19/L13</f>
        <v>0</v>
      </c>
      <c r="M68" s="469">
        <f>-M19/M13</f>
        <v>0</v>
      </c>
      <c r="N68" s="469">
        <f>-N19/N13</f>
        <v>0</v>
      </c>
      <c r="O68" s="469">
        <f>-O19/O13</f>
        <v>0</v>
      </c>
      <c r="P68" s="469">
        <f t="shared" si="39"/>
        <v>0.13723916532905298</v>
      </c>
      <c r="Q68" s="469"/>
      <c r="R68" s="469">
        <f>-R19/R13</f>
        <v>0.12345679012345678</v>
      </c>
      <c r="S68" s="469">
        <f>-S19/S13</f>
        <v>0.13012048192771083</v>
      </c>
      <c r="T68" s="469">
        <f>-T19/T13</f>
        <v>0.17799352750809061</v>
      </c>
      <c r="U68" s="519">
        <f t="shared" si="39"/>
        <v>0.13873994638069706</v>
      </c>
      <c r="V68" s="469">
        <f>-V19/V13</f>
        <v>0.17329545454545456</v>
      </c>
      <c r="W68" s="469">
        <f>-W19/W13</f>
        <v>0.15856777493606139</v>
      </c>
      <c r="X68" s="469">
        <f>-X19/X13</f>
        <v>0.14726840855106887</v>
      </c>
      <c r="Y68" s="488">
        <f t="shared" ref="Y68:AE68" si="40">-Y19/Y13</f>
        <v>0.18354430379746836</v>
      </c>
      <c r="Z68" s="519">
        <f t="shared" si="40"/>
        <v>0.16418918918918918</v>
      </c>
      <c r="AA68" s="488">
        <f t="shared" si="40"/>
        <v>0.15860215053763441</v>
      </c>
      <c r="AB68" s="488">
        <f t="shared" si="40"/>
        <v>0.15094339622641509</v>
      </c>
      <c r="AC68" s="488" t="e">
        <f t="shared" si="40"/>
        <v>#DIV/0!</v>
      </c>
      <c r="AD68" s="488" t="e">
        <f t="shared" si="40"/>
        <v>#DIV/0!</v>
      </c>
      <c r="AE68" s="507">
        <f t="shared" si="40"/>
        <v>0.15452261306532664</v>
      </c>
    </row>
    <row r="69" spans="1:31" s="488" customFormat="1">
      <c r="A69" s="492" t="s">
        <v>671</v>
      </c>
      <c r="B69" s="470" t="e">
        <f>-B20/B13</f>
        <v>#REF!</v>
      </c>
      <c r="C69" s="469" t="e">
        <f>-C20/C13</f>
        <v>#REF!</v>
      </c>
      <c r="D69" s="469" t="e">
        <f>-D20/D13</f>
        <v>#REF!</v>
      </c>
      <c r="E69" s="504">
        <f>-E20/E13</f>
        <v>0.2366077320008961</v>
      </c>
      <c r="F69" s="505">
        <f>-F20/F13</f>
        <v>0.19901707182255859</v>
      </c>
      <c r="G69" s="485" t="e">
        <f t="shared" ref="G69:U69" si="41">-G20/G13</f>
        <v>#VALUE!</v>
      </c>
      <c r="H69" s="485" t="e">
        <f t="shared" si="41"/>
        <v>#REF!</v>
      </c>
      <c r="I69" s="469">
        <f t="shared" si="41"/>
        <v>0.32834429247970764</v>
      </c>
      <c r="J69" s="469">
        <f t="shared" si="41"/>
        <v>0.34893709043250326</v>
      </c>
      <c r="K69" s="469">
        <f t="shared" si="41"/>
        <v>0.38979153439153441</v>
      </c>
      <c r="L69" s="469">
        <f>-L20/L13</f>
        <v>0</v>
      </c>
      <c r="M69" s="469">
        <f>-M20/M13</f>
        <v>0</v>
      </c>
      <c r="N69" s="469">
        <f>-N20/N13</f>
        <v>0</v>
      </c>
      <c r="O69" s="469">
        <f>-O20/O13</f>
        <v>0</v>
      </c>
      <c r="P69" s="469">
        <f t="shared" si="41"/>
        <v>0.4028892455858748</v>
      </c>
      <c r="Q69" s="469"/>
      <c r="R69" s="469">
        <f>-R20/R13</f>
        <v>0.47407407407407409</v>
      </c>
      <c r="S69" s="469">
        <f>-S20/S13</f>
        <v>0.47469879518072289</v>
      </c>
      <c r="T69" s="469">
        <f>-T20/T13</f>
        <v>0.46925566343042069</v>
      </c>
      <c r="U69" s="519">
        <f t="shared" si="41"/>
        <v>0.46380697050938335</v>
      </c>
      <c r="V69" s="469">
        <f>-V20/V13</f>
        <v>0.48863636363636365</v>
      </c>
      <c r="W69" s="469">
        <f>-W20/W13</f>
        <v>0.51662404092071612</v>
      </c>
      <c r="X69" s="469">
        <f>-X20/X13</f>
        <v>0.49881235154394299</v>
      </c>
      <c r="Y69" s="488">
        <f t="shared" ref="Y69:AE69" si="42">-Y20/Y13</f>
        <v>0.54430379746835444</v>
      </c>
      <c r="Z69" s="519">
        <f t="shared" si="42"/>
        <v>0.51081081081081081</v>
      </c>
      <c r="AA69" s="488">
        <f t="shared" si="42"/>
        <v>0.55645161290322576</v>
      </c>
      <c r="AB69" s="488">
        <f t="shared" si="42"/>
        <v>0.54009433962264153</v>
      </c>
      <c r="AC69" s="488" t="e">
        <f t="shared" si="42"/>
        <v>#DIV/0!</v>
      </c>
      <c r="AD69" s="488" t="e">
        <f t="shared" si="42"/>
        <v>#DIV/0!</v>
      </c>
      <c r="AE69" s="507">
        <f t="shared" si="42"/>
        <v>0.54773869346733672</v>
      </c>
    </row>
    <row r="70" spans="1:31" s="488" customFormat="1">
      <c r="A70" s="492" t="s">
        <v>672</v>
      </c>
      <c r="B70" s="470" t="e">
        <f>-B21/B13</f>
        <v>#REF!</v>
      </c>
      <c r="C70" s="469" t="e">
        <f>-C21/C13</f>
        <v>#REF!</v>
      </c>
      <c r="D70" s="469" t="e">
        <f>-D21/D13</f>
        <v>#REF!</v>
      </c>
      <c r="E70" s="504">
        <f>-E21/E13</f>
        <v>0.13717626847094347</v>
      </c>
      <c r="F70" s="505">
        <f>-F21/F13</f>
        <v>7.0145936278332668E-2</v>
      </c>
      <c r="G70" s="444" t="e">
        <f t="shared" ref="G70:U70" si="43">-G21/G13</f>
        <v>#REF!</v>
      </c>
      <c r="H70" s="444" t="e">
        <f t="shared" si="43"/>
        <v>#REF!</v>
      </c>
      <c r="I70" s="469">
        <f t="shared" si="43"/>
        <v>7.0275624231826372E-2</v>
      </c>
      <c r="J70" s="469">
        <f t="shared" si="43"/>
        <v>9.9136304062909575E-2</v>
      </c>
      <c r="K70" s="469">
        <f t="shared" si="43"/>
        <v>0.10383174603174603</v>
      </c>
      <c r="L70" s="469">
        <f>-L21/L13</f>
        <v>0</v>
      </c>
      <c r="M70" s="469">
        <f>-M21/M13</f>
        <v>0</v>
      </c>
      <c r="N70" s="469">
        <f>-N21/N13</f>
        <v>0</v>
      </c>
      <c r="O70" s="469">
        <f>-O21/O13</f>
        <v>0</v>
      </c>
      <c r="P70" s="469">
        <f t="shared" si="43"/>
        <v>0.10272873194221509</v>
      </c>
      <c r="Q70" s="469"/>
      <c r="R70" s="469">
        <f>-R21/R13</f>
        <v>0.10864197530864197</v>
      </c>
      <c r="S70" s="469">
        <f>-S21/S13</f>
        <v>8.91566265060241E-2</v>
      </c>
      <c r="T70" s="469">
        <f>-T21/T13</f>
        <v>0.31067961165048541</v>
      </c>
      <c r="U70" s="445">
        <f t="shared" si="43"/>
        <v>0.14075067024128687</v>
      </c>
      <c r="V70" s="469">
        <f>-V21/V13</f>
        <v>0.10511363636363637</v>
      </c>
      <c r="W70" s="469">
        <f>-W21/W13</f>
        <v>8.6956521739130432E-2</v>
      </c>
      <c r="X70" s="469">
        <f>-X21/X13</f>
        <v>9.0261282660332537E-2</v>
      </c>
      <c r="Y70" s="488">
        <f t="shared" ref="Y70:AE70" si="44">-Y21/Y13</f>
        <v>0.10759493670886076</v>
      </c>
      <c r="Z70" s="445">
        <f t="shared" si="44"/>
        <v>9.662162162162162E-2</v>
      </c>
      <c r="AA70" s="488">
        <f t="shared" si="44"/>
        <v>9.4086021505376344E-2</v>
      </c>
      <c r="AB70" s="488">
        <f t="shared" si="44"/>
        <v>8.9622641509433956E-2</v>
      </c>
      <c r="AC70" s="488" t="e">
        <f t="shared" si="44"/>
        <v>#DIV/0!</v>
      </c>
      <c r="AD70" s="488" t="e">
        <f t="shared" si="44"/>
        <v>#DIV/0!</v>
      </c>
      <c r="AE70" s="507">
        <f t="shared" si="44"/>
        <v>9.1708542713567834E-2</v>
      </c>
    </row>
    <row r="71" spans="1:31" s="488" customFormat="1">
      <c r="A71" s="492" t="s">
        <v>673</v>
      </c>
      <c r="B71" s="475" t="e">
        <f t="shared" ref="B71:I71" si="45">B24/B13</f>
        <v>#REF!</v>
      </c>
      <c r="C71" s="444" t="e">
        <f t="shared" si="45"/>
        <v>#REF!</v>
      </c>
      <c r="D71" s="444" t="e">
        <f t="shared" si="45"/>
        <v>#REF!</v>
      </c>
      <c r="E71" s="445">
        <f t="shared" si="45"/>
        <v>0.10380932691224612</v>
      </c>
      <c r="F71" s="450">
        <f t="shared" si="45"/>
        <v>4.1414574924476852E-2</v>
      </c>
      <c r="G71" s="488" t="e">
        <f t="shared" si="45"/>
        <v>#VALUE!</v>
      </c>
      <c r="H71" s="444" t="e">
        <f t="shared" si="45"/>
        <v>#REF!</v>
      </c>
      <c r="I71" s="444">
        <f t="shared" si="45"/>
        <v>2.7224936937163203E-2</v>
      </c>
      <c r="J71" s="444">
        <f>K24/J13</f>
        <v>6.4158584534731333E-2</v>
      </c>
      <c r="K71" s="444" t="e">
        <f>#REF!/K13</f>
        <v>#REF!</v>
      </c>
      <c r="L71" s="444">
        <f>L24/L13</f>
        <v>0</v>
      </c>
      <c r="M71" s="444">
        <f>M24/M13</f>
        <v>0</v>
      </c>
      <c r="N71" s="444">
        <f>N24/N13</f>
        <v>0</v>
      </c>
      <c r="O71" s="444">
        <f>O24/O13</f>
        <v>0</v>
      </c>
      <c r="P71" s="444">
        <f>P24/P13</f>
        <v>5.0561797752808987E-2</v>
      </c>
      <c r="Q71" s="444"/>
      <c r="R71" s="444">
        <f t="shared" ref="R71:X71" si="46">R24/R13</f>
        <v>4.4444444444444446E-2</v>
      </c>
      <c r="S71" s="444">
        <f t="shared" si="46"/>
        <v>4.5783132530120479E-2</v>
      </c>
      <c r="T71" s="444">
        <f t="shared" si="46"/>
        <v>6.1488673139158574E-2</v>
      </c>
      <c r="U71" s="445">
        <f t="shared" si="46"/>
        <v>4.8257372654155493E-2</v>
      </c>
      <c r="V71" s="444">
        <f t="shared" si="46"/>
        <v>5.3977272727272728E-2</v>
      </c>
      <c r="W71" s="444">
        <f t="shared" si="46"/>
        <v>5.6265984654731455E-2</v>
      </c>
      <c r="X71" s="444">
        <f t="shared" si="46"/>
        <v>5.2256532066508314E-2</v>
      </c>
      <c r="Y71" s="488">
        <f t="shared" ref="Y71:AE71" si="47">Y24/Y13</f>
        <v>6.9620253164556958E-2</v>
      </c>
      <c r="Z71" s="445">
        <f t="shared" si="47"/>
        <v>5.7432432432432436E-2</v>
      </c>
      <c r="AA71" s="488">
        <f t="shared" si="47"/>
        <v>5.1075268817204304E-2</v>
      </c>
      <c r="AB71" s="488">
        <f t="shared" si="47"/>
        <v>6.6037735849056603E-2</v>
      </c>
      <c r="AC71" s="488" t="e">
        <f t="shared" si="47"/>
        <v>#DIV/0!</v>
      </c>
      <c r="AD71" s="488" t="e">
        <f t="shared" si="47"/>
        <v>#DIV/0!</v>
      </c>
      <c r="AE71" s="507">
        <f t="shared" si="47"/>
        <v>5.9045226130653265E-2</v>
      </c>
    </row>
    <row r="72" spans="1:31" s="488" customFormat="1">
      <c r="A72" s="508" t="s">
        <v>674</v>
      </c>
      <c r="B72" s="470" t="e">
        <f>-B119/B13</f>
        <v>#REF!</v>
      </c>
      <c r="C72" s="469" t="e">
        <f>-C119/C13</f>
        <v>#REF!</v>
      </c>
      <c r="D72" s="469" t="e">
        <f>-D119/D13</f>
        <v>#REF!</v>
      </c>
      <c r="E72" s="504">
        <f>-E119/E13</f>
        <v>0</v>
      </c>
      <c r="F72" s="505">
        <f t="shared" ref="F72:U72" si="48">-F119/F6</f>
        <v>5.5504648260593648E-2</v>
      </c>
      <c r="G72" s="444" t="e">
        <f t="shared" si="48"/>
        <v>#REF!</v>
      </c>
      <c r="H72" s="444" t="e">
        <f t="shared" si="48"/>
        <v>#REF!</v>
      </c>
      <c r="I72" s="469">
        <f t="shared" si="48"/>
        <v>-2.8822895066892913E-2</v>
      </c>
      <c r="J72" s="469">
        <f t="shared" si="48"/>
        <v>-2.6167758846657931E-2</v>
      </c>
      <c r="K72" s="469">
        <f t="shared" si="48"/>
        <v>-3.1211640211640211E-2</v>
      </c>
      <c r="L72" s="469">
        <f>-L119/L6</f>
        <v>0</v>
      </c>
      <c r="M72" s="469">
        <f>-M119/M6</f>
        <v>0</v>
      </c>
      <c r="N72" s="469">
        <f>-N119/N6</f>
        <v>0</v>
      </c>
      <c r="O72" s="469">
        <f>-O119/O6</f>
        <v>0</v>
      </c>
      <c r="P72" s="469">
        <f t="shared" si="48"/>
        <v>-3.77207062600321E-2</v>
      </c>
      <c r="Q72" s="469"/>
      <c r="R72" s="469">
        <f>-R119/R6</f>
        <v>-5.6790123456790124E-2</v>
      </c>
      <c r="S72" s="469">
        <f>-S119/S6</f>
        <v>-9.3975903614457831E-2</v>
      </c>
      <c r="T72" s="469">
        <f>-T119/T6</f>
        <v>5.1779935275080909E-2</v>
      </c>
      <c r="U72" s="445">
        <f t="shared" si="48"/>
        <v>-3.8203753351206432E-2</v>
      </c>
      <c r="V72" s="469">
        <f>-V119/V6</f>
        <v>4.8295454545454544E-2</v>
      </c>
      <c r="W72" s="469">
        <f>-W119/W6</f>
        <v>4.859335038363171E-2</v>
      </c>
      <c r="X72" s="469">
        <f>-X119/X6</f>
        <v>4.9881235154394299E-2</v>
      </c>
      <c r="Y72" s="488">
        <f t="shared" ref="Y72:AE72" si="49">-Y119/Y6</f>
        <v>5.0632911392405063E-2</v>
      </c>
      <c r="Z72" s="445">
        <f t="shared" si="49"/>
        <v>4.8648648648648651E-2</v>
      </c>
      <c r="AA72" s="488">
        <f t="shared" si="49"/>
        <v>4.8387096774193547E-2</v>
      </c>
      <c r="AB72" s="488">
        <f t="shared" si="49"/>
        <v>4.0094339622641507E-2</v>
      </c>
      <c r="AC72" s="488" t="e">
        <f t="shared" si="49"/>
        <v>#DIV/0!</v>
      </c>
      <c r="AD72" s="488" t="e">
        <f t="shared" si="49"/>
        <v>#DIV/0!</v>
      </c>
      <c r="AE72" s="507">
        <f t="shared" si="49"/>
        <v>0</v>
      </c>
    </row>
    <row r="73" spans="1:31" hidden="1">
      <c r="A73" s="70" t="s">
        <v>97</v>
      </c>
      <c r="B73" s="103"/>
      <c r="C73" s="7"/>
      <c r="D73" s="7"/>
      <c r="E73" s="155"/>
      <c r="F73" s="456"/>
      <c r="H73" s="7"/>
      <c r="I73" s="7"/>
      <c r="J73" s="7"/>
      <c r="K73" s="7"/>
      <c r="L73" s="7"/>
      <c r="M73" s="7"/>
      <c r="N73" s="7"/>
      <c r="O73" s="7"/>
      <c r="P73" s="7"/>
      <c r="Q73" s="7"/>
      <c r="R73" s="7"/>
      <c r="S73" s="7"/>
      <c r="T73" s="7"/>
      <c r="U73" s="527"/>
      <c r="Z73" s="527"/>
    </row>
    <row r="74" spans="1:31" hidden="1">
      <c r="A74" s="63" t="s">
        <v>94</v>
      </c>
      <c r="B74" s="100">
        <v>0.13812246425749181</v>
      </c>
      <c r="C74" s="10">
        <v>0.13521948859946911</v>
      </c>
      <c r="D74" s="10">
        <v>0.14365862620291073</v>
      </c>
      <c r="E74" s="101">
        <v>0.14365862620291073</v>
      </c>
      <c r="F74" s="448"/>
      <c r="G74" s="27"/>
      <c r="H74" s="27"/>
      <c r="I74" s="10"/>
      <c r="J74" s="10"/>
      <c r="K74" s="10"/>
      <c r="L74" s="10"/>
      <c r="M74" s="10"/>
      <c r="N74" s="10"/>
      <c r="O74" s="10"/>
      <c r="P74" s="10"/>
      <c r="Q74" s="10"/>
      <c r="R74" s="10"/>
      <c r="S74" s="10"/>
      <c r="T74" s="10"/>
      <c r="U74" s="517"/>
      <c r="Z74" s="517"/>
    </row>
    <row r="75" spans="1:31" hidden="1">
      <c r="A75" s="63" t="s">
        <v>95</v>
      </c>
      <c r="B75" s="100">
        <v>0.16419721052103078</v>
      </c>
      <c r="C75" s="10">
        <v>0.14580203841077308</v>
      </c>
      <c r="D75" s="10">
        <v>0.16477836539064999</v>
      </c>
      <c r="E75" s="101">
        <v>0.16477836539064999</v>
      </c>
      <c r="F75" s="448"/>
      <c r="G75" s="27"/>
      <c r="H75" s="27"/>
      <c r="I75" s="10"/>
      <c r="J75" s="10"/>
      <c r="K75" s="10"/>
      <c r="L75" s="10"/>
      <c r="M75" s="10"/>
      <c r="N75" s="10"/>
      <c r="O75" s="10"/>
      <c r="P75" s="10"/>
      <c r="Q75" s="10"/>
      <c r="R75" s="10"/>
      <c r="S75" s="10"/>
      <c r="T75" s="10"/>
      <c r="U75" s="517"/>
      <c r="Z75" s="517"/>
    </row>
    <row r="76" spans="1:31" hidden="1">
      <c r="A76" s="63" t="s">
        <v>96</v>
      </c>
      <c r="B76" s="100">
        <v>5.9605182729948976E-2</v>
      </c>
      <c r="C76" s="10">
        <v>5.1921085936201719E-2</v>
      </c>
      <c r="D76" s="10">
        <v>5.866942622178322E-2</v>
      </c>
      <c r="E76" s="101">
        <v>5.866942622178322E-2</v>
      </c>
      <c r="F76" s="448"/>
      <c r="G76" s="27"/>
      <c r="H76" s="27"/>
      <c r="I76" s="10"/>
      <c r="J76" s="10"/>
      <c r="K76" s="10"/>
      <c r="L76" s="10"/>
      <c r="M76" s="10"/>
      <c r="N76" s="10"/>
      <c r="O76" s="10"/>
      <c r="P76" s="10"/>
      <c r="Q76" s="10"/>
      <c r="R76" s="10"/>
      <c r="S76" s="10"/>
      <c r="T76" s="10"/>
      <c r="U76" s="517"/>
      <c r="Z76" s="517"/>
    </row>
    <row r="77" spans="1:31" hidden="1">
      <c r="A77" s="69"/>
      <c r="B77" s="100"/>
      <c r="C77" s="10"/>
      <c r="D77" s="10"/>
      <c r="E77" s="101"/>
      <c r="F77" s="448"/>
      <c r="G77" s="27"/>
      <c r="H77" s="27"/>
      <c r="I77" s="10"/>
      <c r="J77" s="10"/>
      <c r="K77" s="10"/>
      <c r="L77" s="10"/>
      <c r="M77" s="10"/>
      <c r="N77" s="10"/>
      <c r="O77" s="10"/>
      <c r="P77" s="10"/>
      <c r="Q77" s="10"/>
      <c r="R77" s="10"/>
      <c r="S77" s="10"/>
      <c r="T77" s="10"/>
      <c r="U77" s="517"/>
      <c r="Z77" s="517"/>
    </row>
    <row r="78" spans="1:31">
      <c r="A78" s="69"/>
      <c r="B78" s="100"/>
      <c r="C78" s="10"/>
      <c r="D78" s="10"/>
      <c r="E78" s="101"/>
      <c r="F78" s="448"/>
      <c r="G78" s="27"/>
      <c r="H78" s="27"/>
      <c r="I78" s="10"/>
      <c r="J78" s="10"/>
      <c r="K78" s="10"/>
      <c r="L78" s="10"/>
      <c r="M78" s="10"/>
      <c r="N78" s="10"/>
      <c r="O78" s="10"/>
      <c r="P78" s="10"/>
      <c r="Q78" s="10"/>
      <c r="R78" s="10"/>
      <c r="S78" s="10"/>
      <c r="T78" s="10"/>
      <c r="U78" s="517"/>
      <c r="Z78" s="517"/>
    </row>
    <row r="79" spans="1:31" s="163" customFormat="1">
      <c r="A79" s="161" t="s">
        <v>98</v>
      </c>
      <c r="B79" s="162"/>
      <c r="E79" s="164"/>
      <c r="F79" s="160"/>
      <c r="U79" s="528"/>
      <c r="Z79" s="528"/>
      <c r="AE79" s="164"/>
    </row>
    <row r="80" spans="1:31" s="473" customFormat="1">
      <c r="A80" s="476" t="s">
        <v>52</v>
      </c>
      <c r="B80" s="465" t="s">
        <v>20</v>
      </c>
      <c r="C80" s="211" t="e">
        <f>C6/B6-1</f>
        <v>#REF!</v>
      </c>
      <c r="D80" s="211" t="e">
        <f>D6/C6-1</f>
        <v>#REF!</v>
      </c>
      <c r="E80" s="446" t="e">
        <f>E6/C6-1</f>
        <v>#REF!</v>
      </c>
      <c r="F80" s="451">
        <v>0.47899999999999998</v>
      </c>
      <c r="G80" s="487" t="s">
        <v>20</v>
      </c>
      <c r="H80" s="211"/>
      <c r="I80" s="211"/>
      <c r="J80" s="211">
        <f>J6/I6-1</f>
        <v>0.19768374556362556</v>
      </c>
      <c r="K80" s="211">
        <f>K6/J6-1</f>
        <v>0.23853211009174302</v>
      </c>
      <c r="L80" s="211"/>
      <c r="M80" s="211"/>
      <c r="N80" s="211"/>
      <c r="O80" s="211"/>
      <c r="P80" s="211">
        <f>P6/K6-1</f>
        <v>0.31851851851851842</v>
      </c>
      <c r="Q80" s="211"/>
      <c r="R80" s="211"/>
      <c r="S80" s="211"/>
      <c r="T80" s="211"/>
      <c r="U80" s="445">
        <f>U6/P6-1</f>
        <v>0.1974317817014446</v>
      </c>
      <c r="V80" s="211">
        <f>V6/363-1</f>
        <v>-3.0303030303030276E-2</v>
      </c>
      <c r="W80" s="473">
        <f>W6/R6-1</f>
        <v>-3.4567901234567877E-2</v>
      </c>
      <c r="X80" s="473">
        <f>X6/S6-1</f>
        <v>1.4457831325301207E-2</v>
      </c>
      <c r="Y80" s="473">
        <f t="shared" ref="Y80:AE80" si="50">Y6/T6-1</f>
        <v>2.265372168284796E-2</v>
      </c>
      <c r="Z80" s="445">
        <f t="shared" si="50"/>
        <v>-8.0428954423592547E-3</v>
      </c>
      <c r="AA80" s="473">
        <f t="shared" si="50"/>
        <v>5.6818181818181879E-2</v>
      </c>
      <c r="AB80" s="473">
        <f t="shared" si="50"/>
        <v>8.4398976982097196E-2</v>
      </c>
      <c r="AC80" s="473">
        <f t="shared" si="50"/>
        <v>-1</v>
      </c>
      <c r="AD80" s="473">
        <f t="shared" si="50"/>
        <v>-1</v>
      </c>
      <c r="AE80" s="486">
        <f t="shared" si="50"/>
        <v>-0.46216216216216222</v>
      </c>
    </row>
    <row r="81" spans="1:31" s="473" customFormat="1">
      <c r="A81" s="476" t="s">
        <v>684</v>
      </c>
      <c r="B81" s="465"/>
      <c r="C81" s="211"/>
      <c r="D81" s="211"/>
      <c r="E81" s="446"/>
      <c r="F81" s="451"/>
      <c r="G81" s="487"/>
      <c r="H81" s="211"/>
      <c r="I81" s="211"/>
      <c r="J81" s="211"/>
      <c r="K81" s="211"/>
      <c r="L81" s="211"/>
      <c r="M81" s="211"/>
      <c r="N81" s="211"/>
      <c r="O81" s="211"/>
      <c r="P81" s="211">
        <v>0.39</v>
      </c>
      <c r="Q81" s="211"/>
      <c r="R81" s="211">
        <v>0.35</v>
      </c>
      <c r="S81" s="211">
        <v>0.25</v>
      </c>
      <c r="T81" s="211"/>
      <c r="U81" s="445">
        <v>0.27</v>
      </c>
      <c r="V81" s="211">
        <v>-0.01</v>
      </c>
      <c r="Z81" s="445"/>
      <c r="AE81" s="486"/>
    </row>
    <row r="82" spans="1:31" s="473" customFormat="1">
      <c r="A82" s="476" t="s">
        <v>27</v>
      </c>
      <c r="B82" s="465"/>
      <c r="C82" s="484"/>
      <c r="D82" s="484"/>
      <c r="E82" s="486"/>
      <c r="F82" s="489"/>
      <c r="G82" s="487" t="s">
        <v>20</v>
      </c>
      <c r="H82" s="484"/>
      <c r="I82" s="466"/>
      <c r="J82" s="466"/>
      <c r="K82" s="466"/>
      <c r="L82" s="466"/>
      <c r="M82" s="466"/>
      <c r="N82" s="466"/>
      <c r="O82" s="466"/>
      <c r="P82" s="466"/>
      <c r="Q82" s="466"/>
      <c r="R82" s="466"/>
      <c r="S82" s="466"/>
      <c r="T82" s="466"/>
      <c r="U82" s="529"/>
      <c r="V82" s="466"/>
      <c r="Z82" s="529"/>
      <c r="AE82" s="486"/>
    </row>
    <row r="83" spans="1:31" s="473" customFormat="1">
      <c r="A83" s="490" t="s">
        <v>57</v>
      </c>
      <c r="B83" s="465" t="s">
        <v>20</v>
      </c>
      <c r="C83" s="211">
        <f t="shared" ref="C83:D85" si="51">C19/B19-1</f>
        <v>0.52175425217817795</v>
      </c>
      <c r="D83" s="211">
        <f t="shared" si="51"/>
        <v>0.39604673760006004</v>
      </c>
      <c r="E83" s="446">
        <f>E19/C19-1</f>
        <v>1.1285466439574048</v>
      </c>
      <c r="F83" s="451">
        <v>0.42</v>
      </c>
      <c r="G83" s="487" t="s">
        <v>20</v>
      </c>
      <c r="H83" s="211"/>
      <c r="I83" s="211"/>
      <c r="J83" s="211">
        <f t="shared" ref="J83:K85" si="52">J19/I19-1</f>
        <v>0.50814649770226983</v>
      </c>
      <c r="K83" s="211">
        <f t="shared" si="52"/>
        <v>0.50822945521698992</v>
      </c>
      <c r="L83" s="211"/>
      <c r="M83" s="211"/>
      <c r="N83" s="211"/>
      <c r="O83" s="211"/>
      <c r="P83" s="211">
        <f>P19/K19-1</f>
        <v>0.30861004186021601</v>
      </c>
      <c r="Q83" s="211"/>
      <c r="R83" s="211"/>
      <c r="S83" s="211"/>
      <c r="T83" s="211"/>
      <c r="U83" s="445">
        <f>U19/P19-1</f>
        <v>0.21052631578947367</v>
      </c>
      <c r="V83" s="211">
        <f>V19/-49-1</f>
        <v>0.24489795918367352</v>
      </c>
      <c r="W83" s="473">
        <f t="shared" ref="W83:AE85" si="53">W19/R19-1</f>
        <v>0.24</v>
      </c>
      <c r="X83" s="473">
        <f t="shared" si="53"/>
        <v>0.14814814814814814</v>
      </c>
      <c r="Y83" s="473">
        <f t="shared" si="53"/>
        <v>5.4545454545454453E-2</v>
      </c>
      <c r="Z83" s="445">
        <f t="shared" si="53"/>
        <v>0.17391304347826098</v>
      </c>
      <c r="AA83" s="473">
        <f t="shared" si="53"/>
        <v>-3.2786885245901676E-2</v>
      </c>
      <c r="AB83" s="473">
        <f t="shared" si="53"/>
        <v>3.2258064516129004E-2</v>
      </c>
      <c r="AC83" s="473">
        <f t="shared" si="53"/>
        <v>-1</v>
      </c>
      <c r="AD83" s="473">
        <f t="shared" si="53"/>
        <v>-1</v>
      </c>
      <c r="AE83" s="486">
        <f t="shared" si="53"/>
        <v>-0.49382716049382713</v>
      </c>
    </row>
    <row r="84" spans="1:31" s="473" customFormat="1">
      <c r="A84" s="490" t="s">
        <v>58</v>
      </c>
      <c r="B84" s="465" t="s">
        <v>20</v>
      </c>
      <c r="C84" s="211">
        <f t="shared" si="51"/>
        <v>0.35772430614019446</v>
      </c>
      <c r="D84" s="211">
        <f t="shared" si="51"/>
        <v>0.44145272703166683</v>
      </c>
      <c r="E84" s="446">
        <f>E20/C20-1</f>
        <v>1.2996738498112284</v>
      </c>
      <c r="F84" s="451">
        <v>0.39500000000000002</v>
      </c>
      <c r="G84" s="487" t="s">
        <v>20</v>
      </c>
      <c r="H84" s="211"/>
      <c r="I84" s="211"/>
      <c r="J84" s="211">
        <f t="shared" si="52"/>
        <v>0.27279898267487668</v>
      </c>
      <c r="K84" s="211">
        <f t="shared" si="52"/>
        <v>0.38354260645510263</v>
      </c>
      <c r="L84" s="211"/>
      <c r="M84" s="211"/>
      <c r="N84" s="211"/>
      <c r="O84" s="211"/>
      <c r="P84" s="211">
        <f>P20/K20-1</f>
        <v>0.36282316147825577</v>
      </c>
      <c r="Q84" s="211"/>
      <c r="R84" s="211"/>
      <c r="S84" s="211"/>
      <c r="T84" s="211"/>
      <c r="U84" s="445">
        <f>U20/P20-1</f>
        <v>0.37848605577689254</v>
      </c>
      <c r="V84" s="211">
        <f>V20/-157-1</f>
        <v>9.5541401273885329E-2</v>
      </c>
      <c r="W84" s="473">
        <f t="shared" si="53"/>
        <v>5.2083333333333259E-2</v>
      </c>
      <c r="X84" s="473">
        <f t="shared" si="53"/>
        <v>6.5989847715736127E-2</v>
      </c>
      <c r="Y84" s="473">
        <f t="shared" si="53"/>
        <v>0.18620689655172407</v>
      </c>
      <c r="Z84" s="445">
        <f t="shared" si="53"/>
        <v>9.2485549132947931E-2</v>
      </c>
      <c r="AA84" s="473">
        <f t="shared" si="53"/>
        <v>0.20348837209302317</v>
      </c>
      <c r="AB84" s="473">
        <f t="shared" si="53"/>
        <v>0.13366336633663356</v>
      </c>
      <c r="AC84" s="473">
        <f t="shared" si="53"/>
        <v>-1</v>
      </c>
      <c r="AD84" s="473">
        <f t="shared" si="53"/>
        <v>-1</v>
      </c>
      <c r="AE84" s="486">
        <f t="shared" si="53"/>
        <v>-0.42328042328042326</v>
      </c>
    </row>
    <row r="85" spans="1:31" s="473" customFormat="1">
      <c r="A85" s="490" t="s">
        <v>28</v>
      </c>
      <c r="B85" s="465" t="s">
        <v>20</v>
      </c>
      <c r="C85" s="211">
        <f t="shared" si="51"/>
        <v>0.5526854492860116</v>
      </c>
      <c r="D85" s="211">
        <f t="shared" si="51"/>
        <v>0.43331635138491453</v>
      </c>
      <c r="E85" s="446">
        <f>E21/C21-1</f>
        <v>1.0507521276654876</v>
      </c>
      <c r="F85" s="451">
        <v>0.26300000000000001</v>
      </c>
      <c r="G85" s="487" t="s">
        <v>20</v>
      </c>
      <c r="H85" s="211"/>
      <c r="I85" s="211"/>
      <c r="J85" s="211">
        <f t="shared" si="52"/>
        <v>0.68954657136475328</v>
      </c>
      <c r="K85" s="211">
        <f t="shared" si="52"/>
        <v>0.29719332108248153</v>
      </c>
      <c r="L85" s="211"/>
      <c r="M85" s="211"/>
      <c r="N85" s="211"/>
      <c r="O85" s="211"/>
      <c r="P85" s="211">
        <f>P21/K21-1</f>
        <v>0.30451177627623038</v>
      </c>
      <c r="Q85" s="211"/>
      <c r="R85" s="211"/>
      <c r="S85" s="211"/>
      <c r="T85" s="211"/>
      <c r="U85" s="445">
        <f>U21/P21-1</f>
        <v>0.640625</v>
      </c>
      <c r="V85" s="211">
        <f>V21/-33-1</f>
        <v>0.1212121212121211</v>
      </c>
      <c r="W85" s="473">
        <f t="shared" si="53"/>
        <v>-0.22727272727272729</v>
      </c>
      <c r="X85" s="473">
        <f t="shared" si="53"/>
        <v>2.7027027027026973E-2</v>
      </c>
      <c r="Y85" s="473">
        <f t="shared" si="53"/>
        <v>-0.64583333333333326</v>
      </c>
      <c r="Z85" s="445">
        <f t="shared" si="53"/>
        <v>-0.31904761904761902</v>
      </c>
      <c r="AA85" s="473">
        <f t="shared" si="53"/>
        <v>-5.4054054054054057E-2</v>
      </c>
      <c r="AB85" s="473">
        <f t="shared" si="53"/>
        <v>0.11764705882352944</v>
      </c>
      <c r="AC85" s="473">
        <f t="shared" si="53"/>
        <v>-1</v>
      </c>
      <c r="AD85" s="473">
        <f t="shared" si="53"/>
        <v>-1</v>
      </c>
      <c r="AE85" s="486">
        <f t="shared" si="53"/>
        <v>-0.48951048951048948</v>
      </c>
    </row>
    <row r="86" spans="1:31" s="473" customFormat="1">
      <c r="A86" s="490" t="s">
        <v>21</v>
      </c>
      <c r="B86" s="465" t="s">
        <v>20</v>
      </c>
      <c r="C86" s="211">
        <f>C24/B24-1</f>
        <v>0.92190247121496727</v>
      </c>
      <c r="D86" s="211">
        <f>D24/C24-1</f>
        <v>0.48194527355619687</v>
      </c>
      <c r="E86" s="446">
        <f>E24/C24-1</f>
        <v>0.88551773134543055</v>
      </c>
      <c r="F86" s="451">
        <v>0.29399999999999998</v>
      </c>
      <c r="G86" s="487" t="s">
        <v>20</v>
      </c>
      <c r="H86" s="211"/>
      <c r="I86" s="211"/>
      <c r="J86" s="211">
        <f>K24/I24-1</f>
        <v>1.82247463099631</v>
      </c>
      <c r="K86" s="211">
        <f>P24/J24-1</f>
        <v>1.0928841937412797</v>
      </c>
      <c r="L86" s="211"/>
      <c r="M86" s="211"/>
      <c r="N86" s="211"/>
      <c r="O86" s="211"/>
      <c r="P86" s="211">
        <f>U24/K24-1</f>
        <v>0.470798521030376</v>
      </c>
      <c r="Q86" s="211"/>
      <c r="R86" s="211"/>
      <c r="S86" s="211"/>
      <c r="T86" s="211"/>
      <c r="U86" s="445">
        <f>U24/P24-1</f>
        <v>0.14285714285714279</v>
      </c>
      <c r="V86" s="211">
        <f>V24/(4+6+6)-1</f>
        <v>0.1875</v>
      </c>
      <c r="W86" s="473">
        <f>W24/R24-1</f>
        <v>0.22222222222222232</v>
      </c>
      <c r="X86" s="473">
        <f>X24/S24-1</f>
        <v>0.15789473684210531</v>
      </c>
      <c r="Y86" s="473">
        <f t="shared" ref="Y86:AE86" si="54">Y24/T24-1</f>
        <v>0.15789473684210531</v>
      </c>
      <c r="Z86" s="445">
        <f t="shared" si="54"/>
        <v>0.18055555555555558</v>
      </c>
      <c r="AA86" s="473">
        <f t="shared" si="54"/>
        <v>0</v>
      </c>
      <c r="AB86" s="473">
        <f t="shared" si="54"/>
        <v>0.27272727272727271</v>
      </c>
      <c r="AC86" s="473">
        <f t="shared" si="54"/>
        <v>-1</v>
      </c>
      <c r="AD86" s="473">
        <f t="shared" si="54"/>
        <v>-1</v>
      </c>
      <c r="AE86" s="486">
        <f t="shared" si="54"/>
        <v>-0.44705882352941173</v>
      </c>
    </row>
    <row r="87" spans="1:31" s="473" customFormat="1">
      <c r="A87" s="492" t="s">
        <v>22</v>
      </c>
      <c r="B87" s="465" t="s">
        <v>20</v>
      </c>
      <c r="C87" s="211">
        <f>C25/B25-1</f>
        <v>0.46226740983539116</v>
      </c>
      <c r="D87" s="211">
        <f>D25/C25-1</f>
        <v>0.42231098398328637</v>
      </c>
      <c r="E87" s="446">
        <f>E25/C25-1</f>
        <v>1.1740138163541931</v>
      </c>
      <c r="F87" s="451">
        <v>0.38500000000000001</v>
      </c>
      <c r="G87" s="487" t="s">
        <v>20</v>
      </c>
      <c r="H87" s="211"/>
      <c r="I87" s="211"/>
      <c r="J87" s="211">
        <f>J25/I25-1</f>
        <v>0.28622963899805631</v>
      </c>
      <c r="K87" s="211">
        <f>K25/J25-1</f>
        <v>0.39106591347042219</v>
      </c>
      <c r="L87" s="211"/>
      <c r="M87" s="211"/>
      <c r="N87" s="211"/>
      <c r="O87" s="211"/>
      <c r="P87" s="211">
        <f>P25/K25-1</f>
        <v>0.39790914539362032</v>
      </c>
      <c r="Q87" s="211"/>
      <c r="R87" s="211"/>
      <c r="S87" s="211"/>
      <c r="T87" s="211"/>
      <c r="U87" s="445">
        <f>U25/P25-1</f>
        <v>0.35972850678733037</v>
      </c>
      <c r="V87" s="211">
        <f>V25/-273-1</f>
        <v>7.6923076923076872E-2</v>
      </c>
      <c r="W87" s="473">
        <f>W25/R25-1</f>
        <v>4.1935483870967794E-2</v>
      </c>
      <c r="X87" s="473">
        <f>X25/S25-1</f>
        <v>8.0385852090032239E-2</v>
      </c>
      <c r="Y87" s="473">
        <f t="shared" ref="Y87:AE87" si="55">Y25/T25-1</f>
        <v>-9.9378881987577605E-2</v>
      </c>
      <c r="Z87" s="445">
        <f t="shared" si="55"/>
        <v>3.410981697171378E-2</v>
      </c>
      <c r="AA87" s="473">
        <f t="shared" si="55"/>
        <v>5.1020408163265252E-2</v>
      </c>
      <c r="AB87" s="473">
        <f t="shared" si="55"/>
        <v>2.1671826625387025E-2</v>
      </c>
      <c r="AC87" s="473">
        <f t="shared" si="55"/>
        <v>-1</v>
      </c>
      <c r="AD87" s="473">
        <f t="shared" si="55"/>
        <v>-1</v>
      </c>
      <c r="AE87" s="486">
        <f t="shared" si="55"/>
        <v>-0.44810941271118265</v>
      </c>
    </row>
    <row r="88" spans="1:31" s="473" customFormat="1">
      <c r="A88" s="476" t="s">
        <v>8</v>
      </c>
      <c r="B88" s="465" t="s">
        <v>20</v>
      </c>
      <c r="C88" s="211">
        <f>C28/B28-1</f>
        <v>0.58606152536394407</v>
      </c>
      <c r="D88" s="211">
        <f>D28/C28-1</f>
        <v>5.8128490699864699E-2</v>
      </c>
      <c r="E88" s="446">
        <f>E28/C28-1</f>
        <v>-0.34213536465316241</v>
      </c>
      <c r="F88" s="494" t="s">
        <v>663</v>
      </c>
      <c r="G88" s="487" t="s">
        <v>20</v>
      </c>
      <c r="H88" s="487"/>
      <c r="I88" s="211"/>
      <c r="J88" s="211">
        <f>J28/I28-1</f>
        <v>8.6424913017814742E-2</v>
      </c>
      <c r="K88" s="211">
        <f>K28/J28-1</f>
        <v>-4.7818310667162578E-3</v>
      </c>
      <c r="L88" s="211"/>
      <c r="M88" s="211"/>
      <c r="N88" s="211"/>
      <c r="O88" s="211"/>
      <c r="P88" s="211">
        <f>P28/K28-1</f>
        <v>9.1847426190096781E-2</v>
      </c>
      <c r="Q88" s="211"/>
      <c r="R88" s="211"/>
      <c r="S88" s="211"/>
      <c r="T88" s="211"/>
      <c r="U88" s="519">
        <f>U28/P28-1</f>
        <v>-0.27950310559006208</v>
      </c>
      <c r="V88" s="211">
        <f>V28/90-1</f>
        <v>-0.53333333333333333</v>
      </c>
      <c r="W88" s="473">
        <f>W28/R28-1</f>
        <v>-0.39240506329113922</v>
      </c>
      <c r="X88" s="473">
        <f>X28/S28-1</f>
        <v>-0.25</v>
      </c>
      <c r="Y88" s="473">
        <f t="shared" ref="Y88:AE88" si="56">Y28/T28-1</f>
        <v>-1.4</v>
      </c>
      <c r="Z88" s="519">
        <f t="shared" si="56"/>
        <v>-0.28448275862068961</v>
      </c>
      <c r="AA88" s="473">
        <f t="shared" si="56"/>
        <v>9.5238095238095344E-2</v>
      </c>
      <c r="AB88" s="473">
        <f t="shared" si="56"/>
        <v>0.54166666666666674</v>
      </c>
      <c r="AC88" s="473">
        <f t="shared" si="56"/>
        <v>-1</v>
      </c>
      <c r="AD88" s="473">
        <f t="shared" si="56"/>
        <v>-1</v>
      </c>
      <c r="AE88" s="486">
        <f t="shared" si="56"/>
        <v>-0.56024096385542177</v>
      </c>
    </row>
    <row r="89" spans="1:31" s="473" customFormat="1" ht="12.75" customHeight="1">
      <c r="A89" s="476" t="s">
        <v>99</v>
      </c>
      <c r="B89" s="465" t="s">
        <v>20</v>
      </c>
      <c r="C89" s="211">
        <f>C44/B44-1</f>
        <v>0.64489483400387049</v>
      </c>
      <c r="D89" s="211">
        <f>D44/C44-1</f>
        <v>7.6836736955274931E-2</v>
      </c>
      <c r="E89" s="446">
        <f>E44/C44-1</f>
        <v>-0.27788936118135665</v>
      </c>
      <c r="F89" s="451">
        <v>9.3309999999999995</v>
      </c>
      <c r="G89" s="487" t="s">
        <v>20</v>
      </c>
      <c r="H89" s="487"/>
      <c r="I89" s="211"/>
      <c r="J89" s="211">
        <f>J44/I44-1</f>
        <v>9.225729835600549E-2</v>
      </c>
      <c r="K89" s="211">
        <f>K44/J44-1</f>
        <v>5.860802085856065E-2</v>
      </c>
      <c r="L89" s="211"/>
      <c r="M89" s="211"/>
      <c r="N89" s="211"/>
      <c r="O89" s="211"/>
      <c r="P89" s="211">
        <f>P44/K44-1</f>
        <v>0.10006181763311472</v>
      </c>
      <c r="Q89" s="211"/>
      <c r="R89" s="211"/>
      <c r="S89" s="211"/>
      <c r="T89" s="211"/>
      <c r="U89" s="519">
        <f>U44/P44-1</f>
        <v>-0.12389380530973448</v>
      </c>
      <c r="V89" s="211">
        <f>V44/63-1</f>
        <v>-0.5714285714285714</v>
      </c>
      <c r="W89" s="473">
        <f>W44/R44-1</f>
        <v>-0.41379310344827591</v>
      </c>
      <c r="X89" s="473">
        <f>X44/S44-1</f>
        <v>-0.2567567567567568</v>
      </c>
      <c r="Y89" s="473">
        <f t="shared" ref="Y89:AE89" si="57">Y44/T44-1</f>
        <v>-0.66666666666666674</v>
      </c>
      <c r="Z89" s="519">
        <f t="shared" si="57"/>
        <v>-0.39393939393939392</v>
      </c>
      <c r="AA89" s="473">
        <f t="shared" si="57"/>
        <v>-0.5185185185185186</v>
      </c>
      <c r="AB89" s="473">
        <f t="shared" si="57"/>
        <v>-0.20588235294117652</v>
      </c>
      <c r="AC89" s="473">
        <f t="shared" si="57"/>
        <v>-1</v>
      </c>
      <c r="AD89" s="473">
        <f t="shared" si="57"/>
        <v>-1</v>
      </c>
      <c r="AE89" s="486">
        <f t="shared" si="57"/>
        <v>-1</v>
      </c>
    </row>
    <row r="90" spans="1:31" s="168" customFormat="1" ht="12.75" customHeight="1">
      <c r="A90" s="166"/>
      <c r="B90" s="167"/>
      <c r="E90" s="169"/>
      <c r="F90" s="166"/>
      <c r="U90" s="530"/>
      <c r="Z90" s="530"/>
      <c r="AE90" s="169"/>
    </row>
    <row r="91" spans="1:31" s="168" customFormat="1" ht="15">
      <c r="A91" s="166"/>
      <c r="B91" s="167"/>
      <c r="E91" s="169"/>
      <c r="F91" s="166"/>
      <c r="I91" s="1"/>
      <c r="J91" s="1"/>
      <c r="K91" s="1"/>
      <c r="L91" s="1"/>
      <c r="M91" s="1"/>
      <c r="N91" s="1"/>
      <c r="O91" s="1"/>
      <c r="P91" s="1"/>
      <c r="Q91" s="1"/>
      <c r="R91" s="1"/>
      <c r="S91" s="1"/>
      <c r="T91" s="1"/>
      <c r="U91" s="526"/>
      <c r="Z91" s="526"/>
      <c r="AE91" s="169"/>
    </row>
    <row r="92" spans="1:31" s="138" customFormat="1">
      <c r="A92" s="95"/>
      <c r="B92" s="18" t="s">
        <v>41</v>
      </c>
      <c r="C92" s="5" t="s">
        <v>41</v>
      </c>
      <c r="D92" s="5" t="s">
        <v>41</v>
      </c>
      <c r="E92" s="96" t="s">
        <v>41</v>
      </c>
      <c r="F92" s="61" t="s">
        <v>41</v>
      </c>
      <c r="G92" s="5" t="s">
        <v>10</v>
      </c>
      <c r="H92" s="5" t="s">
        <v>686</v>
      </c>
      <c r="I92" s="5" t="s">
        <v>686</v>
      </c>
      <c r="J92" s="5" t="s">
        <v>686</v>
      </c>
      <c r="K92" s="5" t="s">
        <v>686</v>
      </c>
      <c r="L92" s="5" t="s">
        <v>686</v>
      </c>
      <c r="M92" s="5" t="s">
        <v>686</v>
      </c>
      <c r="N92" s="5" t="s">
        <v>686</v>
      </c>
      <c r="O92" s="5" t="s">
        <v>686</v>
      </c>
      <c r="P92" s="5" t="s">
        <v>686</v>
      </c>
      <c r="Q92" s="5" t="s">
        <v>686</v>
      </c>
      <c r="R92" s="5" t="s">
        <v>686</v>
      </c>
      <c r="S92" s="5" t="s">
        <v>686</v>
      </c>
      <c r="T92" s="5" t="s">
        <v>686</v>
      </c>
      <c r="U92" s="523" t="s">
        <v>686</v>
      </c>
      <c r="V92" s="212" t="s">
        <v>686</v>
      </c>
      <c r="W92" s="212" t="s">
        <v>686</v>
      </c>
      <c r="X92" s="212" t="s">
        <v>686</v>
      </c>
      <c r="Y92" s="212" t="s">
        <v>686</v>
      </c>
      <c r="Z92" s="523" t="s">
        <v>776</v>
      </c>
      <c r="AA92" s="212" t="s">
        <v>686</v>
      </c>
      <c r="AB92" s="212" t="s">
        <v>686</v>
      </c>
      <c r="AC92" s="212" t="s">
        <v>686</v>
      </c>
      <c r="AD92" s="212" t="s">
        <v>686</v>
      </c>
      <c r="AE92" s="523" t="s">
        <v>776</v>
      </c>
    </row>
    <row r="93" spans="1:31" s="138" customFormat="1">
      <c r="A93" s="61" t="s">
        <v>100</v>
      </c>
      <c r="B93" s="18">
        <v>2009</v>
      </c>
      <c r="C93" s="5">
        <v>2010</v>
      </c>
      <c r="D93" s="5">
        <v>2011</v>
      </c>
      <c r="E93" s="96">
        <v>2012</v>
      </c>
      <c r="F93" s="61">
        <v>2015</v>
      </c>
      <c r="G93" s="5">
        <v>2009</v>
      </c>
      <c r="H93" s="5">
        <v>2010</v>
      </c>
      <c r="I93" s="5">
        <v>2011</v>
      </c>
      <c r="J93" s="5">
        <v>2012</v>
      </c>
      <c r="K93" s="5">
        <v>2013</v>
      </c>
      <c r="L93" s="5" t="s">
        <v>832</v>
      </c>
      <c r="M93" s="5" t="s">
        <v>829</v>
      </c>
      <c r="N93" s="5" t="s">
        <v>830</v>
      </c>
      <c r="O93" s="5" t="s">
        <v>831</v>
      </c>
      <c r="P93" s="5">
        <v>2014</v>
      </c>
      <c r="Q93" s="5" t="s">
        <v>828</v>
      </c>
      <c r="R93" s="5" t="s">
        <v>703</v>
      </c>
      <c r="S93" s="5" t="s">
        <v>699</v>
      </c>
      <c r="T93" s="5" t="s">
        <v>700</v>
      </c>
      <c r="U93" s="523">
        <v>2015</v>
      </c>
      <c r="V93" s="208" t="s">
        <v>696</v>
      </c>
      <c r="W93" s="208" t="s">
        <v>744</v>
      </c>
      <c r="X93" s="208" t="s">
        <v>760</v>
      </c>
      <c r="Y93" s="208" t="s">
        <v>775</v>
      </c>
      <c r="Z93" s="523">
        <v>2016</v>
      </c>
      <c r="AA93" s="208" t="s">
        <v>777</v>
      </c>
      <c r="AB93" s="208" t="s">
        <v>772</v>
      </c>
      <c r="AC93" s="208" t="s">
        <v>773</v>
      </c>
      <c r="AD93" s="208" t="s">
        <v>774</v>
      </c>
      <c r="AE93" s="96">
        <v>2017</v>
      </c>
    </row>
    <row r="94" spans="1:31">
      <c r="A94" s="71" t="s">
        <v>0</v>
      </c>
      <c r="B94" s="45"/>
      <c r="C94" s="32"/>
      <c r="D94" s="32"/>
      <c r="I94" s="32"/>
      <c r="J94" s="32"/>
      <c r="K94" s="32"/>
      <c r="L94" s="32"/>
      <c r="M94" s="32"/>
      <c r="N94" s="32"/>
      <c r="O94" s="32"/>
      <c r="P94" s="32"/>
      <c r="Q94" s="32"/>
      <c r="R94" s="32"/>
      <c r="S94" s="32"/>
      <c r="T94" s="32"/>
    </row>
    <row r="95" spans="1:31" s="30" customFormat="1">
      <c r="A95" s="72" t="s">
        <v>1</v>
      </c>
      <c r="B95" s="104"/>
      <c r="C95" s="40"/>
      <c r="D95" s="40"/>
      <c r="E95" s="105"/>
      <c r="F95" s="77"/>
      <c r="G95" s="89" t="s">
        <v>20</v>
      </c>
      <c r="I95" s="40"/>
      <c r="J95" s="40"/>
      <c r="K95" s="40"/>
      <c r="L95" s="40"/>
      <c r="M95" s="40"/>
      <c r="N95" s="40"/>
      <c r="O95" s="40"/>
      <c r="P95" s="40"/>
      <c r="Q95" s="40"/>
      <c r="R95" s="40"/>
      <c r="S95" s="40"/>
      <c r="T95" s="40"/>
      <c r="U95" s="116"/>
      <c r="Z95" s="116"/>
      <c r="AE95" s="105"/>
    </row>
    <row r="96" spans="1:31" s="30" customFormat="1">
      <c r="A96" s="73" t="s">
        <v>2</v>
      </c>
      <c r="B96" s="39">
        <v>210</v>
      </c>
      <c r="C96" s="34">
        <v>326</v>
      </c>
      <c r="D96" s="34">
        <v>557</v>
      </c>
      <c r="E96" s="105">
        <v>549.19390699999997</v>
      </c>
      <c r="F96" s="77">
        <v>2966.3890000000001</v>
      </c>
      <c r="G96" s="89" t="s">
        <v>20</v>
      </c>
      <c r="I96" s="34"/>
      <c r="J96" s="34">
        <v>367515</v>
      </c>
      <c r="K96" s="34">
        <v>351.14800000000002</v>
      </c>
      <c r="L96" s="34"/>
      <c r="M96" s="34"/>
      <c r="N96" s="34"/>
      <c r="O96" s="34"/>
      <c r="P96" s="34">
        <v>455</v>
      </c>
      <c r="Q96" s="34"/>
      <c r="R96" s="34">
        <v>583</v>
      </c>
      <c r="S96" s="34">
        <v>567</v>
      </c>
      <c r="T96" s="34">
        <v>614</v>
      </c>
      <c r="U96" s="116">
        <v>614</v>
      </c>
      <c r="V96" s="30">
        <v>653</v>
      </c>
      <c r="W96" s="30">
        <v>766</v>
      </c>
      <c r="X96" s="30">
        <v>611</v>
      </c>
      <c r="Y96" s="30">
        <v>612</v>
      </c>
      <c r="Z96" s="116">
        <f>Y96</f>
        <v>612</v>
      </c>
      <c r="AA96" s="30">
        <v>731</v>
      </c>
      <c r="AB96" s="30">
        <v>887</v>
      </c>
      <c r="AE96" s="105"/>
    </row>
    <row r="97" spans="1:31" s="30" customFormat="1">
      <c r="A97" s="73" t="s">
        <v>101</v>
      </c>
      <c r="B97" s="39">
        <v>17</v>
      </c>
      <c r="C97" s="34">
        <v>34</v>
      </c>
      <c r="D97" s="34">
        <v>34</v>
      </c>
      <c r="E97" s="105">
        <v>123.309189</v>
      </c>
      <c r="F97" s="77">
        <v>353.03399999999999</v>
      </c>
      <c r="G97" s="89" t="s">
        <v>20</v>
      </c>
      <c r="I97" s="34"/>
      <c r="J97" s="34"/>
      <c r="K97" s="34"/>
      <c r="L97" s="34"/>
      <c r="M97" s="34"/>
      <c r="N97" s="34"/>
      <c r="O97" s="34"/>
      <c r="P97" s="34"/>
      <c r="Q97" s="34"/>
      <c r="R97" s="34"/>
      <c r="S97" s="34"/>
      <c r="T97" s="34"/>
      <c r="U97" s="116"/>
      <c r="Z97" s="116"/>
      <c r="AE97" s="105"/>
    </row>
    <row r="98" spans="1:31" s="30" customFormat="1">
      <c r="A98" s="73" t="s">
        <v>3</v>
      </c>
      <c r="B98" s="39">
        <v>26</v>
      </c>
      <c r="C98" s="34">
        <v>179</v>
      </c>
      <c r="D98" s="34">
        <v>205</v>
      </c>
      <c r="E98" s="105">
        <v>226.10621599999999</v>
      </c>
      <c r="F98" s="77">
        <v>1271.386</v>
      </c>
      <c r="G98" s="89" t="s">
        <v>20</v>
      </c>
      <c r="I98" s="34"/>
      <c r="J98" s="34">
        <v>118970</v>
      </c>
      <c r="K98" s="34">
        <v>131.22</v>
      </c>
      <c r="L98" s="34"/>
      <c r="M98" s="34"/>
      <c r="N98" s="34"/>
      <c r="O98" s="34"/>
      <c r="P98" s="34">
        <v>108</v>
      </c>
      <c r="Q98" s="34"/>
      <c r="R98" s="34">
        <v>128</v>
      </c>
      <c r="S98" s="34">
        <v>119</v>
      </c>
      <c r="T98" s="34">
        <v>47</v>
      </c>
      <c r="U98" s="116">
        <v>47</v>
      </c>
      <c r="V98" s="30">
        <v>39</v>
      </c>
      <c r="W98" s="30">
        <v>87</v>
      </c>
      <c r="X98" s="30">
        <v>116</v>
      </c>
      <c r="Y98" s="30">
        <v>118</v>
      </c>
      <c r="Z98" s="116">
        <f>Y98</f>
        <v>118</v>
      </c>
      <c r="AA98" s="30">
        <v>15</v>
      </c>
      <c r="AB98" s="30">
        <v>17</v>
      </c>
      <c r="AE98" s="105"/>
    </row>
    <row r="99" spans="1:31" s="30" customFormat="1" ht="23">
      <c r="A99" s="126" t="s">
        <v>29</v>
      </c>
      <c r="B99" s="47">
        <f>SUM(B96:B98)</f>
        <v>253</v>
      </c>
      <c r="C99" s="30">
        <f>SUM(C96:C98)</f>
        <v>539</v>
      </c>
      <c r="D99" s="30">
        <f>SUM(D96:D98)</f>
        <v>796</v>
      </c>
      <c r="E99" s="105">
        <f>SUM(E96:E98)</f>
        <v>898.60931199999993</v>
      </c>
      <c r="F99" s="77">
        <f>SUM(F96:F98)</f>
        <v>4590.8090000000002</v>
      </c>
      <c r="G99" s="89">
        <f t="shared" ref="G99:W99" si="58">SUM(G96:G98)</f>
        <v>0</v>
      </c>
      <c r="H99" s="42">
        <f t="shared" si="58"/>
        <v>0</v>
      </c>
      <c r="I99" s="30">
        <f t="shared" si="58"/>
        <v>0</v>
      </c>
      <c r="J99" s="30">
        <f t="shared" si="58"/>
        <v>486485</v>
      </c>
      <c r="K99" s="30">
        <f t="shared" si="58"/>
        <v>482.36800000000005</v>
      </c>
      <c r="L99" s="30">
        <f t="shared" si="58"/>
        <v>0</v>
      </c>
      <c r="M99" s="30">
        <f>SUM(M96:M98)</f>
        <v>0</v>
      </c>
      <c r="N99" s="30">
        <f>SUM(N96:N98)</f>
        <v>0</v>
      </c>
      <c r="O99" s="30">
        <f>SUM(O96:O98)</f>
        <v>0</v>
      </c>
      <c r="P99" s="30">
        <f t="shared" si="58"/>
        <v>563</v>
      </c>
      <c r="R99" s="30">
        <f t="shared" si="58"/>
        <v>711</v>
      </c>
      <c r="S99" s="30">
        <f t="shared" si="58"/>
        <v>686</v>
      </c>
      <c r="T99" s="30">
        <f t="shared" si="58"/>
        <v>661</v>
      </c>
      <c r="U99" s="116">
        <f t="shared" si="58"/>
        <v>661</v>
      </c>
      <c r="V99" s="30">
        <f t="shared" si="58"/>
        <v>692</v>
      </c>
      <c r="W99" s="30">
        <f t="shared" si="58"/>
        <v>853</v>
      </c>
      <c r="X99" s="30">
        <f t="shared" ref="X99:AE99" si="59">SUM(X96:X98)</f>
        <v>727</v>
      </c>
      <c r="Y99" s="30">
        <f t="shared" si="59"/>
        <v>730</v>
      </c>
      <c r="Z99" s="116">
        <f>Y99</f>
        <v>730</v>
      </c>
      <c r="AA99" s="30">
        <f t="shared" si="59"/>
        <v>746</v>
      </c>
      <c r="AB99" s="30">
        <f t="shared" si="59"/>
        <v>904</v>
      </c>
      <c r="AC99" s="30">
        <f t="shared" si="59"/>
        <v>0</v>
      </c>
      <c r="AD99" s="30">
        <f t="shared" si="59"/>
        <v>0</v>
      </c>
      <c r="AE99" s="105">
        <f t="shared" si="59"/>
        <v>0</v>
      </c>
    </row>
    <row r="100" spans="1:31" s="30" customFormat="1" hidden="1">
      <c r="A100" s="74" t="s">
        <v>102</v>
      </c>
      <c r="B100" s="47">
        <v>19</v>
      </c>
      <c r="C100" s="30">
        <v>53</v>
      </c>
      <c r="D100" s="30">
        <v>89.957999999999998</v>
      </c>
      <c r="E100" s="105">
        <v>160.374425</v>
      </c>
      <c r="F100" s="77">
        <v>486.39499999999998</v>
      </c>
      <c r="U100" s="116"/>
      <c r="Z100" s="116"/>
      <c r="AE100" s="105"/>
    </row>
    <row r="101" spans="1:31" s="30" customFormat="1">
      <c r="A101" s="75" t="s">
        <v>4</v>
      </c>
      <c r="B101" s="39">
        <v>609</v>
      </c>
      <c r="C101" s="34">
        <v>1230</v>
      </c>
      <c r="D101" s="34">
        <v>1551</v>
      </c>
      <c r="E101" s="106">
        <v>1226.8213209999999</v>
      </c>
      <c r="F101" s="72">
        <v>6267.6940000000004</v>
      </c>
      <c r="G101" s="89" t="s">
        <v>20</v>
      </c>
      <c r="I101" s="34"/>
      <c r="J101" s="34">
        <v>1299.194</v>
      </c>
      <c r="K101" s="34">
        <v>1473.0139999999999</v>
      </c>
      <c r="L101" s="34"/>
      <c r="M101" s="34"/>
      <c r="N101" s="34"/>
      <c r="O101" s="34"/>
      <c r="P101" s="34">
        <v>1948</v>
      </c>
      <c r="Q101" s="34"/>
      <c r="R101" s="34">
        <v>2277</v>
      </c>
      <c r="S101" s="34">
        <v>2198</v>
      </c>
      <c r="T101" s="34">
        <v>2128</v>
      </c>
      <c r="U101" s="116">
        <v>2128</v>
      </c>
      <c r="V101" s="30">
        <v>2214</v>
      </c>
      <c r="W101" s="30">
        <v>2385</v>
      </c>
      <c r="X101" s="30">
        <v>2277</v>
      </c>
      <c r="Y101" s="30">
        <v>2238</v>
      </c>
      <c r="Z101" s="116">
        <f>Y101</f>
        <v>2238</v>
      </c>
      <c r="AA101" s="30">
        <v>2274</v>
      </c>
      <c r="AB101" s="30">
        <v>2472</v>
      </c>
      <c r="AE101" s="105"/>
    </row>
    <row r="102" spans="1:31" s="30" customFormat="1">
      <c r="A102" s="72" t="s">
        <v>5</v>
      </c>
      <c r="B102" s="104"/>
      <c r="C102" s="40"/>
      <c r="D102" s="40"/>
      <c r="E102" s="105"/>
      <c r="F102" s="77"/>
      <c r="I102" s="40"/>
      <c r="J102" s="40"/>
      <c r="K102" s="40"/>
      <c r="L102" s="40"/>
      <c r="M102" s="40"/>
      <c r="N102" s="40"/>
      <c r="O102" s="40"/>
      <c r="P102" s="40"/>
      <c r="Q102" s="40"/>
      <c r="R102" s="40"/>
      <c r="S102" s="40"/>
      <c r="T102" s="40"/>
      <c r="U102" s="116"/>
      <c r="Z102" s="116"/>
      <c r="AE102" s="105"/>
    </row>
    <row r="103" spans="1:31" s="30" customFormat="1" hidden="1">
      <c r="A103" s="73" t="s">
        <v>103</v>
      </c>
      <c r="B103" s="47">
        <v>41</v>
      </c>
      <c r="C103" s="30">
        <v>90</v>
      </c>
      <c r="D103" s="30">
        <v>173.31800000000001</v>
      </c>
      <c r="E103" s="105">
        <v>227.10161500000001</v>
      </c>
      <c r="F103" s="77">
        <v>919.42100000000005</v>
      </c>
      <c r="I103" s="89"/>
      <c r="J103" s="89"/>
      <c r="K103" s="89"/>
      <c r="L103" s="89"/>
      <c r="M103" s="89"/>
      <c r="N103" s="89"/>
      <c r="O103" s="89"/>
      <c r="P103" s="89"/>
      <c r="Q103" s="89"/>
      <c r="R103" s="89"/>
      <c r="S103" s="89"/>
      <c r="T103" s="89"/>
      <c r="U103" s="116"/>
      <c r="Z103" s="116"/>
      <c r="AE103" s="105"/>
    </row>
    <row r="104" spans="1:31" s="30" customFormat="1" ht="12.75" customHeight="1">
      <c r="A104" s="73" t="s">
        <v>104</v>
      </c>
      <c r="B104" s="139" t="s">
        <v>20</v>
      </c>
      <c r="C104" s="140" t="s">
        <v>20</v>
      </c>
      <c r="D104" s="140" t="s">
        <v>20</v>
      </c>
      <c r="E104" s="141">
        <v>72.788338999999993</v>
      </c>
      <c r="F104" s="77">
        <v>1962.1189999999999</v>
      </c>
      <c r="G104" s="89" t="s">
        <v>20</v>
      </c>
      <c r="I104" s="89"/>
      <c r="J104" s="89">
        <v>40</v>
      </c>
      <c r="K104" s="89">
        <v>40</v>
      </c>
      <c r="L104" s="89"/>
      <c r="M104" s="89"/>
      <c r="N104" s="89"/>
      <c r="O104" s="89"/>
      <c r="P104" s="89">
        <v>78</v>
      </c>
      <c r="Q104" s="89"/>
      <c r="R104" s="89">
        <v>1</v>
      </c>
      <c r="S104" s="89">
        <v>1</v>
      </c>
      <c r="T104" s="89">
        <v>1</v>
      </c>
      <c r="U104" s="116">
        <v>1</v>
      </c>
      <c r="V104" s="30">
        <v>1</v>
      </c>
      <c r="W104" s="30">
        <v>1</v>
      </c>
      <c r="X104" s="30">
        <v>76</v>
      </c>
      <c r="Y104" s="30">
        <v>80</v>
      </c>
      <c r="Z104" s="116">
        <f t="shared" ref="Z104:Z109" si="60">Y104</f>
        <v>80</v>
      </c>
      <c r="AA104" s="30">
        <v>7</v>
      </c>
      <c r="AB104" s="30">
        <v>7</v>
      </c>
      <c r="AE104" s="105"/>
    </row>
    <row r="105" spans="1:31" s="30" customFormat="1">
      <c r="A105" s="73" t="s">
        <v>30</v>
      </c>
      <c r="B105" s="139" t="s">
        <v>20</v>
      </c>
      <c r="C105" s="140" t="s">
        <v>20</v>
      </c>
      <c r="D105" s="140" t="s">
        <v>20</v>
      </c>
      <c r="E105" s="141">
        <v>180</v>
      </c>
      <c r="F105" s="77">
        <v>2833.4630000000002</v>
      </c>
      <c r="G105" s="89" t="s">
        <v>20</v>
      </c>
      <c r="I105" s="34"/>
      <c r="J105" s="34">
        <v>340</v>
      </c>
      <c r="K105" s="34">
        <v>300</v>
      </c>
      <c r="L105" s="34"/>
      <c r="M105" s="34"/>
      <c r="N105" s="34"/>
      <c r="O105" s="34"/>
      <c r="P105" s="34">
        <v>154</v>
      </c>
      <c r="Q105" s="34"/>
      <c r="R105" s="34">
        <v>287</v>
      </c>
      <c r="S105" s="34">
        <v>287</v>
      </c>
      <c r="T105" s="34">
        <v>200</v>
      </c>
      <c r="U105" s="116">
        <v>189</v>
      </c>
      <c r="V105" s="30">
        <v>110</v>
      </c>
      <c r="W105" s="30">
        <v>91</v>
      </c>
      <c r="X105" s="30">
        <v>20</v>
      </c>
      <c r="Y105" s="30">
        <v>91</v>
      </c>
      <c r="Z105" s="116">
        <f t="shared" si="60"/>
        <v>91</v>
      </c>
      <c r="AA105" s="30">
        <v>210</v>
      </c>
      <c r="AB105" s="30">
        <v>260</v>
      </c>
      <c r="AE105" s="105"/>
    </row>
    <row r="106" spans="1:31" s="30" customFormat="1">
      <c r="A106" s="127" t="s">
        <v>105</v>
      </c>
      <c r="B106" s="139" t="s">
        <v>20</v>
      </c>
      <c r="C106" s="140" t="s">
        <v>20</v>
      </c>
      <c r="D106" s="140" t="s">
        <v>20</v>
      </c>
      <c r="E106" s="141">
        <f>SUM(E104:E105)</f>
        <v>252.78833900000001</v>
      </c>
      <c r="F106" s="72">
        <f>SUM(F104:F105)</f>
        <v>4795.5820000000003</v>
      </c>
      <c r="G106" s="89">
        <f t="shared" ref="G106:W106" si="61">SUM(G104:G105)</f>
        <v>0</v>
      </c>
      <c r="H106" s="30">
        <f t="shared" si="61"/>
        <v>0</v>
      </c>
      <c r="I106" s="34">
        <f t="shared" si="61"/>
        <v>0</v>
      </c>
      <c r="J106" s="34">
        <f t="shared" si="61"/>
        <v>380</v>
      </c>
      <c r="K106" s="34">
        <f t="shared" si="61"/>
        <v>340</v>
      </c>
      <c r="L106" s="34">
        <f t="shared" si="61"/>
        <v>0</v>
      </c>
      <c r="M106" s="34">
        <f>SUM(M104:M105)</f>
        <v>0</v>
      </c>
      <c r="N106" s="34">
        <f>SUM(N104:N105)</f>
        <v>0</v>
      </c>
      <c r="O106" s="34">
        <f>SUM(O104:O105)</f>
        <v>0</v>
      </c>
      <c r="P106" s="34">
        <f t="shared" si="61"/>
        <v>232</v>
      </c>
      <c r="Q106" s="34"/>
      <c r="R106" s="34">
        <f t="shared" si="61"/>
        <v>288</v>
      </c>
      <c r="S106" s="34">
        <f t="shared" si="61"/>
        <v>288</v>
      </c>
      <c r="T106" s="34">
        <f t="shared" si="61"/>
        <v>201</v>
      </c>
      <c r="U106" s="116">
        <f t="shared" si="61"/>
        <v>190</v>
      </c>
      <c r="V106" s="34">
        <f t="shared" si="61"/>
        <v>111</v>
      </c>
      <c r="W106" s="34">
        <f t="shared" si="61"/>
        <v>92</v>
      </c>
      <c r="X106" s="34">
        <f t="shared" ref="X106:AE106" si="62">SUM(X104:X105)</f>
        <v>96</v>
      </c>
      <c r="Y106" s="30">
        <f t="shared" si="62"/>
        <v>171</v>
      </c>
      <c r="Z106" s="116">
        <f t="shared" si="60"/>
        <v>171</v>
      </c>
      <c r="AA106" s="30">
        <f t="shared" si="62"/>
        <v>217</v>
      </c>
      <c r="AB106" s="30">
        <f t="shared" si="62"/>
        <v>267</v>
      </c>
      <c r="AC106" s="30">
        <f t="shared" si="62"/>
        <v>0</v>
      </c>
      <c r="AD106" s="30">
        <f t="shared" si="62"/>
        <v>0</v>
      </c>
      <c r="AE106" s="105">
        <f t="shared" si="62"/>
        <v>0</v>
      </c>
    </row>
    <row r="107" spans="1:31" s="30" customFormat="1">
      <c r="A107" s="72" t="s">
        <v>31</v>
      </c>
      <c r="B107" s="39">
        <v>171</v>
      </c>
      <c r="C107" s="34">
        <v>292</v>
      </c>
      <c r="D107" s="34">
        <v>416</v>
      </c>
      <c r="E107" s="105">
        <v>816.178134</v>
      </c>
      <c r="F107" s="77">
        <v>8514.8760000000002</v>
      </c>
      <c r="G107" s="89" t="s">
        <v>20</v>
      </c>
      <c r="J107" s="30">
        <v>572.226</v>
      </c>
      <c r="K107" s="30">
        <v>608.53399999999999</v>
      </c>
      <c r="P107" s="30">
        <v>823</v>
      </c>
      <c r="R107" s="30">
        <v>1036</v>
      </c>
      <c r="S107" s="30">
        <v>872</v>
      </c>
      <c r="T107" s="30">
        <v>716</v>
      </c>
      <c r="U107" s="116">
        <v>716</v>
      </c>
      <c r="V107" s="30">
        <v>750</v>
      </c>
      <c r="W107" s="30">
        <v>880</v>
      </c>
      <c r="X107" s="30">
        <v>697</v>
      </c>
      <c r="Y107" s="30">
        <v>736</v>
      </c>
      <c r="Z107" s="116">
        <f t="shared" si="60"/>
        <v>736</v>
      </c>
      <c r="AA107" s="30">
        <v>890</v>
      </c>
      <c r="AB107" s="30">
        <v>1118</v>
      </c>
      <c r="AE107" s="105"/>
    </row>
    <row r="108" spans="1:31" s="30" customFormat="1">
      <c r="A108" s="72" t="s">
        <v>106</v>
      </c>
      <c r="B108" s="39">
        <v>438</v>
      </c>
      <c r="C108" s="34">
        <v>938</v>
      </c>
      <c r="D108" s="34">
        <v>1135</v>
      </c>
      <c r="E108" s="105">
        <v>1056.946054</v>
      </c>
      <c r="F108" s="77">
        <v>9831.259</v>
      </c>
      <c r="G108" s="89" t="s">
        <v>20</v>
      </c>
      <c r="H108" s="146"/>
      <c r="I108" s="34"/>
      <c r="J108" s="34">
        <v>726.96799999999996</v>
      </c>
      <c r="K108" s="34">
        <v>864.48</v>
      </c>
      <c r="L108" s="34"/>
      <c r="M108" s="34"/>
      <c r="N108" s="34"/>
      <c r="O108" s="34"/>
      <c r="P108" s="34">
        <v>1125</v>
      </c>
      <c r="Q108" s="34"/>
      <c r="R108" s="34">
        <v>1241</v>
      </c>
      <c r="S108" s="34">
        <v>1326</v>
      </c>
      <c r="T108" s="34">
        <v>1412</v>
      </c>
      <c r="U108" s="116">
        <v>1412</v>
      </c>
      <c r="V108" s="30">
        <v>1464</v>
      </c>
      <c r="W108" s="30">
        <v>1505</v>
      </c>
      <c r="X108" s="30">
        <v>1580</v>
      </c>
      <c r="Y108" s="30">
        <v>1502</v>
      </c>
      <c r="Z108" s="116">
        <f t="shared" si="60"/>
        <v>1502</v>
      </c>
      <c r="AA108" s="30">
        <v>1384</v>
      </c>
      <c r="AB108" s="30">
        <v>1354</v>
      </c>
      <c r="AE108" s="105"/>
    </row>
    <row r="109" spans="1:31" s="30" customFormat="1">
      <c r="A109" s="72" t="s">
        <v>6</v>
      </c>
      <c r="B109" s="39">
        <f>SUM(B107:B108)</f>
        <v>609</v>
      </c>
      <c r="C109" s="34">
        <f>SUM(C107:C108)</f>
        <v>1230</v>
      </c>
      <c r="D109" s="34">
        <f>SUM(D107:D108)</f>
        <v>1551</v>
      </c>
      <c r="E109" s="106">
        <v>1873.124188</v>
      </c>
      <c r="F109" s="72">
        <v>18346.134999999998</v>
      </c>
      <c r="G109" s="89" t="s">
        <v>20</v>
      </c>
      <c r="H109" s="91">
        <f>SUM(H107:H108)</f>
        <v>0</v>
      </c>
      <c r="I109" s="34">
        <f>SUM(I107:I108)</f>
        <v>0</v>
      </c>
      <c r="J109" s="34">
        <f t="shared" ref="J109:W109" si="63">SUM(J107:J108)</f>
        <v>1299.194</v>
      </c>
      <c r="K109" s="34">
        <f t="shared" si="63"/>
        <v>1473.0140000000001</v>
      </c>
      <c r="L109" s="34">
        <f t="shared" si="63"/>
        <v>0</v>
      </c>
      <c r="M109" s="34">
        <f>SUM(M107:M108)</f>
        <v>0</v>
      </c>
      <c r="N109" s="34">
        <f>SUM(N107:N108)</f>
        <v>0</v>
      </c>
      <c r="O109" s="34">
        <f>SUM(O107:O108)</f>
        <v>0</v>
      </c>
      <c r="P109" s="34">
        <f t="shared" si="63"/>
        <v>1948</v>
      </c>
      <c r="Q109" s="34"/>
      <c r="R109" s="34">
        <f t="shared" si="63"/>
        <v>2277</v>
      </c>
      <c r="S109" s="34">
        <f t="shared" si="63"/>
        <v>2198</v>
      </c>
      <c r="T109" s="34">
        <f t="shared" si="63"/>
        <v>2128</v>
      </c>
      <c r="U109" s="531">
        <f t="shared" si="63"/>
        <v>2128</v>
      </c>
      <c r="V109" s="34">
        <f t="shared" si="63"/>
        <v>2214</v>
      </c>
      <c r="W109" s="34">
        <f t="shared" si="63"/>
        <v>2385</v>
      </c>
      <c r="X109" s="34">
        <f t="shared" ref="X109:AE109" si="64">SUM(X107:X108)</f>
        <v>2277</v>
      </c>
      <c r="Y109" s="30">
        <f t="shared" si="64"/>
        <v>2238</v>
      </c>
      <c r="Z109" s="116">
        <f t="shared" si="60"/>
        <v>2238</v>
      </c>
      <c r="AA109" s="30">
        <f t="shared" si="64"/>
        <v>2274</v>
      </c>
      <c r="AB109" s="30">
        <f t="shared" si="64"/>
        <v>2472</v>
      </c>
      <c r="AC109" s="30">
        <f t="shared" si="64"/>
        <v>0</v>
      </c>
      <c r="AD109" s="30">
        <f t="shared" si="64"/>
        <v>0</v>
      </c>
      <c r="AE109" s="105">
        <f t="shared" si="64"/>
        <v>0</v>
      </c>
    </row>
    <row r="110" spans="1:31">
      <c r="A110" s="71"/>
      <c r="B110" s="107"/>
      <c r="C110" s="91"/>
      <c r="D110" s="91"/>
      <c r="E110" s="108"/>
      <c r="F110" s="457"/>
      <c r="I110" s="91"/>
      <c r="J110" s="91"/>
      <c r="K110" s="91"/>
      <c r="L110" s="91"/>
      <c r="M110" s="91"/>
      <c r="N110" s="91"/>
      <c r="O110" s="91"/>
      <c r="P110" s="91"/>
      <c r="Q110" s="91"/>
      <c r="R110" s="91"/>
      <c r="S110" s="91"/>
      <c r="T110" s="91"/>
    </row>
    <row r="111" spans="1:31" s="473" customFormat="1">
      <c r="A111" s="495" t="s">
        <v>107</v>
      </c>
      <c r="B111" s="465" t="s">
        <v>20</v>
      </c>
      <c r="C111" s="466" t="s">
        <v>20</v>
      </c>
      <c r="D111" s="466" t="s">
        <v>20</v>
      </c>
      <c r="E111" s="467" t="s">
        <v>20</v>
      </c>
      <c r="F111" s="496">
        <f t="shared" ref="F111:W111" si="65">F106/F101</f>
        <v>0.76512701481597534</v>
      </c>
      <c r="G111" s="497" t="e">
        <f t="shared" si="65"/>
        <v>#VALUE!</v>
      </c>
      <c r="H111" s="498" t="e">
        <f t="shared" si="65"/>
        <v>#DIV/0!</v>
      </c>
      <c r="I111" s="498" t="e">
        <f t="shared" si="65"/>
        <v>#DIV/0!</v>
      </c>
      <c r="J111" s="498">
        <f t="shared" si="65"/>
        <v>0.29248903550970834</v>
      </c>
      <c r="K111" s="498">
        <f>K106/K101</f>
        <v>0.23081925901586817</v>
      </c>
      <c r="L111" s="498" t="e">
        <f>L106/L101</f>
        <v>#DIV/0!</v>
      </c>
      <c r="M111" s="498" t="e">
        <f>M106/M101</f>
        <v>#DIV/0!</v>
      </c>
      <c r="N111" s="498" t="e">
        <f>N106/N101</f>
        <v>#DIV/0!</v>
      </c>
      <c r="O111" s="498" t="e">
        <f>O106/O101</f>
        <v>#DIV/0!</v>
      </c>
      <c r="P111" s="498">
        <f t="shared" si="65"/>
        <v>0.11909650924024641</v>
      </c>
      <c r="Q111" s="498"/>
      <c r="R111" s="498">
        <f t="shared" si="65"/>
        <v>0.12648221343873517</v>
      </c>
      <c r="S111" s="498">
        <f t="shared" si="65"/>
        <v>0.13102820746132848</v>
      </c>
      <c r="T111" s="498">
        <f t="shared" si="65"/>
        <v>9.4454887218045111E-2</v>
      </c>
      <c r="U111" s="532">
        <f t="shared" si="65"/>
        <v>8.9285714285714288E-2</v>
      </c>
      <c r="V111" s="498">
        <f t="shared" si="65"/>
        <v>5.0135501355013552E-2</v>
      </c>
      <c r="W111" s="498">
        <f t="shared" si="65"/>
        <v>3.8574423480083858E-2</v>
      </c>
      <c r="X111" s="498">
        <f t="shared" ref="X111:AE111" si="66">X106/X101</f>
        <v>4.2160737812911728E-2</v>
      </c>
      <c r="Y111" s="473">
        <f t="shared" si="66"/>
        <v>7.6407506702412864E-2</v>
      </c>
      <c r="Z111" s="532">
        <f t="shared" si="66"/>
        <v>7.6407506702412864E-2</v>
      </c>
      <c r="AA111" s="473">
        <f t="shared" si="66"/>
        <v>9.5426561125769568E-2</v>
      </c>
      <c r="AB111" s="473">
        <f t="shared" si="66"/>
        <v>0.10800970873786407</v>
      </c>
      <c r="AC111" s="473" t="e">
        <f t="shared" si="66"/>
        <v>#DIV/0!</v>
      </c>
      <c r="AD111" s="473" t="e">
        <f t="shared" si="66"/>
        <v>#DIV/0!</v>
      </c>
      <c r="AE111" s="486" t="e">
        <f t="shared" si="66"/>
        <v>#DIV/0!</v>
      </c>
    </row>
    <row r="112" spans="1:31">
      <c r="A112" s="76"/>
      <c r="B112" s="45"/>
      <c r="C112" s="32"/>
      <c r="D112" s="32"/>
      <c r="I112" s="32"/>
      <c r="J112" s="32"/>
      <c r="K112" s="32"/>
      <c r="L112" s="32"/>
      <c r="M112" s="32"/>
      <c r="N112" s="32"/>
      <c r="O112" s="32"/>
      <c r="P112" s="32"/>
      <c r="Q112" s="32"/>
      <c r="R112" s="32"/>
      <c r="S112" s="32"/>
      <c r="T112" s="32"/>
    </row>
    <row r="113" spans="1:31">
      <c r="A113" s="76"/>
      <c r="B113" s="45"/>
      <c r="C113" s="32"/>
      <c r="D113" s="32"/>
      <c r="I113" s="32"/>
      <c r="J113" s="32"/>
      <c r="K113" s="32"/>
      <c r="L113" s="32"/>
      <c r="M113" s="32"/>
      <c r="N113" s="32"/>
      <c r="O113" s="32"/>
      <c r="P113" s="32"/>
      <c r="Q113" s="32"/>
      <c r="R113" s="32"/>
      <c r="S113" s="32"/>
      <c r="T113" s="32"/>
    </row>
    <row r="114" spans="1:31" s="138" customFormat="1">
      <c r="A114" s="95" t="s">
        <v>108</v>
      </c>
      <c r="B114" s="18" t="s">
        <v>41</v>
      </c>
      <c r="C114" s="5" t="s">
        <v>41</v>
      </c>
      <c r="D114" s="5" t="s">
        <v>41</v>
      </c>
      <c r="E114" s="96" t="s">
        <v>41</v>
      </c>
      <c r="F114" s="61" t="s">
        <v>41</v>
      </c>
      <c r="G114" s="5" t="s">
        <v>10</v>
      </c>
      <c r="H114" s="5" t="s">
        <v>686</v>
      </c>
      <c r="I114" s="5" t="s">
        <v>686</v>
      </c>
      <c r="J114" s="5" t="s">
        <v>686</v>
      </c>
      <c r="K114" s="5" t="s">
        <v>686</v>
      </c>
      <c r="L114" s="5" t="s">
        <v>686</v>
      </c>
      <c r="M114" s="5" t="s">
        <v>686</v>
      </c>
      <c r="N114" s="5" t="s">
        <v>686</v>
      </c>
      <c r="O114" s="5" t="s">
        <v>686</v>
      </c>
      <c r="P114" s="5" t="s">
        <v>686</v>
      </c>
      <c r="Q114" s="5" t="s">
        <v>686</v>
      </c>
      <c r="R114" s="5" t="s">
        <v>686</v>
      </c>
      <c r="S114" s="5" t="s">
        <v>686</v>
      </c>
      <c r="T114" s="5" t="s">
        <v>686</v>
      </c>
      <c r="U114" s="523" t="s">
        <v>686</v>
      </c>
      <c r="V114" s="212" t="s">
        <v>686</v>
      </c>
      <c r="W114" s="212" t="s">
        <v>686</v>
      </c>
      <c r="X114" s="212" t="s">
        <v>686</v>
      </c>
      <c r="Y114" s="212" t="s">
        <v>686</v>
      </c>
      <c r="Z114" s="523" t="s">
        <v>776</v>
      </c>
      <c r="AA114" s="212" t="s">
        <v>686</v>
      </c>
      <c r="AB114" s="212" t="s">
        <v>686</v>
      </c>
      <c r="AC114" s="212" t="s">
        <v>686</v>
      </c>
      <c r="AD114" s="212" t="s">
        <v>686</v>
      </c>
      <c r="AE114" s="523" t="s">
        <v>776</v>
      </c>
    </row>
    <row r="115" spans="1:31" s="138" customFormat="1" ht="12">
      <c r="A115" s="61" t="s">
        <v>761</v>
      </c>
      <c r="B115" s="18">
        <v>2009</v>
      </c>
      <c r="C115" s="5">
        <v>2010</v>
      </c>
      <c r="D115" s="5">
        <v>2011</v>
      </c>
      <c r="E115" s="96">
        <v>2012</v>
      </c>
      <c r="F115" s="61">
        <v>2015</v>
      </c>
      <c r="G115" s="5">
        <v>2009</v>
      </c>
      <c r="H115" s="5">
        <v>2010</v>
      </c>
      <c r="I115" s="5">
        <v>2011</v>
      </c>
      <c r="J115" s="5">
        <v>2012</v>
      </c>
      <c r="K115" s="5">
        <v>2013</v>
      </c>
      <c r="L115" s="5" t="s">
        <v>832</v>
      </c>
      <c r="M115" s="5" t="s">
        <v>829</v>
      </c>
      <c r="N115" s="5" t="s">
        <v>830</v>
      </c>
      <c r="O115" s="5" t="s">
        <v>831</v>
      </c>
      <c r="P115" s="5">
        <v>2014</v>
      </c>
      <c r="Q115" s="5" t="s">
        <v>828</v>
      </c>
      <c r="R115" s="5" t="s">
        <v>703</v>
      </c>
      <c r="S115" s="5" t="s">
        <v>699</v>
      </c>
      <c r="T115" s="5" t="s">
        <v>700</v>
      </c>
      <c r="U115" s="523">
        <v>2015</v>
      </c>
      <c r="V115" s="208" t="s">
        <v>696</v>
      </c>
      <c r="W115" s="208" t="s">
        <v>744</v>
      </c>
      <c r="X115" s="208" t="s">
        <v>760</v>
      </c>
      <c r="Y115" s="208" t="s">
        <v>775</v>
      </c>
      <c r="Z115" s="523">
        <v>2016</v>
      </c>
      <c r="AA115" s="208" t="s">
        <v>777</v>
      </c>
      <c r="AB115" s="208" t="s">
        <v>772</v>
      </c>
      <c r="AC115" s="208" t="s">
        <v>773</v>
      </c>
      <c r="AD115" s="208" t="s">
        <v>774</v>
      </c>
      <c r="AE115" s="96">
        <v>2017</v>
      </c>
    </row>
    <row r="116" spans="1:31" s="424" customFormat="1">
      <c r="A116" s="442" t="s">
        <v>32</v>
      </c>
      <c r="B116" s="423">
        <v>151</v>
      </c>
      <c r="C116" s="424">
        <v>235</v>
      </c>
      <c r="D116" s="424">
        <v>288.82799999999997</v>
      </c>
      <c r="E116" s="425"/>
      <c r="F116" s="442">
        <f>3038.487/6.4778</f>
        <v>469.06156411127233</v>
      </c>
      <c r="G116" s="424">
        <v>-3.1480540000000001</v>
      </c>
      <c r="I116" s="424">
        <v>217.88200000000001</v>
      </c>
      <c r="J116" s="424">
        <v>239.066</v>
      </c>
      <c r="K116" s="424">
        <v>349.52300000000002</v>
      </c>
      <c r="P116" s="424">
        <v>387</v>
      </c>
      <c r="R116" s="424">
        <v>200</v>
      </c>
      <c r="S116" s="424">
        <v>8</v>
      </c>
      <c r="T116" s="424">
        <v>74</v>
      </c>
      <c r="U116" s="430">
        <v>382</v>
      </c>
      <c r="V116" s="424">
        <v>120</v>
      </c>
      <c r="W116" s="424">
        <v>238</v>
      </c>
      <c r="X116" s="424">
        <v>-87</v>
      </c>
      <c r="Y116" s="424">
        <v>46</v>
      </c>
      <c r="Z116" s="430">
        <v>321</v>
      </c>
      <c r="AA116" s="424">
        <v>134</v>
      </c>
      <c r="AB116" s="424">
        <v>221</v>
      </c>
      <c r="AE116" s="425"/>
    </row>
    <row r="117" spans="1:31" s="424" customFormat="1">
      <c r="A117" s="442" t="s">
        <v>33</v>
      </c>
      <c r="B117" s="423">
        <v>-112</v>
      </c>
      <c r="C117" s="424">
        <v>-370</v>
      </c>
      <c r="D117" s="424">
        <v>-55.664999999999999</v>
      </c>
      <c r="E117" s="425"/>
      <c r="F117" s="442">
        <f>-4422.021/6.4778</f>
        <v>-682.64240946000177</v>
      </c>
      <c r="G117" s="424">
        <v>-11.810369</v>
      </c>
      <c r="I117" s="424">
        <v>-538.86199999999997</v>
      </c>
      <c r="J117" s="424">
        <v>-244.18299999999999</v>
      </c>
      <c r="K117" s="424">
        <v>-196.79400000000001</v>
      </c>
      <c r="P117" s="424">
        <v>-234</v>
      </c>
      <c r="R117" s="424">
        <v>-73</v>
      </c>
      <c r="S117" s="424">
        <v>-18</v>
      </c>
      <c r="T117" s="424">
        <v>66</v>
      </c>
      <c r="U117" s="430">
        <v>-60</v>
      </c>
      <c r="V117" s="424">
        <v>11</v>
      </c>
      <c r="W117" s="424">
        <v>-87</v>
      </c>
      <c r="X117" s="424">
        <v>-65</v>
      </c>
      <c r="Y117" s="424">
        <v>-26</v>
      </c>
      <c r="Z117" s="430">
        <v>-163</v>
      </c>
      <c r="AA117" s="424">
        <v>98</v>
      </c>
      <c r="AB117" s="424">
        <v>-20</v>
      </c>
      <c r="AE117" s="425"/>
    </row>
    <row r="118" spans="1:31" s="424" customFormat="1">
      <c r="A118" s="442" t="s">
        <v>34</v>
      </c>
      <c r="B118" s="423">
        <v>14</v>
      </c>
      <c r="C118" s="424">
        <v>246</v>
      </c>
      <c r="D118" s="424">
        <v>-16.577999999999999</v>
      </c>
      <c r="E118" s="425"/>
      <c r="F118" s="442">
        <f>15233.586/6.4778</f>
        <v>2351.6604402729322</v>
      </c>
      <c r="G118" s="424">
        <v>14.319774000000001</v>
      </c>
      <c r="I118" s="424">
        <v>183.53200000000001</v>
      </c>
      <c r="J118" s="424">
        <v>189.821</v>
      </c>
      <c r="K118" s="424">
        <v>-169.67500000000001</v>
      </c>
      <c r="P118" s="424">
        <v>-41</v>
      </c>
      <c r="R118" s="424">
        <v>-58</v>
      </c>
      <c r="S118" s="424">
        <v>0</v>
      </c>
      <c r="T118" s="424">
        <v>-90</v>
      </c>
      <c r="U118" s="430">
        <v>-153</v>
      </c>
      <c r="V118" s="424">
        <v>-94</v>
      </c>
      <c r="W118" s="424">
        <v>-31</v>
      </c>
      <c r="X118" s="424">
        <v>-3</v>
      </c>
      <c r="Y118" s="424">
        <v>-10</v>
      </c>
      <c r="Z118" s="430">
        <v>-143</v>
      </c>
      <c r="AA118" s="424">
        <v>-114</v>
      </c>
      <c r="AB118" s="424">
        <v>-53</v>
      </c>
      <c r="AE118" s="425"/>
    </row>
    <row r="119" spans="1:31" s="424" customFormat="1" ht="23">
      <c r="A119" s="443" t="s">
        <v>110</v>
      </c>
      <c r="B119" s="423">
        <v>-26</v>
      </c>
      <c r="C119" s="424">
        <v>-25</v>
      </c>
      <c r="D119" s="424">
        <v>-32.6</v>
      </c>
      <c r="E119" s="425"/>
      <c r="F119" s="442">
        <f>-638.133/6.4778</f>
        <v>-98.510759825866813</v>
      </c>
      <c r="G119" s="424">
        <v>4.2663E-2</v>
      </c>
      <c r="I119" s="424">
        <v>18.361999999999998</v>
      </c>
      <c r="J119" s="424">
        <v>19.966000000000001</v>
      </c>
      <c r="K119" s="424">
        <v>29.495000000000001</v>
      </c>
      <c r="P119" s="424">
        <v>47</v>
      </c>
      <c r="R119" s="424">
        <v>23</v>
      </c>
      <c r="S119" s="424">
        <v>39</v>
      </c>
      <c r="T119" s="424">
        <v>-16</v>
      </c>
      <c r="U119" s="430">
        <v>57</v>
      </c>
      <c r="V119" s="424">
        <v>-17</v>
      </c>
      <c r="W119" s="424">
        <v>-19</v>
      </c>
      <c r="X119" s="424">
        <v>-21</v>
      </c>
      <c r="Y119" s="424">
        <v>-16</v>
      </c>
      <c r="Z119" s="430">
        <v>-72</v>
      </c>
      <c r="AA119" s="424">
        <v>-18</v>
      </c>
      <c r="AB119" s="424">
        <v>-17</v>
      </c>
      <c r="AE119" s="425"/>
    </row>
    <row r="120" spans="1:31" s="414" customFormat="1" hidden="1">
      <c r="A120" s="418" t="s">
        <v>111</v>
      </c>
      <c r="B120" s="417" t="s">
        <v>20</v>
      </c>
      <c r="C120" s="416" t="s">
        <v>20</v>
      </c>
      <c r="D120" s="416">
        <v>-1.5</v>
      </c>
      <c r="E120" s="413"/>
      <c r="F120" s="458" t="s">
        <v>659</v>
      </c>
      <c r="G120" s="416" t="s">
        <v>20</v>
      </c>
      <c r="H120" s="416" t="s">
        <v>20</v>
      </c>
      <c r="I120" s="416" t="s">
        <v>268</v>
      </c>
      <c r="J120" s="416"/>
      <c r="K120" s="416"/>
      <c r="L120" s="416"/>
      <c r="M120" s="416"/>
      <c r="N120" s="416"/>
      <c r="O120" s="416"/>
      <c r="P120" s="416"/>
      <c r="Q120" s="416"/>
      <c r="R120" s="416"/>
      <c r="S120" s="416"/>
      <c r="T120" s="416"/>
      <c r="U120" s="533"/>
      <c r="Z120" s="533"/>
      <c r="AE120" s="413"/>
    </row>
    <row r="122" spans="1:31" s="138" customFormat="1">
      <c r="A122" s="95"/>
      <c r="B122" s="18" t="s">
        <v>41</v>
      </c>
      <c r="C122" s="5" t="s">
        <v>41</v>
      </c>
      <c r="D122" s="5" t="s">
        <v>41</v>
      </c>
      <c r="E122" s="96" t="s">
        <v>41</v>
      </c>
      <c r="F122" s="61" t="s">
        <v>41</v>
      </c>
      <c r="G122" s="5" t="s">
        <v>10</v>
      </c>
      <c r="H122" s="5" t="s">
        <v>686</v>
      </c>
      <c r="I122" s="5" t="s">
        <v>686</v>
      </c>
      <c r="J122" s="5" t="s">
        <v>686</v>
      </c>
      <c r="K122" s="5" t="s">
        <v>686</v>
      </c>
      <c r="L122" s="5" t="s">
        <v>686</v>
      </c>
      <c r="M122" s="5" t="s">
        <v>686</v>
      </c>
      <c r="N122" s="5" t="s">
        <v>686</v>
      </c>
      <c r="O122" s="5" t="s">
        <v>686</v>
      </c>
      <c r="P122" s="5" t="s">
        <v>686</v>
      </c>
      <c r="Q122" s="5" t="s">
        <v>686</v>
      </c>
      <c r="R122" s="5" t="s">
        <v>686</v>
      </c>
      <c r="S122" s="5" t="s">
        <v>686</v>
      </c>
      <c r="T122" s="5" t="s">
        <v>686</v>
      </c>
      <c r="U122" s="523" t="s">
        <v>686</v>
      </c>
      <c r="V122" s="212" t="s">
        <v>686</v>
      </c>
      <c r="W122" s="212" t="s">
        <v>686</v>
      </c>
      <c r="X122" s="212" t="s">
        <v>686</v>
      </c>
      <c r="Y122" s="212" t="s">
        <v>686</v>
      </c>
      <c r="Z122" s="523" t="s">
        <v>776</v>
      </c>
      <c r="AA122" s="212" t="s">
        <v>686</v>
      </c>
      <c r="AB122" s="212" t="s">
        <v>686</v>
      </c>
      <c r="AC122" s="212" t="s">
        <v>686</v>
      </c>
      <c r="AD122" s="212" t="s">
        <v>686</v>
      </c>
      <c r="AE122" s="523" t="s">
        <v>776</v>
      </c>
    </row>
    <row r="123" spans="1:31" s="138" customFormat="1">
      <c r="A123" s="174" t="s">
        <v>113</v>
      </c>
      <c r="B123" s="18">
        <v>2009</v>
      </c>
      <c r="C123" s="5">
        <v>2010</v>
      </c>
      <c r="D123" s="5">
        <v>2011</v>
      </c>
      <c r="E123" s="96">
        <v>2012</v>
      </c>
      <c r="F123" s="61">
        <v>2015</v>
      </c>
      <c r="G123" s="5">
        <v>2009</v>
      </c>
      <c r="H123" s="5">
        <v>2010</v>
      </c>
      <c r="I123" s="5">
        <v>2011</v>
      </c>
      <c r="J123" s="5">
        <v>2012</v>
      </c>
      <c r="K123" s="5">
        <v>2013</v>
      </c>
      <c r="L123" s="5" t="s">
        <v>832</v>
      </c>
      <c r="M123" s="5" t="s">
        <v>829</v>
      </c>
      <c r="N123" s="5" t="s">
        <v>830</v>
      </c>
      <c r="O123" s="5" t="s">
        <v>831</v>
      </c>
      <c r="P123" s="5">
        <v>2014</v>
      </c>
      <c r="Q123" s="5" t="s">
        <v>828</v>
      </c>
      <c r="R123" s="5" t="s">
        <v>703</v>
      </c>
      <c r="S123" s="5" t="s">
        <v>699</v>
      </c>
      <c r="T123" s="5" t="s">
        <v>700</v>
      </c>
      <c r="U123" s="96">
        <v>2015</v>
      </c>
      <c r="V123" s="208" t="s">
        <v>696</v>
      </c>
      <c r="W123" s="208" t="s">
        <v>744</v>
      </c>
      <c r="X123" s="208" t="s">
        <v>760</v>
      </c>
      <c r="Y123" s="208" t="s">
        <v>775</v>
      </c>
      <c r="Z123" s="96">
        <v>2016</v>
      </c>
      <c r="AA123" s="208" t="s">
        <v>777</v>
      </c>
      <c r="AB123" s="208" t="s">
        <v>772</v>
      </c>
      <c r="AC123" s="208" t="s">
        <v>773</v>
      </c>
      <c r="AD123" s="208" t="s">
        <v>774</v>
      </c>
      <c r="AE123" s="96">
        <v>2017</v>
      </c>
    </row>
    <row r="124" spans="1:31" hidden="1">
      <c r="A124" s="159" t="s">
        <v>114</v>
      </c>
      <c r="B124" s="109" t="s">
        <v>20</v>
      </c>
      <c r="C124" s="89" t="s">
        <v>20</v>
      </c>
      <c r="D124" s="89" t="s">
        <v>20</v>
      </c>
      <c r="E124" s="110" t="s">
        <v>20</v>
      </c>
      <c r="F124" s="459"/>
      <c r="G124" s="89" t="s">
        <v>20</v>
      </c>
      <c r="H124" s="89" t="s">
        <v>20</v>
      </c>
      <c r="I124" s="89" t="s">
        <v>20</v>
      </c>
      <c r="J124" s="89"/>
      <c r="K124" s="89"/>
      <c r="L124" s="89"/>
      <c r="M124" s="89"/>
      <c r="N124" s="89"/>
      <c r="O124" s="89"/>
      <c r="P124" s="89"/>
      <c r="Q124" s="89"/>
      <c r="R124" s="89"/>
      <c r="S124" s="89"/>
      <c r="T124" s="89"/>
      <c r="U124" s="116"/>
      <c r="Z124" s="116"/>
    </row>
    <row r="125" spans="1:31" hidden="1">
      <c r="A125" s="159" t="s">
        <v>115</v>
      </c>
      <c r="B125" s="47">
        <v>8900000</v>
      </c>
      <c r="C125" s="30">
        <v>11900000</v>
      </c>
      <c r="D125" s="30">
        <v>15400000</v>
      </c>
      <c r="E125" s="105">
        <v>20400000</v>
      </c>
      <c r="F125" s="77"/>
      <c r="G125" s="89" t="s">
        <v>20</v>
      </c>
      <c r="H125" s="89" t="s">
        <v>20</v>
      </c>
      <c r="I125" s="89" t="s">
        <v>268</v>
      </c>
      <c r="J125" s="89"/>
      <c r="K125" s="89"/>
      <c r="L125" s="89"/>
      <c r="M125" s="89"/>
      <c r="N125" s="89"/>
      <c r="O125" s="89"/>
      <c r="P125" s="89"/>
      <c r="Q125" s="89"/>
      <c r="R125" s="89"/>
      <c r="S125" s="89"/>
      <c r="T125" s="89"/>
      <c r="U125" s="116"/>
      <c r="Z125" s="116"/>
    </row>
    <row r="126" spans="1:31" hidden="1">
      <c r="A126" s="159" t="s">
        <v>116</v>
      </c>
      <c r="E126" s="105"/>
      <c r="F126" s="77"/>
      <c r="G126" s="89" t="s">
        <v>20</v>
      </c>
      <c r="H126" s="89" t="s">
        <v>20</v>
      </c>
      <c r="I126" s="133" t="s">
        <v>20</v>
      </c>
      <c r="U126" s="116"/>
      <c r="Z126" s="116"/>
    </row>
    <row r="127" spans="1:31" s="540" customFormat="1">
      <c r="A127" s="538" t="s">
        <v>687</v>
      </c>
      <c r="B127" s="539"/>
      <c r="E127" s="541"/>
      <c r="F127" s="538"/>
      <c r="G127" s="542"/>
      <c r="H127" s="542"/>
      <c r="K127" s="540">
        <v>125000000</v>
      </c>
      <c r="L127" s="540">
        <v>250000000</v>
      </c>
      <c r="M127" s="540">
        <v>250000000</v>
      </c>
      <c r="N127" s="540">
        <v>290000000</v>
      </c>
      <c r="O127" s="540">
        <v>320000000</v>
      </c>
      <c r="P127" s="540">
        <v>200000000</v>
      </c>
      <c r="R127" s="540">
        <v>250000000</v>
      </c>
      <c r="S127" s="540">
        <v>290000000</v>
      </c>
      <c r="T127" s="540">
        <v>320000000</v>
      </c>
      <c r="U127" s="543">
        <v>320000000</v>
      </c>
      <c r="V127" s="540">
        <v>350000000</v>
      </c>
      <c r="W127" s="540">
        <v>385000000</v>
      </c>
      <c r="X127" s="540">
        <v>435000000</v>
      </c>
      <c r="Y127" s="540">
        <v>465000000</v>
      </c>
      <c r="Z127" s="543"/>
      <c r="AA127" s="540">
        <v>500000000</v>
      </c>
      <c r="AB127" s="540">
        <v>535000000</v>
      </c>
      <c r="AE127" s="541"/>
    </row>
    <row r="128" spans="1:31" s="540" customFormat="1">
      <c r="A128" s="538" t="s">
        <v>840</v>
      </c>
      <c r="B128" s="539"/>
      <c r="E128" s="541"/>
      <c r="F128" s="538"/>
      <c r="G128" s="542"/>
      <c r="H128" s="542"/>
      <c r="L128" s="540">
        <v>223</v>
      </c>
      <c r="U128" s="543"/>
      <c r="Z128" s="543"/>
      <c r="AB128" s="540">
        <v>415000000</v>
      </c>
    </row>
    <row r="129" spans="1:31" s="540" customFormat="1">
      <c r="A129" s="538" t="s">
        <v>842</v>
      </c>
      <c r="B129" s="539"/>
      <c r="E129" s="541"/>
      <c r="F129" s="538"/>
      <c r="G129" s="542"/>
      <c r="H129" s="542"/>
      <c r="U129" s="543"/>
      <c r="Z129" s="543"/>
      <c r="AB129" s="27">
        <v>0.18</v>
      </c>
    </row>
    <row r="130" spans="1:31" s="540" customFormat="1">
      <c r="A130" s="538" t="s">
        <v>841</v>
      </c>
      <c r="B130" s="539"/>
      <c r="E130" s="541"/>
      <c r="F130" s="538"/>
      <c r="G130" s="542"/>
      <c r="H130" s="542"/>
      <c r="L130" s="540">
        <v>104</v>
      </c>
      <c r="U130" s="543"/>
      <c r="Z130" s="543"/>
      <c r="AB130" s="540">
        <v>153000000</v>
      </c>
    </row>
    <row r="131" spans="1:31" s="540" customFormat="1">
      <c r="A131" s="538" t="s">
        <v>842</v>
      </c>
      <c r="B131" s="539"/>
      <c r="E131" s="541"/>
      <c r="F131" s="538"/>
      <c r="G131" s="542"/>
      <c r="H131" s="542"/>
      <c r="U131" s="543"/>
      <c r="Z131" s="543"/>
      <c r="AB131" s="27">
        <v>0.11</v>
      </c>
    </row>
    <row r="132" spans="1:31">
      <c r="A132" s="159" t="s">
        <v>689</v>
      </c>
      <c r="B132" s="47">
        <v>9800</v>
      </c>
      <c r="C132" s="30">
        <v>17000</v>
      </c>
      <c r="D132" s="30">
        <v>25000</v>
      </c>
      <c r="E132" s="105">
        <v>48800</v>
      </c>
      <c r="F132" s="77">
        <v>1000000</v>
      </c>
      <c r="G132" s="150" t="s">
        <v>20</v>
      </c>
      <c r="H132" s="150"/>
      <c r="I132" s="30"/>
      <c r="J132" s="30"/>
      <c r="K132" s="30"/>
      <c r="L132" s="30"/>
      <c r="M132" s="30"/>
      <c r="N132" s="30"/>
      <c r="O132" s="30"/>
      <c r="P132" s="30"/>
      <c r="Q132" s="30"/>
      <c r="R132" s="30"/>
      <c r="S132" s="30"/>
      <c r="T132" s="30"/>
      <c r="U132" s="543">
        <v>450000</v>
      </c>
      <c r="V132" s="540">
        <v>500000</v>
      </c>
      <c r="W132" s="540">
        <v>500000</v>
      </c>
      <c r="X132" s="540"/>
      <c r="Y132" s="540">
        <v>560000</v>
      </c>
      <c r="Z132" s="541"/>
      <c r="AA132" s="540"/>
      <c r="AB132" s="540"/>
      <c r="AC132" s="540"/>
      <c r="AD132" s="540"/>
      <c r="AE132" s="540"/>
    </row>
    <row r="133" spans="1:31">
      <c r="A133" s="159" t="s">
        <v>119</v>
      </c>
      <c r="B133" s="98">
        <v>0.15669328997965298</v>
      </c>
      <c r="C133" s="27">
        <v>0.14526112272326883</v>
      </c>
      <c r="D133" s="27">
        <v>0.14417536582260648</v>
      </c>
      <c r="E133" s="97">
        <v>0.13188</v>
      </c>
      <c r="F133" s="452"/>
      <c r="G133" s="177">
        <v>0.106</v>
      </c>
      <c r="H133" s="177"/>
      <c r="I133" s="150"/>
      <c r="J133" s="150"/>
      <c r="K133" s="150"/>
      <c r="L133" s="150"/>
      <c r="M133" s="150"/>
      <c r="N133" s="150"/>
      <c r="O133" s="150"/>
      <c r="P133" s="150"/>
      <c r="Q133" s="150"/>
      <c r="R133" s="150"/>
      <c r="S133" s="150"/>
      <c r="T133" s="150"/>
      <c r="U133" s="534" t="s">
        <v>688</v>
      </c>
      <c r="Z133" s="534"/>
    </row>
    <row r="134" spans="1:31" s="30" customFormat="1">
      <c r="A134" s="77" t="s">
        <v>120</v>
      </c>
      <c r="B134" s="47">
        <v>9962</v>
      </c>
      <c r="C134" s="30">
        <v>12626</v>
      </c>
      <c r="D134" s="30">
        <v>14705</v>
      </c>
      <c r="E134" s="105"/>
      <c r="F134" s="77">
        <v>30878</v>
      </c>
      <c r="G134" s="30">
        <v>761</v>
      </c>
      <c r="I134" s="30">
        <v>1483</v>
      </c>
      <c r="J134" s="30">
        <v>1575</v>
      </c>
      <c r="K134" s="30">
        <v>2017</v>
      </c>
      <c r="P134" s="30">
        <v>2781</v>
      </c>
      <c r="U134" s="116">
        <v>3008</v>
      </c>
      <c r="V134" s="30">
        <v>3108</v>
      </c>
      <c r="W134" s="30">
        <v>3350</v>
      </c>
      <c r="X134" s="30">
        <v>3400</v>
      </c>
      <c r="Y134" s="30">
        <v>3327</v>
      </c>
      <c r="Z134" s="116"/>
      <c r="AE134" s="105"/>
    </row>
    <row r="135" spans="1:31" s="30" customFormat="1" hidden="1">
      <c r="A135" s="74" t="s">
        <v>121</v>
      </c>
      <c r="B135" s="47">
        <v>2125</v>
      </c>
      <c r="C135" s="30">
        <v>2740</v>
      </c>
      <c r="D135" s="30">
        <v>3767</v>
      </c>
      <c r="E135" s="105"/>
      <c r="F135" s="77"/>
      <c r="G135" s="30">
        <f>22+95</f>
        <v>117</v>
      </c>
      <c r="H135" s="30">
        <f>20+111</f>
        <v>131</v>
      </c>
      <c r="I135" s="30">
        <f>40+151</f>
        <v>191</v>
      </c>
      <c r="U135" s="116"/>
      <c r="Z135" s="116"/>
      <c r="AE135" s="105"/>
    </row>
    <row r="136" spans="1:31" s="30" customFormat="1" hidden="1">
      <c r="A136" s="74" t="s">
        <v>122</v>
      </c>
      <c r="B136" s="47">
        <v>1509</v>
      </c>
      <c r="C136" s="30">
        <v>1692</v>
      </c>
      <c r="D136" s="30">
        <v>1874</v>
      </c>
      <c r="E136" s="105"/>
      <c r="F136" s="77"/>
      <c r="G136" s="30">
        <v>433</v>
      </c>
      <c r="H136" s="30">
        <v>442</v>
      </c>
      <c r="I136" s="30">
        <v>575</v>
      </c>
      <c r="U136" s="116"/>
      <c r="Z136" s="116"/>
      <c r="AE136" s="105"/>
    </row>
    <row r="137" spans="1:31" s="30" customFormat="1" hidden="1">
      <c r="A137" s="74" t="s">
        <v>123</v>
      </c>
      <c r="B137" s="47">
        <v>583</v>
      </c>
      <c r="C137" s="30">
        <v>686</v>
      </c>
      <c r="D137" s="30">
        <v>827</v>
      </c>
      <c r="E137" s="105"/>
      <c r="F137" s="77"/>
      <c r="G137" s="30">
        <f>7+204</f>
        <v>211</v>
      </c>
      <c r="H137" s="30">
        <f>7+177</f>
        <v>184</v>
      </c>
      <c r="I137" s="30">
        <f>6+238</f>
        <v>244</v>
      </c>
      <c r="U137" s="116"/>
      <c r="Z137" s="116"/>
      <c r="AE137" s="105"/>
    </row>
    <row r="138" spans="1:31" s="30" customFormat="1" hidden="1">
      <c r="A138" s="74" t="s">
        <v>124</v>
      </c>
      <c r="B138" s="47">
        <v>5745</v>
      </c>
      <c r="C138" s="30">
        <v>7508</v>
      </c>
      <c r="D138" s="30">
        <v>8237</v>
      </c>
      <c r="E138" s="105"/>
      <c r="F138" s="77"/>
      <c r="G138" s="150" t="s">
        <v>35</v>
      </c>
      <c r="H138" s="150" t="s">
        <v>35</v>
      </c>
      <c r="I138" s="30" t="s">
        <v>269</v>
      </c>
      <c r="U138" s="526"/>
      <c r="Z138" s="526"/>
      <c r="AE138" s="105"/>
    </row>
    <row r="139" spans="1:31" s="473" customFormat="1">
      <c r="A139" s="489" t="s">
        <v>746</v>
      </c>
      <c r="B139" s="503" t="s">
        <v>20</v>
      </c>
      <c r="C139" s="2">
        <f t="shared" ref="C139:D143" si="67">C134/B134-1</f>
        <v>0.26741618148966073</v>
      </c>
      <c r="D139" s="2">
        <f t="shared" si="67"/>
        <v>0.16466022493267851</v>
      </c>
      <c r="E139" s="480"/>
      <c r="F139" s="67">
        <v>-0.04</v>
      </c>
      <c r="H139" s="211"/>
      <c r="I139" s="2"/>
      <c r="J139" s="2">
        <f>J134/I134-1</f>
        <v>6.2036412677006103E-2</v>
      </c>
      <c r="K139" s="2">
        <f>K134/J134-1</f>
        <v>0.28063492063492057</v>
      </c>
      <c r="L139" s="2"/>
      <c r="M139" s="2"/>
      <c r="N139" s="2"/>
      <c r="O139" s="2"/>
      <c r="P139" s="2">
        <f>P134/K134-1</f>
        <v>0.37878036688150729</v>
      </c>
      <c r="Q139" s="2"/>
      <c r="R139" s="2"/>
      <c r="S139" s="2"/>
      <c r="T139" s="2"/>
      <c r="U139" s="445">
        <f>U134/P134-1</f>
        <v>8.1625314635023427E-2</v>
      </c>
      <c r="V139" s="2">
        <f>V134/U134-1</f>
        <v>3.3244680851063801E-2</v>
      </c>
      <c r="W139" s="2">
        <f>W134/V134-1</f>
        <v>7.7863577863577893E-2</v>
      </c>
      <c r="X139" s="2">
        <f>X134/W134-1</f>
        <v>1.4925373134328401E-2</v>
      </c>
      <c r="Y139" s="473">
        <f>Y134/X134-1</f>
        <v>-2.147058823529413E-2</v>
      </c>
      <c r="Z139" s="445"/>
      <c r="AA139" s="473" t="e">
        <f>AA134/Z134-1</f>
        <v>#DIV/0!</v>
      </c>
      <c r="AB139" s="473" t="e">
        <f>AB134/AA134-1</f>
        <v>#DIV/0!</v>
      </c>
      <c r="AC139" s="473" t="e">
        <f>AC134/AB134-1</f>
        <v>#DIV/0!</v>
      </c>
      <c r="AD139" s="473" t="e">
        <f>AD134/AC134-1</f>
        <v>#DIV/0!</v>
      </c>
      <c r="AE139" s="486" t="e">
        <f>AE134/AD134-1</f>
        <v>#DIV/0!</v>
      </c>
    </row>
    <row r="140" spans="1:31" hidden="1">
      <c r="A140" s="179" t="s">
        <v>121</v>
      </c>
      <c r="B140" s="109" t="s">
        <v>20</v>
      </c>
      <c r="C140" s="10">
        <f t="shared" si="67"/>
        <v>0.28941176470588226</v>
      </c>
      <c r="D140" s="10">
        <f t="shared" si="67"/>
        <v>0.37481751824817522</v>
      </c>
      <c r="E140" s="101"/>
      <c r="F140" s="448"/>
      <c r="H140" s="27">
        <f t="shared" ref="H140:I142" si="68">H135/G135-1</f>
        <v>0.11965811965811968</v>
      </c>
      <c r="I140" s="10">
        <f t="shared" si="68"/>
        <v>0.45801526717557262</v>
      </c>
      <c r="J140" s="10"/>
      <c r="K140" s="10"/>
      <c r="L140" s="10"/>
      <c r="M140" s="10"/>
      <c r="N140" s="10"/>
      <c r="O140" s="10"/>
      <c r="P140" s="10"/>
      <c r="Q140" s="10"/>
      <c r="R140" s="10"/>
      <c r="S140" s="10"/>
      <c r="T140" s="10"/>
      <c r="U140" s="517"/>
      <c r="Z140" s="517"/>
    </row>
    <row r="141" spans="1:31" hidden="1">
      <c r="A141" s="179" t="s">
        <v>122</v>
      </c>
      <c r="B141" s="109" t="s">
        <v>20</v>
      </c>
      <c r="C141" s="10">
        <f t="shared" si="67"/>
        <v>0.12127236580516909</v>
      </c>
      <c r="D141" s="10">
        <f t="shared" si="67"/>
        <v>0.10756501182033107</v>
      </c>
      <c r="E141" s="101"/>
      <c r="F141" s="448"/>
      <c r="H141" s="27">
        <f t="shared" si="68"/>
        <v>2.0785219399538146E-2</v>
      </c>
      <c r="I141" s="10">
        <f t="shared" si="68"/>
        <v>0.30090497737556565</v>
      </c>
      <c r="J141" s="10"/>
      <c r="K141" s="10"/>
      <c r="L141" s="10"/>
      <c r="M141" s="10"/>
      <c r="N141" s="10"/>
      <c r="O141" s="10"/>
      <c r="P141" s="10"/>
      <c r="Q141" s="10"/>
      <c r="R141" s="10"/>
      <c r="S141" s="10"/>
      <c r="T141" s="10"/>
      <c r="U141" s="517"/>
      <c r="Z141" s="517"/>
    </row>
    <row r="142" spans="1:31" hidden="1">
      <c r="A142" s="179" t="s">
        <v>123</v>
      </c>
      <c r="B142" s="109" t="s">
        <v>20</v>
      </c>
      <c r="C142" s="10">
        <f t="shared" si="67"/>
        <v>0.17667238421955411</v>
      </c>
      <c r="D142" s="10">
        <f t="shared" si="67"/>
        <v>0.20553935860058314</v>
      </c>
      <c r="E142" s="101"/>
      <c r="F142" s="448"/>
      <c r="H142" s="27">
        <f t="shared" si="68"/>
        <v>-0.12796208530805686</v>
      </c>
      <c r="I142" s="10">
        <f t="shared" si="68"/>
        <v>0.32608695652173902</v>
      </c>
      <c r="J142" s="10"/>
      <c r="K142" s="10"/>
      <c r="L142" s="10"/>
      <c r="M142" s="10"/>
      <c r="N142" s="10"/>
      <c r="O142" s="10"/>
      <c r="P142" s="10"/>
      <c r="Q142" s="10"/>
      <c r="R142" s="10"/>
      <c r="S142" s="10"/>
      <c r="T142" s="10"/>
      <c r="U142" s="517"/>
      <c r="Z142" s="517"/>
    </row>
    <row r="143" spans="1:31" hidden="1">
      <c r="A143" s="179" t="s">
        <v>124</v>
      </c>
      <c r="B143" s="109" t="s">
        <v>20</v>
      </c>
      <c r="C143" s="10">
        <f t="shared" si="67"/>
        <v>0.30687554395126204</v>
      </c>
      <c r="D143" s="10">
        <f t="shared" si="67"/>
        <v>9.7096430474160833E-2</v>
      </c>
      <c r="E143" s="101"/>
      <c r="F143" s="448"/>
      <c r="H143" s="150" t="s">
        <v>20</v>
      </c>
      <c r="I143" s="10" t="s">
        <v>268</v>
      </c>
      <c r="J143" s="10"/>
      <c r="K143" s="10"/>
      <c r="L143" s="10"/>
      <c r="M143" s="10"/>
      <c r="N143" s="10"/>
      <c r="O143" s="10"/>
      <c r="P143" s="10"/>
      <c r="Q143" s="10"/>
      <c r="R143" s="10"/>
      <c r="S143" s="10"/>
      <c r="T143" s="10"/>
    </row>
    <row r="144" spans="1:31" hidden="1">
      <c r="A144" s="159" t="s">
        <v>125</v>
      </c>
      <c r="B144" s="180"/>
      <c r="C144" s="27"/>
      <c r="D144" s="27"/>
      <c r="F144" s="460" t="e">
        <f>365/(#REF!*1000/((1826765.949+3150768.364)/2))/6.4778</f>
        <v>#REF!</v>
      </c>
      <c r="H144" s="143"/>
      <c r="U144" s="520"/>
      <c r="Z144" s="520"/>
    </row>
    <row r="145" spans="1:31">
      <c r="B145" s="180"/>
      <c r="C145" s="27"/>
      <c r="D145" s="27"/>
      <c r="F145" s="460">
        <f>365/(F6*1000/((1826765.949+3150768.364)/6.4778/2))</f>
        <v>79.012405176943318</v>
      </c>
      <c r="I145" s="143"/>
      <c r="J145" s="143"/>
      <c r="K145" s="143"/>
      <c r="L145" s="143"/>
      <c r="M145" s="143"/>
      <c r="N145" s="143"/>
      <c r="O145" s="143"/>
      <c r="P145" s="143"/>
      <c r="Q145" s="143"/>
      <c r="R145" s="143"/>
      <c r="S145" s="143"/>
      <c r="T145" s="143"/>
    </row>
    <row r="147" spans="1:31" s="138" customFormat="1">
      <c r="A147" s="176"/>
      <c r="B147" s="18" t="s">
        <v>41</v>
      </c>
      <c r="C147" s="5" t="s">
        <v>41</v>
      </c>
      <c r="D147" s="5" t="s">
        <v>41</v>
      </c>
      <c r="E147" s="96" t="s">
        <v>41</v>
      </c>
      <c r="F147" s="61" t="s">
        <v>41</v>
      </c>
      <c r="G147" s="5" t="s">
        <v>10</v>
      </c>
      <c r="H147" s="5" t="s">
        <v>686</v>
      </c>
      <c r="I147" s="5" t="s">
        <v>686</v>
      </c>
      <c r="J147" s="5" t="s">
        <v>686</v>
      </c>
      <c r="K147" s="5" t="s">
        <v>686</v>
      </c>
      <c r="L147" s="5" t="s">
        <v>686</v>
      </c>
      <c r="M147" s="5" t="s">
        <v>686</v>
      </c>
      <c r="N147" s="5" t="s">
        <v>686</v>
      </c>
      <c r="O147" s="5" t="s">
        <v>686</v>
      </c>
      <c r="P147" s="5" t="s">
        <v>686</v>
      </c>
      <c r="Q147" s="5" t="s">
        <v>686</v>
      </c>
      <c r="R147" s="5" t="s">
        <v>686</v>
      </c>
      <c r="S147" s="5" t="s">
        <v>686</v>
      </c>
      <c r="T147" s="5" t="s">
        <v>686</v>
      </c>
      <c r="U147" s="523" t="s">
        <v>686</v>
      </c>
      <c r="V147" s="212" t="s">
        <v>686</v>
      </c>
      <c r="W147" s="212" t="s">
        <v>686</v>
      </c>
      <c r="X147" s="212" t="s">
        <v>686</v>
      </c>
      <c r="Y147" s="212" t="s">
        <v>686</v>
      </c>
      <c r="Z147" s="523" t="s">
        <v>776</v>
      </c>
      <c r="AA147" s="212" t="s">
        <v>686</v>
      </c>
      <c r="AB147" s="212" t="s">
        <v>686</v>
      </c>
      <c r="AC147" s="212" t="s">
        <v>686</v>
      </c>
      <c r="AD147" s="212" t="s">
        <v>686</v>
      </c>
      <c r="AE147" s="523" t="s">
        <v>776</v>
      </c>
    </row>
    <row r="148" spans="1:31" s="138" customFormat="1">
      <c r="A148" s="61" t="s">
        <v>36</v>
      </c>
      <c r="B148" s="18">
        <v>2009</v>
      </c>
      <c r="C148" s="5">
        <v>2010</v>
      </c>
      <c r="D148" s="5">
        <v>2011</v>
      </c>
      <c r="E148" s="96">
        <v>2012</v>
      </c>
      <c r="F148" s="61">
        <v>2015</v>
      </c>
      <c r="G148" s="5">
        <v>2009</v>
      </c>
      <c r="H148" s="5">
        <v>2010</v>
      </c>
      <c r="I148" s="5">
        <v>2011</v>
      </c>
      <c r="J148" s="5">
        <v>2012</v>
      </c>
      <c r="K148" s="5">
        <v>2013</v>
      </c>
      <c r="L148" s="5" t="s">
        <v>832</v>
      </c>
      <c r="M148" s="5" t="s">
        <v>829</v>
      </c>
      <c r="N148" s="5" t="s">
        <v>830</v>
      </c>
      <c r="O148" s="5" t="s">
        <v>831</v>
      </c>
      <c r="P148" s="5">
        <v>2014</v>
      </c>
      <c r="Q148" s="5" t="s">
        <v>828</v>
      </c>
      <c r="R148" s="5" t="s">
        <v>703</v>
      </c>
      <c r="S148" s="5" t="s">
        <v>699</v>
      </c>
      <c r="T148" s="5" t="s">
        <v>700</v>
      </c>
      <c r="U148" s="96">
        <v>2015</v>
      </c>
      <c r="V148" s="208" t="s">
        <v>696</v>
      </c>
      <c r="W148" s="208" t="s">
        <v>744</v>
      </c>
      <c r="X148" s="208" t="s">
        <v>760</v>
      </c>
      <c r="Y148" s="208" t="s">
        <v>775</v>
      </c>
      <c r="Z148" s="96">
        <v>2016</v>
      </c>
      <c r="AA148" s="208" t="s">
        <v>777</v>
      </c>
      <c r="AB148" s="208" t="s">
        <v>772</v>
      </c>
      <c r="AC148" s="208" t="s">
        <v>773</v>
      </c>
      <c r="AD148" s="208" t="s">
        <v>774</v>
      </c>
      <c r="AE148" s="96">
        <v>2017</v>
      </c>
    </row>
    <row r="149" spans="1:31">
      <c r="A149" s="159" t="s">
        <v>126</v>
      </c>
      <c r="B149" s="137">
        <v>141</v>
      </c>
      <c r="C149" s="143">
        <v>150.308224</v>
      </c>
      <c r="D149" s="143">
        <v>143.56399999999999</v>
      </c>
      <c r="E149" s="151"/>
      <c r="F149" s="460">
        <f>49.370393*8</f>
        <v>394.963144</v>
      </c>
      <c r="G149" s="182">
        <f t="shared" ref="G149:P149" si="69">G59</f>
        <v>29.762</v>
      </c>
      <c r="H149" s="182">
        <f t="shared" si="69"/>
        <v>0</v>
      </c>
      <c r="I149" s="143">
        <f t="shared" si="69"/>
        <v>134.86516900000001</v>
      </c>
      <c r="J149" s="143">
        <f t="shared" si="69"/>
        <v>141.34100000000001</v>
      </c>
      <c r="K149" s="143">
        <f t="shared" si="69"/>
        <v>145.26300000000001</v>
      </c>
      <c r="L149" s="143">
        <f t="shared" si="69"/>
        <v>0</v>
      </c>
      <c r="M149" s="143">
        <f t="shared" si="69"/>
        <v>0</v>
      </c>
      <c r="N149" s="143">
        <f t="shared" si="69"/>
        <v>0</v>
      </c>
      <c r="O149" s="143">
        <f t="shared" si="69"/>
        <v>0</v>
      </c>
      <c r="P149" s="143">
        <f t="shared" si="69"/>
        <v>146</v>
      </c>
      <c r="Q149" s="143"/>
      <c r="R149" s="143">
        <f t="shared" ref="R149:X149" si="70">R59</f>
        <v>146</v>
      </c>
      <c r="S149" s="143">
        <f t="shared" si="70"/>
        <v>146</v>
      </c>
      <c r="T149" s="143">
        <f t="shared" si="70"/>
        <v>146</v>
      </c>
      <c r="U149" s="535">
        <f t="shared" si="70"/>
        <v>146</v>
      </c>
      <c r="V149" s="143">
        <f t="shared" si="70"/>
        <v>147</v>
      </c>
      <c r="W149" s="143">
        <f t="shared" si="70"/>
        <v>147</v>
      </c>
      <c r="X149" s="143">
        <f t="shared" si="70"/>
        <v>147</v>
      </c>
      <c r="Y149" s="133">
        <v>146</v>
      </c>
      <c r="Z149" s="535">
        <v>147</v>
      </c>
      <c r="AA149" s="143">
        <f>AA59</f>
        <v>145</v>
      </c>
      <c r="AB149" s="143">
        <f>AB59</f>
        <v>141</v>
      </c>
      <c r="AC149" s="143">
        <f>AC59</f>
        <v>0</v>
      </c>
      <c r="AD149" s="133">
        <v>146</v>
      </c>
    </row>
    <row r="150" spans="1:31">
      <c r="A150" s="159" t="s">
        <v>127</v>
      </c>
      <c r="B150" s="109" t="s">
        <v>20</v>
      </c>
      <c r="C150" s="89" t="s">
        <v>20</v>
      </c>
      <c r="D150" s="89">
        <f>D167/D62</f>
        <v>20.191260795705784</v>
      </c>
      <c r="E150" s="155"/>
      <c r="F150" s="459">
        <f>F158/F62</f>
        <v>42.11818181818181</v>
      </c>
      <c r="G150" s="150" t="s">
        <v>20</v>
      </c>
      <c r="H150" s="89" t="e">
        <f>H158/H62</f>
        <v>#DIV/0!</v>
      </c>
      <c r="I150" s="89">
        <f>I158/I62</f>
        <v>19.098484848484848</v>
      </c>
      <c r="J150" s="89">
        <f>J158/J62</f>
        <v>30.5985401459854</v>
      </c>
      <c r="K150" s="89">
        <f>K158/K62</f>
        <v>58.744680851063833</v>
      </c>
      <c r="L150" s="89"/>
      <c r="M150" s="89"/>
      <c r="N150" s="89"/>
      <c r="O150" s="89"/>
      <c r="P150" s="89">
        <f>P158/P62</f>
        <v>48.122580645161293</v>
      </c>
      <c r="Q150" s="89"/>
      <c r="R150" s="89"/>
      <c r="S150" s="89"/>
      <c r="T150" s="89"/>
      <c r="U150" s="533">
        <f>U158/U62</f>
        <v>62.683823529411761</v>
      </c>
      <c r="V150" s="638">
        <f>V158/SUM(R62:T62,V62)</f>
        <v>76.801801801801801</v>
      </c>
      <c r="W150" s="638">
        <f>W158/SUM(S62:T62,V62:W62)</f>
        <v>68.40425531914893</v>
      </c>
      <c r="X150" s="638">
        <f>X158/SUM(T62:U62,W62:X62)</f>
        <v>31.90909090909091</v>
      </c>
      <c r="Y150" s="638">
        <f>Y158/SUM(V62:Y62)</f>
        <v>58.696202531645561</v>
      </c>
      <c r="Z150" s="533">
        <f>Z158/Z62</f>
        <v>56.548780487804876</v>
      </c>
      <c r="AA150" s="638">
        <f>AA158/SUM(W62:Y62,AA62)</f>
        <v>61.657142857142858</v>
      </c>
      <c r="AB150" s="638">
        <f>AB158/SUM(X62:Y62,AA62:AB62)</f>
        <v>58.303030303030305</v>
      </c>
      <c r="AC150" s="638"/>
      <c r="AD150" s="638"/>
      <c r="AE150" s="533" t="e">
        <f>AE158/AE62</f>
        <v>#DIV/0!</v>
      </c>
    </row>
    <row r="151" spans="1:31">
      <c r="A151" s="159" t="s">
        <v>128</v>
      </c>
      <c r="B151" s="109" t="s">
        <v>20</v>
      </c>
      <c r="C151" s="89" t="s">
        <v>20</v>
      </c>
      <c r="D151" s="89" t="s">
        <v>20</v>
      </c>
      <c r="E151" s="110"/>
      <c r="F151" s="459">
        <f>F150/F63</f>
        <v>5.0653255343574042</v>
      </c>
      <c r="G151" s="150" t="s">
        <v>20</v>
      </c>
      <c r="H151" s="89" t="e">
        <f>H150/H63</f>
        <v>#DIV/0!</v>
      </c>
      <c r="I151" s="89"/>
      <c r="J151" s="89">
        <f>J150/J63</f>
        <v>807.80145985401532</v>
      </c>
      <c r="K151" s="89">
        <f>K150/K63</f>
        <v>2012.0053191489387</v>
      </c>
      <c r="L151" s="89"/>
      <c r="M151" s="89"/>
      <c r="N151" s="89"/>
      <c r="O151" s="89"/>
      <c r="P151" s="89">
        <f>P150/P63</f>
        <v>484.6631336405523</v>
      </c>
      <c r="Q151" s="89"/>
      <c r="R151" s="89"/>
      <c r="S151" s="89"/>
      <c r="T151" s="89"/>
      <c r="U151" s="533">
        <f>U150/U63</f>
        <v>-511.36803405572761</v>
      </c>
      <c r="V151" s="638">
        <f>V150/V63</f>
        <v>9.6002252252252251</v>
      </c>
      <c r="W151" s="638">
        <f>W150/W63</f>
        <v>-160.95118898623275</v>
      </c>
      <c r="X151" s="638">
        <f>X150/X63</f>
        <v>-125.1818181818182</v>
      </c>
      <c r="Y151" s="638">
        <f>Y150/Y63</f>
        <v>-117.39240506329112</v>
      </c>
      <c r="Z151" s="533" t="e">
        <f>Z150/Z64</f>
        <v>#DIV/0!</v>
      </c>
      <c r="AA151" s="638">
        <f>AA150/AA63</f>
        <v>-117.14857142857142</v>
      </c>
      <c r="AB151" s="638">
        <f>AB150/AB63</f>
        <v>-335.24242424242425</v>
      </c>
      <c r="AC151" s="638"/>
      <c r="AD151" s="638"/>
      <c r="AE151" s="533" t="e">
        <f>AE150/AE64</f>
        <v>#DIV/0!</v>
      </c>
    </row>
    <row r="152" spans="1:31">
      <c r="A152" s="159" t="s">
        <v>129</v>
      </c>
      <c r="B152" s="109" t="s">
        <v>20</v>
      </c>
      <c r="C152" s="89" t="s">
        <v>20</v>
      </c>
      <c r="D152" s="89" t="s">
        <v>20</v>
      </c>
      <c r="E152" s="110"/>
      <c r="F152" s="459">
        <f t="shared" ref="F152:U152" si="71">F158/F61</f>
        <v>36.1953125</v>
      </c>
      <c r="G152" s="150">
        <f t="shared" si="71"/>
        <v>0</v>
      </c>
      <c r="H152" s="89" t="e">
        <f t="shared" si="71"/>
        <v>#DIV/0!</v>
      </c>
      <c r="I152" s="548">
        <f t="shared" si="71"/>
        <v>18.954887218045112</v>
      </c>
      <c r="J152" s="548">
        <f t="shared" si="71"/>
        <v>30.158273381294968</v>
      </c>
      <c r="K152" s="548">
        <f t="shared" si="71"/>
        <v>57.520833333333336</v>
      </c>
      <c r="L152" s="548"/>
      <c r="M152" s="548"/>
      <c r="N152" s="548"/>
      <c r="O152" s="548"/>
      <c r="P152" s="548">
        <f t="shared" si="71"/>
        <v>47.208860759493668</v>
      </c>
      <c r="Q152" s="548"/>
      <c r="R152" s="548"/>
      <c r="S152" s="548"/>
      <c r="T152" s="548"/>
      <c r="U152" s="533">
        <f t="shared" si="71"/>
        <v>61.775362318840585</v>
      </c>
      <c r="V152" s="638">
        <f>V158/SUM(R61:T61,V61)</f>
        <v>76.116071428571416</v>
      </c>
      <c r="W152" s="638">
        <f>W158/SUM(S61:T61,V61:W61)</f>
        <v>67.684210526315795</v>
      </c>
      <c r="X152" s="638">
        <f>X158/SUM(T61:U61,W61:X61)</f>
        <v>31.432835820895527</v>
      </c>
      <c r="Y152" s="638">
        <f>Y158/SUM(V61:Y61)</f>
        <v>57.246913580246904</v>
      </c>
      <c r="Z152" s="533">
        <f>Z158/Z61</f>
        <v>55.867469879518069</v>
      </c>
      <c r="AA152" s="638">
        <f>AA158/SUM(W61:Y61,AA61)</f>
        <v>60.788732394366193</v>
      </c>
      <c r="AB152" s="638">
        <f>AB158/SUM(X61:Y61,AA61:AB61)</f>
        <v>57.432835820895527</v>
      </c>
      <c r="AC152" s="638"/>
      <c r="AD152" s="638"/>
      <c r="AE152" s="533" t="e">
        <f>AE158/AE61</f>
        <v>#DIV/0!</v>
      </c>
    </row>
    <row r="153" spans="1:31">
      <c r="A153" s="159" t="s">
        <v>130</v>
      </c>
      <c r="B153" s="109" t="s">
        <v>20</v>
      </c>
      <c r="C153" s="89" t="s">
        <v>20</v>
      </c>
      <c r="D153" s="89" t="s">
        <v>20</v>
      </c>
      <c r="E153" s="110"/>
      <c r="F153" s="459">
        <f>F152/F63</f>
        <v>4.3530141310883943</v>
      </c>
      <c r="G153" s="150" t="e">
        <f>G152/G63</f>
        <v>#DIV/0!</v>
      </c>
      <c r="H153" s="89" t="e">
        <f>H152/H63</f>
        <v>#DIV/0!</v>
      </c>
      <c r="I153" s="548"/>
      <c r="J153" s="548">
        <f>J152/J63</f>
        <v>796.17841726618792</v>
      </c>
      <c r="K153" s="548">
        <f>K152/K63</f>
        <v>1970.0885416666692</v>
      </c>
      <c r="L153" s="548"/>
      <c r="M153" s="548"/>
      <c r="N153" s="548"/>
      <c r="O153" s="548"/>
      <c r="P153" s="548">
        <f>P152/P63</f>
        <v>475.46066907775696</v>
      </c>
      <c r="Q153" s="548"/>
      <c r="R153" s="548"/>
      <c r="S153" s="548"/>
      <c r="T153" s="548"/>
      <c r="U153" s="533">
        <f>U152/U63</f>
        <v>-503.95690312738378</v>
      </c>
      <c r="V153" s="638"/>
      <c r="W153" s="638"/>
      <c r="X153" s="638"/>
      <c r="Z153" s="533">
        <f>Z152/Z63</f>
        <v>-140.17656078860898</v>
      </c>
      <c r="AA153" s="638"/>
      <c r="AB153" s="638"/>
      <c r="AC153" s="638"/>
      <c r="AE153" s="533" t="e">
        <f>AE152/AE63</f>
        <v>#DIV/0!</v>
      </c>
    </row>
    <row r="154" spans="1:31">
      <c r="B154" s="21" t="s">
        <v>41</v>
      </c>
      <c r="C154" s="6" t="s">
        <v>41</v>
      </c>
      <c r="D154" s="6" t="s">
        <v>41</v>
      </c>
      <c r="E154" s="111" t="s">
        <v>41</v>
      </c>
      <c r="F154" s="64"/>
      <c r="G154" s="6" t="s">
        <v>10</v>
      </c>
      <c r="H154" s="6"/>
      <c r="I154" s="6"/>
      <c r="J154" s="6"/>
      <c r="K154" s="6"/>
      <c r="L154" s="6"/>
      <c r="M154" s="6"/>
      <c r="N154" s="6"/>
      <c r="O154" s="6"/>
      <c r="P154" s="6"/>
      <c r="Q154" s="6"/>
      <c r="R154" s="6"/>
      <c r="S154" s="6"/>
      <c r="T154" s="6"/>
      <c r="U154" s="525"/>
      <c r="Z154" s="525"/>
    </row>
    <row r="155" spans="1:31" hidden="1">
      <c r="A155" s="159" t="s">
        <v>131</v>
      </c>
      <c r="B155" s="21" t="s">
        <v>37</v>
      </c>
      <c r="C155" s="6" t="s">
        <v>37</v>
      </c>
      <c r="D155" s="6" t="s">
        <v>37</v>
      </c>
      <c r="E155" s="111" t="s">
        <v>37</v>
      </c>
      <c r="F155" s="64"/>
      <c r="G155" s="6" t="s">
        <v>37</v>
      </c>
      <c r="H155" s="6" t="s">
        <v>37</v>
      </c>
      <c r="I155" s="6" t="s">
        <v>37</v>
      </c>
      <c r="J155" s="6" t="s">
        <v>37</v>
      </c>
      <c r="K155" s="6" t="s">
        <v>267</v>
      </c>
      <c r="L155" s="6"/>
      <c r="M155" s="6"/>
      <c r="N155" s="6"/>
      <c r="O155" s="6"/>
      <c r="P155" s="6"/>
      <c r="Q155" s="6"/>
      <c r="R155" s="6"/>
      <c r="S155" s="6"/>
      <c r="T155" s="6"/>
      <c r="U155" s="525"/>
      <c r="Z155" s="525"/>
    </row>
    <row r="156" spans="1:31" hidden="1">
      <c r="B156" s="21"/>
      <c r="C156" s="6"/>
      <c r="D156" s="6">
        <v>40990</v>
      </c>
      <c r="E156" s="112">
        <v>41530</v>
      </c>
      <c r="F156" s="461"/>
      <c r="G156" s="6"/>
      <c r="H156" s="6"/>
      <c r="I156" s="6">
        <v>40990</v>
      </c>
      <c r="J156" s="6">
        <v>41078</v>
      </c>
      <c r="K156" s="6">
        <v>41530</v>
      </c>
      <c r="L156" s="6"/>
      <c r="M156" s="6"/>
      <c r="N156" s="6"/>
      <c r="O156" s="6"/>
      <c r="P156" s="6"/>
      <c r="Q156" s="6"/>
      <c r="R156" s="6"/>
      <c r="S156" s="6"/>
      <c r="T156" s="6"/>
      <c r="U156" s="117"/>
      <c r="Z156" s="117"/>
    </row>
    <row r="157" spans="1:31">
      <c r="A157" s="159" t="s">
        <v>132</v>
      </c>
      <c r="B157" s="109" t="s">
        <v>20</v>
      </c>
      <c r="C157" s="89" t="s">
        <v>20</v>
      </c>
      <c r="D157" s="89">
        <v>3259.6206200000001</v>
      </c>
      <c r="E157" s="105">
        <v>6470</v>
      </c>
      <c r="F157" s="459">
        <f t="shared" ref="F157:V157" si="72">F158*F149</f>
        <v>18298.642461519998</v>
      </c>
      <c r="G157" s="89">
        <f t="shared" si="72"/>
        <v>0</v>
      </c>
      <c r="H157" s="89">
        <f t="shared" si="72"/>
        <v>0</v>
      </c>
      <c r="I157" s="89">
        <f t="shared" si="72"/>
        <v>3399.9509104900003</v>
      </c>
      <c r="J157" s="89">
        <f t="shared" si="72"/>
        <v>5925.014720000001</v>
      </c>
      <c r="K157" s="89">
        <f t="shared" si="72"/>
        <v>12032.13429</v>
      </c>
      <c r="L157" s="89">
        <f>L158*L149</f>
        <v>0</v>
      </c>
      <c r="M157" s="89">
        <f>M158*M149</f>
        <v>0</v>
      </c>
      <c r="N157" s="89">
        <f>N158*N149</f>
        <v>0</v>
      </c>
      <c r="O157" s="89">
        <f>O158*O149</f>
        <v>0</v>
      </c>
      <c r="P157" s="89">
        <f t="shared" si="72"/>
        <v>10890.140000000001</v>
      </c>
      <c r="Q157" s="89"/>
      <c r="R157" s="89">
        <f>R158*R149</f>
        <v>12722.44</v>
      </c>
      <c r="S157" s="89">
        <f>S158*S149</f>
        <v>9200.92</v>
      </c>
      <c r="T157" s="89">
        <f>T158*T149</f>
        <v>12446.5</v>
      </c>
      <c r="U157" s="543">
        <f t="shared" si="72"/>
        <v>12446.5</v>
      </c>
      <c r="V157" s="89">
        <f t="shared" si="72"/>
        <v>12531.75</v>
      </c>
      <c r="W157" s="89">
        <f t="shared" ref="W157:AE157" si="73">W158*W149</f>
        <v>9452.1</v>
      </c>
      <c r="X157" s="89">
        <f t="shared" si="73"/>
        <v>9287.4599999999991</v>
      </c>
      <c r="Y157" s="133">
        <f t="shared" si="73"/>
        <v>6770.0199999999995</v>
      </c>
      <c r="Z157" s="543">
        <f t="shared" si="73"/>
        <v>6816.3899999999994</v>
      </c>
      <c r="AA157" s="133">
        <f t="shared" si="73"/>
        <v>6258.2</v>
      </c>
      <c r="AB157" s="133">
        <f t="shared" si="73"/>
        <v>5425.6799999999994</v>
      </c>
      <c r="AC157" s="133">
        <f t="shared" si="73"/>
        <v>0</v>
      </c>
      <c r="AD157" s="133">
        <f t="shared" si="73"/>
        <v>0</v>
      </c>
      <c r="AE157" s="136">
        <f t="shared" si="73"/>
        <v>0</v>
      </c>
    </row>
    <row r="158" spans="1:31">
      <c r="A158" s="159" t="s">
        <v>658</v>
      </c>
      <c r="B158" s="109"/>
      <c r="C158" s="89"/>
      <c r="D158" s="89"/>
      <c r="E158" s="105"/>
      <c r="F158" s="77">
        <v>46.33</v>
      </c>
      <c r="G158" s="89"/>
      <c r="H158" s="89"/>
      <c r="I158" s="183">
        <v>25.21</v>
      </c>
      <c r="J158" s="183">
        <v>41.92</v>
      </c>
      <c r="K158" s="183">
        <v>82.83</v>
      </c>
      <c r="L158" s="183">
        <v>87.14</v>
      </c>
      <c r="M158" s="183">
        <v>87.14</v>
      </c>
      <c r="N158" s="183">
        <v>63.02</v>
      </c>
      <c r="O158" s="183">
        <v>85.25</v>
      </c>
      <c r="P158" s="183">
        <v>74.59</v>
      </c>
      <c r="Q158" s="183"/>
      <c r="R158" s="183">
        <v>87.14</v>
      </c>
      <c r="S158" s="183">
        <v>63.02</v>
      </c>
      <c r="T158" s="183">
        <v>85.25</v>
      </c>
      <c r="U158" s="521">
        <v>85.25</v>
      </c>
      <c r="V158" s="133">
        <v>85.25</v>
      </c>
      <c r="W158" s="133">
        <v>64.3</v>
      </c>
      <c r="X158" s="133">
        <v>63.18</v>
      </c>
      <c r="Y158" s="133">
        <v>46.37</v>
      </c>
      <c r="Z158" s="521">
        <f>Y158</f>
        <v>46.37</v>
      </c>
      <c r="AA158" s="133">
        <v>43.16</v>
      </c>
      <c r="AB158" s="133">
        <v>38.479999999999997</v>
      </c>
    </row>
    <row r="159" spans="1:31">
      <c r="B159" s="109"/>
      <c r="C159" s="89"/>
      <c r="D159" s="89"/>
      <c r="E159" s="105"/>
      <c r="F159" s="77"/>
      <c r="G159" s="89"/>
      <c r="H159" s="89"/>
      <c r="I159" s="89"/>
      <c r="J159" s="89"/>
      <c r="K159" s="89"/>
      <c r="L159" s="89"/>
      <c r="M159" s="89"/>
      <c r="N159" s="89"/>
      <c r="O159" s="89"/>
      <c r="P159" s="89"/>
      <c r="Q159" s="89"/>
      <c r="R159" s="89"/>
      <c r="S159" s="89"/>
      <c r="T159" s="89"/>
      <c r="U159" s="520"/>
      <c r="Z159" s="520"/>
    </row>
    <row r="160" spans="1:31">
      <c r="A160" s="159" t="s">
        <v>661</v>
      </c>
      <c r="B160" s="109"/>
      <c r="C160" s="89"/>
      <c r="D160" s="89"/>
      <c r="E160" s="105"/>
      <c r="F160" s="459">
        <f t="shared" ref="F160:U160" si="74">F157+F106-F99</f>
        <v>18503.415461519995</v>
      </c>
      <c r="G160" s="89">
        <f t="shared" si="74"/>
        <v>0</v>
      </c>
      <c r="H160" s="89">
        <f t="shared" si="74"/>
        <v>0</v>
      </c>
      <c r="I160" s="89">
        <f t="shared" si="74"/>
        <v>3399.9509104900003</v>
      </c>
      <c r="J160" s="89">
        <f t="shared" si="74"/>
        <v>-480179.98528000002</v>
      </c>
      <c r="K160" s="89">
        <f t="shared" si="74"/>
        <v>11889.76629</v>
      </c>
      <c r="L160" s="89">
        <f>L157+L106-L99</f>
        <v>0</v>
      </c>
      <c r="M160" s="89">
        <f>M157+M106-M99</f>
        <v>0</v>
      </c>
      <c r="N160" s="89">
        <f>N157+N106-N99</f>
        <v>0</v>
      </c>
      <c r="O160" s="89">
        <f>O157+O106-O99</f>
        <v>0</v>
      </c>
      <c r="P160" s="89">
        <f t="shared" si="74"/>
        <v>10559.140000000001</v>
      </c>
      <c r="Q160" s="89"/>
      <c r="R160" s="89">
        <f>R157+R106-R99</f>
        <v>12299.44</v>
      </c>
      <c r="S160" s="89">
        <f>S157+S106-S99</f>
        <v>8802.92</v>
      </c>
      <c r="T160" s="89">
        <f>T157+T106-T99</f>
        <v>11986.5</v>
      </c>
      <c r="U160" s="543">
        <f t="shared" si="74"/>
        <v>11975.5</v>
      </c>
      <c r="V160" s="89">
        <f t="shared" ref="V160:AE160" si="75">V157+V106-V99</f>
        <v>11950.75</v>
      </c>
      <c r="W160" s="89">
        <f t="shared" si="75"/>
        <v>8691.1</v>
      </c>
      <c r="X160" s="89">
        <f t="shared" si="75"/>
        <v>8656.4599999999991</v>
      </c>
      <c r="Y160" s="638">
        <f t="shared" si="75"/>
        <v>6211.0199999999995</v>
      </c>
      <c r="Z160" s="543">
        <f t="shared" si="75"/>
        <v>6257.3899999999994</v>
      </c>
      <c r="AA160" s="89">
        <f t="shared" si="75"/>
        <v>5729.2</v>
      </c>
      <c r="AB160" s="89">
        <f t="shared" si="75"/>
        <v>4788.6799999999994</v>
      </c>
      <c r="AC160" s="89">
        <f t="shared" si="75"/>
        <v>0</v>
      </c>
      <c r="AD160" s="638">
        <f t="shared" si="75"/>
        <v>0</v>
      </c>
      <c r="AE160" s="543">
        <f t="shared" si="75"/>
        <v>0</v>
      </c>
    </row>
    <row r="161" spans="1:31">
      <c r="A161" s="159" t="s">
        <v>133</v>
      </c>
      <c r="B161" s="109"/>
      <c r="C161" s="89"/>
      <c r="D161" s="89"/>
      <c r="E161" s="128">
        <f>E108/E13</f>
        <v>1.5833638201354125</v>
      </c>
      <c r="F161" s="462">
        <f t="shared" ref="F161:U161" si="76">F160/F6</f>
        <v>10.425516650432154</v>
      </c>
      <c r="G161" s="89" t="e">
        <f t="shared" si="76"/>
        <v>#REF!</v>
      </c>
      <c r="H161" s="89" t="e">
        <f t="shared" si="76"/>
        <v>#REF!</v>
      </c>
      <c r="I161" s="129">
        <f t="shared" si="76"/>
        <v>5.3369147329071067</v>
      </c>
      <c r="J161" s="129">
        <f t="shared" si="76"/>
        <v>-629.33156655307994</v>
      </c>
      <c r="K161" s="129">
        <f t="shared" si="76"/>
        <v>12.58176326984127</v>
      </c>
      <c r="L161" s="129"/>
      <c r="M161" s="129"/>
      <c r="N161" s="129"/>
      <c r="O161" s="129"/>
      <c r="P161" s="129">
        <f t="shared" si="76"/>
        <v>8.4744301765650096</v>
      </c>
      <c r="Q161" s="129"/>
      <c r="R161" s="129"/>
      <c r="S161" s="129"/>
      <c r="T161" s="129"/>
      <c r="U161" s="536">
        <f t="shared" si="76"/>
        <v>8.0264745308310985</v>
      </c>
      <c r="V161" s="637">
        <f>V160/SUM(R6:T6,V6)</f>
        <v>8.0693787981093852</v>
      </c>
      <c r="W161" s="637">
        <f>W160/SUM(S6:T6,V6:W6)</f>
        <v>5.9244035446489436</v>
      </c>
      <c r="X161" s="637">
        <f>X160/SUM(T6:U6,W6:X6)</f>
        <v>3.3128434749330267</v>
      </c>
      <c r="Y161" s="638">
        <f>Y160/SUM(V6:Y6)</f>
        <v>4.1966351351351348</v>
      </c>
      <c r="Z161" s="657">
        <f>Z160/Z6</f>
        <v>4.2279662162162159</v>
      </c>
      <c r="AA161" s="637">
        <f>AA160/SUM(W6:Y6,AA6)</f>
        <v>3.8194666666666666</v>
      </c>
      <c r="AB161" s="637">
        <f>AB160/SUM(X6:Y6,AA6:AB6)</f>
        <v>3.1237312459230262</v>
      </c>
      <c r="AC161" s="637">
        <f>AC160/SUM(Y6,AA6:AC6)</f>
        <v>0</v>
      </c>
      <c r="AD161" s="638">
        <f>AD160/SUM(AA6:AD6)</f>
        <v>0</v>
      </c>
      <c r="AE161" s="657">
        <f>AE160/AE6</f>
        <v>0</v>
      </c>
    </row>
    <row r="162" spans="1:31">
      <c r="A162" s="159" t="s">
        <v>134</v>
      </c>
      <c r="B162" s="109"/>
      <c r="C162" s="89"/>
      <c r="D162" s="89"/>
      <c r="E162" s="128">
        <f>E108/E44</f>
        <v>9.2172810742808888</v>
      </c>
      <c r="F162" s="462">
        <f t="shared" ref="F162:U162" si="77">F160/F28</f>
        <v>23.973744476069545</v>
      </c>
      <c r="G162" s="89" t="e">
        <f t="shared" si="77"/>
        <v>#REF!</v>
      </c>
      <c r="H162" s="89" t="e">
        <f t="shared" si="77"/>
        <v>#REF!</v>
      </c>
      <c r="I162" s="129">
        <f t="shared" si="77"/>
        <v>12.465127972847629</v>
      </c>
      <c r="J162" s="129">
        <f t="shared" si="77"/>
        <v>-1620.423127189282</v>
      </c>
      <c r="K162" s="129">
        <f t="shared" si="77"/>
        <v>40.316182365646817</v>
      </c>
      <c r="L162" s="129"/>
      <c r="M162" s="129"/>
      <c r="N162" s="129"/>
      <c r="O162" s="129"/>
      <c r="P162" s="129">
        <f t="shared" si="77"/>
        <v>32.79236024844721</v>
      </c>
      <c r="Q162" s="129"/>
      <c r="R162" s="129"/>
      <c r="S162" s="129"/>
      <c r="T162" s="129"/>
      <c r="U162" s="536">
        <f t="shared" si="77"/>
        <v>51.618534482758619</v>
      </c>
      <c r="V162" s="637">
        <f>V160/SUM(R28:T28,V28)</f>
        <v>64.949728260869563</v>
      </c>
      <c r="W162" s="637">
        <f>W160/SUM(S28:T28,V28:W28)</f>
        <v>56.804575163398695</v>
      </c>
      <c r="X162" s="637">
        <f>X160/SUM(T28:U28,W28:X28)</f>
        <v>26.967165109034266</v>
      </c>
      <c r="Y162" s="638">
        <f>Y160/SUM(V28:Y28)</f>
        <v>37.415783132530116</v>
      </c>
      <c r="Z162" s="657">
        <f>Z160/Z28</f>
        <v>37.695120481927709</v>
      </c>
      <c r="AA162" s="637">
        <f>AA160/SUM(W28:Y28,AA28)</f>
        <v>33.701176470588237</v>
      </c>
      <c r="AB162" s="637">
        <f>AB160/SUM(X28:Y28,AA28:AB28)</f>
        <v>24.432040816326527</v>
      </c>
      <c r="AC162" s="637">
        <f>AC160/SUM(Y28,AA28:AC28)</f>
        <v>0</v>
      </c>
      <c r="AD162" s="638">
        <f>AD160/SUM(AA28:AD28)</f>
        <v>0</v>
      </c>
      <c r="AE162" s="657">
        <f>AE160/AE28</f>
        <v>0</v>
      </c>
    </row>
    <row r="163" spans="1:31">
      <c r="A163" s="159" t="s">
        <v>135</v>
      </c>
      <c r="B163" s="109"/>
      <c r="C163" s="89"/>
      <c r="D163" s="89"/>
      <c r="E163" s="128"/>
      <c r="F163" s="462">
        <f t="shared" ref="F163:U163" si="78">F157/F6</f>
        <v>10.310139879830066</v>
      </c>
      <c r="G163" s="89" t="e">
        <f t="shared" si="78"/>
        <v>#REF!</v>
      </c>
      <c r="H163" s="89" t="e">
        <f t="shared" si="78"/>
        <v>#REF!</v>
      </c>
      <c r="I163" s="129">
        <f t="shared" si="78"/>
        <v>5.3369147329071067</v>
      </c>
      <c r="J163" s="129">
        <f t="shared" si="78"/>
        <v>7.7654190301441695</v>
      </c>
      <c r="K163" s="129">
        <f t="shared" si="78"/>
        <v>12.732417238095238</v>
      </c>
      <c r="L163" s="129"/>
      <c r="M163" s="129"/>
      <c r="N163" s="129"/>
      <c r="O163" s="129"/>
      <c r="P163" s="129">
        <f t="shared" si="78"/>
        <v>8.7400802568218303</v>
      </c>
      <c r="Q163" s="129"/>
      <c r="R163" s="129"/>
      <c r="S163" s="129"/>
      <c r="T163" s="129"/>
      <c r="U163" s="536">
        <f t="shared" si="78"/>
        <v>8.3421581769437001</v>
      </c>
      <c r="V163" s="637">
        <f>V157/SUM(R6:T6,V6)</f>
        <v>8.4616812964213377</v>
      </c>
      <c r="W163" s="637">
        <f>W157/SUM(S6:T6,V6:W6)</f>
        <v>6.4431492842535789</v>
      </c>
      <c r="X163" s="637">
        <f>X157/SUM(T6:U6,W6:X6)</f>
        <v>3.5543283582089549</v>
      </c>
      <c r="Y163" s="638">
        <f>Y157/SUM(V6:Y6)</f>
        <v>4.5743378378378372</v>
      </c>
      <c r="Z163" s="657">
        <f>Z157/Z6</f>
        <v>4.6056689189189184</v>
      </c>
      <c r="AA163" s="637">
        <f>AA157/SUM(W6:Y6,AA6)</f>
        <v>4.172133333333333</v>
      </c>
      <c r="AB163" s="637">
        <f>AB157/SUM(X6:Y6,AA6:AB6)</f>
        <v>3.5392563600782774</v>
      </c>
      <c r="AC163" s="637">
        <f>AC157/SUM(Y6,AA6:AC6)</f>
        <v>0</v>
      </c>
      <c r="AD163" s="638">
        <f>AD157/SUM(AA6:AD6)</f>
        <v>0</v>
      </c>
      <c r="AE163" s="657">
        <f>AE157/AE6</f>
        <v>0</v>
      </c>
    </row>
    <row r="164" spans="1:31">
      <c r="A164" s="159" t="s">
        <v>136</v>
      </c>
      <c r="B164" s="109"/>
      <c r="C164" s="89"/>
      <c r="D164" s="89"/>
      <c r="E164" s="128"/>
      <c r="F164" s="462">
        <f t="shared" ref="F164:U164" si="79">F157/F28</f>
        <v>23.708432615791246</v>
      </c>
      <c r="G164" s="89" t="e">
        <f t="shared" si="79"/>
        <v>#REF!</v>
      </c>
      <c r="H164" s="89" t="e">
        <f t="shared" si="79"/>
        <v>#REF!</v>
      </c>
      <c r="I164" s="129">
        <f t="shared" si="79"/>
        <v>12.465127972847629</v>
      </c>
      <c r="J164" s="129">
        <f t="shared" si="79"/>
        <v>19.99465028852968</v>
      </c>
      <c r="K164" s="129">
        <f t="shared" si="79"/>
        <v>40.798928124565549</v>
      </c>
      <c r="L164" s="129"/>
      <c r="M164" s="129"/>
      <c r="N164" s="129"/>
      <c r="O164" s="129"/>
      <c r="P164" s="129">
        <f t="shared" si="79"/>
        <v>33.820310559006217</v>
      </c>
      <c r="Q164" s="129"/>
      <c r="R164" s="129"/>
      <c r="S164" s="129"/>
      <c r="T164" s="129"/>
      <c r="U164" s="536">
        <f t="shared" si="79"/>
        <v>53.648706896551722</v>
      </c>
      <c r="V164" s="637">
        <f>V157/SUM(R28:T28,V28)</f>
        <v>68.107336956521735</v>
      </c>
      <c r="W164" s="637">
        <f>W157/SUM(S28:T28,V28:W28)</f>
        <v>61.778431372549022</v>
      </c>
      <c r="X164" s="637">
        <f>X157/SUM(T28:U28,W28:X28)</f>
        <v>28.932897196261681</v>
      </c>
      <c r="Y164" s="638">
        <f>Y157/SUM(V28:Y28)</f>
        <v>40.783253012048192</v>
      </c>
      <c r="Z164" s="657">
        <f>Z157/Z28</f>
        <v>41.062590361445778</v>
      </c>
      <c r="AA164" s="637">
        <f>AA157/SUM(W28:Y28,AA28)</f>
        <v>36.812941176470588</v>
      </c>
      <c r="AB164" s="637">
        <f>AB157/SUM(X28:Y28,AA28:AB28)</f>
        <v>27.682040816326527</v>
      </c>
      <c r="AC164" s="637">
        <f>AC157/SUM(Y28,AA28:AC28)</f>
        <v>0</v>
      </c>
      <c r="AD164" s="638">
        <f>AD157/SUM(AA28:AD28)</f>
        <v>0</v>
      </c>
      <c r="AE164" s="657">
        <f>AE157/AE28</f>
        <v>0</v>
      </c>
    </row>
    <row r="165" spans="1:31" ht="18" customHeight="1">
      <c r="B165" s="109"/>
      <c r="C165" s="89"/>
      <c r="D165" s="89"/>
      <c r="E165" s="105"/>
      <c r="F165" s="77"/>
      <c r="G165" s="89"/>
      <c r="H165" s="89"/>
      <c r="I165" s="89"/>
      <c r="J165" s="89"/>
      <c r="K165" s="89"/>
      <c r="L165" s="89"/>
      <c r="M165" s="89"/>
      <c r="N165" s="89"/>
      <c r="O165" s="89"/>
      <c r="P165" s="89"/>
      <c r="Q165" s="89"/>
      <c r="R165" s="89"/>
      <c r="S165" s="89"/>
      <c r="T165" s="89"/>
      <c r="U165" s="520"/>
      <c r="Z165" s="520"/>
    </row>
    <row r="166" spans="1:31" s="192" customFormat="1" hidden="1">
      <c r="A166" s="184" t="s">
        <v>137</v>
      </c>
      <c r="B166" s="185"/>
      <c r="C166" s="186"/>
      <c r="D166" s="186"/>
      <c r="E166" s="187"/>
      <c r="F166" s="463"/>
      <c r="G166" s="189"/>
      <c r="H166" s="189"/>
      <c r="I166" s="186"/>
      <c r="J166" s="186">
        <v>36.853999999999999</v>
      </c>
      <c r="K166" s="186"/>
      <c r="L166" s="186"/>
      <c r="M166" s="186"/>
      <c r="N166" s="186"/>
      <c r="O166" s="186"/>
      <c r="P166" s="186"/>
      <c r="Q166" s="186"/>
      <c r="R166" s="186"/>
      <c r="S166" s="186"/>
      <c r="T166" s="186"/>
      <c r="U166" s="537"/>
      <c r="Z166" s="537"/>
      <c r="AE166" s="193"/>
    </row>
    <row r="167" spans="1:31" hidden="1">
      <c r="A167" s="159" t="s">
        <v>138</v>
      </c>
      <c r="B167" s="109" t="s">
        <v>20</v>
      </c>
      <c r="C167" s="89" t="s">
        <v>20</v>
      </c>
      <c r="D167" s="89">
        <v>22.7</v>
      </c>
      <c r="E167" s="155"/>
      <c r="F167" s="456"/>
      <c r="G167" s="89" t="s">
        <v>20</v>
      </c>
      <c r="H167" s="89" t="s">
        <v>20</v>
      </c>
      <c r="I167" s="89">
        <v>23</v>
      </c>
      <c r="J167" s="89">
        <v>15.51</v>
      </c>
      <c r="K167" s="89"/>
      <c r="L167" s="89"/>
      <c r="M167" s="89"/>
      <c r="N167" s="89"/>
      <c r="O167" s="89"/>
      <c r="P167" s="89"/>
      <c r="Q167" s="89"/>
      <c r="R167" s="89"/>
      <c r="S167" s="89"/>
      <c r="T167" s="89"/>
      <c r="U167" s="521"/>
      <c r="Z167" s="521"/>
    </row>
    <row r="168" spans="1:31" hidden="1">
      <c r="A168" s="159" t="s">
        <v>11</v>
      </c>
      <c r="B168" s="109" t="s">
        <v>20</v>
      </c>
      <c r="C168" s="89" t="s">
        <v>20</v>
      </c>
      <c r="D168" s="89">
        <v>50.57</v>
      </c>
      <c r="E168" s="155"/>
      <c r="F168" s="456"/>
      <c r="G168" s="89" t="s">
        <v>20</v>
      </c>
      <c r="H168" s="89" t="s">
        <v>20</v>
      </c>
      <c r="I168" s="89">
        <v>34.22</v>
      </c>
      <c r="J168" s="89">
        <v>33.9</v>
      </c>
      <c r="K168" s="89"/>
      <c r="L168" s="89"/>
      <c r="M168" s="89"/>
      <c r="N168" s="89"/>
      <c r="O168" s="89"/>
      <c r="P168" s="89"/>
      <c r="Q168" s="89"/>
      <c r="R168" s="89"/>
      <c r="S168" s="89"/>
      <c r="T168" s="89"/>
      <c r="U168" s="521"/>
      <c r="Z168" s="521"/>
    </row>
    <row r="169" spans="1:31" hidden="1">
      <c r="A169" s="159" t="s">
        <v>139</v>
      </c>
      <c r="B169" s="109" t="s">
        <v>20</v>
      </c>
      <c r="C169" s="89" t="s">
        <v>20</v>
      </c>
      <c r="D169" s="89">
        <v>22.02</v>
      </c>
      <c r="E169" s="155"/>
      <c r="F169" s="456"/>
      <c r="G169" s="89" t="s">
        <v>20</v>
      </c>
      <c r="H169" s="89" t="s">
        <v>20</v>
      </c>
      <c r="I169" s="89" t="s">
        <v>270</v>
      </c>
      <c r="J169" s="89">
        <v>12.26</v>
      </c>
      <c r="K169" s="89"/>
      <c r="L169" s="89"/>
      <c r="M169" s="89"/>
      <c r="N169" s="89"/>
      <c r="O169" s="89"/>
      <c r="P169" s="89"/>
      <c r="Q169" s="89"/>
      <c r="R169" s="89"/>
      <c r="S169" s="89"/>
      <c r="T169" s="89"/>
      <c r="U169" s="521"/>
      <c r="Z169" s="521"/>
    </row>
  </sheetData>
  <phoneticPr fontId="11" type="noConversion"/>
  <pageMargins left="0.55118110236220474" right="0.55118110236220474" top="0.39370078740157483" bottom="0.98425196850393704" header="0.31496062992125984" footer="0.51181102362204722"/>
  <pageSetup paperSize="9" scale="30" orientation="landscape" cellComments="asDisplayed" r:id="rId1"/>
  <headerFooter alignWithMargins="0">
    <oddHeader>&amp;R第 &amp;P 页，共 &amp;N 页</oddHeader>
  </headerFooter>
  <rowBreaks count="3" manualBreakCount="3">
    <brk id="64" max="16383" man="1"/>
    <brk id="89" max="41" man="1"/>
    <brk id="121" max="41" man="1"/>
  </rowBreaks>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2:N12"/>
  <sheetViews>
    <sheetView workbookViewId="0"/>
  </sheetViews>
  <sheetFormatPr defaultColWidth="9" defaultRowHeight="14"/>
  <cols>
    <col min="1" max="1" width="9" style="679"/>
    <col min="2" max="2" width="29.58203125" style="679" customWidth="1"/>
    <col min="3" max="16384" width="9" style="679"/>
  </cols>
  <sheetData>
    <row r="2" spans="2:14">
      <c r="B2" s="677" t="s">
        <v>788</v>
      </c>
      <c r="C2" s="678" t="s">
        <v>789</v>
      </c>
      <c r="D2" s="678" t="s">
        <v>790</v>
      </c>
      <c r="E2" s="678" t="s">
        <v>791</v>
      </c>
      <c r="F2" s="678" t="s">
        <v>792</v>
      </c>
      <c r="G2" s="678" t="s">
        <v>793</v>
      </c>
      <c r="H2" s="678" t="s">
        <v>794</v>
      </c>
      <c r="I2" s="678" t="s">
        <v>795</v>
      </c>
      <c r="J2" s="678" t="s">
        <v>796</v>
      </c>
      <c r="K2" s="678" t="s">
        <v>803</v>
      </c>
      <c r="L2" s="678" t="s">
        <v>804</v>
      </c>
      <c r="M2" s="678" t="s">
        <v>805</v>
      </c>
      <c r="N2" s="678" t="s">
        <v>806</v>
      </c>
    </row>
    <row r="3" spans="2:14" ht="15">
      <c r="B3" s="679" t="s">
        <v>797</v>
      </c>
      <c r="C3" s="680">
        <v>0.22330055925120615</v>
      </c>
      <c r="D3" s="680">
        <v>0.19475438457341132</v>
      </c>
      <c r="E3" s="680">
        <v>0.16985072008718541</v>
      </c>
      <c r="F3" s="680">
        <v>0.23607623140147591</v>
      </c>
      <c r="G3" s="680">
        <v>0.32085660452103298</v>
      </c>
      <c r="H3" s="680">
        <v>0.27317285944873232</v>
      </c>
      <c r="I3" s="680">
        <v>0.23280455650959594</v>
      </c>
      <c r="J3" s="680">
        <v>0.32061715650549277</v>
      </c>
      <c r="K3" s="680" t="e">
        <f>#REF!/#REF!</f>
        <v>#REF!</v>
      </c>
      <c r="L3" s="680" t="e">
        <f>#REF!/#REF!</f>
        <v>#REF!</v>
      </c>
      <c r="M3" s="680" t="e">
        <f>#REF!/#REF!</f>
        <v>#REF!</v>
      </c>
      <c r="N3" s="680" t="e">
        <f>#REF!/#REF!</f>
        <v>#REF!</v>
      </c>
    </row>
    <row r="4" spans="2:14" ht="15">
      <c r="B4" s="679" t="s">
        <v>798</v>
      </c>
      <c r="C4" s="680">
        <v>0.27188877942794398</v>
      </c>
      <c r="D4" s="680">
        <v>0.24515976181883797</v>
      </c>
      <c r="E4" s="680">
        <v>0.25833941167940394</v>
      </c>
      <c r="F4" s="680">
        <v>0.26120703863904104</v>
      </c>
      <c r="G4" s="680">
        <v>0.34031887732994531</v>
      </c>
      <c r="H4" s="680">
        <v>0.30227683482029205</v>
      </c>
      <c r="I4" s="680">
        <v>0.32374311336527301</v>
      </c>
      <c r="J4" s="680">
        <v>0.34870539464882944</v>
      </c>
      <c r="K4" s="680" t="e">
        <f>#REF!/#REF!</f>
        <v>#REF!</v>
      </c>
      <c r="L4" s="680" t="e">
        <f>#REF!/#REF!</f>
        <v>#REF!</v>
      </c>
      <c r="M4" s="680" t="e">
        <f>#REF!/#REF!</f>
        <v>#REF!</v>
      </c>
      <c r="N4" s="680" t="e">
        <f>#REF!/#REF!</f>
        <v>#REF!</v>
      </c>
    </row>
    <row r="5" spans="2:14" ht="15">
      <c r="C5" s="680"/>
      <c r="D5" s="680"/>
      <c r="E5" s="680"/>
      <c r="F5" s="680"/>
      <c r="G5" s="680"/>
      <c r="H5" s="680"/>
      <c r="I5" s="680"/>
      <c r="J5" s="680"/>
    </row>
    <row r="6" spans="2:14">
      <c r="B6" s="677" t="s">
        <v>799</v>
      </c>
      <c r="C6" s="678" t="s">
        <v>789</v>
      </c>
      <c r="D6" s="678" t="s">
        <v>790</v>
      </c>
      <c r="E6" s="678" t="s">
        <v>791</v>
      </c>
      <c r="F6" s="678" t="s">
        <v>792</v>
      </c>
      <c r="G6" s="678" t="s">
        <v>793</v>
      </c>
      <c r="H6" s="678" t="s">
        <v>794</v>
      </c>
      <c r="I6" s="678" t="s">
        <v>795</v>
      </c>
      <c r="J6" s="678" t="s">
        <v>796</v>
      </c>
      <c r="K6" s="678" t="s">
        <v>803</v>
      </c>
      <c r="L6" s="678" t="s">
        <v>804</v>
      </c>
      <c r="M6" s="678" t="s">
        <v>805</v>
      </c>
      <c r="N6" s="678" t="s">
        <v>806</v>
      </c>
    </row>
    <row r="7" spans="2:14">
      <c r="B7" s="681" t="s">
        <v>800</v>
      </c>
      <c r="C7" s="682">
        <v>0.30081108408143348</v>
      </c>
      <c r="D7" s="682">
        <v>0.26785626779224675</v>
      </c>
      <c r="E7" s="682">
        <v>0.35488394391849842</v>
      </c>
      <c r="F7" s="682">
        <v>0.28894127327958163</v>
      </c>
      <c r="G7" s="682">
        <v>0.30319101735621085</v>
      </c>
      <c r="H7" s="682">
        <v>0.28305019635215478</v>
      </c>
      <c r="I7" s="682">
        <v>6.722357896754666E-2</v>
      </c>
      <c r="J7" s="682">
        <v>0.2234480045124653</v>
      </c>
      <c r="K7" s="682" t="e">
        <f>#REF!-#REF!</f>
        <v>#REF!</v>
      </c>
      <c r="L7" s="682" t="e">
        <f>#REF!-#REF!</f>
        <v>#REF!</v>
      </c>
      <c r="M7" s="682" t="e">
        <f>#REF!-#REF!</f>
        <v>#REF!</v>
      </c>
      <c r="N7" s="682" t="e">
        <f>#REF!-#REF!</f>
        <v>#REF!</v>
      </c>
    </row>
    <row r="8" spans="2:14" ht="15">
      <c r="B8" s="681" t="s">
        <v>801</v>
      </c>
      <c r="C8" s="680">
        <v>-9.9311612010219933E-3</v>
      </c>
      <c r="D8" s="680">
        <v>-5.8552869000360885E-3</v>
      </c>
      <c r="E8" s="680">
        <v>4.089065531055816E-2</v>
      </c>
      <c r="F8" s="680">
        <v>-5.7722931741874185E-2</v>
      </c>
      <c r="G8" s="680">
        <v>-2.7415436555685749E-2</v>
      </c>
      <c r="H8" s="680">
        <v>1.6422824403459393E-2</v>
      </c>
      <c r="I8" s="680">
        <v>-1.1681135105709062E-2</v>
      </c>
      <c r="J8" s="680">
        <v>-9.0339225991399902E-2</v>
      </c>
      <c r="K8" s="680" t="e">
        <f>#REF!-#REF!</f>
        <v>#REF!</v>
      </c>
      <c r="L8" s="680" t="e">
        <f>#REF!-#REF!</f>
        <v>#REF!</v>
      </c>
      <c r="M8" s="680" t="e">
        <f>#REF!-#REF!</f>
        <v>#REF!</v>
      </c>
      <c r="N8" s="680" t="e">
        <f>#REF!-#REF!</f>
        <v>#REF!</v>
      </c>
    </row>
    <row r="9" spans="2:14" ht="15">
      <c r="C9" s="680"/>
      <c r="D9" s="680"/>
      <c r="E9" s="680"/>
      <c r="F9" s="680"/>
      <c r="G9" s="680"/>
      <c r="H9" s="680"/>
      <c r="I9" s="680"/>
      <c r="J9" s="680"/>
    </row>
    <row r="10" spans="2:14">
      <c r="B10" s="677" t="s">
        <v>802</v>
      </c>
      <c r="C10" s="678" t="s">
        <v>789</v>
      </c>
      <c r="D10" s="678" t="s">
        <v>790</v>
      </c>
      <c r="E10" s="678" t="s">
        <v>791</v>
      </c>
      <c r="F10" s="678" t="s">
        <v>792</v>
      </c>
      <c r="G10" s="678" t="s">
        <v>793</v>
      </c>
      <c r="H10" s="678" t="s">
        <v>794</v>
      </c>
      <c r="I10" s="678" t="s">
        <v>795</v>
      </c>
      <c r="J10" s="678" t="s">
        <v>796</v>
      </c>
      <c r="K10" s="678" t="s">
        <v>803</v>
      </c>
      <c r="L10" s="678" t="s">
        <v>804</v>
      </c>
      <c r="M10" s="678" t="s">
        <v>805</v>
      </c>
      <c r="N10" s="678" t="s">
        <v>806</v>
      </c>
    </row>
    <row r="11" spans="2:14" ht="15">
      <c r="B11" s="679" t="s">
        <v>797</v>
      </c>
      <c r="C11" s="680">
        <v>0.19565965583173997</v>
      </c>
      <c r="D11" s="680">
        <v>0.20997347480106102</v>
      </c>
      <c r="E11" s="680">
        <v>0.26077854671280276</v>
      </c>
      <c r="F11" s="680">
        <v>0.26884964682139256</v>
      </c>
      <c r="G11" s="680">
        <v>0.29191208791208789</v>
      </c>
      <c r="H11" s="680">
        <v>0.31513859275053308</v>
      </c>
      <c r="I11" s="680">
        <v>0.36155080213903745</v>
      </c>
      <c r="J11" s="680">
        <v>0.37309946029298385</v>
      </c>
      <c r="K11" s="682" t="e">
        <f>#REF!/#REF!</f>
        <v>#REF!</v>
      </c>
      <c r="L11" s="682" t="e">
        <f>#REF!/#REF!</f>
        <v>#REF!</v>
      </c>
      <c r="M11" s="682" t="e">
        <f>#REF!/#REF!</f>
        <v>#REF!</v>
      </c>
      <c r="N11" s="682" t="e">
        <f>#REF!/#REF!</f>
        <v>#REF!</v>
      </c>
    </row>
    <row r="12" spans="2:14" ht="15">
      <c r="B12" s="679" t="s">
        <v>798</v>
      </c>
      <c r="C12" s="680">
        <v>0.42995798319327733</v>
      </c>
      <c r="D12" s="680">
        <v>0.41390849673202618</v>
      </c>
      <c r="E12" s="680">
        <v>0.49017886178861791</v>
      </c>
      <c r="F12" s="680">
        <v>0.50460227272727276</v>
      </c>
      <c r="G12" s="680">
        <v>0.75752851711026603</v>
      </c>
      <c r="H12" s="680">
        <v>0.72807881773399019</v>
      </c>
      <c r="I12" s="680">
        <v>0.75122222222222224</v>
      </c>
      <c r="J12" s="680">
        <v>0.79985123966942151</v>
      </c>
      <c r="K12" s="680" t="e">
        <f>#REF!/#REF!</f>
        <v>#REF!</v>
      </c>
      <c r="L12" s="680" t="e">
        <f>#REF!/#REF!</f>
        <v>#REF!</v>
      </c>
      <c r="M12" s="680" t="e">
        <f>#REF!/#REF!</f>
        <v>#REF!</v>
      </c>
      <c r="N12" s="680" t="e">
        <f>#REF!/#REF!</f>
        <v>#REF!</v>
      </c>
    </row>
  </sheetData>
  <phoneticPr fontId="11"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7"/>
  <sheetViews>
    <sheetView workbookViewId="0"/>
  </sheetViews>
  <sheetFormatPr defaultColWidth="9" defaultRowHeight="12.5"/>
  <cols>
    <col min="1" max="1" width="30.5" style="640" customWidth="1"/>
    <col min="2" max="3" width="9.33203125" style="640" customWidth="1"/>
    <col min="4" max="16384" width="9" style="640"/>
  </cols>
  <sheetData>
    <row r="1" spans="1:3">
      <c r="A1" s="669"/>
      <c r="B1" s="670">
        <v>2015</v>
      </c>
      <c r="C1" s="670">
        <v>2016</v>
      </c>
    </row>
    <row r="2" spans="1:3" ht="13">
      <c r="A2" s="671" t="s">
        <v>758</v>
      </c>
      <c r="B2" s="672"/>
      <c r="C2" s="672"/>
    </row>
    <row r="3" spans="1:3">
      <c r="A3" s="646" t="s">
        <v>750</v>
      </c>
      <c r="B3" s="673" t="e">
        <f>#REF!</f>
        <v>#REF!</v>
      </c>
      <c r="C3" s="673" t="e">
        <f>#REF!</f>
        <v>#REF!</v>
      </c>
    </row>
    <row r="4" spans="1:3" s="676" customFormat="1" ht="25">
      <c r="A4" s="674" t="s">
        <v>754</v>
      </c>
      <c r="B4" s="675" t="e">
        <f>#REF!</f>
        <v>#REF!</v>
      </c>
      <c r="C4" s="675" t="e">
        <f>#REF!</f>
        <v>#REF!</v>
      </c>
    </row>
    <row r="5" spans="1:3" s="676" customFormat="1" ht="25">
      <c r="A5" s="674" t="s">
        <v>751</v>
      </c>
      <c r="B5" s="675" t="e">
        <f>#REF!</f>
        <v>#REF!</v>
      </c>
      <c r="C5" s="675" t="e">
        <f>#REF!</f>
        <v>#REF!</v>
      </c>
    </row>
    <row r="7" spans="1:3" ht="13">
      <c r="A7" s="671" t="s">
        <v>781</v>
      </c>
    </row>
    <row r="8" spans="1:3">
      <c r="A8" s="644" t="s">
        <v>752</v>
      </c>
      <c r="B8" s="673" t="e">
        <f>#REF!</f>
        <v>#REF!</v>
      </c>
      <c r="C8" s="673" t="e">
        <f>#REF!</f>
        <v>#REF!</v>
      </c>
    </row>
    <row r="9" spans="1:3" s="676" customFormat="1" ht="25">
      <c r="A9" s="674" t="s">
        <v>784</v>
      </c>
      <c r="B9" s="675" t="e">
        <f>#REF!</f>
        <v>#REF!</v>
      </c>
      <c r="C9" s="675" t="e">
        <f>#REF!</f>
        <v>#REF!</v>
      </c>
    </row>
    <row r="10" spans="1:3" s="676" customFormat="1" ht="25">
      <c r="A10" s="674" t="s">
        <v>753</v>
      </c>
      <c r="B10" s="675" t="e">
        <f>#REF!</f>
        <v>#REF!</v>
      </c>
      <c r="C10" s="675" t="e">
        <f>#REF!</f>
        <v>#REF!</v>
      </c>
    </row>
    <row r="12" spans="1:3" ht="13">
      <c r="A12" s="671" t="s">
        <v>782</v>
      </c>
    </row>
    <row r="13" spans="1:3">
      <c r="A13" s="644" t="s">
        <v>783</v>
      </c>
      <c r="B13" s="673" t="e">
        <f>#REF!</f>
        <v>#REF!</v>
      </c>
      <c r="C13" s="673">
        <f>430000/6.943</f>
        <v>61932.88203946421</v>
      </c>
    </row>
    <row r="14" spans="1:3" s="676" customFormat="1" ht="25">
      <c r="A14" s="674" t="s">
        <v>785</v>
      </c>
    </row>
    <row r="16" spans="1:3">
      <c r="A16" s="640" t="s">
        <v>786</v>
      </c>
      <c r="B16" s="676" t="e">
        <f>B13/B3</f>
        <v>#REF!</v>
      </c>
      <c r="C16" s="676" t="e">
        <f>C13/C3</f>
        <v>#REF!</v>
      </c>
    </row>
    <row r="17" spans="1:3">
      <c r="A17" s="640" t="s">
        <v>787</v>
      </c>
      <c r="B17" s="676" t="e">
        <f>B13/B8</f>
        <v>#REF!</v>
      </c>
      <c r="C17" s="676" t="e">
        <f>C13/C8</f>
        <v>#REF!</v>
      </c>
    </row>
  </sheetData>
  <phoneticPr fontId="11"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1:X45"/>
  <sheetViews>
    <sheetView workbookViewId="0"/>
  </sheetViews>
  <sheetFormatPr defaultColWidth="9" defaultRowHeight="14"/>
  <cols>
    <col min="1" max="6" width="9" style="573"/>
    <col min="7" max="7" width="14.58203125" style="573" customWidth="1"/>
    <col min="8" max="9" width="14.33203125" style="573" customWidth="1"/>
    <col min="10" max="10" width="0.75" style="575" customWidth="1"/>
    <col min="11" max="11" width="14.33203125" style="573" customWidth="1"/>
    <col min="12" max="12" width="0.75" style="575" customWidth="1"/>
    <col min="13" max="13" width="13.33203125" style="573" customWidth="1"/>
    <col min="14" max="14" width="1" style="573" customWidth="1"/>
    <col min="15" max="17" width="9" style="573"/>
    <col min="18" max="18" width="9.5" style="573" bestFit="1" customWidth="1"/>
    <col min="19" max="16384" width="9" style="573"/>
  </cols>
  <sheetData>
    <row r="1" spans="2:18" ht="14.5" thickBot="1">
      <c r="F1" s="574" t="s">
        <v>704</v>
      </c>
    </row>
    <row r="2" spans="2:18">
      <c r="F2" s="576"/>
      <c r="G2" s="577"/>
      <c r="H2" s="578" t="s">
        <v>705</v>
      </c>
      <c r="I2" s="579"/>
      <c r="J2" s="580"/>
      <c r="K2" s="581" t="s">
        <v>706</v>
      </c>
      <c r="L2" s="582"/>
      <c r="M2" s="583" t="s">
        <v>707</v>
      </c>
    </row>
    <row r="3" spans="2:18">
      <c r="F3" s="584"/>
      <c r="G3" s="585"/>
      <c r="H3" s="586" t="s">
        <v>708</v>
      </c>
      <c r="I3" s="586" t="s">
        <v>709</v>
      </c>
      <c r="J3" s="587"/>
      <c r="K3" s="585"/>
      <c r="L3" s="587"/>
      <c r="M3" s="588"/>
    </row>
    <row r="4" spans="2:18">
      <c r="B4" s="573" t="s">
        <v>710</v>
      </c>
      <c r="F4" s="589" t="s">
        <v>710</v>
      </c>
      <c r="G4" s="590"/>
      <c r="H4" s="591">
        <v>1200</v>
      </c>
      <c r="I4" s="591">
        <v>1400</v>
      </c>
      <c r="J4" s="592"/>
      <c r="K4" s="593">
        <f>$H$32*K5</f>
        <v>391.3202</v>
      </c>
      <c r="L4" s="594"/>
      <c r="M4" s="595">
        <f>$H$32*M5</f>
        <v>430.7296</v>
      </c>
    </row>
    <row r="5" spans="2:18">
      <c r="F5" s="596" t="s">
        <v>711</v>
      </c>
      <c r="G5" s="590"/>
      <c r="H5" s="590"/>
      <c r="I5" s="590"/>
      <c r="J5" s="594"/>
      <c r="K5" s="597">
        <f>16.653+12.015+14.778+14.96</f>
        <v>58.405999999999999</v>
      </c>
      <c r="L5" s="594"/>
      <c r="M5" s="598">
        <f>18.882+14.95+15.393+15.063</f>
        <v>64.287999999999997</v>
      </c>
    </row>
    <row r="6" spans="2:18">
      <c r="F6" s="589"/>
      <c r="G6" s="590"/>
      <c r="H6" s="590"/>
      <c r="I6" s="590"/>
      <c r="J6" s="594"/>
      <c r="K6" s="599"/>
      <c r="L6" s="594"/>
      <c r="M6" s="600"/>
    </row>
    <row r="7" spans="2:18">
      <c r="F7" s="601" t="s">
        <v>712</v>
      </c>
      <c r="G7" s="602"/>
      <c r="H7" s="602"/>
      <c r="I7" s="602"/>
      <c r="J7" s="602"/>
      <c r="K7" s="603">
        <f>K4*(1+K29)^5</f>
        <v>753.76686656071581</v>
      </c>
      <c r="L7" s="603"/>
      <c r="M7" s="604">
        <f>M4*(1+M29)^5</f>
        <v>888.55118164055068</v>
      </c>
    </row>
    <row r="8" spans="2:18">
      <c r="F8" s="589"/>
      <c r="G8" s="590"/>
      <c r="H8" s="590"/>
      <c r="I8" s="590"/>
      <c r="J8" s="594"/>
      <c r="K8" s="599"/>
      <c r="L8" s="594"/>
      <c r="M8" s="600"/>
    </row>
    <row r="9" spans="2:18">
      <c r="F9" s="589" t="s">
        <v>713</v>
      </c>
      <c r="G9" s="590"/>
      <c r="H9" s="590">
        <f>H4*H11</f>
        <v>60</v>
      </c>
      <c r="I9" s="590">
        <f>I4*I11</f>
        <v>84</v>
      </c>
      <c r="J9" s="594"/>
      <c r="K9" s="593">
        <f>$H$32*K10</f>
        <v>63.860379999999999</v>
      </c>
      <c r="L9" s="594"/>
      <c r="M9" s="595">
        <f>$H$32*M10</f>
        <v>48.206499999999998</v>
      </c>
    </row>
    <row r="10" spans="2:18">
      <c r="F10" s="596" t="s">
        <v>714</v>
      </c>
      <c r="G10" s="590"/>
      <c r="H10" s="590"/>
      <c r="I10" s="590"/>
      <c r="J10" s="594"/>
      <c r="K10" s="597">
        <f>2.1481+2+3.1029+2.2804</f>
        <v>9.5313999999999997</v>
      </c>
      <c r="L10" s="594"/>
      <c r="M10" s="598">
        <f>1.904+1.699+1.938+1.654</f>
        <v>7.1949999999999994</v>
      </c>
    </row>
    <row r="11" spans="2:18" ht="15">
      <c r="F11" s="589" t="s">
        <v>715</v>
      </c>
      <c r="G11" s="590"/>
      <c r="H11" s="605">
        <v>0.05</v>
      </c>
      <c r="I11" s="605">
        <v>0.06</v>
      </c>
      <c r="J11" s="594"/>
      <c r="K11" s="606">
        <f>K10/K5</f>
        <v>0.16319213779406225</v>
      </c>
      <c r="L11" s="594"/>
      <c r="M11" s="607">
        <f>M10/M5</f>
        <v>0.11191824290691886</v>
      </c>
      <c r="Q11" s="573" t="s">
        <v>716</v>
      </c>
    </row>
    <row r="12" spans="2:18">
      <c r="F12" s="589"/>
      <c r="G12" s="590"/>
      <c r="H12" s="590"/>
      <c r="I12" s="590"/>
      <c r="J12" s="594"/>
      <c r="K12" s="590"/>
      <c r="L12" s="594"/>
      <c r="M12" s="600"/>
    </row>
    <row r="13" spans="2:18">
      <c r="F13" s="601" t="s">
        <v>717</v>
      </c>
      <c r="G13" s="602"/>
      <c r="H13" s="602"/>
      <c r="I13" s="602"/>
      <c r="J13" s="602"/>
      <c r="K13" s="608">
        <f>K7*K11</f>
        <v>123.00882635237487</v>
      </c>
      <c r="L13" s="608"/>
      <c r="M13" s="609">
        <f>M7*M11</f>
        <v>99.44508698207693</v>
      </c>
    </row>
    <row r="14" spans="2:18">
      <c r="F14" s="589"/>
      <c r="G14" s="590"/>
      <c r="H14" s="590"/>
      <c r="I14" s="590"/>
      <c r="J14" s="594"/>
      <c r="K14" s="590"/>
      <c r="L14" s="594"/>
      <c r="M14" s="600"/>
    </row>
    <row r="15" spans="2:18">
      <c r="F15" s="589" t="s">
        <v>718</v>
      </c>
      <c r="G15" s="590"/>
      <c r="H15" s="593">
        <f>H9*H17</f>
        <v>12</v>
      </c>
      <c r="I15" s="593">
        <f>I9*I17</f>
        <v>25.2</v>
      </c>
      <c r="J15" s="592"/>
      <c r="K15" s="593">
        <f>$H$32*K16</f>
        <v>25.399847399999999</v>
      </c>
      <c r="L15" s="594">
        <f>$H$32*L16</f>
        <v>0</v>
      </c>
      <c r="M15" s="595">
        <f>$H$32*M16</f>
        <v>4.3713680999999998</v>
      </c>
      <c r="R15" s="573" t="s">
        <v>719</v>
      </c>
    </row>
    <row r="16" spans="2:18">
      <c r="F16" s="596" t="s">
        <v>714</v>
      </c>
      <c r="G16" s="590"/>
      <c r="H16" s="590"/>
      <c r="I16" s="590"/>
      <c r="J16" s="594"/>
      <c r="K16" s="597">
        <f>R17+R18+R19+R20</f>
        <v>3.7910219999999999</v>
      </c>
      <c r="L16" s="594"/>
      <c r="M16" s="598">
        <f>SUM(V26:V29)</f>
        <v>0.652443</v>
      </c>
      <c r="R16" s="573" t="s">
        <v>720</v>
      </c>
    </row>
    <row r="17" spans="6:24" ht="15">
      <c r="F17" s="589" t="s">
        <v>721</v>
      </c>
      <c r="G17" s="590"/>
      <c r="H17" s="605">
        <v>0.2</v>
      </c>
      <c r="I17" s="605">
        <v>0.3</v>
      </c>
      <c r="J17" s="594"/>
      <c r="K17" s="606">
        <f>K16/K10</f>
        <v>0.39774031097215518</v>
      </c>
      <c r="L17" s="594"/>
      <c r="M17" s="607">
        <f>M16/M10</f>
        <v>9.0680055594162617E-2</v>
      </c>
      <c r="Q17" s="573" t="s">
        <v>722</v>
      </c>
      <c r="R17" s="573">
        <v>0.78114799999999995</v>
      </c>
      <c r="S17" s="573">
        <v>2.2804000000000002</v>
      </c>
      <c r="T17" s="610">
        <f>R17/S17</f>
        <v>0.34254867567093489</v>
      </c>
    </row>
    <row r="18" spans="6:24" ht="15">
      <c r="F18" s="589"/>
      <c r="G18" s="590"/>
      <c r="H18" s="605"/>
      <c r="I18" s="605"/>
      <c r="J18" s="594"/>
      <c r="K18" s="606"/>
      <c r="L18" s="594"/>
      <c r="M18" s="607"/>
      <c r="Q18" s="573" t="s">
        <v>723</v>
      </c>
      <c r="R18" s="611">
        <v>1.575555</v>
      </c>
      <c r="S18" s="573">
        <f>3.1029</f>
        <v>3.1029</v>
      </c>
      <c r="T18" s="610">
        <f>R18/S18</f>
        <v>0.50776853910857589</v>
      </c>
    </row>
    <row r="19" spans="6:24" ht="15">
      <c r="F19" s="601" t="s">
        <v>724</v>
      </c>
      <c r="G19" s="602"/>
      <c r="H19" s="612"/>
      <c r="I19" s="612"/>
      <c r="J19" s="602"/>
      <c r="K19" s="608">
        <f>K13*K17</f>
        <v>48.925568845713414</v>
      </c>
      <c r="L19" s="608"/>
      <c r="M19" s="609">
        <f>M13*M17</f>
        <v>9.0176860161010737</v>
      </c>
      <c r="Q19" s="573" t="s">
        <v>725</v>
      </c>
      <c r="R19" s="613">
        <v>0.77561599999999997</v>
      </c>
      <c r="S19" s="613">
        <v>2</v>
      </c>
      <c r="T19" s="610">
        <f>R19/S19</f>
        <v>0.38780799999999999</v>
      </c>
    </row>
    <row r="20" spans="6:24" ht="15">
      <c r="F20" s="589"/>
      <c r="G20" s="590"/>
      <c r="H20" s="605"/>
      <c r="I20" s="605"/>
      <c r="J20" s="594"/>
      <c r="K20" s="606"/>
      <c r="L20" s="594"/>
      <c r="M20" s="607"/>
      <c r="Q20" s="573" t="s">
        <v>726</v>
      </c>
      <c r="R20" s="573">
        <f>0.658703</f>
        <v>0.65870300000000004</v>
      </c>
      <c r="S20" s="573">
        <f>2.1481</f>
        <v>2.1480999999999999</v>
      </c>
      <c r="T20" s="610">
        <f>R20/S20</f>
        <v>0.30664447651412879</v>
      </c>
    </row>
    <row r="21" spans="6:24" ht="15">
      <c r="F21" s="589" t="s">
        <v>727</v>
      </c>
      <c r="G21" s="590"/>
      <c r="H21" s="605"/>
      <c r="I21" s="605"/>
      <c r="J21" s="594"/>
      <c r="K21" s="606"/>
      <c r="L21" s="594"/>
      <c r="M21" s="607"/>
    </row>
    <row r="22" spans="6:24" ht="15">
      <c r="F22" s="589">
        <v>2014</v>
      </c>
      <c r="G22" s="590"/>
      <c r="H22" s="590"/>
      <c r="I22" s="614">
        <f>I37/I36-1</f>
        <v>0.36388814205473374</v>
      </c>
      <c r="J22" s="594"/>
      <c r="K22" s="614">
        <f t="shared" ref="K22:K28" si="0">K37/K36-1</f>
        <v>0.24268964183271002</v>
      </c>
      <c r="L22" s="594"/>
      <c r="M22" s="615">
        <f t="shared" ref="M22:M28" si="1">M37/M36-1</f>
        <v>0.2079589475230752</v>
      </c>
      <c r="S22" s="573">
        <f>R20/0.326</f>
        <v>2.0205613496932515</v>
      </c>
    </row>
    <row r="23" spans="6:24" ht="15">
      <c r="F23" s="616">
        <v>2015</v>
      </c>
      <c r="G23" s="617"/>
      <c r="H23" s="617"/>
      <c r="I23" s="618">
        <f>I38/I37-1</f>
        <v>0.48327495320780001</v>
      </c>
      <c r="J23" s="619"/>
      <c r="K23" s="620">
        <f t="shared" si="0"/>
        <v>9.2635831134695756E-2</v>
      </c>
      <c r="L23" s="619"/>
      <c r="M23" s="621">
        <f t="shared" si="1"/>
        <v>0.15763292521798866</v>
      </c>
    </row>
    <row r="24" spans="6:24" ht="15">
      <c r="F24" s="589">
        <v>2016</v>
      </c>
      <c r="G24" s="590"/>
      <c r="H24" s="590"/>
      <c r="I24" s="622">
        <f>I39/(I38+O38)-1</f>
        <v>0.27854426725596748</v>
      </c>
      <c r="J24" s="594"/>
      <c r="K24" s="614">
        <f t="shared" si="0"/>
        <v>0.15416305290546406</v>
      </c>
      <c r="L24" s="594"/>
      <c r="M24" s="623">
        <f t="shared" si="1"/>
        <v>0.33033573141486805</v>
      </c>
      <c r="R24" s="573" t="s">
        <v>728</v>
      </c>
    </row>
    <row r="25" spans="6:24" ht="15">
      <c r="F25" s="589">
        <v>2017</v>
      </c>
      <c r="G25" s="590"/>
      <c r="H25" s="590"/>
      <c r="I25" s="614">
        <f>I40/I39-1</f>
        <v>0.34989099968857085</v>
      </c>
      <c r="J25" s="594"/>
      <c r="K25" s="614">
        <f t="shared" si="0"/>
        <v>0.14634604546308472</v>
      </c>
      <c r="L25" s="594"/>
      <c r="M25" s="615">
        <f t="shared" si="1"/>
        <v>0.14533573681838674</v>
      </c>
      <c r="R25" s="573" t="s">
        <v>729</v>
      </c>
      <c r="T25" s="573" t="s">
        <v>730</v>
      </c>
      <c r="U25" s="573" t="s">
        <v>731</v>
      </c>
      <c r="V25" s="573" t="s">
        <v>732</v>
      </c>
    </row>
    <row r="26" spans="6:24" ht="15">
      <c r="F26" s="589">
        <v>2018</v>
      </c>
      <c r="G26" s="590"/>
      <c r="H26" s="590"/>
      <c r="I26" s="614">
        <f>I41/I40-1</f>
        <v>0.27384934825239338</v>
      </c>
      <c r="J26" s="594"/>
      <c r="K26" s="614">
        <f t="shared" si="0"/>
        <v>0.14724680432645032</v>
      </c>
      <c r="L26" s="594"/>
      <c r="M26" s="615">
        <f t="shared" si="1"/>
        <v>0.11341727326382056</v>
      </c>
      <c r="Q26" s="573" t="s">
        <v>722</v>
      </c>
      <c r="R26" s="573">
        <v>9.0920000000000001E-2</v>
      </c>
      <c r="T26" s="573">
        <v>4.1494000000000003E-2</v>
      </c>
      <c r="U26" s="573">
        <v>5.646E-3</v>
      </c>
      <c r="V26" s="573">
        <f>R26+S26+T26+U26</f>
        <v>0.13806000000000002</v>
      </c>
      <c r="W26" s="573">
        <v>1.6539999999999999</v>
      </c>
    </row>
    <row r="27" spans="6:24" ht="15">
      <c r="F27" s="589">
        <v>2019</v>
      </c>
      <c r="G27" s="590"/>
      <c r="H27" s="590"/>
      <c r="I27" s="614">
        <f>I42/I41-1</f>
        <v>0.17211506535059939</v>
      </c>
      <c r="J27" s="594"/>
      <c r="K27" s="614">
        <f t="shared" si="0"/>
        <v>0.14063281194200417</v>
      </c>
      <c r="L27" s="594"/>
      <c r="M27" s="615">
        <f t="shared" si="1"/>
        <v>0.10336602173336873</v>
      </c>
      <c r="Q27" s="573" t="s">
        <v>723</v>
      </c>
      <c r="R27" s="573">
        <v>0.34499800000000003</v>
      </c>
      <c r="T27" s="573">
        <v>3.4425999999999998E-2</v>
      </c>
      <c r="U27" s="573">
        <v>7.1679000000000007E-2</v>
      </c>
      <c r="V27" s="573">
        <f>R27+S27+T27+U27</f>
        <v>0.45110300000000003</v>
      </c>
      <c r="W27" s="573">
        <v>1.9379999999999999</v>
      </c>
    </row>
    <row r="28" spans="6:24" ht="15">
      <c r="F28" s="616">
        <v>2020</v>
      </c>
      <c r="G28" s="617"/>
      <c r="H28" s="617"/>
      <c r="I28" s="618">
        <f>I43/I42-1</f>
        <v>0.244727150987613</v>
      </c>
      <c r="J28" s="619"/>
      <c r="K28" s="618">
        <f t="shared" si="0"/>
        <v>0.11208515967438948</v>
      </c>
      <c r="L28" s="619"/>
      <c r="M28" s="621">
        <f t="shared" si="1"/>
        <v>8.6716310353110559E-2</v>
      </c>
      <c r="Q28" s="573" t="s">
        <v>725</v>
      </c>
      <c r="R28" s="573">
        <v>2.9477E-2</v>
      </c>
      <c r="T28" s="624">
        <v>4.0513E-2</v>
      </c>
      <c r="U28" s="573">
        <v>2.2870000000000001E-2</v>
      </c>
      <c r="V28" s="573">
        <f>R28+S28+T28+U28</f>
        <v>9.2859999999999998E-2</v>
      </c>
      <c r="W28" s="573">
        <v>1.6990000000000001</v>
      </c>
      <c r="X28" s="610">
        <f>V26/W26</f>
        <v>8.3470374848851281E-2</v>
      </c>
    </row>
    <row r="29" spans="6:24" ht="15.5" thickBot="1">
      <c r="F29" s="625" t="s">
        <v>733</v>
      </c>
      <c r="G29" s="626"/>
      <c r="H29" s="626"/>
      <c r="I29" s="627">
        <f>AVERAGE(I24:I28)</f>
        <v>0.2638253663070288</v>
      </c>
      <c r="J29" s="628"/>
      <c r="K29" s="627">
        <f>AVERAGE(K24:K28)</f>
        <v>0.14009477486227856</v>
      </c>
      <c r="L29" s="628"/>
      <c r="M29" s="629">
        <f>AVERAGE(M24:M28)</f>
        <v>0.15583421471671094</v>
      </c>
      <c r="Q29" s="573" t="s">
        <v>734</v>
      </c>
      <c r="R29" s="573">
        <v>-0.102355</v>
      </c>
      <c r="T29" s="573">
        <v>4.2972000000000003E-2</v>
      </c>
      <c r="U29" s="573">
        <v>2.9803E-2</v>
      </c>
      <c r="V29" s="573">
        <f>R29+S29+T29+U29</f>
        <v>-2.9579999999999999E-2</v>
      </c>
      <c r="W29" s="573">
        <v>1.9039999999999999</v>
      </c>
      <c r="X29" s="610">
        <f>V27/W27</f>
        <v>0.23276728586171314</v>
      </c>
    </row>
    <row r="30" spans="6:24" ht="15">
      <c r="X30" s="610">
        <f>V28/W28</f>
        <v>5.4655679811653909E-2</v>
      </c>
    </row>
    <row r="31" spans="6:24" ht="15">
      <c r="F31" s="574" t="s">
        <v>735</v>
      </c>
      <c r="H31" s="574"/>
      <c r="X31" s="610">
        <f>V29/W29</f>
        <v>-1.5535714285714286E-2</v>
      </c>
    </row>
    <row r="32" spans="6:24">
      <c r="H32" s="573">
        <v>6.7</v>
      </c>
    </row>
    <row r="33" spans="6:15">
      <c r="I33" s="573" t="s">
        <v>736</v>
      </c>
      <c r="K33" s="573" t="s">
        <v>719</v>
      </c>
      <c r="M33" s="573" t="s">
        <v>737</v>
      </c>
      <c r="O33" s="573" t="s">
        <v>738</v>
      </c>
    </row>
    <row r="34" spans="6:15">
      <c r="F34" s="573" t="s">
        <v>739</v>
      </c>
      <c r="G34" s="630"/>
      <c r="H34" s="630"/>
      <c r="I34" s="630" t="s">
        <v>740</v>
      </c>
      <c r="J34" s="631"/>
      <c r="K34" s="630" t="s">
        <v>741</v>
      </c>
      <c r="L34" s="631"/>
      <c r="M34" s="630" t="s">
        <v>741</v>
      </c>
      <c r="N34" s="630"/>
    </row>
    <row r="35" spans="6:15">
      <c r="K35" s="632">
        <v>5.2609560000000002</v>
      </c>
      <c r="M35" s="632"/>
    </row>
    <row r="36" spans="6:15">
      <c r="F36" s="573">
        <v>2013</v>
      </c>
      <c r="I36" s="632">
        <v>5.3867455419999999</v>
      </c>
      <c r="K36" s="632">
        <v>6.7933060000000003</v>
      </c>
      <c r="M36" s="632">
        <v>4.7712589999999997</v>
      </c>
    </row>
    <row r="37" spans="6:15">
      <c r="F37" s="573">
        <v>2014</v>
      </c>
      <c r="I37" s="632">
        <v>7.3469183689999999</v>
      </c>
      <c r="K37" s="632">
        <v>8.4419710000000006</v>
      </c>
      <c r="M37" s="632">
        <v>5.7634850000000002</v>
      </c>
    </row>
    <row r="38" spans="6:15">
      <c r="F38" s="573">
        <v>2015</v>
      </c>
      <c r="I38" s="632">
        <v>10.897500000000001</v>
      </c>
      <c r="K38" s="632">
        <v>9.2240000000000002</v>
      </c>
      <c r="M38" s="632">
        <v>6.6719999999999997</v>
      </c>
      <c r="O38" s="573">
        <v>4.1711999999999998</v>
      </c>
    </row>
    <row r="39" spans="6:15">
      <c r="F39" s="573">
        <v>2016</v>
      </c>
      <c r="I39" s="632">
        <v>19.265999999999998</v>
      </c>
      <c r="K39" s="632">
        <v>10.646000000000001</v>
      </c>
      <c r="M39" s="632">
        <v>8.8759999999999994</v>
      </c>
    </row>
    <row r="40" spans="6:15">
      <c r="F40" s="573">
        <v>2017</v>
      </c>
      <c r="I40" s="632">
        <v>26.007000000000001</v>
      </c>
      <c r="K40" s="632">
        <v>12.204000000000001</v>
      </c>
      <c r="M40" s="632">
        <v>10.166</v>
      </c>
    </row>
    <row r="41" spans="6:15">
      <c r="F41" s="573">
        <v>2018</v>
      </c>
      <c r="I41" s="632">
        <v>33.128999999999998</v>
      </c>
      <c r="K41" s="632">
        <v>14.000999999999999</v>
      </c>
      <c r="M41" s="632">
        <v>11.319000000000001</v>
      </c>
    </row>
    <row r="42" spans="6:15">
      <c r="F42" s="573">
        <v>2019</v>
      </c>
      <c r="I42" s="632">
        <v>38.831000000000003</v>
      </c>
      <c r="K42" s="632">
        <v>15.97</v>
      </c>
      <c r="M42" s="632">
        <v>12.489000000000001</v>
      </c>
    </row>
    <row r="43" spans="6:15">
      <c r="F43" s="573">
        <v>2020</v>
      </c>
      <c r="I43" s="632">
        <v>48.334000000000003</v>
      </c>
      <c r="K43" s="632">
        <v>17.760000000000002</v>
      </c>
      <c r="M43" s="632">
        <v>13.571999999999999</v>
      </c>
    </row>
    <row r="45" spans="6:15" ht="15">
      <c r="K45" s="610" t="s">
        <v>742</v>
      </c>
    </row>
  </sheetData>
  <phoneticPr fontId="11" type="noConversion"/>
  <pageMargins left="0.7" right="0.7" top="0.75" bottom="0.75" header="0.3" footer="0.3"/>
  <pageSetup paperSize="9" orientation="portrait" verticalDpi="599"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A199"/>
  <sheetViews>
    <sheetView workbookViewId="0"/>
  </sheetViews>
  <sheetFormatPr defaultColWidth="8.75" defaultRowHeight="15" outlineLevelCol="1"/>
  <cols>
    <col min="1" max="1" width="31.75" style="137" customWidth="1"/>
    <col min="2" max="2" width="10.08203125" style="133" customWidth="1" outlineLevel="1"/>
    <col min="3" max="7" width="11.33203125" style="133" customWidth="1" outlineLevel="1"/>
    <col min="8" max="10" width="1.33203125" style="133" customWidth="1" outlineLevel="1"/>
    <col min="11" max="13" width="10.25" style="133" customWidth="1" outlineLevel="1"/>
    <col min="14" max="14" width="11.33203125" style="133" customWidth="1" outlineLevel="1"/>
    <col min="15" max="17" width="1.33203125" style="133" customWidth="1" outlineLevel="1"/>
    <col min="18" max="18" width="10.25" style="133" customWidth="1" outlineLevel="1"/>
    <col min="19" max="20" width="10.25" style="133" customWidth="1"/>
    <col min="21" max="21" width="11.33203125" style="133" customWidth="1" outlineLevel="1"/>
    <col min="22" max="24" width="1.5" style="133" customWidth="1"/>
    <col min="25" max="16384" width="8.75" style="194"/>
  </cols>
  <sheetData>
    <row r="1" spans="1:24">
      <c r="A1" s="15" t="s">
        <v>655</v>
      </c>
      <c r="B1" s="16"/>
      <c r="C1" s="132"/>
      <c r="D1" s="132"/>
      <c r="E1" s="132"/>
      <c r="F1" s="132"/>
      <c r="G1" s="132"/>
      <c r="H1" s="132"/>
      <c r="I1" s="132"/>
      <c r="J1" s="132"/>
      <c r="K1" s="132"/>
      <c r="L1" s="132"/>
      <c r="M1" s="132"/>
      <c r="N1" s="132"/>
      <c r="O1" s="132"/>
      <c r="P1" s="132"/>
      <c r="Q1" s="132"/>
      <c r="R1" s="132"/>
      <c r="S1" s="132"/>
      <c r="T1" s="132"/>
      <c r="U1" s="132"/>
      <c r="V1" s="132"/>
      <c r="W1" s="132"/>
      <c r="X1" s="132"/>
    </row>
    <row r="2" spans="1:24">
      <c r="A2" s="17"/>
      <c r="B2" s="1"/>
      <c r="C2" s="133" t="s">
        <v>420</v>
      </c>
      <c r="D2" s="133" t="s">
        <v>420</v>
      </c>
      <c r="E2" s="133" t="s">
        <v>420</v>
      </c>
      <c r="F2" s="133" t="s">
        <v>420</v>
      </c>
      <c r="G2" s="133" t="s">
        <v>420</v>
      </c>
      <c r="H2" s="133" t="s">
        <v>421</v>
      </c>
      <c r="I2" s="133" t="s">
        <v>421</v>
      </c>
      <c r="J2" s="133" t="s">
        <v>421</v>
      </c>
      <c r="K2" s="133" t="s">
        <v>420</v>
      </c>
      <c r="L2" s="133" t="s">
        <v>420</v>
      </c>
      <c r="M2" s="133" t="s">
        <v>420</v>
      </c>
      <c r="N2" s="133" t="s">
        <v>420</v>
      </c>
      <c r="O2" s="133" t="s">
        <v>421</v>
      </c>
      <c r="P2" s="133" t="s">
        <v>421</v>
      </c>
      <c r="Q2" s="133" t="s">
        <v>421</v>
      </c>
      <c r="R2" s="133" t="s">
        <v>422</v>
      </c>
      <c r="S2" s="133" t="s">
        <v>422</v>
      </c>
      <c r="T2" s="133" t="s">
        <v>422</v>
      </c>
      <c r="U2" s="133" t="s">
        <v>422</v>
      </c>
      <c r="V2" s="133" t="s">
        <v>421</v>
      </c>
      <c r="W2" s="133" t="s">
        <v>421</v>
      </c>
      <c r="X2" s="133" t="s">
        <v>421</v>
      </c>
    </row>
    <row r="3" spans="1:24">
      <c r="A3" s="214"/>
      <c r="B3" s="138"/>
      <c r="C3" s="3546" t="s">
        <v>423</v>
      </c>
      <c r="D3" s="3546"/>
      <c r="E3" s="3546"/>
      <c r="F3" s="3546"/>
      <c r="G3" s="3546"/>
      <c r="H3" s="5"/>
      <c r="I3" s="5"/>
      <c r="J3" s="5"/>
      <c r="K3" s="120" t="s">
        <v>424</v>
      </c>
      <c r="L3" s="55"/>
      <c r="M3" s="55"/>
      <c r="N3" s="55"/>
      <c r="O3" s="5"/>
      <c r="P3" s="5"/>
      <c r="Q3" s="5"/>
      <c r="R3" s="120" t="s">
        <v>425</v>
      </c>
      <c r="S3" s="55"/>
      <c r="T3" s="55"/>
      <c r="U3" s="55"/>
      <c r="V3" s="5"/>
      <c r="W3" s="5"/>
      <c r="X3" s="5"/>
    </row>
    <row r="4" spans="1:24">
      <c r="A4" s="18" t="s">
        <v>426</v>
      </c>
      <c r="B4" s="5"/>
      <c r="C4" s="55">
        <v>2009</v>
      </c>
      <c r="D4" s="55">
        <v>2010</v>
      </c>
      <c r="E4" s="55">
        <v>2011</v>
      </c>
      <c r="F4" s="55">
        <v>2012</v>
      </c>
      <c r="G4" s="55" t="s">
        <v>427</v>
      </c>
      <c r="H4" s="5">
        <v>2010</v>
      </c>
      <c r="I4" s="5">
        <v>2011</v>
      </c>
      <c r="J4" s="5">
        <v>2012</v>
      </c>
      <c r="K4" s="55">
        <v>2010</v>
      </c>
      <c r="L4" s="55">
        <v>2011</v>
      </c>
      <c r="M4" s="55">
        <v>2012</v>
      </c>
      <c r="N4" s="55" t="s">
        <v>427</v>
      </c>
      <c r="O4" s="5">
        <v>2010</v>
      </c>
      <c r="P4" s="5">
        <v>2011</v>
      </c>
      <c r="Q4" s="5">
        <v>2012</v>
      </c>
      <c r="R4" s="55">
        <v>2010</v>
      </c>
      <c r="S4" s="55">
        <v>2011</v>
      </c>
      <c r="T4" s="55">
        <v>2012</v>
      </c>
      <c r="U4" s="55" t="s">
        <v>427</v>
      </c>
      <c r="V4" s="5">
        <v>2010</v>
      </c>
      <c r="W4" s="5">
        <v>2011</v>
      </c>
      <c r="X4" s="5">
        <v>2012</v>
      </c>
    </row>
    <row r="5" spans="1:24" hidden="1">
      <c r="A5" s="119" t="s">
        <v>428</v>
      </c>
      <c r="B5" s="8"/>
    </row>
    <row r="6" spans="1:24">
      <c r="A6" s="19" t="s">
        <v>429</v>
      </c>
      <c r="B6" s="8"/>
      <c r="C6" s="30">
        <v>6065</v>
      </c>
      <c r="D6" s="30">
        <v>9608</v>
      </c>
      <c r="E6" s="30">
        <v>12695</v>
      </c>
      <c r="F6" s="30">
        <v>16134</v>
      </c>
      <c r="G6" s="30"/>
      <c r="H6" s="30"/>
      <c r="I6" s="30"/>
      <c r="J6" s="30"/>
      <c r="K6" s="30">
        <v>6083</v>
      </c>
      <c r="L6" s="30">
        <v>8421</v>
      </c>
      <c r="M6" s="30">
        <v>10280</v>
      </c>
      <c r="N6" s="30"/>
      <c r="O6" s="30"/>
      <c r="P6" s="30"/>
      <c r="Q6" s="30"/>
      <c r="R6" s="30">
        <v>4465</v>
      </c>
      <c r="S6" s="133">
        <v>4353</v>
      </c>
      <c r="T6" s="133">
        <v>4668</v>
      </c>
      <c r="U6" s="30"/>
    </row>
    <row r="7" spans="1:24">
      <c r="A7" s="19" t="s">
        <v>430</v>
      </c>
      <c r="B7" s="8"/>
      <c r="C7" s="27">
        <f>C20/C6</f>
        <v>0.22605111294311625</v>
      </c>
      <c r="D7" s="27">
        <f>D20/D6</f>
        <v>0.18859283930058285</v>
      </c>
      <c r="E7" s="27">
        <f>E20/E6</f>
        <v>0.20740448995667585</v>
      </c>
      <c r="F7" s="27">
        <f>F20/F6</f>
        <v>0.21662328002975084</v>
      </c>
      <c r="G7" s="27"/>
      <c r="K7" s="27">
        <f>K20/K6</f>
        <v>0.21305277001479533</v>
      </c>
      <c r="L7" s="27">
        <f>L20/L6</f>
        <v>0.20484503028143927</v>
      </c>
      <c r="M7" s="27">
        <f>M20/M6</f>
        <v>0.19951361867704281</v>
      </c>
      <c r="N7" s="27"/>
      <c r="R7" s="27">
        <f>R20/R6</f>
        <v>0.43001119820828665</v>
      </c>
      <c r="S7" s="27">
        <f>S20/S6</f>
        <v>0.48242591316333561</v>
      </c>
      <c r="T7" s="27">
        <f>T20/T6</f>
        <v>0.46122536418166238</v>
      </c>
      <c r="U7" s="27"/>
    </row>
    <row r="8" spans="1:24" hidden="1">
      <c r="A8" s="19" t="s">
        <v>431</v>
      </c>
      <c r="B8" s="8"/>
    </row>
    <row r="9" spans="1:24" hidden="1">
      <c r="A9" s="19" t="s">
        <v>432</v>
      </c>
      <c r="B9" s="12"/>
      <c r="C9" s="1"/>
      <c r="D9" s="1"/>
      <c r="E9" s="1"/>
      <c r="F9" s="27"/>
      <c r="G9" s="27"/>
      <c r="H9" s="1"/>
      <c r="I9" s="1"/>
      <c r="J9" s="27"/>
      <c r="K9" s="1"/>
      <c r="L9" s="1"/>
      <c r="M9" s="27"/>
      <c r="N9" s="27"/>
      <c r="O9" s="1"/>
      <c r="P9" s="1"/>
      <c r="Q9" s="27"/>
      <c r="R9" s="1"/>
      <c r="S9" s="27"/>
      <c r="T9" s="27"/>
      <c r="U9" s="27"/>
      <c r="V9" s="27"/>
      <c r="W9" s="27"/>
      <c r="X9" s="27"/>
    </row>
    <row r="10" spans="1:24" hidden="1">
      <c r="A10" s="20" t="s">
        <v>429</v>
      </c>
      <c r="B10" s="12"/>
      <c r="C10" s="1"/>
      <c r="D10" s="1"/>
      <c r="E10" s="1"/>
      <c r="F10" s="27"/>
      <c r="G10" s="27"/>
      <c r="H10" s="1"/>
      <c r="I10" s="1"/>
      <c r="J10" s="27"/>
      <c r="K10" s="1"/>
      <c r="L10" s="1"/>
      <c r="M10" s="27"/>
      <c r="N10" s="27"/>
      <c r="O10" s="1"/>
      <c r="P10" s="1"/>
      <c r="Q10" s="27"/>
      <c r="R10" s="1"/>
      <c r="S10" s="27"/>
      <c r="T10" s="27"/>
      <c r="U10" s="27"/>
      <c r="V10" s="27"/>
      <c r="W10" s="27"/>
      <c r="X10" s="27"/>
    </row>
    <row r="11" spans="1:24" hidden="1">
      <c r="A11" s="20" t="s">
        <v>433</v>
      </c>
      <c r="B11" s="12"/>
      <c r="C11" s="1"/>
      <c r="D11" s="1"/>
      <c r="E11" s="1"/>
      <c r="F11" s="27"/>
      <c r="G11" s="27"/>
      <c r="H11" s="1"/>
      <c r="I11" s="1"/>
      <c r="J11" s="27"/>
      <c r="K11" s="1"/>
      <c r="L11" s="1"/>
      <c r="M11" s="27"/>
      <c r="N11" s="27"/>
      <c r="O11" s="1"/>
      <c r="P11" s="1"/>
      <c r="Q11" s="27"/>
      <c r="R11" s="1"/>
      <c r="S11" s="27"/>
      <c r="T11" s="27"/>
      <c r="U11" s="27"/>
      <c r="V11" s="27"/>
      <c r="W11" s="27"/>
      <c r="X11" s="27"/>
    </row>
    <row r="12" spans="1:24" hidden="1">
      <c r="A12" s="20" t="s">
        <v>434</v>
      </c>
      <c r="B12" s="6"/>
      <c r="C12" s="1"/>
      <c r="D12" s="1"/>
      <c r="E12" s="1"/>
      <c r="F12" s="27"/>
      <c r="G12" s="27"/>
      <c r="H12" s="1"/>
      <c r="I12" s="1"/>
      <c r="J12" s="27"/>
      <c r="K12" s="1"/>
      <c r="L12" s="1"/>
      <c r="M12" s="27"/>
      <c r="N12" s="27"/>
      <c r="O12" s="1"/>
      <c r="P12" s="1"/>
      <c r="Q12" s="27"/>
      <c r="R12" s="1"/>
      <c r="S12" s="27"/>
      <c r="T12" s="27"/>
      <c r="U12" s="27"/>
      <c r="V12" s="27"/>
      <c r="W12" s="27"/>
      <c r="X12" s="27"/>
    </row>
    <row r="13" spans="1:24" hidden="1">
      <c r="A13" s="21"/>
      <c r="B13" s="9"/>
    </row>
    <row r="14" spans="1:24" hidden="1">
      <c r="A14" s="24" t="s">
        <v>435</v>
      </c>
      <c r="B14" s="1"/>
    </row>
    <row r="15" spans="1:24" hidden="1">
      <c r="A15" s="17" t="s">
        <v>436</v>
      </c>
      <c r="B15" s="1"/>
      <c r="C15" s="146"/>
      <c r="D15" s="146"/>
      <c r="E15" s="146"/>
      <c r="F15" s="146"/>
      <c r="G15" s="146"/>
      <c r="H15" s="146"/>
      <c r="I15" s="146"/>
      <c r="J15" s="146"/>
      <c r="K15" s="146"/>
      <c r="L15" s="146"/>
      <c r="M15" s="146"/>
      <c r="N15" s="146"/>
      <c r="O15" s="146"/>
      <c r="P15" s="146"/>
      <c r="Q15" s="146"/>
      <c r="R15" s="146"/>
      <c r="S15" s="150"/>
      <c r="T15" s="150"/>
      <c r="U15" s="146"/>
      <c r="V15" s="140"/>
      <c r="W15" s="140"/>
      <c r="X15" s="140"/>
    </row>
    <row r="16" spans="1:24" hidden="1">
      <c r="A16" s="17" t="s">
        <v>437</v>
      </c>
      <c r="B16" s="1"/>
      <c r="C16" s="146"/>
      <c r="D16" s="146"/>
      <c r="E16" s="146"/>
      <c r="F16" s="146"/>
      <c r="G16" s="146"/>
      <c r="H16" s="146"/>
      <c r="I16" s="146"/>
      <c r="J16" s="146"/>
      <c r="K16" s="146"/>
      <c r="L16" s="146"/>
      <c r="M16" s="146"/>
      <c r="N16" s="146"/>
      <c r="O16" s="146"/>
      <c r="P16" s="146"/>
      <c r="Q16" s="146"/>
      <c r="R16" s="146"/>
      <c r="S16" s="150"/>
      <c r="T16" s="150"/>
      <c r="U16" s="146"/>
      <c r="V16" s="140"/>
      <c r="W16" s="140"/>
      <c r="X16" s="140"/>
    </row>
    <row r="17" spans="1:27" hidden="1">
      <c r="A17" s="17" t="s">
        <v>438</v>
      </c>
      <c r="B17" s="1"/>
      <c r="C17" s="146"/>
      <c r="D17" s="146"/>
      <c r="E17" s="146"/>
      <c r="F17" s="146"/>
      <c r="G17" s="146"/>
      <c r="H17" s="146"/>
      <c r="I17" s="146"/>
      <c r="J17" s="146"/>
      <c r="K17" s="146"/>
      <c r="L17" s="146"/>
      <c r="M17" s="146"/>
      <c r="N17" s="146"/>
      <c r="O17" s="146"/>
      <c r="P17" s="146"/>
      <c r="Q17" s="146"/>
      <c r="R17" s="146"/>
      <c r="S17" s="150"/>
      <c r="T17" s="150"/>
      <c r="U17" s="146"/>
      <c r="V17" s="140"/>
      <c r="W17" s="140"/>
      <c r="X17" s="140"/>
    </row>
    <row r="18" spans="1:27" hidden="1">
      <c r="A18" s="17" t="s">
        <v>439</v>
      </c>
      <c r="B18" s="1"/>
      <c r="C18" s="146"/>
      <c r="D18" s="146"/>
      <c r="E18" s="146"/>
      <c r="F18" s="146"/>
      <c r="G18" s="146"/>
      <c r="H18" s="146"/>
      <c r="I18" s="146"/>
      <c r="J18" s="146"/>
      <c r="K18" s="146"/>
      <c r="L18" s="146"/>
      <c r="M18" s="146"/>
      <c r="N18" s="146"/>
      <c r="O18" s="146"/>
      <c r="P18" s="146"/>
      <c r="Q18" s="146"/>
      <c r="R18" s="146"/>
      <c r="S18" s="150"/>
      <c r="T18" s="150"/>
      <c r="U18" s="146"/>
      <c r="V18" s="140"/>
      <c r="W18" s="140"/>
      <c r="X18" s="140"/>
    </row>
    <row r="19" spans="1:27" hidden="1">
      <c r="A19" s="17" t="s">
        <v>440</v>
      </c>
      <c r="B19" s="1"/>
      <c r="C19" s="146"/>
      <c r="D19" s="146"/>
      <c r="E19" s="146"/>
      <c r="F19" s="146"/>
      <c r="G19" s="146"/>
      <c r="H19" s="146"/>
      <c r="I19" s="146"/>
      <c r="J19" s="146"/>
      <c r="K19" s="146"/>
      <c r="L19" s="146"/>
      <c r="M19" s="146"/>
      <c r="N19" s="146"/>
      <c r="O19" s="146"/>
      <c r="P19" s="146"/>
      <c r="Q19" s="146"/>
      <c r="R19" s="146"/>
      <c r="S19" s="150"/>
      <c r="T19" s="150"/>
      <c r="U19" s="146"/>
      <c r="V19" s="140"/>
      <c r="W19" s="140"/>
      <c r="X19" s="140"/>
    </row>
    <row r="20" spans="1:27">
      <c r="A20" s="24" t="s">
        <v>441</v>
      </c>
      <c r="B20" s="13"/>
      <c r="C20" s="146">
        <f>6065-4694</f>
        <v>1371</v>
      </c>
      <c r="D20" s="146">
        <f>9608-7796</f>
        <v>1812</v>
      </c>
      <c r="E20" s="146">
        <f>E6-10062</f>
        <v>2633</v>
      </c>
      <c r="F20" s="146">
        <f>F6-12639</f>
        <v>3495</v>
      </c>
      <c r="G20" s="146"/>
      <c r="H20" s="146"/>
      <c r="I20" s="146"/>
      <c r="J20" s="146"/>
      <c r="K20" s="201">
        <f>K6-4787</f>
        <v>1296</v>
      </c>
      <c r="L20" s="201">
        <f>L6-6696</f>
        <v>1725</v>
      </c>
      <c r="M20" s="201">
        <f>M6-8229</f>
        <v>2051</v>
      </c>
      <c r="N20" s="146"/>
      <c r="O20" s="146"/>
      <c r="P20" s="146"/>
      <c r="Q20" s="146"/>
      <c r="R20" s="201">
        <v>1920</v>
      </c>
      <c r="S20" s="30">
        <v>2100</v>
      </c>
      <c r="T20" s="30">
        <v>2153</v>
      </c>
      <c r="U20" s="146"/>
      <c r="V20" s="30"/>
      <c r="W20" s="30"/>
      <c r="X20" s="30"/>
    </row>
    <row r="21" spans="1:27" hidden="1">
      <c r="A21" s="22" t="s">
        <v>442</v>
      </c>
      <c r="B21" s="9"/>
      <c r="C21" s="146"/>
      <c r="D21" s="146"/>
      <c r="E21" s="146"/>
      <c r="F21" s="146"/>
      <c r="G21" s="146"/>
      <c r="H21" s="146"/>
      <c r="I21" s="146"/>
      <c r="J21" s="146"/>
      <c r="K21" s="146"/>
      <c r="L21" s="146"/>
      <c r="M21" s="146"/>
      <c r="N21" s="146"/>
      <c r="O21" s="146"/>
      <c r="P21" s="146"/>
      <c r="Q21" s="146"/>
      <c r="R21" s="146"/>
      <c r="S21" s="150"/>
      <c r="T21" s="150"/>
      <c r="U21" s="146"/>
      <c r="V21" s="140"/>
      <c r="W21" s="140"/>
      <c r="X21" s="140"/>
    </row>
    <row r="22" spans="1:27">
      <c r="A22" s="24" t="s">
        <v>443</v>
      </c>
      <c r="B22" s="1"/>
      <c r="C22" s="146">
        <f>C20-50</f>
        <v>1321</v>
      </c>
      <c r="D22" s="146">
        <f>D20-70</f>
        <v>1742</v>
      </c>
      <c r="E22" s="146">
        <f>E20-106</f>
        <v>2527</v>
      </c>
      <c r="F22" s="146">
        <f>F20-190</f>
        <v>3305</v>
      </c>
      <c r="G22" s="146"/>
      <c r="H22" s="146"/>
      <c r="I22" s="146"/>
      <c r="J22" s="146"/>
      <c r="K22" s="146">
        <f>K20-62</f>
        <v>1234</v>
      </c>
      <c r="L22" s="146">
        <f>L20-144</f>
        <v>1581</v>
      </c>
      <c r="M22" s="146">
        <f>M20-239</f>
        <v>1812</v>
      </c>
      <c r="N22" s="146"/>
      <c r="O22" s="146"/>
      <c r="P22" s="146"/>
      <c r="Q22" s="146"/>
      <c r="R22" s="146">
        <f>R20</f>
        <v>1920</v>
      </c>
      <c r="S22" s="146">
        <f>S20</f>
        <v>2100</v>
      </c>
      <c r="T22" s="146">
        <f>T20</f>
        <v>2153</v>
      </c>
      <c r="U22" s="146"/>
      <c r="V22" s="146"/>
      <c r="W22" s="146"/>
      <c r="X22" s="146"/>
    </row>
    <row r="23" spans="1:27">
      <c r="A23" s="17" t="s">
        <v>444</v>
      </c>
      <c r="B23" s="13"/>
      <c r="C23" s="146">
        <v>0</v>
      </c>
      <c r="D23" s="146">
        <v>0</v>
      </c>
      <c r="E23" s="146">
        <v>0</v>
      </c>
      <c r="F23" s="146">
        <v>0</v>
      </c>
      <c r="G23" s="146"/>
      <c r="H23" s="146"/>
      <c r="I23" s="146"/>
      <c r="J23" s="146"/>
      <c r="K23" s="146">
        <v>0</v>
      </c>
      <c r="L23" s="146">
        <v>0</v>
      </c>
      <c r="M23" s="146">
        <v>0</v>
      </c>
      <c r="N23" s="146"/>
      <c r="O23" s="146"/>
      <c r="P23" s="146"/>
      <c r="Q23" s="146"/>
      <c r="R23" s="146">
        <v>0</v>
      </c>
      <c r="S23" s="146">
        <v>0</v>
      </c>
      <c r="T23" s="146">
        <v>0</v>
      </c>
      <c r="U23" s="146"/>
      <c r="V23" s="146"/>
      <c r="W23" s="146"/>
      <c r="X23" s="146"/>
    </row>
    <row r="24" spans="1:27" s="216" customFormat="1">
      <c r="A24" s="24" t="s">
        <v>445</v>
      </c>
      <c r="B24" s="13"/>
      <c r="C24" s="217">
        <f>C22-C23</f>
        <v>1321</v>
      </c>
      <c r="D24" s="217">
        <f>D22-D23</f>
        <v>1742</v>
      </c>
      <c r="E24" s="217">
        <f>E22-E23</f>
        <v>2527</v>
      </c>
      <c r="F24" s="217">
        <f>F22-F23</f>
        <v>3305</v>
      </c>
      <c r="G24" s="217"/>
      <c r="H24" s="146"/>
      <c r="I24" s="146"/>
      <c r="J24" s="146"/>
      <c r="K24" s="217">
        <f>K22-K23</f>
        <v>1234</v>
      </c>
      <c r="L24" s="217">
        <f>L22-L23</f>
        <v>1581</v>
      </c>
      <c r="M24" s="217">
        <f>M22-M23</f>
        <v>1812</v>
      </c>
      <c r="N24" s="217"/>
      <c r="O24" s="146"/>
      <c r="P24" s="146"/>
      <c r="Q24" s="146"/>
      <c r="R24" s="217">
        <f>R22-R23</f>
        <v>1920</v>
      </c>
      <c r="S24" s="217">
        <f>S22-S23</f>
        <v>2100</v>
      </c>
      <c r="T24" s="217">
        <f>T22-T23</f>
        <v>2153</v>
      </c>
      <c r="U24" s="217"/>
      <c r="V24" s="30"/>
      <c r="W24" s="30"/>
      <c r="X24" s="30"/>
    </row>
    <row r="25" spans="1:27">
      <c r="A25" s="23" t="s">
        <v>446</v>
      </c>
      <c r="B25" s="1"/>
      <c r="C25" s="27"/>
      <c r="D25" s="27"/>
      <c r="E25" s="27"/>
      <c r="F25" s="27"/>
      <c r="G25" s="27"/>
      <c r="H25" s="27"/>
      <c r="I25" s="27"/>
      <c r="J25" s="27"/>
      <c r="K25" s="27"/>
      <c r="L25" s="27"/>
      <c r="M25" s="27"/>
      <c r="N25" s="27"/>
      <c r="O25" s="27"/>
      <c r="P25" s="27"/>
      <c r="Q25" s="27"/>
      <c r="R25" s="27"/>
      <c r="S25" s="38"/>
      <c r="T25" s="38"/>
      <c r="U25" s="27"/>
      <c r="V25" s="27"/>
      <c r="W25" s="27"/>
      <c r="X25" s="27"/>
    </row>
    <row r="26" spans="1:27">
      <c r="A26" s="17"/>
      <c r="B26" s="9"/>
      <c r="C26" s="146"/>
      <c r="D26" s="146"/>
      <c r="E26" s="146"/>
      <c r="F26" s="146"/>
      <c r="G26" s="146"/>
      <c r="H26" s="146"/>
      <c r="I26" s="146"/>
      <c r="J26" s="146"/>
      <c r="K26" s="146"/>
      <c r="L26" s="146"/>
      <c r="M26" s="146"/>
      <c r="N26" s="146"/>
      <c r="O26" s="146"/>
      <c r="P26" s="146"/>
      <c r="Q26" s="146"/>
      <c r="R26" s="146"/>
      <c r="S26" s="146"/>
      <c r="T26" s="146"/>
      <c r="U26" s="146"/>
      <c r="V26" s="146"/>
      <c r="W26" s="146"/>
      <c r="X26" s="146"/>
    </row>
    <row r="27" spans="1:27">
      <c r="A27" s="24" t="s">
        <v>447</v>
      </c>
      <c r="B27" s="3"/>
      <c r="C27" s="146"/>
      <c r="D27" s="146"/>
      <c r="E27" s="146"/>
      <c r="F27" s="146"/>
      <c r="G27" s="370" t="s">
        <v>448</v>
      </c>
      <c r="H27" s="146"/>
      <c r="I27" s="146"/>
      <c r="J27" s="146"/>
      <c r="K27" s="146"/>
      <c r="L27" s="146"/>
      <c r="M27" s="146"/>
      <c r="N27" s="370" t="s">
        <v>448</v>
      </c>
      <c r="O27" s="146"/>
      <c r="P27" s="146"/>
      <c r="Q27" s="146"/>
      <c r="R27" s="146"/>
      <c r="S27" s="146"/>
      <c r="T27" s="146"/>
      <c r="U27" s="370" t="s">
        <v>448</v>
      </c>
      <c r="V27" s="146"/>
      <c r="W27" s="146"/>
      <c r="X27" s="146"/>
    </row>
    <row r="28" spans="1:27" hidden="1">
      <c r="A28" s="25" t="s">
        <v>449</v>
      </c>
      <c r="B28" s="3"/>
      <c r="C28" s="146"/>
      <c r="D28" s="146"/>
      <c r="E28" s="146"/>
      <c r="F28" s="146"/>
      <c r="G28" s="146"/>
      <c r="H28" s="146"/>
      <c r="I28" s="146"/>
      <c r="J28" s="146"/>
      <c r="K28" s="146"/>
      <c r="L28" s="146"/>
      <c r="M28" s="146"/>
      <c r="N28" s="146"/>
      <c r="O28" s="146"/>
      <c r="P28" s="146"/>
      <c r="Q28" s="146"/>
      <c r="R28" s="146"/>
      <c r="S28" s="146"/>
      <c r="T28" s="146"/>
      <c r="U28" s="146"/>
      <c r="V28" s="146"/>
      <c r="W28" s="146"/>
      <c r="X28" s="146"/>
    </row>
    <row r="29" spans="1:27">
      <c r="A29" s="25" t="s">
        <v>450</v>
      </c>
      <c r="B29" s="3"/>
      <c r="C29" s="146">
        <v>475</v>
      </c>
      <c r="D29" s="146">
        <v>685</v>
      </c>
      <c r="E29" s="146">
        <v>909</v>
      </c>
      <c r="F29" s="146">
        <v>1169</v>
      </c>
      <c r="G29" s="59" t="s">
        <v>451</v>
      </c>
      <c r="H29" s="146"/>
      <c r="I29" s="146"/>
      <c r="J29" s="146"/>
      <c r="K29" s="146">
        <v>514</v>
      </c>
      <c r="L29" s="146">
        <v>578</v>
      </c>
      <c r="M29" s="146">
        <v>728</v>
      </c>
      <c r="N29" s="59" t="s">
        <v>452</v>
      </c>
      <c r="O29" s="146"/>
      <c r="P29" s="146"/>
      <c r="Q29" s="146"/>
      <c r="R29" s="146">
        <v>612</v>
      </c>
      <c r="S29" s="146">
        <v>620</v>
      </c>
      <c r="T29" s="146">
        <v>620</v>
      </c>
      <c r="U29" s="59" t="s">
        <v>453</v>
      </c>
      <c r="V29" s="146"/>
      <c r="W29" s="146"/>
      <c r="X29" s="146"/>
      <c r="Y29" s="371"/>
      <c r="Z29" s="371"/>
      <c r="AA29" s="371"/>
    </row>
    <row r="30" spans="1:27">
      <c r="A30" s="25" t="s">
        <v>454</v>
      </c>
      <c r="B30" s="13"/>
      <c r="C30" s="146">
        <v>358</v>
      </c>
      <c r="D30" s="146">
        <v>467</v>
      </c>
      <c r="E30" s="146">
        <v>663</v>
      </c>
      <c r="F30" s="146">
        <v>790</v>
      </c>
      <c r="G30" s="59" t="s">
        <v>455</v>
      </c>
      <c r="H30" s="146"/>
      <c r="I30" s="146"/>
      <c r="J30" s="146"/>
      <c r="K30" s="146">
        <v>247</v>
      </c>
      <c r="L30" s="146">
        <v>292</v>
      </c>
      <c r="M30" s="146">
        <v>352</v>
      </c>
      <c r="N30" s="59" t="s">
        <v>456</v>
      </c>
      <c r="O30" s="146"/>
      <c r="P30" s="146"/>
      <c r="Q30" s="146"/>
      <c r="R30" s="146">
        <v>1204</v>
      </c>
      <c r="S30" s="146">
        <v>1041</v>
      </c>
      <c r="T30" s="146">
        <v>1035</v>
      </c>
      <c r="U30" s="59" t="s">
        <v>457</v>
      </c>
      <c r="V30" s="146"/>
      <c r="W30" s="146"/>
      <c r="X30" s="146"/>
      <c r="Y30" s="371"/>
      <c r="Z30" s="371"/>
      <c r="AA30" s="371"/>
    </row>
    <row r="31" spans="1:27" hidden="1">
      <c r="A31" s="17" t="s">
        <v>458</v>
      </c>
      <c r="B31" s="13"/>
      <c r="C31" s="146"/>
      <c r="D31" s="146"/>
      <c r="E31" s="146"/>
      <c r="F31" s="146"/>
      <c r="G31" s="146"/>
      <c r="H31" s="146"/>
      <c r="I31" s="146"/>
      <c r="J31" s="146"/>
      <c r="K31" s="146"/>
      <c r="L31" s="146"/>
      <c r="M31" s="146"/>
      <c r="N31" s="146"/>
      <c r="O31" s="146"/>
      <c r="P31" s="146"/>
      <c r="Q31" s="146"/>
      <c r="R31" s="146"/>
      <c r="S31" s="146"/>
      <c r="T31" s="146"/>
      <c r="U31" s="146"/>
      <c r="V31" s="146"/>
      <c r="W31" s="146"/>
      <c r="X31" s="146"/>
    </row>
    <row r="32" spans="1:27" hidden="1">
      <c r="A32" s="17" t="s">
        <v>459</v>
      </c>
      <c r="B32" s="1"/>
      <c r="C32" s="146"/>
      <c r="D32" s="146"/>
      <c r="H32" s="146"/>
      <c r="I32" s="146"/>
      <c r="J32" s="146"/>
      <c r="K32" s="146"/>
      <c r="L32" s="146"/>
      <c r="M32" s="146"/>
      <c r="O32" s="146"/>
      <c r="P32" s="146"/>
      <c r="Q32" s="146"/>
      <c r="R32" s="146"/>
      <c r="S32" s="146"/>
      <c r="T32" s="146"/>
      <c r="V32" s="146"/>
      <c r="W32" s="146"/>
      <c r="X32" s="146"/>
    </row>
    <row r="33" spans="1:24" hidden="1">
      <c r="A33" s="17" t="s">
        <v>460</v>
      </c>
      <c r="B33" s="13"/>
      <c r="C33" s="146"/>
      <c r="D33" s="146"/>
      <c r="E33" s="146"/>
      <c r="F33" s="146"/>
      <c r="G33" s="146"/>
      <c r="H33" s="146"/>
      <c r="I33" s="146"/>
      <c r="J33" s="146"/>
      <c r="K33" s="146"/>
      <c r="L33" s="146"/>
      <c r="M33" s="146"/>
      <c r="N33" s="146"/>
      <c r="O33" s="146"/>
      <c r="P33" s="146"/>
      <c r="Q33" s="146"/>
      <c r="R33" s="146"/>
      <c r="S33" s="146"/>
      <c r="T33" s="146"/>
      <c r="U33" s="146"/>
      <c r="V33" s="146"/>
      <c r="W33" s="146"/>
      <c r="X33" s="146"/>
    </row>
    <row r="34" spans="1:24" hidden="1">
      <c r="A34" s="17" t="s">
        <v>461</v>
      </c>
      <c r="B34" s="13"/>
      <c r="C34" s="146"/>
      <c r="D34" s="146"/>
      <c r="E34" s="146"/>
      <c r="F34" s="146"/>
      <c r="G34" s="146"/>
      <c r="H34" s="146"/>
      <c r="I34" s="146"/>
      <c r="J34" s="146"/>
      <c r="K34" s="146"/>
      <c r="L34" s="146"/>
      <c r="N34" s="146"/>
      <c r="O34" s="146"/>
      <c r="P34" s="146"/>
      <c r="Q34" s="146"/>
      <c r="R34" s="146"/>
      <c r="U34" s="146"/>
      <c r="V34" s="146"/>
      <c r="W34" s="146"/>
      <c r="X34" s="146"/>
    </row>
    <row r="35" spans="1:24" hidden="1">
      <c r="A35" s="25" t="s">
        <v>462</v>
      </c>
      <c r="B35" s="13"/>
      <c r="C35" s="36"/>
      <c r="D35" s="36"/>
      <c r="E35" s="146"/>
      <c r="F35" s="146"/>
      <c r="G35" s="146"/>
      <c r="H35" s="146"/>
      <c r="I35" s="146"/>
      <c r="J35" s="146"/>
      <c r="K35" s="58"/>
      <c r="L35" s="146"/>
      <c r="M35" s="146"/>
      <c r="N35" s="146"/>
      <c r="O35" s="146"/>
      <c r="P35" s="146"/>
      <c r="Q35" s="146"/>
      <c r="R35" s="58"/>
      <c r="S35" s="146"/>
      <c r="T35" s="146"/>
      <c r="U35" s="146"/>
      <c r="V35" s="146"/>
      <c r="W35" s="146"/>
      <c r="X35" s="146"/>
    </row>
    <row r="36" spans="1:24" hidden="1">
      <c r="A36" s="29" t="s">
        <v>463</v>
      </c>
      <c r="B36" s="13"/>
      <c r="C36" s="146"/>
      <c r="D36" s="146"/>
      <c r="E36" s="146"/>
      <c r="F36" s="146"/>
      <c r="G36" s="146"/>
      <c r="H36" s="146"/>
      <c r="I36" s="146"/>
      <c r="J36" s="146"/>
      <c r="K36" s="146"/>
      <c r="L36" s="146"/>
      <c r="M36" s="146"/>
      <c r="N36" s="146"/>
      <c r="O36" s="146"/>
      <c r="P36" s="146"/>
      <c r="Q36" s="146"/>
      <c r="R36" s="146"/>
      <c r="S36" s="146"/>
      <c r="T36" s="146"/>
      <c r="U36" s="146"/>
      <c r="V36" s="146"/>
      <c r="W36" s="146"/>
      <c r="X36" s="146"/>
    </row>
    <row r="37" spans="1:24">
      <c r="A37" s="25" t="s">
        <v>464</v>
      </c>
      <c r="B37" s="13"/>
      <c r="C37" s="372">
        <v>4.4000000000000004</v>
      </c>
      <c r="D37" s="146">
        <v>-31.5</v>
      </c>
      <c r="E37" s="146">
        <v>-31.3</v>
      </c>
      <c r="F37" s="146">
        <v>-27</v>
      </c>
      <c r="G37" s="146"/>
      <c r="H37" s="146"/>
      <c r="I37" s="146"/>
      <c r="J37" s="146"/>
      <c r="K37" s="146">
        <v>6.6</v>
      </c>
      <c r="L37" s="146">
        <v>4.9000000000000004</v>
      </c>
      <c r="M37" s="146">
        <v>31</v>
      </c>
      <c r="N37" s="146"/>
      <c r="O37" s="146"/>
      <c r="P37" s="146"/>
      <c r="Q37" s="146"/>
      <c r="R37" s="146">
        <v>16.399999999999999</v>
      </c>
      <c r="S37" s="146">
        <v>-46</v>
      </c>
      <c r="T37" s="146">
        <v>-76</v>
      </c>
      <c r="U37" s="146"/>
      <c r="V37" s="146"/>
      <c r="W37" s="146"/>
      <c r="X37" s="146"/>
    </row>
    <row r="38" spans="1:24">
      <c r="A38" s="25" t="s">
        <v>465</v>
      </c>
      <c r="B38" s="13"/>
      <c r="C38" s="146">
        <f>10-71</f>
        <v>-61</v>
      </c>
      <c r="D38" s="146">
        <f>-0.8-89</f>
        <v>-89.8</v>
      </c>
      <c r="E38" s="146">
        <f>2-97</f>
        <v>-95</v>
      </c>
      <c r="F38" s="146">
        <f>35-111</f>
        <v>-76</v>
      </c>
      <c r="G38" s="146"/>
      <c r="H38" s="146"/>
      <c r="I38" s="146"/>
      <c r="J38" s="146"/>
      <c r="K38" s="146">
        <f>18-63</f>
        <v>-45</v>
      </c>
      <c r="L38" s="146">
        <f>58+10</f>
        <v>68</v>
      </c>
      <c r="M38" s="146">
        <f>13-0.6</f>
        <v>12.4</v>
      </c>
      <c r="N38" s="146"/>
      <c r="O38" s="146"/>
      <c r="P38" s="146"/>
      <c r="Q38" s="146"/>
      <c r="R38" s="146">
        <f>-242-181+229.5-119.6</f>
        <v>-313.10000000000002</v>
      </c>
      <c r="S38" s="146">
        <f>-336+53-65-127</f>
        <v>-475</v>
      </c>
      <c r="T38" s="146">
        <f>-199-165-182</f>
        <v>-546</v>
      </c>
      <c r="U38" s="146"/>
      <c r="V38" s="146"/>
      <c r="W38" s="146"/>
      <c r="X38" s="146"/>
    </row>
    <row r="39" spans="1:24">
      <c r="A39" s="17"/>
      <c r="B39" s="9"/>
      <c r="C39" s="146"/>
      <c r="D39" s="146"/>
      <c r="E39" s="146"/>
      <c r="H39" s="146"/>
      <c r="I39" s="146"/>
      <c r="J39" s="146"/>
      <c r="K39" s="146"/>
      <c r="L39" s="146"/>
      <c r="M39" s="146"/>
      <c r="O39" s="146"/>
      <c r="P39" s="146"/>
      <c r="Q39" s="146"/>
      <c r="R39" s="146"/>
      <c r="S39" s="146"/>
      <c r="T39" s="146"/>
      <c r="V39" s="146"/>
      <c r="W39" s="146"/>
      <c r="X39" s="146"/>
    </row>
    <row r="40" spans="1:24">
      <c r="A40" s="24" t="s">
        <v>466</v>
      </c>
      <c r="B40" s="13"/>
      <c r="C40" s="146">
        <f>C24-C29-C30</f>
        <v>488</v>
      </c>
      <c r="D40" s="146">
        <f>D24-D29-D30</f>
        <v>590</v>
      </c>
      <c r="E40" s="146">
        <f>E24-E29-E30</f>
        <v>955</v>
      </c>
      <c r="F40" s="146">
        <f>F24-F29-F30</f>
        <v>1346</v>
      </c>
      <c r="G40" s="146"/>
      <c r="H40" s="146"/>
      <c r="I40" s="146"/>
      <c r="J40" s="146"/>
      <c r="K40" s="146">
        <f>K24-K29-K30</f>
        <v>473</v>
      </c>
      <c r="L40" s="146">
        <f>L24-L29-L30</f>
        <v>711</v>
      </c>
      <c r="M40" s="146">
        <f>M24-M29-M30</f>
        <v>732</v>
      </c>
      <c r="N40" s="146"/>
      <c r="O40" s="146"/>
      <c r="P40" s="146"/>
      <c r="Q40" s="146"/>
      <c r="R40" s="146">
        <f>R24-R29-R30</f>
        <v>104</v>
      </c>
      <c r="S40" s="146">
        <f>S24-S29-S30</f>
        <v>439</v>
      </c>
      <c r="T40" s="146">
        <f>T24-T29-T30</f>
        <v>498</v>
      </c>
      <c r="U40" s="146"/>
      <c r="V40" s="146"/>
      <c r="W40" s="146"/>
      <c r="X40" s="146"/>
    </row>
    <row r="41" spans="1:24">
      <c r="A41" s="23" t="s">
        <v>467</v>
      </c>
      <c r="B41" s="1"/>
      <c r="C41" s="27">
        <f>C40/C22</f>
        <v>0.36941710825132473</v>
      </c>
      <c r="D41" s="27">
        <f>D40/D22</f>
        <v>0.338691159586682</v>
      </c>
      <c r="E41" s="27">
        <f>E40/E22</f>
        <v>0.37791848041155518</v>
      </c>
      <c r="F41" s="27">
        <f>F40/F22</f>
        <v>0.40726172465960664</v>
      </c>
      <c r="G41" s="56"/>
      <c r="H41" s="27"/>
      <c r="I41" s="27"/>
      <c r="J41" s="56"/>
      <c r="K41" s="27">
        <f>K40/K22</f>
        <v>0.38330632090761751</v>
      </c>
      <c r="L41" s="27">
        <f>L40/L22</f>
        <v>0.44971537001897532</v>
      </c>
      <c r="M41" s="27">
        <f>M40/M22</f>
        <v>0.40397350993377484</v>
      </c>
      <c r="N41" s="56"/>
      <c r="O41" s="27"/>
      <c r="P41" s="27"/>
      <c r="Q41" s="27"/>
      <c r="R41" s="27">
        <f>R40/R22</f>
        <v>5.4166666666666669E-2</v>
      </c>
      <c r="S41" s="27">
        <f>S40/S22</f>
        <v>0.20904761904761904</v>
      </c>
      <c r="T41" s="27">
        <f>T40/T22</f>
        <v>0.23130515559684162</v>
      </c>
      <c r="U41" s="56"/>
      <c r="V41" s="27"/>
      <c r="W41" s="27"/>
      <c r="X41" s="27"/>
    </row>
    <row r="42" spans="1:24">
      <c r="A42" s="23"/>
      <c r="B42" s="1"/>
      <c r="C42" s="27"/>
      <c r="D42" s="27"/>
      <c r="E42" s="27"/>
      <c r="F42" s="27"/>
      <c r="G42" s="56"/>
      <c r="H42" s="27"/>
      <c r="I42" s="27"/>
      <c r="J42" s="56"/>
      <c r="K42" s="27"/>
      <c r="L42" s="27"/>
      <c r="M42" s="27"/>
      <c r="N42" s="56"/>
      <c r="O42" s="27"/>
      <c r="P42" s="27"/>
      <c r="Q42" s="27"/>
      <c r="R42" s="27"/>
      <c r="S42" s="27"/>
      <c r="T42" s="27"/>
      <c r="U42" s="56"/>
      <c r="V42" s="27"/>
      <c r="W42" s="27"/>
      <c r="X42" s="27"/>
    </row>
    <row r="43" spans="1:24">
      <c r="A43" s="24" t="s">
        <v>468</v>
      </c>
      <c r="B43" s="13"/>
      <c r="C43" s="146">
        <v>548</v>
      </c>
      <c r="D43" s="146">
        <v>710</v>
      </c>
      <c r="E43" s="146">
        <v>1081</v>
      </c>
      <c r="F43" s="146">
        <v>1448</v>
      </c>
      <c r="G43" s="146"/>
      <c r="H43" s="146"/>
      <c r="I43" s="146"/>
      <c r="J43" s="146"/>
      <c r="K43" s="146">
        <v>512</v>
      </c>
      <c r="L43" s="146">
        <v>638</v>
      </c>
      <c r="M43" s="146">
        <v>689</v>
      </c>
      <c r="N43" s="146"/>
      <c r="O43" s="146"/>
      <c r="P43" s="146"/>
      <c r="Q43" s="146"/>
      <c r="R43" s="146">
        <f>R24-SUM(R29:R38)</f>
        <v>400.69999999999982</v>
      </c>
      <c r="S43" s="146">
        <f>S24-SUM(S29:S38)</f>
        <v>960</v>
      </c>
      <c r="T43" s="146">
        <f>T24-SUM(T29:T38)</f>
        <v>1120</v>
      </c>
      <c r="U43" s="146"/>
      <c r="V43" s="146"/>
      <c r="W43" s="146"/>
      <c r="X43" s="146"/>
    </row>
    <row r="44" spans="1:24">
      <c r="A44" s="23" t="s">
        <v>469</v>
      </c>
      <c r="B44" s="1"/>
      <c r="C44" s="27">
        <f>C43/C22</f>
        <v>0.41483724451173354</v>
      </c>
      <c r="D44" s="27">
        <f>D43/D22</f>
        <v>0.40757749712973596</v>
      </c>
      <c r="E44" s="27">
        <f>E43/E22</f>
        <v>0.42777997625643055</v>
      </c>
      <c r="F44" s="27">
        <f>F43/F22</f>
        <v>0.43812405446293495</v>
      </c>
      <c r="G44" s="56"/>
      <c r="H44" s="27"/>
      <c r="I44" s="27"/>
      <c r="J44" s="56"/>
      <c r="K44" s="27">
        <f>K43/K22</f>
        <v>0.41491085899513774</v>
      </c>
      <c r="L44" s="27">
        <f>L43/L22</f>
        <v>0.40354206198608478</v>
      </c>
      <c r="M44" s="27">
        <f>M43/M22</f>
        <v>0.38024282560706402</v>
      </c>
      <c r="N44" s="56"/>
      <c r="O44" s="27"/>
      <c r="P44" s="27"/>
      <c r="Q44" s="27"/>
      <c r="R44" s="27">
        <f>R43/R22</f>
        <v>0.20869791666666657</v>
      </c>
      <c r="S44" s="27">
        <f>S43/S22</f>
        <v>0.45714285714285713</v>
      </c>
      <c r="T44" s="27">
        <f>T43/T22</f>
        <v>0.5202043660009289</v>
      </c>
      <c r="U44" s="56"/>
      <c r="V44" s="27"/>
      <c r="W44" s="27"/>
      <c r="X44" s="27"/>
    </row>
    <row r="45" spans="1:24">
      <c r="A45" s="17"/>
      <c r="B45" s="1"/>
      <c r="C45" s="146"/>
      <c r="D45" s="146"/>
      <c r="E45" s="146"/>
      <c r="F45" s="146"/>
      <c r="G45" s="146"/>
      <c r="H45" s="146"/>
      <c r="I45" s="146"/>
      <c r="J45" s="146"/>
      <c r="K45" s="146"/>
      <c r="L45" s="146"/>
      <c r="M45" s="146"/>
      <c r="N45" s="146"/>
      <c r="O45" s="146"/>
      <c r="P45" s="146"/>
      <c r="Q45" s="146"/>
      <c r="R45" s="146"/>
      <c r="S45" s="146"/>
      <c r="T45" s="146"/>
      <c r="U45" s="146"/>
      <c r="V45" s="146"/>
      <c r="W45" s="146"/>
      <c r="X45" s="146"/>
    </row>
    <row r="46" spans="1:24" hidden="1">
      <c r="A46" s="17" t="s">
        <v>470</v>
      </c>
      <c r="B46" s="13"/>
      <c r="C46" s="146"/>
      <c r="D46" s="146"/>
      <c r="E46" s="146"/>
      <c r="F46" s="146"/>
      <c r="G46" s="146"/>
      <c r="H46" s="146"/>
      <c r="I46" s="146"/>
      <c r="J46" s="146"/>
      <c r="K46" s="146"/>
      <c r="L46" s="146"/>
      <c r="M46" s="146"/>
      <c r="N46" s="146"/>
      <c r="O46" s="146"/>
      <c r="P46" s="146"/>
      <c r="Q46" s="146"/>
      <c r="R46" s="146"/>
      <c r="S46" s="146"/>
      <c r="T46" s="146"/>
      <c r="U46" s="146"/>
      <c r="V46" s="146"/>
      <c r="W46" s="146"/>
      <c r="X46" s="146"/>
    </row>
    <row r="47" spans="1:24" hidden="1">
      <c r="A47" s="17" t="s">
        <v>471</v>
      </c>
      <c r="B47" s="13"/>
      <c r="C47" s="146"/>
      <c r="D47" s="146"/>
      <c r="E47" s="146"/>
      <c r="F47" s="146"/>
      <c r="G47" s="146"/>
      <c r="H47" s="146"/>
      <c r="I47" s="146"/>
      <c r="J47" s="146"/>
      <c r="K47" s="146"/>
      <c r="L47" s="146"/>
      <c r="M47" s="146"/>
      <c r="N47" s="146"/>
      <c r="O47" s="146"/>
      <c r="P47" s="146"/>
      <c r="Q47" s="146"/>
      <c r="R47" s="146"/>
      <c r="S47" s="146"/>
      <c r="T47" s="146"/>
      <c r="U47" s="146"/>
      <c r="V47" s="146"/>
      <c r="W47" s="146"/>
      <c r="X47" s="146"/>
    </row>
    <row r="48" spans="1:24" hidden="1">
      <c r="A48" s="17" t="s">
        <v>472</v>
      </c>
      <c r="B48" s="49"/>
      <c r="C48" s="146"/>
      <c r="D48" s="146"/>
      <c r="E48" s="146"/>
      <c r="F48" s="146"/>
      <c r="G48" s="146"/>
      <c r="H48" s="146"/>
      <c r="I48" s="146"/>
      <c r="J48" s="146"/>
      <c r="K48" s="146"/>
      <c r="L48" s="146"/>
      <c r="M48" s="146"/>
      <c r="N48" s="146"/>
      <c r="O48" s="146"/>
      <c r="P48" s="146"/>
      <c r="Q48" s="146"/>
      <c r="R48" s="146"/>
      <c r="S48" s="146"/>
      <c r="T48" s="146"/>
      <c r="U48" s="146"/>
      <c r="V48" s="146"/>
      <c r="W48" s="146"/>
      <c r="X48" s="146"/>
    </row>
    <row r="49" spans="1:24" ht="23" hidden="1">
      <c r="A49" s="37" t="s">
        <v>473</v>
      </c>
      <c r="B49" s="13"/>
      <c r="C49" s="146"/>
      <c r="D49" s="146"/>
      <c r="E49" s="146"/>
      <c r="F49" s="146"/>
      <c r="G49" s="146"/>
      <c r="H49" s="146"/>
      <c r="I49" s="146"/>
      <c r="J49" s="146"/>
      <c r="K49" s="146"/>
      <c r="L49" s="146"/>
      <c r="M49" s="146"/>
      <c r="N49" s="146"/>
      <c r="O49" s="146"/>
      <c r="P49" s="146"/>
      <c r="Q49" s="146"/>
      <c r="R49" s="146"/>
      <c r="S49" s="146"/>
      <c r="T49" s="146"/>
      <c r="U49" s="146"/>
      <c r="V49" s="146"/>
      <c r="W49" s="146"/>
      <c r="X49" s="146"/>
    </row>
    <row r="50" spans="1:24" hidden="1">
      <c r="A50" s="17" t="s">
        <v>474</v>
      </c>
      <c r="B50" s="13"/>
      <c r="C50" s="146"/>
      <c r="D50" s="146"/>
      <c r="E50" s="146"/>
      <c r="F50" s="146"/>
      <c r="G50" s="146"/>
      <c r="H50" s="146"/>
      <c r="I50" s="146"/>
      <c r="J50" s="146"/>
      <c r="K50" s="146"/>
      <c r="L50" s="146"/>
      <c r="M50" s="146"/>
      <c r="N50" s="146"/>
      <c r="O50" s="146"/>
      <c r="P50" s="146"/>
      <c r="Q50" s="146"/>
      <c r="R50" s="146"/>
      <c r="S50" s="146"/>
      <c r="T50" s="146"/>
      <c r="U50" s="146"/>
      <c r="V50" s="146"/>
      <c r="W50" s="146"/>
      <c r="X50" s="146"/>
    </row>
    <row r="51" spans="1:24" hidden="1">
      <c r="A51" s="17" t="s">
        <v>475</v>
      </c>
      <c r="B51" s="1"/>
      <c r="C51" s="146"/>
      <c r="D51" s="146"/>
      <c r="E51" s="146"/>
      <c r="F51" s="146"/>
      <c r="G51" s="146"/>
      <c r="H51" s="146"/>
      <c r="I51" s="146"/>
      <c r="J51" s="146"/>
      <c r="K51" s="146"/>
      <c r="N51" s="146"/>
      <c r="O51" s="146"/>
      <c r="P51" s="146"/>
      <c r="Q51" s="146"/>
      <c r="R51" s="146"/>
      <c r="U51" s="146"/>
      <c r="V51" s="146"/>
      <c r="W51" s="146"/>
      <c r="X51" s="146"/>
    </row>
    <row r="52" spans="1:24" hidden="1">
      <c r="A52" s="17" t="s">
        <v>476</v>
      </c>
      <c r="B52" s="1"/>
      <c r="C52" s="146"/>
      <c r="D52" s="146"/>
      <c r="E52" s="146"/>
      <c r="F52" s="146"/>
      <c r="G52" s="146"/>
      <c r="H52" s="146"/>
      <c r="I52" s="146"/>
      <c r="J52" s="146"/>
      <c r="K52" s="146"/>
      <c r="L52" s="146"/>
      <c r="M52" s="146"/>
      <c r="N52" s="146"/>
      <c r="O52" s="146"/>
      <c r="P52" s="146"/>
      <c r="Q52" s="146"/>
      <c r="R52" s="146"/>
      <c r="S52" s="146"/>
      <c r="T52" s="146"/>
      <c r="U52" s="146"/>
      <c r="V52" s="146"/>
      <c r="W52" s="146"/>
      <c r="X52" s="146"/>
    </row>
    <row r="53" spans="1:24" ht="23" hidden="1">
      <c r="A53" s="22" t="s">
        <v>477</v>
      </c>
      <c r="B53" s="13"/>
      <c r="C53" s="146"/>
      <c r="D53" s="146"/>
      <c r="E53" s="146"/>
      <c r="F53" s="146"/>
      <c r="G53" s="146"/>
      <c r="H53" s="146"/>
      <c r="I53" s="146"/>
      <c r="J53" s="146"/>
      <c r="K53" s="146"/>
      <c r="L53" s="140"/>
      <c r="M53" s="146"/>
      <c r="N53" s="146"/>
      <c r="O53" s="146"/>
      <c r="P53" s="146"/>
      <c r="Q53" s="146"/>
      <c r="R53" s="146"/>
      <c r="S53" s="152"/>
      <c r="T53" s="152"/>
      <c r="U53" s="146"/>
      <c r="V53" s="152"/>
      <c r="W53" s="152"/>
      <c r="X53" s="152"/>
    </row>
    <row r="54" spans="1:24">
      <c r="A54" s="24" t="s">
        <v>478</v>
      </c>
      <c r="B54" s="13"/>
      <c r="C54" s="146">
        <v>436</v>
      </c>
      <c r="D54" s="146">
        <v>555</v>
      </c>
      <c r="E54" s="146">
        <v>835</v>
      </c>
      <c r="F54" s="146">
        <v>1180</v>
      </c>
      <c r="G54" s="146"/>
      <c r="H54" s="146"/>
      <c r="I54" s="146"/>
      <c r="J54" s="146"/>
      <c r="K54" s="146">
        <v>420</v>
      </c>
      <c r="L54" s="146">
        <v>505</v>
      </c>
      <c r="M54" s="146">
        <v>528</v>
      </c>
      <c r="N54" s="146"/>
      <c r="O54" s="146"/>
      <c r="P54" s="146"/>
      <c r="Q54" s="146"/>
      <c r="R54" s="146">
        <v>221</v>
      </c>
      <c r="S54" s="146">
        <v>781</v>
      </c>
      <c r="T54" s="146">
        <v>902</v>
      </c>
      <c r="U54" s="146"/>
      <c r="V54" s="146"/>
      <c r="W54" s="146"/>
      <c r="X54" s="146"/>
    </row>
    <row r="55" spans="1:24">
      <c r="A55" s="23" t="s">
        <v>479</v>
      </c>
      <c r="B55" s="2"/>
      <c r="C55" s="27">
        <f>C54/C22</f>
        <v>0.33005299015897049</v>
      </c>
      <c r="D55" s="27">
        <f>D54/D22</f>
        <v>0.3185993111366246</v>
      </c>
      <c r="E55" s="27">
        <f>E54/E22</f>
        <v>0.33043134151167391</v>
      </c>
      <c r="F55" s="27">
        <f>F54/F22</f>
        <v>0.35703479576399394</v>
      </c>
      <c r="G55" s="27"/>
      <c r="H55" s="27"/>
      <c r="I55" s="27"/>
      <c r="J55" s="27"/>
      <c r="K55" s="27">
        <f>K54/K22</f>
        <v>0.34035656401944897</v>
      </c>
      <c r="L55" s="27">
        <f>L54/L22</f>
        <v>0.31941808981657177</v>
      </c>
      <c r="M55" s="27">
        <f>M54/M22</f>
        <v>0.29139072847682118</v>
      </c>
      <c r="N55" s="27"/>
      <c r="O55" s="27"/>
      <c r="P55" s="27"/>
      <c r="Q55" s="27"/>
      <c r="R55" s="27">
        <f>R54/R22</f>
        <v>0.11510416666666666</v>
      </c>
      <c r="S55" s="27">
        <f>S54/S22</f>
        <v>0.3719047619047619</v>
      </c>
      <c r="T55" s="27">
        <f>T54/T22</f>
        <v>0.41895030190431953</v>
      </c>
      <c r="U55" s="27"/>
      <c r="V55" s="27"/>
      <c r="W55" s="27"/>
      <c r="X55" s="27"/>
    </row>
    <row r="56" spans="1:24" hidden="1">
      <c r="A56" s="17" t="s">
        <v>480</v>
      </c>
      <c r="B56" s="1"/>
      <c r="C56" s="1"/>
      <c r="D56" s="1"/>
      <c r="E56" s="1"/>
      <c r="F56" s="27"/>
      <c r="G56" s="27"/>
      <c r="H56" s="1"/>
      <c r="I56" s="1"/>
      <c r="J56" s="27"/>
      <c r="K56" s="1"/>
      <c r="L56" s="1"/>
      <c r="M56" s="27"/>
      <c r="N56" s="27"/>
      <c r="O56" s="1"/>
      <c r="P56" s="1"/>
      <c r="Q56" s="27"/>
      <c r="R56" s="1"/>
      <c r="S56" s="27"/>
      <c r="T56" s="27"/>
      <c r="U56" s="27"/>
      <c r="V56" s="27"/>
      <c r="W56" s="27"/>
      <c r="X56" s="27"/>
    </row>
    <row r="57" spans="1:24">
      <c r="A57" s="373" t="s">
        <v>481</v>
      </c>
      <c r="C57" s="133">
        <v>313</v>
      </c>
      <c r="D57" s="133">
        <v>410</v>
      </c>
      <c r="E57" s="133">
        <v>685</v>
      </c>
      <c r="F57" s="133">
        <v>1006</v>
      </c>
      <c r="G57" s="374">
        <f>F57*(1+G97)</f>
        <v>1408.3999999999999</v>
      </c>
      <c r="K57" s="133">
        <v>265</v>
      </c>
      <c r="L57" s="133">
        <v>267</v>
      </c>
      <c r="M57" s="133">
        <v>295</v>
      </c>
      <c r="N57" s="374">
        <f>M57*(1+N97)</f>
        <v>345.15</v>
      </c>
      <c r="R57" s="133">
        <v>155</v>
      </c>
      <c r="S57" s="133">
        <v>695</v>
      </c>
      <c r="T57" s="133">
        <v>804</v>
      </c>
    </row>
    <row r="58" spans="1:24">
      <c r="C58" s="375"/>
      <c r="D58" s="375"/>
      <c r="E58" s="375"/>
      <c r="F58" s="375"/>
      <c r="K58" s="375"/>
      <c r="L58" s="375"/>
      <c r="M58" s="375"/>
      <c r="R58" s="375"/>
      <c r="S58" s="375"/>
      <c r="T58" s="375"/>
    </row>
    <row r="59" spans="1:24">
      <c r="A59" s="24" t="s">
        <v>482</v>
      </c>
      <c r="B59" s="9"/>
      <c r="C59" s="1">
        <v>0.44</v>
      </c>
      <c r="D59" s="1">
        <v>0.46600000000000003</v>
      </c>
      <c r="E59" s="1">
        <v>0.77800000000000002</v>
      </c>
      <c r="F59" s="1">
        <v>1.143</v>
      </c>
      <c r="G59" s="121">
        <f>F59*(1+G97)</f>
        <v>1.6001999999999998</v>
      </c>
      <c r="H59" s="27"/>
      <c r="I59" s="1"/>
      <c r="J59" s="1"/>
      <c r="K59" s="1">
        <v>0.64</v>
      </c>
      <c r="L59" s="1">
        <v>0.64</v>
      </c>
      <c r="M59" s="1">
        <v>0.71</v>
      </c>
      <c r="N59" s="121">
        <f>M59*(1+N97)</f>
        <v>0.83069999999999988</v>
      </c>
      <c r="O59" s="1"/>
      <c r="P59" s="1"/>
      <c r="Q59" s="1"/>
      <c r="R59" s="1">
        <v>2.7300000000000001E-2</v>
      </c>
      <c r="S59" s="1">
        <v>0.1221</v>
      </c>
      <c r="T59" s="1">
        <v>0.1416</v>
      </c>
      <c r="U59" s="121"/>
      <c r="V59" s="1"/>
      <c r="W59" s="1"/>
      <c r="X59" s="1"/>
    </row>
    <row r="60" spans="1:24" hidden="1">
      <c r="A60" s="23" t="s">
        <v>483</v>
      </c>
      <c r="B60" s="13"/>
      <c r="C60" s="7"/>
      <c r="D60" s="7"/>
      <c r="E60" s="7"/>
      <c r="F60" s="7"/>
      <c r="G60" s="7"/>
      <c r="H60" s="154"/>
      <c r="I60" s="154"/>
      <c r="J60" s="154"/>
      <c r="K60" s="7"/>
      <c r="L60" s="7"/>
      <c r="M60" s="156"/>
      <c r="N60" s="7"/>
      <c r="O60" s="154"/>
      <c r="P60" s="154"/>
      <c r="Q60" s="154"/>
      <c r="R60" s="7"/>
      <c r="S60" s="156"/>
      <c r="T60" s="156"/>
      <c r="U60" s="7"/>
      <c r="V60" s="154"/>
      <c r="W60" s="146"/>
      <c r="X60" s="146"/>
    </row>
    <row r="61" spans="1:24" hidden="1">
      <c r="A61" s="23" t="s">
        <v>484</v>
      </c>
      <c r="B61" s="13"/>
      <c r="C61" s="7"/>
      <c r="D61" s="7"/>
      <c r="E61" s="7"/>
      <c r="F61" s="7"/>
      <c r="G61" s="7"/>
      <c r="H61" s="154"/>
      <c r="I61" s="154"/>
      <c r="J61" s="154"/>
      <c r="K61" s="7"/>
      <c r="L61" s="7"/>
      <c r="M61" s="156"/>
      <c r="N61" s="7"/>
      <c r="O61" s="154"/>
      <c r="P61" s="154"/>
      <c r="Q61" s="154"/>
      <c r="R61" s="7"/>
      <c r="S61" s="156"/>
      <c r="T61" s="156"/>
      <c r="U61" s="7"/>
      <c r="V61" s="154"/>
      <c r="W61" s="146"/>
      <c r="X61" s="146"/>
    </row>
    <row r="62" spans="1:24" hidden="1">
      <c r="A62" s="23"/>
      <c r="B62" s="2"/>
      <c r="C62" s="7"/>
      <c r="D62" s="7"/>
      <c r="E62" s="7"/>
      <c r="F62" s="156"/>
      <c r="G62" s="156"/>
      <c r="H62" s="7"/>
      <c r="I62" s="7"/>
      <c r="J62" s="156"/>
      <c r="K62" s="7"/>
      <c r="L62" s="7"/>
      <c r="M62" s="156"/>
      <c r="N62" s="156"/>
      <c r="O62" s="7"/>
      <c r="P62" s="7"/>
      <c r="Q62" s="156"/>
      <c r="R62" s="7"/>
      <c r="S62" s="156"/>
      <c r="T62" s="156"/>
      <c r="U62" s="156"/>
      <c r="V62" s="156"/>
      <c r="W62" s="156"/>
      <c r="X62" s="156"/>
    </row>
    <row r="63" spans="1:24" hidden="1">
      <c r="A63" s="214"/>
      <c r="B63" s="138"/>
      <c r="C63" s="55"/>
      <c r="D63" s="55"/>
      <c r="E63" s="55"/>
      <c r="F63" s="55"/>
      <c r="G63" s="55"/>
      <c r="H63" s="5"/>
      <c r="I63" s="5"/>
      <c r="J63" s="5"/>
      <c r="K63" s="55"/>
      <c r="L63" s="55"/>
      <c r="M63" s="55"/>
      <c r="N63" s="55"/>
      <c r="O63" s="5"/>
      <c r="P63" s="5"/>
      <c r="Q63" s="5"/>
      <c r="R63" s="55"/>
      <c r="S63" s="55"/>
      <c r="T63" s="55"/>
      <c r="U63" s="55"/>
      <c r="V63" s="5"/>
      <c r="W63" s="5"/>
      <c r="X63" s="5"/>
    </row>
    <row r="64" spans="1:24" hidden="1">
      <c r="A64" s="18" t="s">
        <v>485</v>
      </c>
      <c r="B64" s="5"/>
      <c r="C64" s="55"/>
      <c r="D64" s="55"/>
      <c r="E64" s="55"/>
      <c r="F64" s="55"/>
      <c r="G64" s="55"/>
      <c r="H64" s="5"/>
      <c r="I64" s="5"/>
      <c r="J64" s="5"/>
      <c r="K64" s="55"/>
      <c r="L64" s="55"/>
      <c r="M64" s="55"/>
      <c r="N64" s="55"/>
      <c r="O64" s="5"/>
      <c r="P64" s="5"/>
      <c r="Q64" s="5"/>
      <c r="R64" s="55"/>
      <c r="S64" s="55"/>
      <c r="T64" s="55"/>
      <c r="U64" s="55"/>
      <c r="V64" s="5"/>
      <c r="W64" s="5"/>
      <c r="X64" s="5"/>
    </row>
    <row r="65" spans="1:24" hidden="1">
      <c r="A65" s="162" t="s">
        <v>486</v>
      </c>
      <c r="B65" s="163"/>
    </row>
    <row r="66" spans="1:24" hidden="1">
      <c r="A66" s="20" t="s">
        <v>487</v>
      </c>
      <c r="B66" s="12"/>
      <c r="C66" s="150"/>
      <c r="D66" s="150"/>
      <c r="E66" s="150"/>
      <c r="F66" s="150"/>
      <c r="G66" s="150"/>
      <c r="H66" s="150"/>
      <c r="I66" s="150"/>
      <c r="J66" s="150"/>
      <c r="N66" s="150"/>
      <c r="S66" s="150"/>
      <c r="T66" s="150"/>
      <c r="U66" s="150"/>
      <c r="V66" s="150"/>
      <c r="W66" s="150"/>
      <c r="X66" s="150"/>
    </row>
    <row r="67" spans="1:24" hidden="1">
      <c r="A67" s="20" t="s">
        <v>488</v>
      </c>
      <c r="B67" s="12"/>
      <c r="C67" s="150"/>
      <c r="D67" s="150"/>
      <c r="E67" s="150"/>
      <c r="F67" s="150"/>
      <c r="G67" s="150"/>
      <c r="H67" s="150"/>
      <c r="I67" s="150"/>
      <c r="J67" s="150"/>
      <c r="N67" s="150"/>
      <c r="S67" s="150"/>
      <c r="T67" s="150"/>
      <c r="U67" s="150"/>
      <c r="V67" s="150"/>
      <c r="W67" s="150"/>
      <c r="X67" s="150"/>
    </row>
    <row r="68" spans="1:24" hidden="1">
      <c r="A68" s="20" t="s">
        <v>489</v>
      </c>
      <c r="B68" s="12"/>
      <c r="C68" s="150"/>
      <c r="D68" s="150"/>
      <c r="E68" s="150"/>
      <c r="F68" s="150"/>
      <c r="G68" s="150"/>
      <c r="H68" s="150"/>
      <c r="I68" s="150"/>
      <c r="J68" s="150"/>
      <c r="N68" s="150"/>
      <c r="S68" s="150"/>
      <c r="T68" s="150"/>
      <c r="U68" s="150"/>
      <c r="V68" s="150"/>
      <c r="W68" s="150"/>
      <c r="X68" s="150"/>
    </row>
    <row r="69" spans="1:24" hidden="1">
      <c r="A69" s="20" t="s">
        <v>490</v>
      </c>
      <c r="B69" s="12"/>
      <c r="C69" s="150"/>
      <c r="D69" s="150"/>
      <c r="E69" s="150"/>
      <c r="F69" s="150"/>
      <c r="G69" s="150"/>
      <c r="H69" s="150"/>
      <c r="I69" s="150"/>
      <c r="J69" s="150"/>
      <c r="N69" s="150"/>
      <c r="S69" s="150"/>
      <c r="T69" s="150"/>
      <c r="U69" s="150"/>
      <c r="V69" s="150"/>
      <c r="W69" s="150"/>
      <c r="X69" s="150"/>
    </row>
    <row r="70" spans="1:24" hidden="1">
      <c r="A70" s="20" t="s">
        <v>491</v>
      </c>
      <c r="B70" s="12"/>
      <c r="C70" s="150"/>
      <c r="D70" s="150"/>
      <c r="E70" s="150"/>
      <c r="F70" s="150"/>
      <c r="G70" s="150"/>
      <c r="H70" s="150"/>
      <c r="I70" s="150"/>
      <c r="J70" s="150"/>
      <c r="N70" s="150"/>
      <c r="S70" s="150"/>
      <c r="T70" s="150"/>
      <c r="U70" s="150"/>
      <c r="V70" s="150"/>
      <c r="W70" s="150"/>
      <c r="X70" s="150"/>
    </row>
    <row r="71" spans="1:24" hidden="1">
      <c r="A71" s="48" t="s">
        <v>492</v>
      </c>
      <c r="B71" s="50"/>
      <c r="C71" s="11"/>
      <c r="D71" s="11"/>
      <c r="E71" s="11"/>
      <c r="F71" s="213"/>
      <c r="G71" s="213"/>
      <c r="H71" s="11"/>
      <c r="I71" s="11"/>
      <c r="J71" s="213"/>
      <c r="K71" s="11"/>
      <c r="L71" s="11"/>
      <c r="M71" s="213"/>
      <c r="N71" s="213"/>
      <c r="O71" s="11"/>
      <c r="P71" s="11"/>
      <c r="Q71" s="213"/>
      <c r="R71" s="11"/>
      <c r="S71" s="213"/>
      <c r="T71" s="213"/>
      <c r="U71" s="213"/>
      <c r="V71" s="213"/>
      <c r="W71" s="213"/>
      <c r="X71" s="213"/>
    </row>
    <row r="72" spans="1:24" hidden="1">
      <c r="A72" s="20" t="s">
        <v>493</v>
      </c>
      <c r="B72" s="12"/>
      <c r="C72" s="150"/>
      <c r="D72" s="150"/>
      <c r="E72" s="150"/>
      <c r="F72" s="150"/>
      <c r="G72" s="150"/>
      <c r="H72" s="150"/>
      <c r="I72" s="150"/>
      <c r="J72" s="150"/>
      <c r="K72" s="150"/>
      <c r="L72" s="150"/>
      <c r="M72" s="150"/>
      <c r="N72" s="150"/>
      <c r="O72" s="150"/>
      <c r="P72" s="150"/>
      <c r="Q72" s="150"/>
      <c r="R72" s="150"/>
      <c r="S72" s="150"/>
      <c r="T72" s="150"/>
      <c r="U72" s="150"/>
      <c r="V72" s="150"/>
      <c r="W72" s="150"/>
      <c r="X72" s="150"/>
    </row>
    <row r="73" spans="1:24" hidden="1">
      <c r="A73" s="20" t="s">
        <v>494</v>
      </c>
      <c r="B73" s="12"/>
      <c r="C73" s="150"/>
      <c r="D73" s="150"/>
      <c r="E73" s="150"/>
      <c r="F73" s="150"/>
      <c r="G73" s="150"/>
      <c r="H73" s="150"/>
      <c r="I73" s="150"/>
      <c r="J73" s="150"/>
      <c r="K73" s="150"/>
      <c r="L73" s="150"/>
      <c r="M73" s="150"/>
      <c r="N73" s="150"/>
      <c r="O73" s="150"/>
      <c r="P73" s="150"/>
      <c r="Q73" s="150"/>
      <c r="R73" s="150"/>
      <c r="S73" s="56"/>
      <c r="T73" s="56"/>
      <c r="U73" s="150"/>
      <c r="V73" s="56"/>
      <c r="W73" s="56"/>
      <c r="X73" s="56"/>
    </row>
    <row r="74" spans="1:24" hidden="1">
      <c r="A74" s="20" t="s">
        <v>495</v>
      </c>
      <c r="B74" s="12"/>
      <c r="C74" s="150"/>
      <c r="D74" s="150"/>
      <c r="E74" s="150"/>
      <c r="F74" s="150"/>
      <c r="G74" s="150"/>
      <c r="H74" s="150"/>
      <c r="I74" s="150"/>
      <c r="J74" s="150"/>
      <c r="K74" s="150"/>
      <c r="L74" s="150"/>
      <c r="M74" s="150"/>
      <c r="N74" s="150"/>
      <c r="O74" s="150"/>
      <c r="P74" s="150"/>
      <c r="Q74" s="150"/>
      <c r="R74" s="150"/>
      <c r="S74" s="56"/>
      <c r="T74" s="56"/>
      <c r="U74" s="150"/>
      <c r="V74" s="56"/>
      <c r="W74" s="56"/>
      <c r="X74" s="56"/>
    </row>
    <row r="75" spans="1:24" hidden="1">
      <c r="A75" s="20" t="s">
        <v>496</v>
      </c>
      <c r="B75" s="12"/>
      <c r="C75" s="38"/>
      <c r="D75" s="38"/>
      <c r="E75" s="38"/>
      <c r="F75" s="38"/>
      <c r="G75" s="38"/>
      <c r="H75" s="38"/>
      <c r="I75" s="38"/>
      <c r="J75" s="38"/>
      <c r="K75" s="38"/>
      <c r="L75" s="38"/>
      <c r="M75" s="38"/>
      <c r="N75" s="38"/>
      <c r="O75" s="38"/>
      <c r="P75" s="38"/>
      <c r="Q75" s="38"/>
      <c r="R75" s="38"/>
      <c r="S75" s="38"/>
      <c r="T75" s="38"/>
      <c r="U75" s="38"/>
      <c r="V75" s="38"/>
      <c r="W75" s="38"/>
      <c r="X75" s="38"/>
    </row>
    <row r="76" spans="1:24" hidden="1">
      <c r="A76" s="28" t="s">
        <v>497</v>
      </c>
      <c r="B76" s="51"/>
      <c r="C76" s="10"/>
      <c r="D76" s="10"/>
      <c r="E76" s="10"/>
      <c r="F76" s="10"/>
      <c r="G76" s="10"/>
      <c r="H76" s="10"/>
      <c r="I76" s="10"/>
      <c r="J76" s="10"/>
      <c r="K76" s="10"/>
      <c r="L76" s="10"/>
      <c r="M76" s="10"/>
      <c r="N76" s="10"/>
      <c r="O76" s="10"/>
      <c r="P76" s="10"/>
      <c r="Q76" s="10"/>
      <c r="R76" s="10"/>
      <c r="S76" s="56"/>
      <c r="T76" s="150"/>
      <c r="U76" s="10"/>
      <c r="V76" s="150"/>
      <c r="W76" s="56"/>
      <c r="X76" s="10"/>
    </row>
    <row r="77" spans="1:24" hidden="1">
      <c r="A77" s="209" t="s">
        <v>498</v>
      </c>
      <c r="B77" s="208"/>
      <c r="C77" s="212"/>
      <c r="D77" s="212"/>
      <c r="E77" s="212"/>
      <c r="F77" s="138"/>
      <c r="G77" s="138"/>
      <c r="H77" s="212"/>
      <c r="I77" s="212"/>
      <c r="J77" s="138"/>
      <c r="K77" s="212"/>
      <c r="L77" s="212"/>
      <c r="M77" s="138"/>
      <c r="N77" s="138"/>
      <c r="O77" s="212"/>
      <c r="P77" s="212"/>
      <c r="Q77" s="138"/>
      <c r="R77" s="212"/>
      <c r="S77" s="138"/>
      <c r="T77" s="138"/>
      <c r="U77" s="138"/>
      <c r="V77" s="138"/>
      <c r="W77" s="138"/>
      <c r="X77" s="138"/>
    </row>
    <row r="78" spans="1:24" hidden="1">
      <c r="A78" s="17" t="s">
        <v>499</v>
      </c>
      <c r="B78" s="1"/>
      <c r="C78" s="1"/>
      <c r="D78" s="1"/>
      <c r="E78" s="1"/>
      <c r="H78" s="1"/>
      <c r="I78" s="1"/>
      <c r="K78" s="1"/>
      <c r="L78" s="1"/>
      <c r="O78" s="1"/>
      <c r="P78" s="1"/>
      <c r="R78" s="1"/>
    </row>
    <row r="79" spans="1:24" hidden="1">
      <c r="A79" s="17" t="s">
        <v>487</v>
      </c>
      <c r="B79" s="1"/>
      <c r="C79" s="150"/>
      <c r="D79" s="150"/>
      <c r="E79" s="150"/>
      <c r="F79" s="150"/>
      <c r="G79" s="150"/>
      <c r="H79" s="150"/>
      <c r="I79" s="150"/>
      <c r="J79" s="150"/>
      <c r="K79" s="150"/>
      <c r="L79" s="150"/>
      <c r="M79" s="150"/>
      <c r="N79" s="150"/>
      <c r="O79" s="27"/>
      <c r="P79" s="27"/>
      <c r="Q79" s="27"/>
      <c r="R79" s="150"/>
      <c r="S79" s="150"/>
      <c r="T79" s="150"/>
      <c r="U79" s="150"/>
      <c r="V79" s="27"/>
      <c r="W79" s="27"/>
      <c r="X79" s="27"/>
    </row>
    <row r="80" spans="1:24" hidden="1">
      <c r="A80" s="17" t="s">
        <v>488</v>
      </c>
      <c r="B80" s="1"/>
      <c r="C80" s="150"/>
      <c r="D80" s="150"/>
      <c r="E80" s="150"/>
      <c r="F80" s="150"/>
      <c r="G80" s="150"/>
      <c r="H80" s="150"/>
      <c r="I80" s="150"/>
      <c r="J80" s="150"/>
      <c r="K80" s="150"/>
      <c r="L80" s="150"/>
      <c r="M80" s="150"/>
      <c r="N80" s="150"/>
      <c r="O80" s="27"/>
      <c r="P80" s="27"/>
      <c r="Q80" s="27"/>
      <c r="R80" s="150"/>
      <c r="S80" s="150"/>
      <c r="T80" s="150"/>
      <c r="U80" s="150"/>
      <c r="V80" s="27"/>
      <c r="W80" s="27"/>
      <c r="X80" s="27"/>
    </row>
    <row r="81" spans="1:24" hidden="1">
      <c r="A81" s="17" t="s">
        <v>489</v>
      </c>
      <c r="B81" s="1"/>
      <c r="C81" s="150"/>
      <c r="D81" s="150"/>
      <c r="E81" s="150"/>
      <c r="F81" s="150"/>
      <c r="G81" s="150"/>
      <c r="H81" s="150"/>
      <c r="I81" s="150"/>
      <c r="J81" s="150"/>
      <c r="K81" s="150"/>
      <c r="L81" s="150"/>
      <c r="M81" s="150"/>
      <c r="N81" s="150"/>
      <c r="O81" s="27"/>
      <c r="P81" s="27"/>
      <c r="Q81" s="27"/>
      <c r="R81" s="150"/>
      <c r="S81" s="150"/>
      <c r="T81" s="150"/>
      <c r="U81" s="150"/>
      <c r="V81" s="27"/>
      <c r="W81" s="27"/>
      <c r="X81" s="27"/>
    </row>
    <row r="82" spans="1:24" hidden="1">
      <c r="A82" s="17" t="s">
        <v>490</v>
      </c>
      <c r="B82" s="1"/>
      <c r="C82" s="150"/>
      <c r="D82" s="150"/>
      <c r="E82" s="150"/>
      <c r="F82" s="150"/>
      <c r="G82" s="150"/>
      <c r="H82" s="150"/>
      <c r="I82" s="150"/>
      <c r="J82" s="150"/>
      <c r="K82" s="150"/>
      <c r="L82" s="150"/>
      <c r="M82" s="150"/>
      <c r="N82" s="150"/>
      <c r="O82" s="27"/>
      <c r="P82" s="27"/>
      <c r="Q82" s="27"/>
      <c r="R82" s="150"/>
      <c r="S82" s="150"/>
      <c r="T82" s="150"/>
      <c r="U82" s="150"/>
      <c r="V82" s="27"/>
      <c r="W82" s="27"/>
      <c r="X82" s="27"/>
    </row>
    <row r="83" spans="1:24" hidden="1">
      <c r="A83" s="17" t="s">
        <v>491</v>
      </c>
      <c r="B83" s="1"/>
      <c r="C83" s="150"/>
      <c r="D83" s="150"/>
      <c r="E83" s="150"/>
      <c r="F83" s="150"/>
      <c r="G83" s="150"/>
      <c r="H83" s="150"/>
      <c r="I83" s="150"/>
      <c r="J83" s="150"/>
      <c r="K83" s="150"/>
      <c r="L83" s="150"/>
      <c r="M83" s="150"/>
      <c r="N83" s="150"/>
      <c r="O83" s="27"/>
      <c r="P83" s="27"/>
      <c r="Q83" s="27"/>
      <c r="R83" s="150"/>
      <c r="S83" s="150"/>
      <c r="T83" s="150"/>
      <c r="U83" s="150"/>
      <c r="V83" s="27"/>
      <c r="W83" s="27"/>
      <c r="X83" s="27"/>
    </row>
    <row r="84" spans="1:24" hidden="1">
      <c r="A84" s="17" t="s">
        <v>500</v>
      </c>
      <c r="B84" s="1"/>
      <c r="C84" s="1"/>
      <c r="D84" s="1"/>
      <c r="E84" s="27"/>
      <c r="F84" s="27"/>
      <c r="G84" s="27"/>
      <c r="H84" s="27"/>
      <c r="I84" s="27"/>
      <c r="J84" s="27"/>
      <c r="K84" s="1"/>
      <c r="L84" s="27"/>
      <c r="M84" s="27"/>
      <c r="N84" s="27"/>
      <c r="O84" s="27"/>
      <c r="P84" s="27"/>
      <c r="Q84" s="27"/>
      <c r="R84" s="1"/>
      <c r="S84" s="27"/>
      <c r="T84" s="27"/>
      <c r="U84" s="27"/>
      <c r="V84" s="27"/>
      <c r="W84" s="27"/>
      <c r="X84" s="27"/>
    </row>
    <row r="85" spans="1:24" hidden="1">
      <c r="A85" s="17" t="s">
        <v>501</v>
      </c>
      <c r="B85" s="1"/>
      <c r="C85" s="1"/>
      <c r="D85" s="1"/>
      <c r="E85" s="27"/>
      <c r="F85" s="27"/>
      <c r="G85" s="27"/>
      <c r="H85" s="1"/>
      <c r="I85" s="27"/>
      <c r="J85" s="27"/>
      <c r="K85" s="1"/>
      <c r="L85" s="27"/>
      <c r="M85" s="27"/>
      <c r="N85" s="27"/>
      <c r="O85" s="27"/>
      <c r="P85" s="27"/>
      <c r="Q85" s="27"/>
      <c r="R85" s="1"/>
      <c r="S85" s="27"/>
      <c r="T85" s="27"/>
      <c r="U85" s="27"/>
      <c r="V85" s="27"/>
      <c r="W85" s="27"/>
      <c r="X85" s="27"/>
    </row>
    <row r="86" spans="1:24" hidden="1">
      <c r="A86" s="17" t="s">
        <v>502</v>
      </c>
      <c r="B86" s="1"/>
      <c r="C86" s="1"/>
      <c r="D86" s="1"/>
      <c r="E86" s="27"/>
      <c r="F86" s="27"/>
      <c r="G86" s="27"/>
      <c r="H86" s="1"/>
      <c r="I86" s="27"/>
      <c r="J86" s="27"/>
      <c r="K86" s="1"/>
      <c r="L86" s="27"/>
      <c r="M86" s="27"/>
      <c r="N86" s="27"/>
      <c r="O86" s="27"/>
      <c r="P86" s="27"/>
      <c r="Q86" s="27"/>
      <c r="R86" s="1"/>
      <c r="S86" s="27"/>
      <c r="T86" s="27"/>
      <c r="U86" s="27"/>
      <c r="V86" s="27"/>
      <c r="W86" s="27"/>
      <c r="X86" s="27"/>
    </row>
    <row r="87" spans="1:24" hidden="1">
      <c r="A87" s="17" t="s">
        <v>503</v>
      </c>
      <c r="B87" s="1"/>
      <c r="C87" s="1"/>
      <c r="D87" s="1"/>
      <c r="E87" s="1"/>
      <c r="H87" s="1"/>
      <c r="I87" s="1"/>
      <c r="K87" s="1"/>
      <c r="L87" s="1"/>
      <c r="O87" s="1"/>
      <c r="P87" s="1"/>
      <c r="R87" s="1"/>
    </row>
    <row r="88" spans="1:24" hidden="1">
      <c r="A88" s="25" t="s">
        <v>504</v>
      </c>
      <c r="B88" s="3"/>
      <c r="C88" s="3"/>
      <c r="D88" s="3"/>
      <c r="E88" s="27"/>
      <c r="F88" s="27"/>
      <c r="G88" s="27"/>
      <c r="H88" s="3"/>
      <c r="I88" s="27"/>
      <c r="J88" s="27"/>
      <c r="K88" s="3"/>
      <c r="L88" s="27"/>
      <c r="M88" s="27"/>
      <c r="N88" s="27"/>
      <c r="O88" s="27"/>
      <c r="P88" s="27"/>
      <c r="Q88" s="27"/>
      <c r="R88" s="3"/>
      <c r="S88" s="27"/>
      <c r="T88" s="27"/>
      <c r="U88" s="27"/>
      <c r="V88" s="27"/>
      <c r="W88" s="27"/>
      <c r="X88" s="27"/>
    </row>
    <row r="89" spans="1:24" hidden="1">
      <c r="A89" s="25" t="s">
        <v>505</v>
      </c>
      <c r="B89" s="3"/>
      <c r="C89" s="3"/>
      <c r="D89" s="3"/>
      <c r="E89" s="27"/>
      <c r="F89" s="27"/>
      <c r="G89" s="27"/>
      <c r="H89" s="3"/>
      <c r="I89" s="27"/>
      <c r="J89" s="27"/>
      <c r="K89" s="3"/>
      <c r="L89" s="27"/>
      <c r="M89" s="27"/>
      <c r="N89" s="27"/>
      <c r="O89" s="27"/>
      <c r="P89" s="27"/>
      <c r="Q89" s="27"/>
      <c r="R89" s="3"/>
      <c r="S89" s="27"/>
      <c r="T89" s="27"/>
      <c r="U89" s="27"/>
      <c r="V89" s="27"/>
      <c r="W89" s="27"/>
      <c r="X89" s="27"/>
    </row>
    <row r="90" spans="1:24" hidden="1">
      <c r="A90" s="25" t="s">
        <v>506</v>
      </c>
      <c r="B90" s="3"/>
      <c r="C90" s="3"/>
      <c r="D90" s="3"/>
      <c r="E90" s="27"/>
      <c r="F90" s="27"/>
      <c r="G90" s="27"/>
      <c r="H90" s="3"/>
      <c r="I90" s="27"/>
      <c r="J90" s="27"/>
      <c r="K90" s="3"/>
      <c r="L90" s="27"/>
      <c r="M90" s="27"/>
      <c r="N90" s="27"/>
      <c r="O90" s="27"/>
      <c r="P90" s="27"/>
      <c r="Q90" s="27"/>
      <c r="R90" s="3"/>
      <c r="S90" s="27"/>
      <c r="T90" s="27"/>
      <c r="U90" s="27"/>
      <c r="V90" s="27"/>
      <c r="W90" s="27"/>
      <c r="X90" s="27"/>
    </row>
    <row r="91" spans="1:24" hidden="1">
      <c r="A91" s="25" t="s">
        <v>462</v>
      </c>
      <c r="B91" s="3"/>
      <c r="C91" s="3"/>
      <c r="D91" s="3"/>
      <c r="E91" s="27"/>
      <c r="F91" s="27"/>
      <c r="G91" s="27"/>
      <c r="H91" s="3"/>
      <c r="I91" s="27"/>
      <c r="J91" s="27"/>
      <c r="K91" s="3"/>
      <c r="L91" s="27"/>
      <c r="M91" s="27"/>
      <c r="N91" s="27"/>
      <c r="O91" s="27"/>
      <c r="P91" s="27"/>
      <c r="Q91" s="27"/>
      <c r="R91" s="3"/>
      <c r="S91" s="27"/>
      <c r="T91" s="27"/>
      <c r="U91" s="27"/>
      <c r="V91" s="27"/>
      <c r="W91" s="27"/>
      <c r="X91" s="27"/>
    </row>
    <row r="92" spans="1:24" hidden="1">
      <c r="A92" s="29" t="s">
        <v>463</v>
      </c>
      <c r="B92" s="4"/>
      <c r="C92" s="4"/>
      <c r="D92" s="4"/>
      <c r="E92" s="27"/>
      <c r="F92" s="27"/>
      <c r="G92" s="27"/>
      <c r="H92" s="4"/>
      <c r="I92" s="27"/>
      <c r="J92" s="27"/>
      <c r="K92" s="4"/>
      <c r="L92" s="27"/>
      <c r="M92" s="27"/>
      <c r="N92" s="27"/>
      <c r="O92" s="27"/>
      <c r="P92" s="27"/>
      <c r="Q92" s="27"/>
      <c r="R92" s="4"/>
      <c r="S92" s="27"/>
      <c r="T92" s="27"/>
      <c r="U92" s="27"/>
      <c r="V92" s="27"/>
      <c r="W92" s="27"/>
      <c r="X92" s="27"/>
    </row>
    <row r="93" spans="1:24" hidden="1">
      <c r="A93" s="17" t="s">
        <v>507</v>
      </c>
      <c r="B93" s="1"/>
      <c r="C93" s="1"/>
      <c r="D93" s="1"/>
      <c r="E93" s="27"/>
      <c r="F93" s="27"/>
      <c r="G93" s="27"/>
      <c r="H93" s="1"/>
      <c r="I93" s="27"/>
      <c r="J93" s="150"/>
      <c r="K93" s="1"/>
      <c r="L93" s="150"/>
      <c r="M93" s="27"/>
      <c r="N93" s="27"/>
      <c r="O93" s="150"/>
      <c r="P93" s="150"/>
      <c r="Q93" s="27"/>
      <c r="R93" s="1"/>
      <c r="S93" s="27"/>
      <c r="T93" s="27"/>
      <c r="U93" s="27"/>
      <c r="V93" s="27"/>
      <c r="W93" s="27"/>
      <c r="X93" s="27"/>
    </row>
    <row r="94" spans="1:24" hidden="1">
      <c r="A94" s="17" t="s">
        <v>478</v>
      </c>
      <c r="B94" s="1"/>
      <c r="C94" s="1"/>
      <c r="D94" s="1"/>
      <c r="E94" s="27"/>
      <c r="F94" s="150"/>
      <c r="G94" s="150"/>
      <c r="H94" s="1"/>
      <c r="I94" s="27"/>
      <c r="J94" s="150"/>
      <c r="K94" s="1"/>
      <c r="L94" s="27"/>
      <c r="M94" s="150"/>
      <c r="N94" s="150"/>
      <c r="O94" s="27"/>
      <c r="P94" s="27"/>
      <c r="Q94" s="150"/>
      <c r="R94" s="1"/>
      <c r="S94" s="150"/>
      <c r="T94" s="150"/>
      <c r="U94" s="150"/>
      <c r="V94" s="150"/>
      <c r="W94" s="59"/>
      <c r="X94" s="59"/>
    </row>
    <row r="95" spans="1:24" hidden="1">
      <c r="A95" s="17"/>
      <c r="B95" s="1"/>
      <c r="C95" s="1"/>
      <c r="D95" s="1"/>
      <c r="E95" s="1"/>
      <c r="H95" s="1"/>
      <c r="I95" s="1"/>
      <c r="K95" s="1"/>
      <c r="L95" s="1"/>
      <c r="O95" s="1"/>
      <c r="P95" s="1"/>
      <c r="R95" s="1"/>
    </row>
    <row r="96" spans="1:24" hidden="1">
      <c r="A96" s="26" t="s">
        <v>508</v>
      </c>
      <c r="B96" s="52"/>
      <c r="C96" s="55"/>
      <c r="D96" s="55"/>
      <c r="E96" s="55"/>
      <c r="F96" s="55"/>
      <c r="G96" s="55"/>
      <c r="H96" s="5"/>
      <c r="I96" s="5"/>
      <c r="J96" s="5"/>
      <c r="K96" s="55"/>
      <c r="L96" s="55"/>
      <c r="M96" s="55"/>
      <c r="N96" s="55"/>
      <c r="O96" s="5"/>
      <c r="P96" s="5"/>
      <c r="Q96" s="5"/>
      <c r="R96" s="55"/>
      <c r="S96" s="55"/>
      <c r="T96" s="55"/>
      <c r="U96" s="55"/>
      <c r="V96" s="5"/>
      <c r="W96" s="5"/>
      <c r="X96" s="5"/>
    </row>
    <row r="97" spans="1:24">
      <c r="A97" s="17" t="s">
        <v>509</v>
      </c>
      <c r="B97" s="1"/>
      <c r="C97" s="27">
        <v>0.28999999999999998</v>
      </c>
      <c r="D97" s="27">
        <f>(D59/0.44)-1</f>
        <v>5.9090909090909083E-2</v>
      </c>
      <c r="E97" s="27">
        <f>(E59/D59)-1</f>
        <v>0.66952789699570814</v>
      </c>
      <c r="F97" s="27">
        <f>(F59/E59)-1</f>
        <v>0.46915167095115673</v>
      </c>
      <c r="G97" s="27">
        <v>0.4</v>
      </c>
      <c r="H97" s="146"/>
      <c r="I97" s="146"/>
      <c r="J97" s="146"/>
      <c r="K97" s="27">
        <f>(K59/0.61)-1</f>
        <v>4.9180327868852514E-2</v>
      </c>
      <c r="L97" s="27">
        <f>(L59/K59)-1</f>
        <v>0</v>
      </c>
      <c r="M97" s="27">
        <f>(M59/L59)-1</f>
        <v>0.109375</v>
      </c>
      <c r="N97" s="27">
        <v>0.17</v>
      </c>
      <c r="O97" s="146"/>
      <c r="P97" s="146"/>
      <c r="Q97" s="146"/>
      <c r="R97" s="27">
        <f>(R59/0.0049)-1</f>
        <v>4.5714285714285721</v>
      </c>
      <c r="S97" s="27">
        <f>(S59/R59)-1</f>
        <v>3.4725274725274726</v>
      </c>
      <c r="T97" s="27">
        <f>(T59/S59)-1</f>
        <v>0.15970515970515975</v>
      </c>
      <c r="U97" s="27"/>
      <c r="V97" s="146"/>
      <c r="W97" s="146"/>
      <c r="X97" s="146"/>
    </row>
    <row r="98" spans="1:24">
      <c r="A98" s="17"/>
      <c r="B98" s="1"/>
      <c r="C98" s="27"/>
      <c r="D98" s="27"/>
      <c r="E98" s="27"/>
      <c r="F98" s="27"/>
      <c r="G98" s="27"/>
      <c r="H98" s="146"/>
      <c r="I98" s="146"/>
      <c r="J98" s="146"/>
      <c r="K98" s="27"/>
      <c r="L98" s="27"/>
      <c r="M98" s="27"/>
      <c r="N98" s="27"/>
      <c r="O98" s="146"/>
      <c r="P98" s="146"/>
      <c r="Q98" s="146"/>
      <c r="R98" s="27"/>
      <c r="S98" s="27"/>
      <c r="T98" s="27"/>
      <c r="U98" s="27"/>
      <c r="V98" s="146"/>
      <c r="W98" s="146"/>
      <c r="X98" s="146"/>
    </row>
    <row r="99" spans="1:24">
      <c r="A99" s="18" t="s">
        <v>510</v>
      </c>
      <c r="B99" s="5"/>
      <c r="C99" s="122"/>
      <c r="D99" s="122"/>
      <c r="E99" s="122"/>
      <c r="F99" s="122"/>
      <c r="G99" s="55"/>
      <c r="H99" s="5"/>
      <c r="I99" s="5"/>
      <c r="J99" s="5"/>
      <c r="K99" s="122"/>
      <c r="L99" s="122"/>
      <c r="M99" s="122"/>
      <c r="N99" s="55"/>
      <c r="O99" s="5"/>
      <c r="P99" s="5"/>
      <c r="Q99" s="5"/>
      <c r="R99" s="122"/>
      <c r="S99" s="122"/>
      <c r="T99" s="122"/>
      <c r="U99" s="55"/>
      <c r="V99" s="5"/>
      <c r="W99" s="5"/>
      <c r="X99" s="5"/>
    </row>
    <row r="100" spans="1:24">
      <c r="A100" s="31" t="s">
        <v>0</v>
      </c>
      <c r="B100" s="53"/>
      <c r="C100" s="376"/>
      <c r="D100" s="376"/>
      <c r="E100" s="376"/>
      <c r="F100" s="376"/>
      <c r="G100" s="376"/>
      <c r="H100" s="32"/>
      <c r="I100" s="32"/>
      <c r="K100" s="32"/>
      <c r="L100" s="32"/>
      <c r="N100" s="376"/>
      <c r="O100" s="32"/>
      <c r="P100" s="32"/>
      <c r="R100" s="32"/>
      <c r="U100" s="376"/>
    </row>
    <row r="101" spans="1:24" hidden="1">
      <c r="A101" s="39" t="s">
        <v>1</v>
      </c>
      <c r="B101" s="34"/>
      <c r="C101" s="40"/>
      <c r="D101" s="40"/>
      <c r="E101" s="40"/>
      <c r="F101" s="30"/>
      <c r="G101" s="30"/>
      <c r="H101" s="40"/>
      <c r="I101" s="40"/>
      <c r="J101" s="30"/>
      <c r="K101" s="40"/>
      <c r="L101" s="40"/>
      <c r="M101" s="30"/>
      <c r="N101" s="30"/>
      <c r="O101" s="40"/>
      <c r="P101" s="40"/>
      <c r="Q101" s="30"/>
      <c r="R101" s="40"/>
      <c r="S101" s="30"/>
      <c r="T101" s="30"/>
      <c r="U101" s="30"/>
      <c r="V101" s="30"/>
      <c r="W101" s="30"/>
      <c r="X101" s="30"/>
    </row>
    <row r="102" spans="1:24" hidden="1">
      <c r="A102" s="33" t="s">
        <v>2</v>
      </c>
      <c r="B102" s="13"/>
      <c r="C102" s="34"/>
      <c r="D102" s="34"/>
      <c r="E102" s="34"/>
      <c r="F102" s="30"/>
      <c r="G102" s="30"/>
      <c r="H102" s="146"/>
      <c r="I102" s="146"/>
      <c r="J102" s="146"/>
      <c r="K102" s="34"/>
      <c r="L102" s="34"/>
      <c r="M102" s="30"/>
      <c r="N102" s="30"/>
      <c r="O102" s="146"/>
      <c r="P102" s="146"/>
      <c r="Q102" s="146"/>
      <c r="R102" s="34"/>
      <c r="S102" s="30"/>
      <c r="T102" s="30"/>
      <c r="U102" s="30"/>
      <c r="V102" s="146"/>
      <c r="W102" s="146"/>
      <c r="X102" s="146"/>
    </row>
    <row r="103" spans="1:24" hidden="1">
      <c r="A103" s="33" t="s">
        <v>9</v>
      </c>
      <c r="B103" s="54"/>
      <c r="F103" s="30"/>
      <c r="G103" s="30"/>
      <c r="H103" s="34"/>
      <c r="I103" s="34"/>
      <c r="J103" s="30"/>
      <c r="K103" s="34"/>
      <c r="L103" s="34"/>
      <c r="M103" s="30"/>
      <c r="N103" s="30"/>
      <c r="O103" s="34"/>
      <c r="P103" s="34"/>
      <c r="Q103" s="30"/>
      <c r="R103" s="34"/>
      <c r="S103" s="30"/>
      <c r="T103" s="30"/>
      <c r="U103" s="30"/>
      <c r="V103" s="30"/>
      <c r="W103" s="30"/>
      <c r="X103" s="30"/>
    </row>
    <row r="104" spans="1:24" hidden="1">
      <c r="A104" s="33" t="s">
        <v>511</v>
      </c>
      <c r="B104" s="13"/>
      <c r="C104" s="34"/>
      <c r="D104" s="34"/>
      <c r="E104" s="34"/>
      <c r="F104" s="30"/>
      <c r="G104" s="30"/>
      <c r="H104" s="146"/>
      <c r="I104" s="146"/>
      <c r="J104" s="146"/>
      <c r="K104" s="30"/>
      <c r="L104" s="30"/>
      <c r="M104" s="30"/>
      <c r="N104" s="30"/>
      <c r="O104" s="146"/>
      <c r="P104" s="146"/>
      <c r="Q104" s="146"/>
      <c r="R104" s="30"/>
      <c r="S104" s="30"/>
      <c r="T104" s="30"/>
      <c r="U104" s="30"/>
      <c r="V104" s="146"/>
      <c r="W104" s="146"/>
      <c r="X104" s="146"/>
    </row>
    <row r="105" spans="1:24" ht="23">
      <c r="A105" s="41" t="s">
        <v>404</v>
      </c>
      <c r="B105" s="13"/>
      <c r="C105" s="30">
        <v>3463</v>
      </c>
      <c r="D105" s="30">
        <v>3787</v>
      </c>
      <c r="E105" s="30">
        <v>3197</v>
      </c>
      <c r="F105" s="30">
        <v>3959</v>
      </c>
      <c r="G105" s="30"/>
      <c r="H105" s="146"/>
      <c r="I105" s="146"/>
      <c r="J105" s="146"/>
      <c r="K105" s="146">
        <v>899</v>
      </c>
      <c r="L105" s="146">
        <v>906</v>
      </c>
      <c r="M105" s="146">
        <v>636</v>
      </c>
      <c r="N105" s="30"/>
      <c r="O105" s="146"/>
      <c r="P105" s="146"/>
      <c r="Q105" s="146"/>
      <c r="R105" s="146">
        <v>2422</v>
      </c>
      <c r="S105" s="146">
        <v>3491</v>
      </c>
      <c r="T105" s="146">
        <v>2678</v>
      </c>
      <c r="U105" s="30"/>
      <c r="V105" s="146"/>
      <c r="W105" s="146"/>
      <c r="X105" s="146"/>
    </row>
    <row r="106" spans="1:24" hidden="1">
      <c r="A106" s="35" t="s">
        <v>512</v>
      </c>
      <c r="B106" s="42"/>
      <c r="C106" s="30"/>
      <c r="D106" s="30"/>
      <c r="E106" s="30"/>
      <c r="F106" s="30"/>
      <c r="G106" s="30"/>
      <c r="H106" s="30"/>
      <c r="I106" s="30"/>
      <c r="J106" s="30"/>
      <c r="K106" s="30"/>
      <c r="L106" s="30"/>
      <c r="M106" s="30"/>
      <c r="N106" s="30"/>
      <c r="O106" s="30"/>
      <c r="P106" s="30"/>
      <c r="Q106" s="30"/>
      <c r="R106" s="30"/>
      <c r="S106" s="30"/>
      <c r="T106" s="30"/>
      <c r="U106" s="30"/>
      <c r="V106" s="146"/>
      <c r="W106" s="146"/>
      <c r="X106" s="146"/>
    </row>
    <row r="107" spans="1:24">
      <c r="A107" s="43" t="s">
        <v>4</v>
      </c>
      <c r="B107" s="13"/>
      <c r="C107" s="30">
        <v>5499</v>
      </c>
      <c r="D107" s="30">
        <v>6483</v>
      </c>
      <c r="E107" s="30">
        <v>7696</v>
      </c>
      <c r="F107" s="30">
        <v>8930</v>
      </c>
      <c r="G107" s="30"/>
      <c r="H107" s="146"/>
      <c r="I107" s="146"/>
      <c r="J107" s="146"/>
      <c r="K107" s="30">
        <v>7598</v>
      </c>
      <c r="L107" s="30">
        <v>8534</v>
      </c>
      <c r="M107" s="30">
        <v>7778</v>
      </c>
      <c r="N107" s="30"/>
      <c r="O107" s="146"/>
      <c r="P107" s="146"/>
      <c r="Q107" s="146"/>
      <c r="R107" s="30">
        <v>15038</v>
      </c>
      <c r="S107" s="30">
        <v>17087</v>
      </c>
      <c r="T107" s="30">
        <v>17410</v>
      </c>
      <c r="U107" s="30"/>
      <c r="V107" s="146"/>
      <c r="W107" s="146"/>
      <c r="X107" s="146"/>
    </row>
    <row r="108" spans="1:24" hidden="1">
      <c r="A108" s="39" t="s">
        <v>5</v>
      </c>
      <c r="B108" s="34"/>
      <c r="C108" s="30"/>
      <c r="D108" s="30"/>
      <c r="E108" s="30"/>
      <c r="F108" s="30"/>
      <c r="G108" s="30"/>
      <c r="H108" s="30"/>
      <c r="I108" s="30"/>
      <c r="J108" s="30"/>
      <c r="K108" s="30"/>
      <c r="L108" s="30"/>
      <c r="M108" s="30"/>
      <c r="N108" s="30"/>
      <c r="O108" s="30"/>
      <c r="P108" s="30"/>
      <c r="Q108" s="30"/>
      <c r="R108" s="30"/>
      <c r="S108" s="30"/>
      <c r="T108" s="30"/>
      <c r="U108" s="30"/>
      <c r="V108" s="30"/>
      <c r="W108" s="30"/>
      <c r="X108" s="30"/>
    </row>
    <row r="109" spans="1:24" hidden="1">
      <c r="A109" s="33" t="s">
        <v>513</v>
      </c>
      <c r="B109" s="54"/>
      <c r="C109" s="30"/>
      <c r="D109" s="30"/>
      <c r="E109" s="30"/>
      <c r="F109" s="30"/>
      <c r="G109" s="30"/>
      <c r="H109" s="30"/>
      <c r="I109" s="30"/>
      <c r="J109" s="30"/>
      <c r="K109" s="30"/>
      <c r="L109" s="30"/>
      <c r="M109" s="30"/>
      <c r="N109" s="30"/>
      <c r="O109" s="30"/>
      <c r="P109" s="30"/>
      <c r="Q109" s="30"/>
      <c r="R109" s="30"/>
      <c r="S109" s="30"/>
      <c r="T109" s="30"/>
      <c r="U109" s="30"/>
      <c r="V109" s="146"/>
      <c r="W109" s="146"/>
      <c r="X109" s="146"/>
    </row>
    <row r="110" spans="1:24" hidden="1">
      <c r="A110" s="33" t="s">
        <v>514</v>
      </c>
      <c r="B110" s="13"/>
      <c r="C110" s="30"/>
      <c r="D110" s="30"/>
      <c r="E110" s="30"/>
      <c r="F110" s="30"/>
      <c r="G110" s="30"/>
      <c r="H110" s="146"/>
      <c r="I110" s="146"/>
      <c r="J110" s="146"/>
      <c r="K110" s="30"/>
      <c r="L110" s="30"/>
      <c r="M110" s="30"/>
      <c r="N110" s="30"/>
      <c r="O110" s="146"/>
      <c r="P110" s="146"/>
      <c r="Q110" s="146"/>
      <c r="R110" s="30"/>
      <c r="S110" s="30"/>
      <c r="T110" s="30"/>
      <c r="U110" s="30"/>
      <c r="V110" s="146"/>
      <c r="W110" s="146"/>
      <c r="X110" s="146"/>
    </row>
    <row r="111" spans="1:24" hidden="1">
      <c r="A111" s="33" t="s">
        <v>515</v>
      </c>
      <c r="B111" s="13"/>
      <c r="C111" s="30"/>
      <c r="D111" s="30"/>
      <c r="E111" s="30"/>
      <c r="F111" s="30"/>
      <c r="G111" s="30"/>
      <c r="H111" s="146"/>
      <c r="I111" s="146"/>
      <c r="J111" s="146"/>
      <c r="K111" s="30"/>
      <c r="L111" s="30"/>
      <c r="M111" s="30"/>
      <c r="N111" s="30"/>
      <c r="O111" s="146"/>
      <c r="P111" s="146"/>
      <c r="Q111" s="146"/>
      <c r="R111" s="30"/>
      <c r="S111" s="30"/>
      <c r="T111" s="30"/>
      <c r="U111" s="30"/>
      <c r="V111" s="146"/>
      <c r="W111" s="146"/>
      <c r="X111" s="146"/>
    </row>
    <row r="112" spans="1:24" hidden="1">
      <c r="A112" s="44" t="s">
        <v>516</v>
      </c>
      <c r="B112" s="13"/>
      <c r="C112" s="30"/>
      <c r="D112" s="30"/>
      <c r="E112" s="30"/>
      <c r="F112" s="30"/>
      <c r="G112" s="30"/>
      <c r="H112" s="146"/>
      <c r="I112" s="146"/>
      <c r="J112" s="146"/>
      <c r="K112" s="30"/>
      <c r="L112" s="30"/>
      <c r="M112" s="30"/>
      <c r="N112" s="30"/>
      <c r="O112" s="146"/>
      <c r="P112" s="146"/>
      <c r="Q112" s="146"/>
      <c r="R112" s="30"/>
      <c r="S112" s="30"/>
      <c r="T112" s="30"/>
      <c r="U112" s="30"/>
      <c r="V112" s="146"/>
      <c r="W112" s="146"/>
      <c r="X112" s="146"/>
    </row>
    <row r="113" spans="1:24">
      <c r="A113" s="39" t="s">
        <v>517</v>
      </c>
      <c r="B113" s="13"/>
      <c r="C113" s="30">
        <v>1481</v>
      </c>
      <c r="D113" s="30">
        <v>1970</v>
      </c>
      <c r="E113" s="30">
        <v>2546</v>
      </c>
      <c r="F113" s="30">
        <v>2737</v>
      </c>
      <c r="G113" s="30"/>
      <c r="H113" s="146"/>
      <c r="I113" s="146"/>
      <c r="J113" s="146"/>
      <c r="K113" s="30">
        <v>4263</v>
      </c>
      <c r="L113" s="30">
        <v>4336</v>
      </c>
      <c r="M113" s="30">
        <v>3415</v>
      </c>
      <c r="N113" s="30"/>
      <c r="O113" s="146"/>
      <c r="P113" s="146"/>
      <c r="Q113" s="146"/>
      <c r="R113" s="30">
        <v>2510</v>
      </c>
      <c r="S113" s="30">
        <v>3315</v>
      </c>
      <c r="T113" s="30">
        <v>3132</v>
      </c>
      <c r="U113" s="30"/>
      <c r="V113" s="146"/>
      <c r="W113" s="146"/>
      <c r="X113" s="146"/>
    </row>
    <row r="114" spans="1:24" hidden="1">
      <c r="A114" s="39" t="s">
        <v>518</v>
      </c>
      <c r="B114" s="13"/>
      <c r="C114" s="30"/>
      <c r="D114" s="30"/>
      <c r="E114" s="30"/>
      <c r="F114" s="30"/>
      <c r="G114" s="30"/>
      <c r="H114" s="146"/>
      <c r="I114" s="146"/>
      <c r="J114" s="146"/>
      <c r="K114" s="30"/>
      <c r="L114" s="30"/>
      <c r="M114" s="30"/>
      <c r="N114" s="30"/>
      <c r="O114" s="146"/>
      <c r="P114" s="146"/>
      <c r="Q114" s="146"/>
      <c r="R114" s="30"/>
      <c r="S114" s="30"/>
      <c r="T114" s="30"/>
      <c r="U114" s="30"/>
      <c r="V114" s="146"/>
      <c r="W114" s="146"/>
      <c r="X114" s="146"/>
    </row>
    <row r="115" spans="1:24" hidden="1">
      <c r="A115" s="39" t="s">
        <v>6</v>
      </c>
      <c r="B115" s="13"/>
      <c r="C115" s="30"/>
      <c r="D115" s="30"/>
      <c r="E115" s="30"/>
      <c r="F115" s="30"/>
      <c r="G115" s="30"/>
      <c r="H115" s="146"/>
      <c r="I115" s="146"/>
      <c r="J115" s="146"/>
      <c r="K115" s="30"/>
      <c r="L115" s="30"/>
      <c r="M115" s="30"/>
      <c r="N115" s="30"/>
      <c r="O115" s="146"/>
      <c r="P115" s="146"/>
      <c r="Q115" s="146"/>
      <c r="R115" s="30"/>
      <c r="S115" s="30"/>
      <c r="T115" s="30"/>
      <c r="U115" s="30"/>
      <c r="V115" s="146"/>
      <c r="W115" s="146"/>
      <c r="X115" s="146"/>
    </row>
    <row r="116" spans="1:24">
      <c r="A116" s="31" t="s">
        <v>519</v>
      </c>
      <c r="B116" s="53"/>
      <c r="C116" s="376">
        <f>C107-C113</f>
        <v>4018</v>
      </c>
      <c r="D116" s="376">
        <f>D107-D113</f>
        <v>4513</v>
      </c>
      <c r="E116" s="376">
        <f>E107-E113</f>
        <v>5150</v>
      </c>
      <c r="F116" s="376">
        <f>F107-F113</f>
        <v>6193</v>
      </c>
      <c r="G116" s="376"/>
      <c r="K116" s="376">
        <f>K107-K113</f>
        <v>3335</v>
      </c>
      <c r="L116" s="376">
        <f>L107-L113</f>
        <v>4198</v>
      </c>
      <c r="M116" s="376">
        <f>M107-M113</f>
        <v>4363</v>
      </c>
      <c r="N116" s="376"/>
      <c r="R116" s="376">
        <f>R107-R113</f>
        <v>12528</v>
      </c>
      <c r="S116" s="376">
        <f>S107-S113</f>
        <v>13772</v>
      </c>
      <c r="T116" s="376">
        <f>T107-T113</f>
        <v>14278</v>
      </c>
      <c r="U116" s="376"/>
    </row>
    <row r="117" spans="1:24" hidden="1">
      <c r="A117" s="31" t="s">
        <v>520</v>
      </c>
      <c r="B117" s="53"/>
      <c r="C117" s="27"/>
      <c r="D117" s="27"/>
      <c r="E117" s="27"/>
      <c r="F117" s="27"/>
      <c r="G117" s="27"/>
      <c r="H117" s="27"/>
      <c r="I117" s="27"/>
      <c r="J117" s="27"/>
      <c r="K117" s="27"/>
      <c r="L117" s="27"/>
      <c r="M117" s="27"/>
      <c r="N117" s="27"/>
      <c r="O117" s="27"/>
      <c r="P117" s="27"/>
      <c r="Q117" s="27"/>
      <c r="R117" s="27"/>
      <c r="S117" s="27"/>
      <c r="T117" s="27"/>
      <c r="U117" s="27"/>
      <c r="V117" s="27"/>
      <c r="W117" s="27"/>
      <c r="X117" s="27"/>
    </row>
    <row r="118" spans="1:24">
      <c r="A118" s="373" t="s">
        <v>521</v>
      </c>
      <c r="B118" s="32"/>
      <c r="C118" s="376">
        <v>3705</v>
      </c>
      <c r="D118" s="376">
        <v>4104</v>
      </c>
      <c r="E118" s="376">
        <v>4680</v>
      </c>
      <c r="F118" s="376">
        <v>5600</v>
      </c>
      <c r="K118" s="376">
        <v>2328</v>
      </c>
      <c r="L118" s="376">
        <v>2551</v>
      </c>
      <c r="M118" s="376">
        <v>2865</v>
      </c>
      <c r="R118" s="376">
        <v>12035</v>
      </c>
      <c r="S118" s="376">
        <v>12986</v>
      </c>
      <c r="T118" s="376">
        <v>13471</v>
      </c>
    </row>
    <row r="119" spans="1:24">
      <c r="A119" s="162"/>
      <c r="B119" s="32"/>
    </row>
    <row r="120" spans="1:24" hidden="1">
      <c r="A120" s="18" t="s">
        <v>522</v>
      </c>
      <c r="B120" s="5"/>
      <c r="C120" s="55"/>
      <c r="D120" s="55"/>
      <c r="E120" s="55"/>
      <c r="F120" s="55"/>
      <c r="G120" s="55"/>
      <c r="H120" s="5"/>
      <c r="I120" s="5"/>
      <c r="J120" s="5"/>
      <c r="K120" s="55"/>
      <c r="L120" s="55"/>
      <c r="M120" s="55"/>
      <c r="N120" s="55"/>
      <c r="O120" s="5"/>
      <c r="P120" s="5"/>
      <c r="Q120" s="5"/>
      <c r="R120" s="55"/>
      <c r="S120" s="55"/>
      <c r="T120" s="55"/>
      <c r="U120" s="55"/>
      <c r="V120" s="5"/>
      <c r="W120" s="5"/>
      <c r="X120" s="5"/>
    </row>
    <row r="121" spans="1:24" hidden="1">
      <c r="A121" s="137" t="s">
        <v>523</v>
      </c>
      <c r="B121" s="13"/>
      <c r="C121" s="57"/>
      <c r="D121" s="57"/>
      <c r="E121" s="57"/>
      <c r="F121" s="57"/>
      <c r="G121" s="57"/>
      <c r="H121" s="146"/>
      <c r="I121" s="146"/>
      <c r="J121" s="146"/>
      <c r="N121" s="57"/>
      <c r="O121" s="146"/>
      <c r="P121" s="146"/>
      <c r="Q121" s="146"/>
      <c r="U121" s="57"/>
      <c r="V121" s="146"/>
      <c r="W121" s="146"/>
      <c r="X121" s="146"/>
    </row>
    <row r="122" spans="1:24" hidden="1">
      <c r="A122" s="137" t="s">
        <v>524</v>
      </c>
      <c r="B122" s="13"/>
      <c r="C122" s="57"/>
      <c r="D122" s="57"/>
      <c r="E122" s="57"/>
      <c r="F122" s="57"/>
      <c r="G122" s="57"/>
      <c r="H122" s="146"/>
      <c r="I122" s="146"/>
      <c r="J122" s="146"/>
      <c r="K122" s="146"/>
      <c r="L122" s="146"/>
      <c r="M122" s="146"/>
      <c r="N122" s="57"/>
      <c r="O122" s="146"/>
      <c r="P122" s="146"/>
      <c r="Q122" s="146"/>
      <c r="R122" s="146"/>
      <c r="S122" s="146"/>
      <c r="T122" s="146"/>
      <c r="U122" s="57"/>
      <c r="V122" s="146"/>
      <c r="W122" s="146"/>
      <c r="X122" s="146"/>
    </row>
    <row r="123" spans="1:24" hidden="1">
      <c r="A123" s="137" t="s">
        <v>525</v>
      </c>
      <c r="B123" s="13"/>
      <c r="C123" s="57"/>
      <c r="D123" s="57"/>
      <c r="E123" s="57"/>
      <c r="F123" s="57"/>
      <c r="G123" s="57"/>
      <c r="H123" s="146"/>
      <c r="I123" s="146"/>
      <c r="J123" s="146"/>
      <c r="K123" s="146"/>
      <c r="L123" s="146"/>
      <c r="M123" s="146"/>
      <c r="N123" s="57"/>
      <c r="O123" s="146"/>
      <c r="P123" s="146"/>
      <c r="Q123" s="146"/>
      <c r="R123" s="146"/>
      <c r="S123" s="146"/>
      <c r="T123" s="146"/>
      <c r="U123" s="57"/>
      <c r="V123" s="146"/>
      <c r="W123" s="146"/>
      <c r="X123" s="146"/>
    </row>
    <row r="124" spans="1:24" ht="23" hidden="1">
      <c r="A124" s="46" t="s">
        <v>526</v>
      </c>
      <c r="B124" s="13"/>
      <c r="C124" s="57"/>
      <c r="D124" s="57"/>
      <c r="E124" s="57"/>
      <c r="F124" s="57"/>
      <c r="G124" s="57"/>
      <c r="H124" s="146"/>
      <c r="I124" s="146"/>
      <c r="J124" s="146"/>
      <c r="K124" s="146"/>
      <c r="L124" s="146"/>
      <c r="M124" s="146"/>
      <c r="N124" s="57"/>
      <c r="O124" s="146"/>
      <c r="P124" s="146"/>
      <c r="Q124" s="146"/>
      <c r="R124" s="146"/>
      <c r="S124" s="146"/>
      <c r="T124" s="146"/>
      <c r="U124" s="57"/>
      <c r="V124" s="146"/>
      <c r="W124" s="146"/>
      <c r="X124" s="146"/>
    </row>
    <row r="125" spans="1:24" hidden="1">
      <c r="A125" s="29" t="s">
        <v>527</v>
      </c>
      <c r="B125" s="4"/>
      <c r="K125" s="150"/>
      <c r="L125" s="150"/>
      <c r="M125" s="150"/>
      <c r="O125" s="150"/>
      <c r="P125" s="150"/>
      <c r="Q125" s="150"/>
      <c r="R125" s="150"/>
      <c r="S125" s="150"/>
      <c r="T125" s="150"/>
      <c r="V125" s="150"/>
      <c r="W125" s="150"/>
      <c r="X125" s="150"/>
    </row>
    <row r="126" spans="1:24" hidden="1">
      <c r="A126" s="29"/>
      <c r="B126" s="4"/>
    </row>
    <row r="127" spans="1:24" hidden="1">
      <c r="A127" s="26"/>
      <c r="B127" s="52"/>
      <c r="C127" s="55"/>
      <c r="D127" s="55"/>
      <c r="E127" s="55"/>
      <c r="F127" s="55"/>
      <c r="G127" s="55"/>
      <c r="H127" s="5"/>
      <c r="I127" s="5"/>
      <c r="J127" s="5"/>
      <c r="K127" s="55"/>
      <c r="L127" s="55"/>
      <c r="M127" s="55"/>
      <c r="N127" s="55"/>
      <c r="O127" s="5"/>
      <c r="P127" s="5"/>
      <c r="Q127" s="5"/>
      <c r="R127" s="55"/>
      <c r="S127" s="55"/>
      <c r="T127" s="55"/>
      <c r="U127" s="55"/>
      <c r="V127" s="5"/>
      <c r="W127" s="5"/>
      <c r="X127" s="5"/>
    </row>
    <row r="128" spans="1:24" hidden="1">
      <c r="A128" s="209" t="s">
        <v>528</v>
      </c>
      <c r="B128" s="208"/>
      <c r="C128" s="55"/>
      <c r="D128" s="55"/>
      <c r="E128" s="55"/>
      <c r="F128" s="55"/>
      <c r="G128" s="55"/>
      <c r="H128" s="5"/>
      <c r="I128" s="5"/>
      <c r="J128" s="5"/>
      <c r="K128" s="55"/>
      <c r="L128" s="55"/>
      <c r="M128" s="55"/>
      <c r="N128" s="55"/>
      <c r="O128" s="5"/>
      <c r="P128" s="5"/>
      <c r="Q128" s="5"/>
      <c r="R128" s="55"/>
      <c r="S128" s="55"/>
      <c r="T128" s="55"/>
      <c r="U128" s="55"/>
      <c r="V128" s="5"/>
      <c r="W128" s="5"/>
      <c r="X128" s="5"/>
    </row>
    <row r="129" spans="1:24" hidden="1">
      <c r="A129" s="137" t="s">
        <v>529</v>
      </c>
      <c r="C129" s="14"/>
      <c r="D129" s="14"/>
      <c r="E129" s="14"/>
      <c r="F129" s="14"/>
      <c r="G129" s="14"/>
      <c r="H129" s="14"/>
      <c r="I129" s="14"/>
      <c r="J129" s="14"/>
      <c r="K129" s="14"/>
      <c r="L129" s="14"/>
      <c r="M129" s="14"/>
      <c r="N129" s="14"/>
      <c r="O129" s="14"/>
      <c r="P129" s="14"/>
      <c r="Q129" s="14"/>
      <c r="R129" s="14"/>
      <c r="S129" s="150"/>
      <c r="T129" s="150"/>
      <c r="U129" s="14"/>
      <c r="V129" s="150"/>
      <c r="W129" s="150"/>
      <c r="X129" s="14"/>
    </row>
    <row r="130" spans="1:24" hidden="1">
      <c r="A130" s="137" t="s">
        <v>530</v>
      </c>
      <c r="E130" s="175"/>
      <c r="F130" s="175"/>
      <c r="G130" s="175"/>
      <c r="I130" s="175"/>
      <c r="J130" s="175"/>
      <c r="K130" s="30"/>
      <c r="L130" s="30"/>
      <c r="M130" s="30"/>
      <c r="N130" s="175"/>
      <c r="O130" s="30"/>
      <c r="P130" s="30"/>
      <c r="Q130" s="30"/>
      <c r="R130" s="30"/>
      <c r="S130" s="150"/>
      <c r="T130" s="150"/>
      <c r="U130" s="175"/>
      <c r="V130" s="150"/>
      <c r="W130" s="150"/>
      <c r="X130" s="30"/>
    </row>
    <row r="131" spans="1:24" hidden="1">
      <c r="A131" s="137" t="s">
        <v>531</v>
      </c>
      <c r="C131" s="30"/>
      <c r="D131" s="30"/>
      <c r="E131" s="30"/>
      <c r="F131" s="30"/>
      <c r="G131" s="30"/>
      <c r="H131" s="30"/>
      <c r="I131" s="30"/>
      <c r="J131" s="30"/>
      <c r="K131" s="30"/>
      <c r="L131" s="30"/>
      <c r="M131" s="30"/>
      <c r="N131" s="30"/>
      <c r="O131" s="30"/>
      <c r="P131" s="30"/>
      <c r="Q131" s="30"/>
      <c r="R131" s="30"/>
      <c r="S131" s="150"/>
      <c r="T131" s="150"/>
      <c r="U131" s="30"/>
      <c r="V131" s="150"/>
      <c r="W131" s="150"/>
      <c r="X131" s="30"/>
    </row>
    <row r="132" spans="1:24" hidden="1">
      <c r="A132" s="137" t="s">
        <v>532</v>
      </c>
      <c r="S132" s="150"/>
      <c r="T132" s="150"/>
      <c r="V132" s="150"/>
      <c r="W132" s="150"/>
    </row>
    <row r="133" spans="1:24" hidden="1">
      <c r="A133" s="137" t="s">
        <v>533</v>
      </c>
      <c r="S133" s="150"/>
      <c r="T133" s="150"/>
      <c r="V133" s="150"/>
      <c r="W133" s="150"/>
    </row>
    <row r="134" spans="1:24" hidden="1">
      <c r="A134" s="137" t="s">
        <v>534</v>
      </c>
      <c r="S134" s="150"/>
      <c r="T134" s="150"/>
      <c r="V134" s="150"/>
      <c r="W134" s="150"/>
    </row>
    <row r="135" spans="1:24" hidden="1">
      <c r="A135" s="137" t="s">
        <v>535</v>
      </c>
      <c r="S135" s="150"/>
      <c r="T135" s="150"/>
      <c r="V135" s="150"/>
      <c r="W135" s="150"/>
    </row>
    <row r="136" spans="1:24" hidden="1">
      <c r="A136" s="137" t="s">
        <v>536</v>
      </c>
      <c r="S136" s="150"/>
      <c r="T136" s="150"/>
      <c r="V136" s="150"/>
      <c r="W136" s="150"/>
    </row>
    <row r="137" spans="1:24" hidden="1">
      <c r="A137" s="137" t="s">
        <v>537</v>
      </c>
      <c r="S137" s="150"/>
      <c r="T137" s="150"/>
      <c r="V137" s="150"/>
      <c r="W137" s="150"/>
    </row>
    <row r="138" spans="1:24" hidden="1">
      <c r="A138" s="137" t="s">
        <v>538</v>
      </c>
      <c r="S138" s="150"/>
      <c r="T138" s="150"/>
      <c r="V138" s="150"/>
      <c r="W138" s="150"/>
    </row>
    <row r="139" spans="1:24" hidden="1">
      <c r="A139" s="47" t="s">
        <v>539</v>
      </c>
      <c r="B139" s="30"/>
      <c r="C139" s="30"/>
      <c r="D139" s="30"/>
      <c r="E139" s="30"/>
      <c r="F139" s="30"/>
      <c r="G139" s="30"/>
      <c r="H139" s="30"/>
      <c r="I139" s="30"/>
      <c r="J139" s="30"/>
      <c r="K139" s="30"/>
      <c r="L139" s="30"/>
      <c r="M139" s="30"/>
      <c r="N139" s="30"/>
      <c r="O139" s="30"/>
      <c r="P139" s="30"/>
      <c r="Q139" s="30"/>
      <c r="R139" s="30"/>
      <c r="S139" s="150"/>
      <c r="T139" s="150"/>
      <c r="U139" s="30"/>
      <c r="V139" s="150"/>
      <c r="W139" s="150"/>
      <c r="X139" s="30"/>
    </row>
    <row r="140" spans="1:24" hidden="1">
      <c r="A140" s="35" t="s">
        <v>540</v>
      </c>
      <c r="B140" s="42"/>
      <c r="C140" s="30"/>
      <c r="D140" s="30"/>
      <c r="E140" s="30"/>
      <c r="F140" s="30"/>
      <c r="G140" s="30"/>
      <c r="H140" s="30"/>
      <c r="I140" s="30"/>
      <c r="J140" s="30"/>
      <c r="K140" s="30"/>
      <c r="L140" s="30"/>
      <c r="M140" s="30"/>
      <c r="N140" s="30"/>
      <c r="O140" s="30"/>
      <c r="P140" s="30"/>
      <c r="Q140" s="30"/>
      <c r="R140" s="30"/>
      <c r="S140" s="150"/>
      <c r="T140" s="150"/>
      <c r="U140" s="30"/>
      <c r="V140" s="150"/>
      <c r="W140" s="150"/>
      <c r="X140" s="30"/>
    </row>
    <row r="141" spans="1:24" hidden="1">
      <c r="A141" s="35" t="s">
        <v>541</v>
      </c>
      <c r="B141" s="42"/>
      <c r="C141" s="30"/>
      <c r="D141" s="30"/>
      <c r="E141" s="30"/>
      <c r="F141" s="30"/>
      <c r="G141" s="30"/>
      <c r="H141" s="30"/>
      <c r="I141" s="30"/>
      <c r="J141" s="30"/>
      <c r="K141" s="30"/>
      <c r="L141" s="30"/>
      <c r="M141" s="30"/>
      <c r="N141" s="30"/>
      <c r="O141" s="30"/>
      <c r="P141" s="30"/>
      <c r="Q141" s="30"/>
      <c r="R141" s="30"/>
      <c r="S141" s="150"/>
      <c r="T141" s="150"/>
      <c r="U141" s="30"/>
      <c r="V141" s="150"/>
      <c r="W141" s="150"/>
      <c r="X141" s="30"/>
    </row>
    <row r="142" spans="1:24" hidden="1">
      <c r="A142" s="35" t="s">
        <v>542</v>
      </c>
      <c r="B142" s="42"/>
      <c r="C142" s="30"/>
      <c r="D142" s="30"/>
      <c r="E142" s="30"/>
      <c r="F142" s="30"/>
      <c r="G142" s="30"/>
      <c r="H142" s="30"/>
      <c r="I142" s="30"/>
      <c r="J142" s="30"/>
      <c r="K142" s="30"/>
      <c r="L142" s="30"/>
      <c r="M142" s="30"/>
      <c r="N142" s="30"/>
      <c r="O142" s="30"/>
      <c r="P142" s="30"/>
      <c r="Q142" s="30"/>
      <c r="R142" s="30"/>
      <c r="S142" s="150"/>
      <c r="T142" s="150"/>
      <c r="U142" s="30"/>
      <c r="V142" s="150"/>
      <c r="W142" s="150"/>
      <c r="X142" s="30"/>
    </row>
    <row r="143" spans="1:24" hidden="1">
      <c r="A143" s="35" t="s">
        <v>543</v>
      </c>
      <c r="B143" s="42"/>
      <c r="C143" s="30"/>
      <c r="D143" s="30"/>
      <c r="E143" s="30"/>
      <c r="F143" s="30"/>
      <c r="G143" s="30"/>
      <c r="H143" s="30"/>
      <c r="I143" s="30"/>
      <c r="J143" s="30"/>
      <c r="K143" s="30"/>
      <c r="L143" s="30"/>
      <c r="M143" s="30"/>
      <c r="N143" s="30"/>
      <c r="O143" s="30"/>
      <c r="P143" s="30"/>
      <c r="Q143" s="30"/>
      <c r="R143" s="30"/>
      <c r="S143" s="150"/>
      <c r="T143" s="150"/>
      <c r="U143" s="30"/>
      <c r="V143" s="150"/>
      <c r="W143" s="150"/>
      <c r="X143" s="30"/>
    </row>
    <row r="144" spans="1:24" hidden="1">
      <c r="A144" s="137" t="s">
        <v>544</v>
      </c>
      <c r="C144" s="1"/>
      <c r="D144" s="1"/>
      <c r="E144" s="1"/>
      <c r="H144" s="1"/>
      <c r="I144" s="1"/>
      <c r="K144" s="1"/>
      <c r="L144" s="1"/>
      <c r="O144" s="1"/>
      <c r="P144" s="1"/>
      <c r="R144" s="1"/>
      <c r="S144" s="150"/>
      <c r="T144" s="150"/>
      <c r="V144" s="150"/>
      <c r="W144" s="150"/>
    </row>
    <row r="145" spans="1:24" hidden="1">
      <c r="A145" s="144" t="s">
        <v>540</v>
      </c>
      <c r="B145" s="135"/>
      <c r="C145" s="1"/>
      <c r="D145" s="1"/>
      <c r="E145" s="1"/>
      <c r="H145" s="1"/>
      <c r="I145" s="1"/>
      <c r="K145" s="1"/>
      <c r="L145" s="1"/>
      <c r="O145" s="1"/>
      <c r="P145" s="1"/>
      <c r="R145" s="1"/>
      <c r="S145" s="150"/>
      <c r="T145" s="150"/>
      <c r="V145" s="150"/>
      <c r="W145" s="150"/>
    </row>
    <row r="146" spans="1:24" hidden="1">
      <c r="A146" s="144" t="s">
        <v>541</v>
      </c>
      <c r="B146" s="135"/>
      <c r="C146" s="1"/>
      <c r="D146" s="1"/>
      <c r="E146" s="1"/>
      <c r="H146" s="1"/>
      <c r="I146" s="1"/>
      <c r="K146" s="1"/>
      <c r="L146" s="1"/>
      <c r="O146" s="1"/>
      <c r="P146" s="1"/>
      <c r="R146" s="1"/>
      <c r="S146" s="150"/>
      <c r="T146" s="150"/>
      <c r="V146" s="150"/>
      <c r="W146" s="150"/>
    </row>
    <row r="147" spans="1:24" hidden="1">
      <c r="A147" s="144" t="s">
        <v>542</v>
      </c>
      <c r="B147" s="135"/>
      <c r="C147" s="1"/>
      <c r="D147" s="1"/>
      <c r="E147" s="1"/>
      <c r="H147" s="1"/>
      <c r="I147" s="1"/>
      <c r="K147" s="1"/>
      <c r="L147" s="1"/>
      <c r="O147" s="1"/>
      <c r="P147" s="1"/>
      <c r="R147" s="1"/>
      <c r="S147" s="173"/>
      <c r="T147" s="150"/>
      <c r="V147" s="150"/>
      <c r="W147" s="150"/>
    </row>
    <row r="148" spans="1:24" hidden="1">
      <c r="A148" s="144" t="s">
        <v>543</v>
      </c>
      <c r="B148" s="135"/>
      <c r="C148" s="1"/>
      <c r="D148" s="1"/>
      <c r="E148" s="1"/>
      <c r="H148" s="1"/>
      <c r="I148" s="1"/>
      <c r="K148" s="1"/>
      <c r="L148" s="1"/>
      <c r="O148" s="1"/>
      <c r="P148" s="1"/>
      <c r="R148" s="1"/>
      <c r="S148" s="150"/>
      <c r="T148" s="150"/>
      <c r="V148" s="150"/>
      <c r="W148" s="150"/>
    </row>
    <row r="149" spans="1:24" hidden="1">
      <c r="A149" s="137" t="s">
        <v>545</v>
      </c>
      <c r="C149" s="143"/>
      <c r="D149" s="143"/>
      <c r="E149" s="143"/>
      <c r="F149" s="143"/>
      <c r="G149" s="143"/>
      <c r="K149" s="143"/>
      <c r="L149" s="143"/>
      <c r="M149" s="143"/>
      <c r="N149" s="143"/>
      <c r="R149" s="143"/>
      <c r="U149" s="143"/>
    </row>
    <row r="150" spans="1:24" hidden="1">
      <c r="A150" s="137" t="s">
        <v>13</v>
      </c>
    </row>
    <row r="151" spans="1:24" hidden="1"/>
    <row r="152" spans="1:24" hidden="1"/>
    <row r="153" spans="1:24" hidden="1">
      <c r="A153" s="214"/>
      <c r="B153" s="138"/>
      <c r="C153" s="55"/>
      <c r="D153" s="55"/>
      <c r="E153" s="55"/>
      <c r="F153" s="55"/>
      <c r="G153" s="55"/>
      <c r="H153" s="5"/>
      <c r="I153" s="5"/>
      <c r="J153" s="5"/>
      <c r="K153" s="55"/>
      <c r="L153" s="55"/>
      <c r="M153" s="55"/>
      <c r="N153" s="55"/>
      <c r="O153" s="5"/>
      <c r="P153" s="5"/>
      <c r="Q153" s="5"/>
      <c r="R153" s="55"/>
      <c r="S153" s="55"/>
      <c r="T153" s="55"/>
      <c r="U153" s="55"/>
      <c r="V153" s="5"/>
      <c r="W153" s="5"/>
      <c r="X153" s="5"/>
    </row>
    <row r="154" spans="1:24">
      <c r="A154" s="18" t="s">
        <v>546</v>
      </c>
      <c r="B154" s="5"/>
      <c r="C154" s="55"/>
      <c r="D154" s="55"/>
      <c r="E154" s="55"/>
      <c r="F154" s="55"/>
      <c r="G154" s="55"/>
      <c r="H154" s="5"/>
      <c r="I154" s="5"/>
      <c r="J154" s="5"/>
      <c r="K154" s="55"/>
      <c r="L154" s="55"/>
      <c r="M154" s="55"/>
      <c r="N154" s="55"/>
      <c r="O154" s="5"/>
      <c r="P154" s="5"/>
      <c r="Q154" s="5"/>
      <c r="R154" s="55"/>
      <c r="S154" s="55"/>
      <c r="T154" s="55"/>
      <c r="U154" s="55"/>
      <c r="V154" s="5"/>
      <c r="W154" s="5"/>
      <c r="X154" s="5"/>
    </row>
    <row r="155" spans="1:24">
      <c r="A155" s="137" t="s">
        <v>547</v>
      </c>
      <c r="C155" s="133">
        <v>880</v>
      </c>
      <c r="D155" s="133">
        <v>880</v>
      </c>
      <c r="E155" s="133">
        <v>880</v>
      </c>
      <c r="F155" s="133">
        <v>880</v>
      </c>
      <c r="G155" s="133">
        <v>880</v>
      </c>
      <c r="K155" s="175">
        <v>415</v>
      </c>
      <c r="L155" s="175">
        <v>415</v>
      </c>
      <c r="M155" s="175">
        <v>415</v>
      </c>
      <c r="N155" s="133">
        <v>415</v>
      </c>
      <c r="O155" s="175"/>
      <c r="P155" s="175"/>
      <c r="Q155" s="175"/>
      <c r="R155" s="175">
        <v>5695</v>
      </c>
      <c r="S155" s="175">
        <v>5695</v>
      </c>
      <c r="T155" s="175">
        <v>5674</v>
      </c>
      <c r="U155" s="175">
        <v>5674</v>
      </c>
      <c r="V155" s="206"/>
      <c r="W155" s="206"/>
      <c r="X155" s="206"/>
    </row>
    <row r="156" spans="1:24">
      <c r="A156" s="137" t="s">
        <v>548</v>
      </c>
      <c r="C156" s="374">
        <f>C163/C57</f>
        <v>58.872843450479238</v>
      </c>
      <c r="D156" s="374">
        <f>D163/D57</f>
        <v>66.472195121951216</v>
      </c>
      <c r="E156" s="374">
        <f>E163/E57</f>
        <v>33.696934306569347</v>
      </c>
      <c r="F156" s="374">
        <f>F163/F57</f>
        <v>23.985685884691851</v>
      </c>
      <c r="G156" s="374">
        <f>G163/G57</f>
        <v>22.674808293098554</v>
      </c>
      <c r="K156" s="374">
        <f>K163/K57</f>
        <v>22.456981132075473</v>
      </c>
      <c r="L156" s="374">
        <f>L163/L57</f>
        <v>23.407865168539328</v>
      </c>
      <c r="M156" s="374">
        <f>M163/M57</f>
        <v>22.39593220338983</v>
      </c>
      <c r="N156" s="374">
        <f>N163/N57</f>
        <v>20.608720846008985</v>
      </c>
      <c r="R156" s="374">
        <f>R163/R57</f>
        <v>64.298387096774192</v>
      </c>
      <c r="S156" s="374">
        <f>S163/S57</f>
        <v>10.734460431654677</v>
      </c>
      <c r="T156" s="374">
        <f>T163/T57</f>
        <v>11.220970149253731</v>
      </c>
      <c r="U156" s="374"/>
    </row>
    <row r="157" spans="1:24">
      <c r="A157" s="137" t="s">
        <v>549</v>
      </c>
      <c r="C157" s="377">
        <f>C156/C97/100</f>
        <v>2.0300980500165253</v>
      </c>
      <c r="D157" s="377">
        <f>D156/D97/100</f>
        <v>11.249140712945591</v>
      </c>
      <c r="E157" s="377">
        <f>E156/E97/100</f>
        <v>0.50329395470709348</v>
      </c>
      <c r="F157" s="377">
        <f>F156/F97/100</f>
        <v>0.51125653748740452</v>
      </c>
      <c r="G157" s="377">
        <f>G156/G97/100</f>
        <v>0.56687020732746385</v>
      </c>
      <c r="K157" s="377">
        <f>K156/K97/100</f>
        <v>4.5662528301886747</v>
      </c>
      <c r="L157" s="377" t="s">
        <v>550</v>
      </c>
      <c r="M157" s="377">
        <f>M156/M97/100</f>
        <v>2.04762808716707</v>
      </c>
      <c r="N157" s="377">
        <f>N156/N97/100</f>
        <v>1.2122776968240578</v>
      </c>
      <c r="R157" s="377">
        <f>R156/R97/100</f>
        <v>0.14065272177419352</v>
      </c>
      <c r="S157" s="377">
        <f>S156/S97/100</f>
        <v>3.0912528458246061E-2</v>
      </c>
      <c r="T157" s="377">
        <f>T156/T97/100</f>
        <v>0.70260536165327181</v>
      </c>
      <c r="U157" s="377"/>
    </row>
    <row r="158" spans="1:24" hidden="1">
      <c r="A158" s="137" t="s">
        <v>551</v>
      </c>
    </row>
    <row r="159" spans="1:24" hidden="1">
      <c r="A159" s="137" t="s">
        <v>552</v>
      </c>
    </row>
    <row r="160" spans="1:24" hidden="1">
      <c r="A160" s="137" t="s">
        <v>553</v>
      </c>
      <c r="B160" s="5"/>
      <c r="C160" s="55"/>
      <c r="D160" s="55"/>
      <c r="E160" s="55"/>
      <c r="F160" s="55"/>
      <c r="G160" s="55"/>
      <c r="H160" s="5"/>
      <c r="I160" s="5"/>
      <c r="J160" s="5"/>
      <c r="K160" s="55"/>
      <c r="L160" s="55"/>
      <c r="M160" s="55"/>
      <c r="N160" s="55"/>
      <c r="O160" s="5"/>
      <c r="P160" s="5"/>
      <c r="Q160" s="5"/>
      <c r="R160" s="55"/>
      <c r="S160" s="55"/>
      <c r="T160" s="55"/>
      <c r="U160" s="55"/>
      <c r="V160" s="5"/>
      <c r="W160" s="5"/>
      <c r="X160" s="5"/>
    </row>
    <row r="161" spans="1:24" hidden="1">
      <c r="B161" s="138"/>
      <c r="C161" s="55"/>
      <c r="D161" s="55"/>
      <c r="E161" s="55"/>
      <c r="F161" s="55"/>
      <c r="G161" s="55"/>
      <c r="H161" s="5"/>
      <c r="I161" s="5"/>
      <c r="J161" s="5"/>
      <c r="K161" s="55"/>
      <c r="L161" s="55"/>
      <c r="M161" s="55"/>
      <c r="N161" s="55"/>
      <c r="O161" s="5"/>
      <c r="P161" s="5"/>
      <c r="Q161" s="5"/>
      <c r="R161" s="55"/>
      <c r="S161" s="55"/>
      <c r="T161" s="55"/>
      <c r="U161" s="55"/>
      <c r="V161" s="5"/>
      <c r="W161" s="5"/>
      <c r="X161" s="5"/>
    </row>
    <row r="162" spans="1:24" hidden="1"/>
    <row r="163" spans="1:24">
      <c r="A163" s="137" t="s">
        <v>554</v>
      </c>
      <c r="C163" s="30">
        <f>C155*C164</f>
        <v>18427.2</v>
      </c>
      <c r="D163" s="30">
        <f>D155*D164</f>
        <v>27253.599999999999</v>
      </c>
      <c r="E163" s="30">
        <f>E155*E164</f>
        <v>23082.400000000001</v>
      </c>
      <c r="F163" s="30">
        <f>F155*F164</f>
        <v>24129.600000000002</v>
      </c>
      <c r="G163" s="30">
        <f>G155*G164</f>
        <v>31935.200000000001</v>
      </c>
      <c r="J163" s="30"/>
      <c r="K163" s="30">
        <f>K155*K164</f>
        <v>5951.1</v>
      </c>
      <c r="L163" s="30">
        <f>L155*L164</f>
        <v>6249.9000000000005</v>
      </c>
      <c r="M163" s="30">
        <f>M155*M164</f>
        <v>6606.8</v>
      </c>
      <c r="N163" s="30">
        <f>N155*N164</f>
        <v>7113.1</v>
      </c>
      <c r="O163" s="30"/>
      <c r="P163" s="30"/>
      <c r="Q163" s="30">
        <v>2190</v>
      </c>
      <c r="R163" s="30">
        <f>R155*R164</f>
        <v>9966.25</v>
      </c>
      <c r="S163" s="30">
        <f>S155*S164</f>
        <v>7460.4500000000007</v>
      </c>
      <c r="T163" s="30">
        <f>T155*T164</f>
        <v>9021.66</v>
      </c>
      <c r="U163" s="30">
        <f>U155*U164</f>
        <v>8681.2199999999993</v>
      </c>
      <c r="V163" s="30"/>
      <c r="W163" s="30"/>
      <c r="X163" s="30"/>
    </row>
    <row r="164" spans="1:24">
      <c r="A164" s="137" t="s">
        <v>555</v>
      </c>
      <c r="C164" s="133">
        <v>20.94</v>
      </c>
      <c r="D164" s="133">
        <v>30.97</v>
      </c>
      <c r="E164" s="133">
        <v>26.23</v>
      </c>
      <c r="F164" s="133">
        <v>27.42</v>
      </c>
      <c r="G164" s="133">
        <v>36.29</v>
      </c>
      <c r="K164" s="133">
        <v>14.34</v>
      </c>
      <c r="L164" s="133">
        <v>15.06</v>
      </c>
      <c r="M164" s="133">
        <v>15.92</v>
      </c>
      <c r="N164" s="133">
        <v>17.14</v>
      </c>
      <c r="Q164" s="133">
        <f>197.7/100</f>
        <v>1.9769999999999999</v>
      </c>
      <c r="R164" s="133">
        <v>1.75</v>
      </c>
      <c r="S164" s="133">
        <v>1.31</v>
      </c>
      <c r="T164" s="133">
        <v>1.59</v>
      </c>
      <c r="U164" s="133">
        <v>1.53</v>
      </c>
      <c r="V164" s="194"/>
      <c r="W164" s="194"/>
      <c r="X164" s="194"/>
    </row>
    <row r="165" spans="1:24" hidden="1">
      <c r="A165" s="137" t="s">
        <v>11</v>
      </c>
      <c r="Q165" s="133">
        <f>266.4/100</f>
        <v>2.6639999999999997</v>
      </c>
      <c r="T165" s="133">
        <v>416.47</v>
      </c>
      <c r="V165" s="194"/>
      <c r="W165" s="194"/>
      <c r="X165" s="194"/>
    </row>
    <row r="166" spans="1:24" hidden="1">
      <c r="A166" s="137" t="s">
        <v>556</v>
      </c>
      <c r="Q166" s="133">
        <f>134.1/100</f>
        <v>1.341</v>
      </c>
      <c r="T166" s="133">
        <v>213.4</v>
      </c>
      <c r="V166" s="194"/>
      <c r="W166" s="194"/>
      <c r="X166" s="194"/>
    </row>
    <row r="168" spans="1:24">
      <c r="A168" s="137" t="s">
        <v>557</v>
      </c>
      <c r="C168" s="201">
        <f>C163-C118</f>
        <v>14722.2</v>
      </c>
      <c r="D168" s="201">
        <f>D163-D118</f>
        <v>23149.599999999999</v>
      </c>
      <c r="E168" s="201">
        <f>E163-E118</f>
        <v>18402.400000000001</v>
      </c>
      <c r="F168" s="201">
        <f>F163-F118</f>
        <v>18529.600000000002</v>
      </c>
      <c r="K168" s="201">
        <f>K163-K118</f>
        <v>3623.1000000000004</v>
      </c>
      <c r="L168" s="201">
        <f>L163-L118</f>
        <v>3698.9000000000005</v>
      </c>
      <c r="M168" s="201">
        <f>M163-M118</f>
        <v>3741.8</v>
      </c>
      <c r="R168" s="200">
        <f>R163-R118</f>
        <v>-2068.75</v>
      </c>
      <c r="S168" s="200">
        <f>S163-S118</f>
        <v>-5525.5499999999993</v>
      </c>
      <c r="T168" s="200">
        <f>T163-T118</f>
        <v>-4449.34</v>
      </c>
      <c r="V168" s="194"/>
      <c r="W168" s="194"/>
      <c r="X168" s="194"/>
    </row>
    <row r="169" spans="1:24">
      <c r="A169" s="137" t="s">
        <v>418</v>
      </c>
      <c r="C169" s="195">
        <f>C168/C22</f>
        <v>11.144738834216502</v>
      </c>
      <c r="D169" s="195">
        <f>D168/D22</f>
        <v>13.289092996555683</v>
      </c>
      <c r="E169" s="195">
        <f>E168/E22</f>
        <v>7.2823110407597946</v>
      </c>
      <c r="F169" s="195">
        <f>F168/F22</f>
        <v>5.6065355521936464</v>
      </c>
      <c r="K169" s="195">
        <f>K168/K22</f>
        <v>2.9360615883306322</v>
      </c>
      <c r="L169" s="195">
        <f>L168/L22</f>
        <v>2.3395951929158763</v>
      </c>
      <c r="M169" s="195">
        <f>M168/M22</f>
        <v>2.0650110375275941</v>
      </c>
      <c r="R169" s="198">
        <f>R168/R22</f>
        <v>-1.0774739583333333</v>
      </c>
      <c r="S169" s="198">
        <f>S168/S22</f>
        <v>-2.6312142857142855</v>
      </c>
      <c r="T169" s="198">
        <f>T168/T22</f>
        <v>-2.0665768694844404</v>
      </c>
      <c r="V169" s="194"/>
      <c r="W169" s="194"/>
      <c r="X169" s="194"/>
    </row>
    <row r="170" spans="1:24">
      <c r="A170" s="137" t="s">
        <v>558</v>
      </c>
      <c r="C170" s="195">
        <f>C168/C40</f>
        <v>30.16844262295082</v>
      </c>
      <c r="D170" s="195">
        <f>D168/D40</f>
        <v>39.23661016949152</v>
      </c>
      <c r="E170" s="195">
        <f>E168/E40</f>
        <v>19.269528795811521</v>
      </c>
      <c r="F170" s="195">
        <f>F168/F40</f>
        <v>13.766419019316494</v>
      </c>
      <c r="K170" s="195">
        <f>K168/K40</f>
        <v>7.6598308668076118</v>
      </c>
      <c r="L170" s="195">
        <f>L168/L40</f>
        <v>5.2023909985935308</v>
      </c>
      <c r="M170" s="195">
        <f>M168/M40</f>
        <v>5.111748633879782</v>
      </c>
      <c r="R170" s="198">
        <f>R168/R40</f>
        <v>-19.891826923076923</v>
      </c>
      <c r="S170" s="198">
        <f>S168/S40</f>
        <v>-12.586674259681091</v>
      </c>
      <c r="T170" s="198">
        <f>T168/T40</f>
        <v>-8.9344176706827305</v>
      </c>
      <c r="V170" s="194"/>
      <c r="W170" s="194"/>
      <c r="X170" s="194"/>
    </row>
    <row r="171" spans="1:24">
      <c r="A171" s="137" t="s">
        <v>559</v>
      </c>
      <c r="C171" s="195">
        <f>C163/C22</f>
        <v>13.949432248296745</v>
      </c>
      <c r="D171" s="195">
        <f>D163/D22</f>
        <v>15.645005740528127</v>
      </c>
      <c r="E171" s="195">
        <f>E163/E22</f>
        <v>9.1343094578551653</v>
      </c>
      <c r="F171" s="195">
        <f>F163/F22</f>
        <v>7.3009379727685335</v>
      </c>
      <c r="K171" s="195">
        <f>K163/K22</f>
        <v>4.8226094003241498</v>
      </c>
      <c r="L171" s="195">
        <f>L163/L22</f>
        <v>3.9531309297912718</v>
      </c>
      <c r="M171" s="195">
        <f>M163/M22</f>
        <v>3.6461368653421635</v>
      </c>
      <c r="R171" s="195">
        <f>R163/R22</f>
        <v>5.190755208333333</v>
      </c>
      <c r="S171" s="195">
        <f>S163/S22</f>
        <v>3.5525952380952384</v>
      </c>
      <c r="T171" s="195">
        <f>T163/T22</f>
        <v>4.1902740362285185</v>
      </c>
      <c r="V171" s="194"/>
      <c r="W171" s="194"/>
      <c r="X171" s="194"/>
    </row>
    <row r="172" spans="1:24">
      <c r="A172" s="137" t="s">
        <v>560</v>
      </c>
      <c r="C172" s="195">
        <f>C163/C40</f>
        <v>37.760655737704923</v>
      </c>
      <c r="D172" s="195">
        <f>D163/D40</f>
        <v>46.192542372881356</v>
      </c>
      <c r="E172" s="195">
        <f>E163/E40</f>
        <v>24.170052356020943</v>
      </c>
      <c r="F172" s="195">
        <f>F163/F40</f>
        <v>17.926894502228826</v>
      </c>
      <c r="K172" s="195">
        <f>K163/K40</f>
        <v>12.581606765327697</v>
      </c>
      <c r="L172" s="195">
        <f>L163/L40</f>
        <v>8.7902953586497894</v>
      </c>
      <c r="M172" s="195">
        <f>M163/M40</f>
        <v>9.025683060109289</v>
      </c>
      <c r="R172" s="195">
        <f>R163/R40</f>
        <v>95.82932692307692</v>
      </c>
      <c r="S172" s="195">
        <f>S163/S40</f>
        <v>16.994191343963553</v>
      </c>
      <c r="T172" s="195">
        <f>T163/T40</f>
        <v>18.115783132530119</v>
      </c>
      <c r="V172" s="194"/>
      <c r="W172" s="194"/>
      <c r="X172" s="194"/>
    </row>
    <row r="173" spans="1:24" ht="45.75" customHeight="1">
      <c r="D173" s="3547" t="s">
        <v>561</v>
      </c>
      <c r="E173" s="3547"/>
      <c r="F173" s="3547"/>
      <c r="G173" s="378"/>
      <c r="K173" s="3547" t="s">
        <v>562</v>
      </c>
      <c r="L173" s="3547"/>
      <c r="M173" s="3547"/>
      <c r="N173" s="378"/>
      <c r="R173" s="3547" t="s">
        <v>563</v>
      </c>
      <c r="S173" s="3547"/>
      <c r="T173" s="3547"/>
      <c r="U173" s="378"/>
      <c r="V173" s="194"/>
      <c r="W173" s="194"/>
      <c r="X173" s="194"/>
    </row>
    <row r="174" spans="1:24" ht="32.25" customHeight="1">
      <c r="D174" s="3547" t="s">
        <v>564</v>
      </c>
      <c r="E174" s="3547"/>
      <c r="F174" s="3547"/>
      <c r="G174" s="378"/>
      <c r="K174" s="3547" t="s">
        <v>565</v>
      </c>
      <c r="L174" s="3547"/>
      <c r="M174" s="3547"/>
      <c r="N174" s="378"/>
      <c r="R174" s="3547" t="s">
        <v>566</v>
      </c>
      <c r="S174" s="3547"/>
      <c r="T174" s="3547"/>
      <c r="U174" s="378"/>
      <c r="V174" s="194"/>
      <c r="W174" s="194"/>
      <c r="X174" s="194"/>
    </row>
    <row r="175" spans="1:24">
      <c r="K175" s="133" t="s">
        <v>567</v>
      </c>
      <c r="V175" s="194"/>
      <c r="W175" s="194"/>
      <c r="X175" s="194"/>
    </row>
    <row r="176" spans="1:24">
      <c r="V176" s="194"/>
      <c r="W176" s="194"/>
      <c r="X176" s="194"/>
    </row>
    <row r="177" spans="1:24" s="380" customFormat="1" ht="23.25" customHeight="1">
      <c r="A177" s="379"/>
      <c r="B177" s="378"/>
      <c r="C177" s="3545" t="s">
        <v>568</v>
      </c>
      <c r="D177" s="3545"/>
      <c r="E177" s="3545"/>
      <c r="F177" s="3545"/>
      <c r="G177" s="3545"/>
      <c r="H177" s="378"/>
      <c r="I177" s="378"/>
      <c r="J177" s="378"/>
      <c r="K177" s="3545" t="s">
        <v>568</v>
      </c>
      <c r="L177" s="3545"/>
      <c r="M177" s="3545"/>
      <c r="N177" s="3545"/>
      <c r="O177" s="378"/>
      <c r="P177" s="378"/>
      <c r="Q177" s="378"/>
      <c r="R177" s="3545" t="s">
        <v>568</v>
      </c>
      <c r="S177" s="3545"/>
      <c r="T177" s="3545"/>
      <c r="U177" s="3545"/>
    </row>
    <row r="178" spans="1:24" s="380" customFormat="1" ht="24">
      <c r="A178" s="379"/>
      <c r="B178" s="378"/>
      <c r="C178" s="378"/>
      <c r="D178" s="381" t="s">
        <v>569</v>
      </c>
      <c r="E178" s="381" t="s">
        <v>570</v>
      </c>
      <c r="F178" s="381" t="s">
        <v>571</v>
      </c>
      <c r="G178" s="381" t="s">
        <v>572</v>
      </c>
      <c r="H178" s="378"/>
      <c r="I178" s="378"/>
      <c r="J178" s="378"/>
      <c r="K178" s="378"/>
      <c r="L178" s="381" t="s">
        <v>569</v>
      </c>
      <c r="M178" s="381" t="s">
        <v>570</v>
      </c>
      <c r="N178" s="381" t="s">
        <v>571</v>
      </c>
      <c r="O178" s="381"/>
      <c r="P178" s="378"/>
      <c r="Q178" s="378"/>
      <c r="R178" s="378"/>
      <c r="S178" s="381" t="s">
        <v>569</v>
      </c>
      <c r="T178" s="381" t="s">
        <v>573</v>
      </c>
      <c r="U178" s="381" t="s">
        <v>574</v>
      </c>
    </row>
    <row r="179" spans="1:24" s="380" customFormat="1" ht="24">
      <c r="A179" s="379"/>
      <c r="B179" s="378"/>
      <c r="C179" s="381" t="s">
        <v>575</v>
      </c>
      <c r="D179" s="382">
        <v>10602</v>
      </c>
      <c r="E179" s="382">
        <v>1044</v>
      </c>
      <c r="F179" s="383">
        <f>E179/D179</f>
        <v>9.8471986417657045E-2</v>
      </c>
      <c r="G179" s="378"/>
      <c r="H179" s="378"/>
      <c r="I179" s="378"/>
      <c r="J179" s="378"/>
      <c r="K179" s="381" t="s">
        <v>576</v>
      </c>
      <c r="L179" s="382">
        <v>4122</v>
      </c>
      <c r="M179" s="382">
        <f>4122-3794</f>
        <v>328</v>
      </c>
      <c r="N179" s="383">
        <f>M179/L179</f>
        <v>7.957302280446385E-2</v>
      </c>
      <c r="O179" s="378"/>
      <c r="P179" s="378"/>
      <c r="Q179" s="378"/>
      <c r="R179" s="381" t="s">
        <v>577</v>
      </c>
      <c r="S179" s="382">
        <v>1765</v>
      </c>
      <c r="T179" s="382">
        <v>144</v>
      </c>
      <c r="U179" s="383">
        <f>T179/S179</f>
        <v>8.1586402266288952E-2</v>
      </c>
    </row>
    <row r="180" spans="1:24" s="380" customFormat="1">
      <c r="C180" s="384" t="s">
        <v>578</v>
      </c>
      <c r="D180" s="385">
        <f>D179/$F$6</f>
        <v>0.65712160654518403</v>
      </c>
      <c r="E180" s="385">
        <f>E179/$F$20</f>
        <v>0.29871244635193134</v>
      </c>
      <c r="F180" s="386"/>
      <c r="G180" s="378"/>
      <c r="K180" s="384" t="s">
        <v>578</v>
      </c>
      <c r="L180" s="385">
        <f>L179/$M$6</f>
        <v>0.40097276264591442</v>
      </c>
      <c r="M180" s="385">
        <f>M179/$M$20</f>
        <v>0.15992198927352511</v>
      </c>
      <c r="N180" s="386"/>
      <c r="O180" s="378"/>
      <c r="R180" s="384" t="s">
        <v>578</v>
      </c>
      <c r="S180" s="385">
        <f>S179/$T$6</f>
        <v>0.37810625535561271</v>
      </c>
      <c r="T180" s="385">
        <f>T179/$T$40</f>
        <v>0.28915662650602408</v>
      </c>
      <c r="U180" s="386"/>
    </row>
    <row r="181" spans="1:24" s="380" customFormat="1">
      <c r="C181" s="387" t="s">
        <v>579</v>
      </c>
      <c r="D181" s="382">
        <v>5168</v>
      </c>
      <c r="E181" s="378">
        <v>380</v>
      </c>
      <c r="F181" s="383">
        <f>E181/D181</f>
        <v>7.3529411764705885E-2</v>
      </c>
      <c r="G181" s="378"/>
      <c r="K181" s="381" t="s">
        <v>580</v>
      </c>
      <c r="L181" s="382">
        <v>1650</v>
      </c>
      <c r="M181" s="378">
        <f>1650-1471</f>
        <v>179</v>
      </c>
      <c r="N181" s="383">
        <f>M181/L181</f>
        <v>0.10848484848484849</v>
      </c>
      <c r="O181" s="378"/>
      <c r="R181" s="381" t="s">
        <v>581</v>
      </c>
      <c r="S181" s="382">
        <v>1467</v>
      </c>
      <c r="T181" s="378">
        <v>45</v>
      </c>
      <c r="U181" s="383">
        <f>T181/S181</f>
        <v>3.0674846625766871E-2</v>
      </c>
    </row>
    <row r="182" spans="1:24" s="380" customFormat="1">
      <c r="C182" s="384" t="s">
        <v>582</v>
      </c>
      <c r="D182" s="385">
        <f>D181/$D$179</f>
        <v>0.48745519713261648</v>
      </c>
      <c r="E182" s="385">
        <f>E181/$E$179</f>
        <v>0.36398467432950193</v>
      </c>
      <c r="F182" s="386"/>
      <c r="K182" s="384" t="s">
        <v>578</v>
      </c>
      <c r="L182" s="385">
        <f>L181/$M$6</f>
        <v>0.1605058365758755</v>
      </c>
      <c r="M182" s="385">
        <f>M181/$M$20</f>
        <v>8.7274500243783526E-2</v>
      </c>
      <c r="N182" s="386"/>
      <c r="R182" s="384" t="s">
        <v>578</v>
      </c>
      <c r="S182" s="385">
        <f>S181/$T$6</f>
        <v>0.31426735218509</v>
      </c>
      <c r="T182" s="385">
        <f>T181/$T$40</f>
        <v>9.036144578313253E-2</v>
      </c>
      <c r="U182" s="386"/>
    </row>
    <row r="183" spans="1:24" s="380" customFormat="1">
      <c r="C183" s="387" t="s">
        <v>583</v>
      </c>
      <c r="D183" s="382">
        <v>3383</v>
      </c>
      <c r="E183" s="378">
        <v>155</v>
      </c>
      <c r="F183" s="383">
        <f>E183/D183</f>
        <v>4.5817321903635827E-2</v>
      </c>
      <c r="K183" s="381" t="s">
        <v>581</v>
      </c>
      <c r="L183" s="382">
        <f>690.191</f>
        <v>690.19100000000003</v>
      </c>
      <c r="M183" s="382">
        <f>L183-112.137</f>
        <v>578.05400000000009</v>
      </c>
      <c r="N183" s="383">
        <f>M183/L183</f>
        <v>0.83752758294443141</v>
      </c>
      <c r="R183" s="381" t="s">
        <v>584</v>
      </c>
      <c r="S183" s="382">
        <v>962</v>
      </c>
      <c r="T183" s="382">
        <v>247</v>
      </c>
      <c r="U183" s="383">
        <f>T183/S183</f>
        <v>0.25675675675675674</v>
      </c>
    </row>
    <row r="184" spans="1:24" s="380" customFormat="1">
      <c r="C184" s="384" t="s">
        <v>582</v>
      </c>
      <c r="D184" s="385">
        <f>D183/$D$179</f>
        <v>0.31909073759667989</v>
      </c>
      <c r="E184" s="385">
        <f>E183/$E$179</f>
        <v>0.14846743295019157</v>
      </c>
      <c r="F184" s="386"/>
      <c r="K184" s="384" t="s">
        <v>578</v>
      </c>
      <c r="L184" s="385">
        <f>L183/$M$6</f>
        <v>6.713920233463036E-2</v>
      </c>
      <c r="M184" s="385">
        <f>M183/$M$20</f>
        <v>0.28184007801072652</v>
      </c>
      <c r="N184" s="386"/>
      <c r="R184" s="384" t="s">
        <v>578</v>
      </c>
      <c r="S184" s="385">
        <f>S183/$T$6</f>
        <v>0.20608397600685519</v>
      </c>
      <c r="T184" s="385">
        <f>T183/$T$40</f>
        <v>0.49598393574297189</v>
      </c>
      <c r="U184" s="386"/>
    </row>
    <row r="185" spans="1:24" s="380" customFormat="1">
      <c r="C185" s="387" t="s">
        <v>585</v>
      </c>
      <c r="D185" s="382">
        <v>1061</v>
      </c>
      <c r="E185" s="378">
        <v>173</v>
      </c>
      <c r="F185" s="383">
        <f>E185/D185</f>
        <v>0.16305372290292178</v>
      </c>
      <c r="K185" s="381" t="s">
        <v>584</v>
      </c>
      <c r="L185" s="382">
        <v>287.464</v>
      </c>
      <c r="M185" s="382">
        <f>L185-60.662</f>
        <v>226.80199999999999</v>
      </c>
      <c r="N185" s="383">
        <f>M185/L185</f>
        <v>0.78897531516989949</v>
      </c>
      <c r="R185" s="381" t="s">
        <v>586</v>
      </c>
      <c r="S185" s="382">
        <v>310</v>
      </c>
      <c r="T185" s="382">
        <v>36</v>
      </c>
      <c r="U185" s="383">
        <f>T185/S185</f>
        <v>0.11612903225806452</v>
      </c>
    </row>
    <row r="186" spans="1:24" s="380" customFormat="1">
      <c r="C186" s="384" t="s">
        <v>582</v>
      </c>
      <c r="D186" s="385">
        <f>D185/$D$179</f>
        <v>0.10007545746085644</v>
      </c>
      <c r="E186" s="385">
        <f>E185/$E$179</f>
        <v>0.16570881226053641</v>
      </c>
      <c r="F186" s="386"/>
      <c r="K186" s="384" t="s">
        <v>578</v>
      </c>
      <c r="L186" s="385">
        <f>L185/$M$6</f>
        <v>2.7963424124513619E-2</v>
      </c>
      <c r="M186" s="385">
        <f>M185/$M$20</f>
        <v>0.11058117991223793</v>
      </c>
      <c r="N186" s="386"/>
      <c r="R186" s="384" t="s">
        <v>578</v>
      </c>
      <c r="S186" s="385">
        <f>S185/$T$6</f>
        <v>6.6409597257926306E-2</v>
      </c>
      <c r="T186" s="385">
        <f>T185/$T$40</f>
        <v>7.2289156626506021E-2</v>
      </c>
      <c r="U186" s="386"/>
    </row>
    <row r="187" spans="1:24" s="380" customFormat="1" ht="24">
      <c r="C187" s="387" t="s">
        <v>587</v>
      </c>
      <c r="D187" s="382">
        <v>220</v>
      </c>
      <c r="E187" s="378">
        <v>220</v>
      </c>
      <c r="F187" s="383">
        <f>E187/D187</f>
        <v>1</v>
      </c>
      <c r="K187" s="381" t="s">
        <v>588</v>
      </c>
      <c r="L187" s="382">
        <f>1784+57</f>
        <v>1841</v>
      </c>
      <c r="M187" s="382">
        <f>L187-1394-26</f>
        <v>421</v>
      </c>
      <c r="N187" s="383">
        <f>M187/L187</f>
        <v>0.22868006518196632</v>
      </c>
      <c r="R187" s="381" t="s">
        <v>589</v>
      </c>
      <c r="S187" s="382">
        <v>119</v>
      </c>
      <c r="T187" s="382">
        <v>-14</v>
      </c>
      <c r="U187" s="383">
        <f>T187/S187</f>
        <v>-0.11764705882352941</v>
      </c>
    </row>
    <row r="188" spans="1:24" s="380" customFormat="1">
      <c r="C188" s="384" t="s">
        <v>582</v>
      </c>
      <c r="D188" s="385">
        <f>D187/$D$179</f>
        <v>2.0750801735521601E-2</v>
      </c>
      <c r="E188" s="385">
        <f>E187/$E$179</f>
        <v>0.21072796934865901</v>
      </c>
      <c r="F188" s="386"/>
      <c r="K188" s="384" t="s">
        <v>578</v>
      </c>
      <c r="L188" s="385">
        <f>L187/$M$6</f>
        <v>0.17908560311284047</v>
      </c>
      <c r="M188" s="385">
        <f>M187/$M$20</f>
        <v>0.20526572403705509</v>
      </c>
      <c r="N188" s="386"/>
      <c r="R188" s="384" t="s">
        <v>578</v>
      </c>
      <c r="S188" s="385">
        <f>S187/$T$6</f>
        <v>2.5492716366752356E-2</v>
      </c>
      <c r="T188" s="385">
        <f>T187/$T$40</f>
        <v>-2.8112449799196786E-2</v>
      </c>
      <c r="U188" s="386"/>
    </row>
    <row r="189" spans="1:24" s="380" customFormat="1" ht="24">
      <c r="A189" s="379"/>
      <c r="B189" s="378"/>
      <c r="C189" s="387" t="s">
        <v>590</v>
      </c>
      <c r="D189" s="382">
        <v>771</v>
      </c>
      <c r="E189" s="378">
        <v>117</v>
      </c>
      <c r="F189" s="383">
        <f>E189/D189</f>
        <v>0.1517509727626459</v>
      </c>
      <c r="H189" s="378"/>
      <c r="I189" s="378"/>
      <c r="J189" s="378"/>
      <c r="K189" s="381" t="s">
        <v>591</v>
      </c>
      <c r="L189" s="382">
        <v>1688</v>
      </c>
      <c r="M189" s="382">
        <f>L189-1370</f>
        <v>318</v>
      </c>
      <c r="N189" s="383">
        <f>M189/L189</f>
        <v>0.18838862559241706</v>
      </c>
      <c r="P189" s="378"/>
      <c r="Q189" s="378"/>
      <c r="R189" s="381" t="s">
        <v>592</v>
      </c>
      <c r="S189" s="382">
        <v>45</v>
      </c>
      <c r="T189" s="382">
        <v>0.12</v>
      </c>
      <c r="U189" s="383">
        <f>T189/S189</f>
        <v>2.6666666666666666E-3</v>
      </c>
      <c r="V189" s="378"/>
      <c r="W189" s="378"/>
      <c r="X189" s="378"/>
    </row>
    <row r="190" spans="1:24" s="380" customFormat="1">
      <c r="C190" s="384" t="s">
        <v>582</v>
      </c>
      <c r="D190" s="385">
        <f>D189/$D$179</f>
        <v>7.2722127900396158E-2</v>
      </c>
      <c r="E190" s="385">
        <f>E189/$E$179</f>
        <v>0.11206896551724138</v>
      </c>
      <c r="F190" s="386"/>
      <c r="K190" s="384" t="s">
        <v>578</v>
      </c>
      <c r="L190" s="385">
        <f>L189/$M$6</f>
        <v>0.16420233463035019</v>
      </c>
      <c r="M190" s="385">
        <f>M189/$M$20</f>
        <v>0.15504631886884446</v>
      </c>
      <c r="N190" s="386"/>
      <c r="R190" s="384" t="s">
        <v>578</v>
      </c>
      <c r="S190" s="385">
        <f>S189/$T$6</f>
        <v>9.640102827763496E-3</v>
      </c>
      <c r="T190" s="385">
        <f>T189/$T$40</f>
        <v>2.4096385542168674E-4</v>
      </c>
      <c r="U190" s="386"/>
    </row>
    <row r="191" spans="1:24" s="380" customFormat="1" ht="24">
      <c r="C191" s="378"/>
      <c r="D191" s="378"/>
      <c r="E191" s="378"/>
      <c r="F191" s="378"/>
      <c r="G191" s="378"/>
      <c r="K191" s="133"/>
      <c r="L191" s="133"/>
      <c r="M191" s="133"/>
      <c r="N191" s="133"/>
      <c r="O191" s="378"/>
      <c r="R191" s="381" t="s">
        <v>593</v>
      </c>
      <c r="S191" s="388" t="s">
        <v>550</v>
      </c>
      <c r="T191" s="382">
        <v>124</v>
      </c>
      <c r="U191" s="383"/>
    </row>
    <row r="192" spans="1:24" s="380" customFormat="1" ht="24">
      <c r="A192" s="379"/>
      <c r="B192" s="378"/>
      <c r="C192" s="381" t="s">
        <v>594</v>
      </c>
      <c r="D192" s="382">
        <v>5400</v>
      </c>
      <c r="E192" s="382">
        <f>5400-3060</f>
        <v>2340</v>
      </c>
      <c r="F192" s="383">
        <f>E192/D192</f>
        <v>0.43333333333333335</v>
      </c>
      <c r="H192" s="378"/>
      <c r="I192" s="378"/>
      <c r="J192" s="378"/>
      <c r="K192" s="133"/>
      <c r="L192" s="133"/>
      <c r="M192" s="133"/>
      <c r="N192" s="133"/>
      <c r="P192" s="378"/>
      <c r="Q192" s="378"/>
      <c r="R192" s="384"/>
      <c r="S192" s="385"/>
      <c r="T192" s="385"/>
      <c r="U192" s="386"/>
      <c r="V192" s="378"/>
      <c r="W192" s="378"/>
      <c r="X192" s="378"/>
    </row>
    <row r="193" spans="1:24" s="380" customFormat="1">
      <c r="A193" s="379"/>
      <c r="B193" s="378"/>
      <c r="C193" s="384" t="s">
        <v>578</v>
      </c>
      <c r="D193" s="385">
        <f>D192/$F$6</f>
        <v>0.33469691335068796</v>
      </c>
      <c r="E193" s="385">
        <f>E192/$F$20</f>
        <v>0.66952789699570814</v>
      </c>
      <c r="F193" s="386"/>
      <c r="H193" s="378"/>
      <c r="I193" s="378"/>
      <c r="J193" s="378"/>
      <c r="K193" s="133"/>
      <c r="L193" s="133"/>
      <c r="M193" s="133"/>
      <c r="N193" s="133"/>
      <c r="P193" s="378"/>
      <c r="Q193" s="378"/>
      <c r="R193" s="378"/>
      <c r="S193" s="378"/>
      <c r="T193" s="378"/>
      <c r="U193" s="378"/>
      <c r="V193" s="378"/>
      <c r="W193" s="378"/>
      <c r="X193" s="378"/>
    </row>
    <row r="194" spans="1:24" s="380" customFormat="1">
      <c r="A194" s="379"/>
      <c r="B194" s="378"/>
      <c r="C194" s="378"/>
      <c r="D194" s="378"/>
      <c r="E194" s="378"/>
      <c r="F194" s="378"/>
      <c r="G194" s="378"/>
      <c r="H194" s="378"/>
      <c r="I194" s="378"/>
      <c r="J194" s="378"/>
      <c r="K194" s="133"/>
      <c r="L194" s="133"/>
      <c r="M194" s="133"/>
      <c r="N194" s="133"/>
      <c r="O194" s="378"/>
      <c r="P194" s="378"/>
      <c r="Q194" s="378"/>
      <c r="R194" s="378"/>
      <c r="S194" s="378"/>
      <c r="T194" s="378"/>
      <c r="U194" s="378"/>
      <c r="V194" s="378"/>
      <c r="W194" s="378"/>
      <c r="X194" s="378"/>
    </row>
    <row r="195" spans="1:24" s="380" customFormat="1">
      <c r="A195" s="379"/>
      <c r="B195" s="378"/>
      <c r="C195" s="378"/>
      <c r="D195" s="378"/>
      <c r="E195" s="378"/>
      <c r="F195" s="378"/>
      <c r="G195" s="378"/>
      <c r="H195" s="378"/>
      <c r="I195" s="378"/>
      <c r="J195" s="378"/>
      <c r="K195" s="133"/>
      <c r="L195" s="133"/>
      <c r="M195" s="133"/>
      <c r="N195" s="133"/>
      <c r="O195" s="378"/>
      <c r="P195" s="378"/>
      <c r="Q195" s="378"/>
      <c r="R195" s="378"/>
      <c r="S195" s="378"/>
      <c r="T195" s="378"/>
      <c r="U195" s="378"/>
      <c r="V195" s="378"/>
      <c r="W195" s="378"/>
      <c r="X195" s="378"/>
    </row>
    <row r="196" spans="1:24" s="380" customFormat="1">
      <c r="A196" s="379"/>
      <c r="B196" s="378"/>
      <c r="C196" s="378"/>
      <c r="D196" s="378"/>
      <c r="E196" s="378"/>
      <c r="F196" s="378"/>
      <c r="G196" s="378"/>
      <c r="H196" s="378"/>
      <c r="I196" s="378"/>
      <c r="J196" s="378"/>
      <c r="K196" s="133"/>
      <c r="L196" s="133"/>
      <c r="M196" s="133"/>
      <c r="N196" s="133"/>
      <c r="O196" s="378"/>
      <c r="P196" s="378"/>
      <c r="Q196" s="378"/>
      <c r="R196" s="378"/>
      <c r="S196" s="378"/>
      <c r="T196" s="378"/>
      <c r="U196" s="378"/>
      <c r="V196" s="378"/>
      <c r="W196" s="378"/>
      <c r="X196" s="378"/>
    </row>
    <row r="197" spans="1:24" s="380" customFormat="1">
      <c r="A197" s="379"/>
      <c r="B197" s="378"/>
      <c r="C197" s="378"/>
      <c r="D197" s="378"/>
      <c r="E197" s="378"/>
      <c r="F197" s="378"/>
      <c r="G197" s="378"/>
      <c r="H197" s="378"/>
      <c r="I197" s="378"/>
      <c r="J197" s="378"/>
      <c r="K197" s="133"/>
      <c r="L197" s="133"/>
      <c r="M197" s="133"/>
      <c r="N197" s="133"/>
      <c r="O197" s="378"/>
      <c r="P197" s="378"/>
      <c r="Q197" s="378"/>
      <c r="R197" s="378"/>
      <c r="S197" s="378"/>
      <c r="T197" s="378"/>
      <c r="U197" s="378"/>
      <c r="V197" s="378"/>
      <c r="W197" s="378"/>
      <c r="X197" s="378"/>
    </row>
    <row r="198" spans="1:24" s="380" customFormat="1">
      <c r="A198" s="379"/>
      <c r="B198" s="378"/>
      <c r="C198" s="378"/>
      <c r="D198" s="378"/>
      <c r="E198" s="378"/>
      <c r="F198" s="378"/>
      <c r="G198" s="378"/>
      <c r="H198" s="378"/>
      <c r="I198" s="378"/>
      <c r="J198" s="378"/>
      <c r="K198" s="133"/>
      <c r="L198" s="133"/>
      <c r="M198" s="133"/>
      <c r="N198" s="133"/>
      <c r="O198" s="378"/>
      <c r="P198" s="378"/>
      <c r="Q198" s="378"/>
      <c r="R198" s="378"/>
      <c r="S198" s="378"/>
      <c r="T198" s="378"/>
      <c r="U198" s="378"/>
      <c r="V198" s="378"/>
      <c r="W198" s="378"/>
      <c r="X198" s="378"/>
    </row>
    <row r="199" spans="1:24" s="380" customFormat="1">
      <c r="A199" s="379"/>
      <c r="B199" s="378"/>
      <c r="C199" s="378"/>
      <c r="D199" s="378"/>
      <c r="E199" s="378"/>
      <c r="F199" s="378"/>
      <c r="G199" s="378"/>
      <c r="H199" s="378"/>
      <c r="I199" s="378"/>
      <c r="J199" s="378"/>
      <c r="K199" s="133"/>
      <c r="L199" s="133"/>
      <c r="M199" s="133"/>
      <c r="N199" s="133"/>
      <c r="O199" s="378"/>
      <c r="P199" s="378"/>
      <c r="Q199" s="378"/>
      <c r="R199" s="378"/>
      <c r="S199" s="378"/>
      <c r="T199" s="378"/>
      <c r="U199" s="378"/>
      <c r="V199" s="378"/>
      <c r="W199" s="378"/>
      <c r="X199" s="378"/>
    </row>
  </sheetData>
  <mergeCells count="10">
    <mergeCell ref="C177:G177"/>
    <mergeCell ref="K177:N177"/>
    <mergeCell ref="R177:U177"/>
    <mergeCell ref="C3:G3"/>
    <mergeCell ref="D173:F173"/>
    <mergeCell ref="K173:M173"/>
    <mergeCell ref="R173:T173"/>
    <mergeCell ref="D174:F174"/>
    <mergeCell ref="K174:M174"/>
    <mergeCell ref="R174:T174"/>
  </mergeCells>
  <phoneticPr fontId="11" type="noConversion"/>
  <printOptions headings="1"/>
  <pageMargins left="0.23622047244094491" right="0.23622047244094491" top="0.74803149606299213" bottom="0.74803149606299213" header="0.31496062992125984" footer="0.31496062992125984"/>
  <pageSetup paperSize="9" scale="38" orientation="landscape" r:id="rId1"/>
  <headerFooter alignWithMargins="0"/>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B168"/>
  <sheetViews>
    <sheetView workbookViewId="0"/>
  </sheetViews>
  <sheetFormatPr defaultColWidth="9" defaultRowHeight="15" outlineLevelCol="1"/>
  <cols>
    <col min="1" max="1" width="33.08203125" style="137" customWidth="1"/>
    <col min="2" max="2" width="10.08203125" style="133" hidden="1" customWidth="1" outlineLevel="1"/>
    <col min="3" max="3" width="11.33203125" style="133" hidden="1" customWidth="1" outlineLevel="1"/>
    <col min="4" max="6" width="11.33203125" style="133" customWidth="1" outlineLevel="1"/>
    <col min="7" max="7" width="10.25" style="133" customWidth="1" outlineLevel="1"/>
    <col min="8" max="10" width="1.58203125" style="133" customWidth="1" outlineLevel="1"/>
    <col min="11" max="11" width="10.25" style="133" hidden="1" customWidth="1" outlineLevel="1"/>
    <col min="12" max="15" width="10.25" style="133" customWidth="1" outlineLevel="1"/>
    <col min="16" max="18" width="1.58203125" style="133" customWidth="1" outlineLevel="1"/>
    <col min="19" max="19" width="13.58203125" style="133" hidden="1" customWidth="1"/>
    <col min="20" max="23" width="10.25" style="133" hidden="1" customWidth="1"/>
    <col min="24" max="26" width="1.83203125" style="133" hidden="1" customWidth="1"/>
    <col min="27" max="16384" width="9" style="194"/>
  </cols>
  <sheetData>
    <row r="1" spans="1:26">
      <c r="A1" s="15" t="s">
        <v>266</v>
      </c>
      <c r="B1" s="16"/>
      <c r="C1" s="132"/>
      <c r="D1" s="132"/>
      <c r="E1" s="132"/>
      <c r="F1" s="132"/>
      <c r="G1" s="132"/>
      <c r="H1" s="132"/>
      <c r="I1" s="132"/>
      <c r="J1" s="132"/>
      <c r="K1" s="132"/>
      <c r="L1" s="132"/>
      <c r="M1" s="132"/>
      <c r="N1" s="132"/>
      <c r="O1" s="132"/>
      <c r="P1" s="132"/>
      <c r="Q1" s="132"/>
      <c r="R1" s="132"/>
      <c r="S1" s="132"/>
      <c r="T1" s="132"/>
      <c r="U1" s="132"/>
      <c r="V1" s="132"/>
      <c r="W1" s="132"/>
      <c r="X1" s="132"/>
      <c r="Y1" s="132"/>
      <c r="Z1" s="132"/>
    </row>
    <row r="2" spans="1:26">
      <c r="A2" s="17"/>
      <c r="B2" s="1"/>
      <c r="C2" s="133" t="s">
        <v>265</v>
      </c>
      <c r="D2" s="133" t="s">
        <v>265</v>
      </c>
      <c r="E2" s="133" t="s">
        <v>265</v>
      </c>
      <c r="F2" s="133" t="s">
        <v>265</v>
      </c>
      <c r="G2" s="133" t="s">
        <v>265</v>
      </c>
      <c r="H2" s="133" t="s">
        <v>264</v>
      </c>
      <c r="I2" s="133" t="s">
        <v>264</v>
      </c>
      <c r="J2" s="133" t="s">
        <v>264</v>
      </c>
      <c r="K2" s="133" t="s">
        <v>265</v>
      </c>
      <c r="L2" s="133" t="s">
        <v>265</v>
      </c>
      <c r="M2" s="133" t="s">
        <v>265</v>
      </c>
      <c r="N2" s="133" t="s">
        <v>265</v>
      </c>
      <c r="O2" s="133" t="s">
        <v>265</v>
      </c>
      <c r="P2" s="133" t="s">
        <v>264</v>
      </c>
      <c r="Q2" s="133" t="s">
        <v>264</v>
      </c>
      <c r="R2" s="133" t="s">
        <v>264</v>
      </c>
      <c r="T2" s="133" t="s">
        <v>263</v>
      </c>
      <c r="U2" s="133" t="s">
        <v>263</v>
      </c>
      <c r="V2" s="133" t="s">
        <v>263</v>
      </c>
      <c r="W2" s="133" t="s">
        <v>263</v>
      </c>
      <c r="X2" s="133" t="s">
        <v>262</v>
      </c>
      <c r="Y2" s="133" t="s">
        <v>262</v>
      </c>
      <c r="Z2" s="133" t="s">
        <v>262</v>
      </c>
    </row>
    <row r="3" spans="1:26">
      <c r="A3" s="214"/>
      <c r="B3" s="138"/>
      <c r="C3" s="55" t="s">
        <v>176</v>
      </c>
      <c r="D3" s="55" t="s">
        <v>176</v>
      </c>
      <c r="E3" s="55" t="s">
        <v>176</v>
      </c>
      <c r="F3" s="55" t="s">
        <v>176</v>
      </c>
      <c r="G3" s="55" t="s">
        <v>176</v>
      </c>
      <c r="H3" s="5" t="s">
        <v>176</v>
      </c>
      <c r="I3" s="5" t="s">
        <v>176</v>
      </c>
      <c r="J3" s="5" t="s">
        <v>176</v>
      </c>
      <c r="K3" s="55" t="s">
        <v>175</v>
      </c>
      <c r="L3" s="55" t="s">
        <v>261</v>
      </c>
      <c r="M3" s="55" t="s">
        <v>261</v>
      </c>
      <c r="N3" s="55" t="s">
        <v>261</v>
      </c>
      <c r="O3" s="55" t="s">
        <v>261</v>
      </c>
      <c r="P3" s="5" t="s">
        <v>175</v>
      </c>
      <c r="Q3" s="5" t="s">
        <v>175</v>
      </c>
      <c r="R3" s="5" t="s">
        <v>175</v>
      </c>
      <c r="S3" s="5"/>
      <c r="T3" s="55" t="s">
        <v>174</v>
      </c>
      <c r="U3" s="55" t="s">
        <v>174</v>
      </c>
      <c r="V3" s="55" t="s">
        <v>174</v>
      </c>
      <c r="W3" s="55" t="s">
        <v>174</v>
      </c>
      <c r="X3" s="5" t="s">
        <v>174</v>
      </c>
      <c r="Y3" s="5" t="s">
        <v>174</v>
      </c>
      <c r="Z3" s="5" t="s">
        <v>174</v>
      </c>
    </row>
    <row r="4" spans="1:26">
      <c r="A4" s="18" t="s">
        <v>260</v>
      </c>
      <c r="B4" s="5" t="s">
        <v>259</v>
      </c>
      <c r="C4" s="55">
        <v>2009</v>
      </c>
      <c r="D4" s="55">
        <v>2010</v>
      </c>
      <c r="E4" s="55">
        <v>2011</v>
      </c>
      <c r="F4" s="55">
        <v>2012</v>
      </c>
      <c r="G4" s="55" t="s">
        <v>258</v>
      </c>
      <c r="H4" s="5">
        <v>2009</v>
      </c>
      <c r="I4" s="5">
        <v>2010</v>
      </c>
      <c r="J4" s="5">
        <v>2011</v>
      </c>
      <c r="K4" s="55">
        <v>2009</v>
      </c>
      <c r="L4" s="55">
        <v>2010</v>
      </c>
      <c r="M4" s="55">
        <v>2011</v>
      </c>
      <c r="N4" s="55">
        <v>2012</v>
      </c>
      <c r="O4" s="55" t="s">
        <v>258</v>
      </c>
      <c r="P4" s="5">
        <v>2009</v>
      </c>
      <c r="Q4" s="5">
        <v>2010</v>
      </c>
      <c r="R4" s="5">
        <v>2011</v>
      </c>
      <c r="S4" s="5" t="s">
        <v>257</v>
      </c>
      <c r="T4" s="55">
        <v>2009</v>
      </c>
      <c r="U4" s="55">
        <v>2010</v>
      </c>
      <c r="V4" s="55">
        <v>2011</v>
      </c>
      <c r="W4" s="55">
        <v>2012</v>
      </c>
      <c r="X4" s="5">
        <v>2009</v>
      </c>
      <c r="Y4" s="5">
        <v>2010</v>
      </c>
      <c r="Z4" s="5">
        <v>2011</v>
      </c>
    </row>
    <row r="5" spans="1:26" hidden="1">
      <c r="A5" s="19" t="s">
        <v>256</v>
      </c>
      <c r="B5" s="8"/>
    </row>
    <row r="6" spans="1:26">
      <c r="A6" s="19" t="s">
        <v>252</v>
      </c>
      <c r="B6" s="8"/>
      <c r="C6" s="30"/>
      <c r="D6" s="146">
        <v>8890.1</v>
      </c>
      <c r="E6" s="146">
        <v>9808.9</v>
      </c>
      <c r="F6" s="30">
        <v>9491</v>
      </c>
      <c r="G6" s="30"/>
      <c r="H6" s="30"/>
      <c r="I6" s="30"/>
      <c r="J6" s="30"/>
      <c r="K6" s="30"/>
      <c r="L6" s="30">
        <v>13514</v>
      </c>
      <c r="M6" s="30">
        <v>14687</v>
      </c>
      <c r="N6" s="30">
        <v>14460</v>
      </c>
      <c r="O6" s="30"/>
      <c r="P6" s="30"/>
      <c r="Q6" s="30"/>
      <c r="R6" s="30"/>
    </row>
    <row r="7" spans="1:26">
      <c r="A7" s="19" t="s">
        <v>255</v>
      </c>
      <c r="B7" s="8"/>
      <c r="D7" s="211">
        <f>D20/D6</f>
        <v>0.2320558823860249</v>
      </c>
      <c r="E7" s="211">
        <f>E20/E6</f>
        <v>0.21388738798438153</v>
      </c>
      <c r="F7" s="211">
        <f>F20/F6</f>
        <v>0.21862817405963544</v>
      </c>
      <c r="G7" s="211"/>
      <c r="L7" s="211">
        <f>L20/L6</f>
        <v>8.6650880568299546E-2</v>
      </c>
      <c r="M7" s="211">
        <f>M20/M6</f>
        <v>9.0964798801661334E-2</v>
      </c>
      <c r="N7" s="211">
        <f>N20/N6</f>
        <v>0.10338865836791147</v>
      </c>
      <c r="O7" s="211"/>
    </row>
    <row r="8" spans="1:26" hidden="1">
      <c r="A8" s="19" t="s">
        <v>254</v>
      </c>
      <c r="B8" s="8"/>
    </row>
    <row r="9" spans="1:26" hidden="1">
      <c r="A9" s="19" t="s">
        <v>253</v>
      </c>
      <c r="B9" s="12"/>
      <c r="C9" s="1"/>
      <c r="D9" s="1"/>
      <c r="E9" s="27"/>
      <c r="F9" s="27"/>
      <c r="G9" s="27"/>
      <c r="H9" s="1"/>
      <c r="I9" s="1"/>
      <c r="J9" s="27"/>
      <c r="K9" s="1"/>
      <c r="L9" s="1"/>
      <c r="M9" s="27"/>
      <c r="N9" s="27"/>
      <c r="O9" s="27"/>
      <c r="P9" s="1"/>
      <c r="Q9" s="1"/>
      <c r="R9" s="27"/>
      <c r="S9" s="27"/>
      <c r="T9" s="27"/>
      <c r="U9" s="27"/>
      <c r="V9" s="27"/>
      <c r="W9" s="27"/>
      <c r="X9" s="27"/>
      <c r="Y9" s="27"/>
      <c r="Z9" s="27"/>
    </row>
    <row r="10" spans="1:26" hidden="1">
      <c r="A10" s="20" t="s">
        <v>252</v>
      </c>
      <c r="B10" s="12"/>
      <c r="C10" s="1"/>
      <c r="D10" s="1"/>
      <c r="E10" s="27"/>
      <c r="F10" s="27"/>
      <c r="G10" s="27"/>
      <c r="H10" s="1"/>
      <c r="I10" s="1"/>
      <c r="J10" s="27"/>
      <c r="K10" s="1"/>
      <c r="L10" s="1"/>
      <c r="M10" s="27"/>
      <c r="N10" s="27"/>
      <c r="O10" s="27"/>
      <c r="P10" s="1"/>
      <c r="Q10" s="1"/>
      <c r="R10" s="27"/>
      <c r="S10" s="27"/>
      <c r="T10" s="27"/>
      <c r="U10" s="27"/>
      <c r="V10" s="27"/>
      <c r="W10" s="27"/>
      <c r="X10" s="27"/>
      <c r="Y10" s="27"/>
      <c r="Z10" s="27"/>
    </row>
    <row r="11" spans="1:26" hidden="1">
      <c r="A11" s="20" t="s">
        <v>251</v>
      </c>
      <c r="B11" s="12"/>
      <c r="C11" s="1"/>
      <c r="D11" s="1"/>
      <c r="E11" s="27"/>
      <c r="F11" s="27"/>
      <c r="G11" s="27"/>
      <c r="H11" s="1"/>
      <c r="I11" s="1"/>
      <c r="J11" s="27"/>
      <c r="K11" s="1"/>
      <c r="L11" s="1"/>
      <c r="M11" s="27"/>
      <c r="N11" s="27"/>
      <c r="O11" s="27"/>
      <c r="P11" s="1"/>
      <c r="Q11" s="1"/>
      <c r="R11" s="27"/>
      <c r="S11" s="27"/>
      <c r="T11" s="27"/>
      <c r="U11" s="27"/>
      <c r="V11" s="27"/>
      <c r="W11" s="27"/>
      <c r="X11" s="27"/>
      <c r="Y11" s="27"/>
      <c r="Z11" s="27"/>
    </row>
    <row r="12" spans="1:26" hidden="1">
      <c r="A12" s="20" t="s">
        <v>249</v>
      </c>
      <c r="B12" s="6"/>
      <c r="C12" s="1"/>
      <c r="D12" s="1"/>
      <c r="E12" s="27"/>
      <c r="F12" s="27"/>
      <c r="G12" s="27"/>
      <c r="H12" s="1"/>
      <c r="I12" s="1"/>
      <c r="J12" s="27"/>
      <c r="K12" s="1"/>
      <c r="L12" s="1"/>
      <c r="M12" s="27"/>
      <c r="N12" s="27"/>
      <c r="O12" s="27"/>
      <c r="P12" s="1"/>
      <c r="Q12" s="1"/>
      <c r="R12" s="27"/>
      <c r="S12" s="27"/>
      <c r="T12" s="27"/>
      <c r="U12" s="27"/>
      <c r="V12" s="27"/>
      <c r="W12" s="27"/>
      <c r="X12" s="27"/>
      <c r="Y12" s="27"/>
      <c r="Z12" s="27"/>
    </row>
    <row r="13" spans="1:26" hidden="1">
      <c r="A13" s="21"/>
      <c r="B13" s="9"/>
    </row>
    <row r="14" spans="1:26" hidden="1">
      <c r="A14" s="24" t="s">
        <v>217</v>
      </c>
      <c r="B14" s="1"/>
    </row>
    <row r="15" spans="1:26" hidden="1">
      <c r="A15" s="17" t="s">
        <v>216</v>
      </c>
      <c r="B15" s="1"/>
      <c r="C15" s="146"/>
      <c r="D15" s="146"/>
      <c r="E15" s="146"/>
      <c r="F15" s="146"/>
      <c r="G15" s="146"/>
      <c r="H15" s="146"/>
      <c r="I15" s="146"/>
      <c r="J15" s="146"/>
      <c r="K15" s="146"/>
      <c r="L15" s="146"/>
      <c r="M15" s="146"/>
      <c r="N15" s="146"/>
      <c r="O15" s="146"/>
      <c r="P15" s="146"/>
      <c r="Q15" s="146"/>
      <c r="R15" s="146"/>
      <c r="S15" s="146"/>
      <c r="T15" s="150" t="s">
        <v>156</v>
      </c>
      <c r="U15" s="150"/>
      <c r="V15" s="150" t="s">
        <v>156</v>
      </c>
      <c r="W15" s="150" t="s">
        <v>156</v>
      </c>
      <c r="X15" s="140" t="s">
        <v>156</v>
      </c>
      <c r="Y15" s="140" t="s">
        <v>156</v>
      </c>
      <c r="Z15" s="140" t="s">
        <v>156</v>
      </c>
    </row>
    <row r="16" spans="1:26" hidden="1">
      <c r="A16" s="17" t="s">
        <v>215</v>
      </c>
      <c r="B16" s="1"/>
      <c r="C16" s="146"/>
      <c r="D16" s="146"/>
      <c r="E16" s="146"/>
      <c r="F16" s="146"/>
      <c r="G16" s="146"/>
      <c r="H16" s="146"/>
      <c r="I16" s="146"/>
      <c r="J16" s="146"/>
      <c r="K16" s="146"/>
      <c r="L16" s="146"/>
      <c r="M16" s="146"/>
      <c r="N16" s="146"/>
      <c r="O16" s="146"/>
      <c r="P16" s="146"/>
      <c r="Q16" s="146"/>
      <c r="R16" s="146"/>
      <c r="S16" s="146"/>
      <c r="T16" s="150" t="s">
        <v>156</v>
      </c>
      <c r="U16" s="150"/>
      <c r="V16" s="150" t="s">
        <v>156</v>
      </c>
      <c r="W16" s="150" t="s">
        <v>156</v>
      </c>
      <c r="X16" s="140" t="s">
        <v>156</v>
      </c>
      <c r="Y16" s="140" t="s">
        <v>156</v>
      </c>
      <c r="Z16" s="140" t="s">
        <v>156</v>
      </c>
    </row>
    <row r="17" spans="1:26" hidden="1">
      <c r="A17" s="17" t="s">
        <v>214</v>
      </c>
      <c r="B17" s="1"/>
      <c r="C17" s="146"/>
      <c r="D17" s="146"/>
      <c r="E17" s="146"/>
      <c r="F17" s="146"/>
      <c r="G17" s="146"/>
      <c r="H17" s="146"/>
      <c r="I17" s="146"/>
      <c r="J17" s="146"/>
      <c r="K17" s="146"/>
      <c r="L17" s="146"/>
      <c r="M17" s="146"/>
      <c r="N17" s="146"/>
      <c r="O17" s="146"/>
      <c r="P17" s="146"/>
      <c r="Q17" s="146"/>
      <c r="R17" s="146"/>
      <c r="S17" s="146"/>
      <c r="T17" s="150" t="s">
        <v>156</v>
      </c>
      <c r="U17" s="150"/>
      <c r="V17" s="150" t="s">
        <v>156</v>
      </c>
      <c r="W17" s="150" t="s">
        <v>156</v>
      </c>
      <c r="X17" s="140" t="s">
        <v>156</v>
      </c>
      <c r="Y17" s="140" t="s">
        <v>156</v>
      </c>
      <c r="Z17" s="140" t="s">
        <v>156</v>
      </c>
    </row>
    <row r="18" spans="1:26" hidden="1">
      <c r="A18" s="17" t="s">
        <v>213</v>
      </c>
      <c r="B18" s="1"/>
      <c r="C18" s="146"/>
      <c r="D18" s="146"/>
      <c r="E18" s="146"/>
      <c r="F18" s="146"/>
      <c r="G18" s="146"/>
      <c r="H18" s="146"/>
      <c r="I18" s="146"/>
      <c r="J18" s="146"/>
      <c r="K18" s="146"/>
      <c r="L18" s="146"/>
      <c r="M18" s="146"/>
      <c r="N18" s="146"/>
      <c r="O18" s="146"/>
      <c r="P18" s="146"/>
      <c r="Q18" s="146"/>
      <c r="R18" s="146"/>
      <c r="S18" s="146"/>
      <c r="T18" s="150" t="s">
        <v>156</v>
      </c>
      <c r="U18" s="150"/>
      <c r="V18" s="150" t="s">
        <v>156</v>
      </c>
      <c r="W18" s="150" t="s">
        <v>156</v>
      </c>
      <c r="X18" s="140" t="s">
        <v>156</v>
      </c>
      <c r="Y18" s="140" t="s">
        <v>156</v>
      </c>
      <c r="Z18" s="140" t="s">
        <v>156</v>
      </c>
    </row>
    <row r="19" spans="1:26" hidden="1">
      <c r="A19" s="17" t="s">
        <v>212</v>
      </c>
      <c r="B19" s="1"/>
      <c r="C19" s="146"/>
      <c r="D19" s="146"/>
      <c r="E19" s="146"/>
      <c r="F19" s="146"/>
      <c r="G19" s="146"/>
      <c r="H19" s="146"/>
      <c r="I19" s="146"/>
      <c r="J19" s="146"/>
      <c r="K19" s="146"/>
      <c r="L19" s="146"/>
      <c r="M19" s="146"/>
      <c r="N19" s="146"/>
      <c r="O19" s="146"/>
      <c r="P19" s="146"/>
      <c r="Q19" s="146"/>
      <c r="R19" s="146"/>
      <c r="S19" s="146"/>
      <c r="T19" s="150" t="s">
        <v>156</v>
      </c>
      <c r="U19" s="150"/>
      <c r="V19" s="150" t="s">
        <v>156</v>
      </c>
      <c r="W19" s="150" t="s">
        <v>156</v>
      </c>
      <c r="X19" s="140" t="s">
        <v>156</v>
      </c>
      <c r="Y19" s="140" t="s">
        <v>156</v>
      </c>
      <c r="Z19" s="140" t="s">
        <v>156</v>
      </c>
    </row>
    <row r="20" spans="1:26">
      <c r="A20" s="24" t="s">
        <v>211</v>
      </c>
      <c r="B20" s="13">
        <v>1.3473999999999999</v>
      </c>
      <c r="C20" s="146">
        <v>9268.7999999999993</v>
      </c>
      <c r="D20" s="146">
        <v>2063</v>
      </c>
      <c r="E20" s="146">
        <v>2098</v>
      </c>
      <c r="F20" s="146">
        <v>2075</v>
      </c>
      <c r="G20" s="146"/>
      <c r="H20" s="146">
        <f>C20*B20</f>
        <v>12488.781119999998</v>
      </c>
      <c r="I20" s="146">
        <f>D20*B20</f>
        <v>2779.6861999999996</v>
      </c>
      <c r="J20" s="146">
        <f>E20*B20</f>
        <v>2826.8451999999997</v>
      </c>
      <c r="K20" s="146">
        <v>13851</v>
      </c>
      <c r="L20" s="146">
        <v>1171</v>
      </c>
      <c r="M20" s="146">
        <v>1336</v>
      </c>
      <c r="N20" s="146">
        <v>1495</v>
      </c>
      <c r="O20" s="146"/>
      <c r="P20" s="146">
        <f>B20*K20</f>
        <v>18662.8374</v>
      </c>
      <c r="Q20" s="146">
        <f>B20*L20</f>
        <v>1577.8054</v>
      </c>
      <c r="R20" s="146">
        <f>B20*M20</f>
        <v>1800.1263999999999</v>
      </c>
      <c r="S20" s="210">
        <v>1.1181000000000001</v>
      </c>
      <c r="T20" s="30">
        <v>3893.6460000000002</v>
      </c>
      <c r="U20" s="30">
        <v>3984</v>
      </c>
      <c r="V20" s="30">
        <v>5111</v>
      </c>
      <c r="W20" s="30"/>
      <c r="X20" s="30">
        <f>S20*T20</f>
        <v>4353.4855926000009</v>
      </c>
      <c r="Y20" s="30">
        <f>U20*S20</f>
        <v>4454.5104000000001</v>
      </c>
      <c r="Z20" s="30">
        <f>V20*S20</f>
        <v>5714.6091000000006</v>
      </c>
    </row>
    <row r="21" spans="1:26" hidden="1">
      <c r="A21" s="22" t="s">
        <v>210</v>
      </c>
      <c r="B21" s="9"/>
      <c r="C21" s="146"/>
      <c r="D21" s="146"/>
      <c r="E21" s="146"/>
      <c r="F21" s="146"/>
      <c r="G21" s="146"/>
      <c r="H21" s="146"/>
      <c r="I21" s="146"/>
      <c r="J21" s="146"/>
      <c r="K21" s="146"/>
      <c r="L21" s="146"/>
      <c r="M21" s="146"/>
      <c r="N21" s="146"/>
      <c r="O21" s="146"/>
      <c r="P21" s="146"/>
      <c r="Q21" s="146"/>
      <c r="R21" s="146"/>
      <c r="S21" s="146"/>
      <c r="T21" s="150" t="s">
        <v>156</v>
      </c>
      <c r="U21" s="150"/>
      <c r="V21" s="150" t="s">
        <v>156</v>
      </c>
      <c r="W21" s="150"/>
      <c r="X21" s="140" t="s">
        <v>156</v>
      </c>
      <c r="Y21" s="140" t="s">
        <v>156</v>
      </c>
      <c r="Z21" s="140" t="s">
        <v>156</v>
      </c>
    </row>
    <row r="22" spans="1:26">
      <c r="A22" s="24" t="s">
        <v>209</v>
      </c>
      <c r="B22" s="1"/>
      <c r="C22" s="146"/>
      <c r="D22" s="146">
        <f>D20</f>
        <v>2063</v>
      </c>
      <c r="E22" s="146">
        <f>E20</f>
        <v>2098</v>
      </c>
      <c r="F22" s="146">
        <f>F20</f>
        <v>2075</v>
      </c>
      <c r="G22" s="146"/>
      <c r="H22" s="146"/>
      <c r="I22" s="146"/>
      <c r="J22" s="146"/>
      <c r="K22" s="146"/>
      <c r="L22" s="146">
        <f>L20</f>
        <v>1171</v>
      </c>
      <c r="M22" s="146">
        <f>M20</f>
        <v>1336</v>
      </c>
      <c r="N22" s="146">
        <f>N20</f>
        <v>1495</v>
      </c>
      <c r="O22" s="146"/>
      <c r="P22" s="146"/>
      <c r="Q22" s="146"/>
      <c r="R22" s="146"/>
      <c r="S22" s="146"/>
      <c r="T22" s="146"/>
      <c r="U22" s="146"/>
      <c r="V22" s="146"/>
      <c r="W22" s="146"/>
      <c r="X22" s="146"/>
      <c r="Y22" s="146"/>
      <c r="Z22" s="146"/>
    </row>
    <row r="23" spans="1:26">
      <c r="A23" s="17" t="s">
        <v>250</v>
      </c>
      <c r="B23" s="13">
        <v>1.3473999999999999</v>
      </c>
      <c r="C23" s="146">
        <v>-7084.6</v>
      </c>
      <c r="D23" s="146"/>
      <c r="E23" s="146"/>
      <c r="F23" s="146"/>
      <c r="G23" s="146"/>
      <c r="H23" s="146">
        <f>C23*B23</f>
        <v>-9545.7900399999999</v>
      </c>
      <c r="I23" s="146">
        <f>D23*B23</f>
        <v>0</v>
      </c>
      <c r="J23" s="146">
        <f>E23*B23</f>
        <v>0</v>
      </c>
      <c r="K23" s="146">
        <v>-12735</v>
      </c>
      <c r="L23" s="146"/>
      <c r="M23" s="146"/>
      <c r="N23" s="146"/>
      <c r="O23" s="146"/>
      <c r="P23" s="146">
        <f>B23*K23</f>
        <v>-17159.138999999999</v>
      </c>
      <c r="Q23" s="146">
        <f>B23*L23</f>
        <v>0</v>
      </c>
      <c r="R23" s="146">
        <f>B23*M23</f>
        <v>0</v>
      </c>
      <c r="S23" s="210">
        <v>1.1181000000000001</v>
      </c>
      <c r="T23" s="146">
        <v>-3085.252</v>
      </c>
      <c r="U23" s="146">
        <f>U24-U20</f>
        <v>-3110.8</v>
      </c>
      <c r="V23" s="146">
        <f>V24-V20</f>
        <v>-4085.3</v>
      </c>
      <c r="W23" s="146"/>
      <c r="X23" s="146">
        <f>S23*T23</f>
        <v>-3449.6202612000002</v>
      </c>
      <c r="Y23" s="146">
        <f>U23*S23</f>
        <v>-3478.1854800000006</v>
      </c>
      <c r="Z23" s="146">
        <f>V23*S23</f>
        <v>-4567.7739300000003</v>
      </c>
    </row>
    <row r="24" spans="1:26" s="216" customFormat="1">
      <c r="A24" s="24" t="s">
        <v>249</v>
      </c>
      <c r="B24" s="13">
        <v>1.3473999999999999</v>
      </c>
      <c r="C24" s="218">
        <f>C20+C23</f>
        <v>2184.1999999999989</v>
      </c>
      <c r="D24" s="217">
        <f>D20+D23</f>
        <v>2063</v>
      </c>
      <c r="E24" s="217">
        <f>E20+E23</f>
        <v>2098</v>
      </c>
      <c r="F24" s="217">
        <f>F20+F23</f>
        <v>2075</v>
      </c>
      <c r="G24" s="146"/>
      <c r="H24" s="146">
        <f>C24*B24</f>
        <v>2942.9910799999984</v>
      </c>
      <c r="I24" s="146">
        <f>D24*B24</f>
        <v>2779.6861999999996</v>
      </c>
      <c r="J24" s="146">
        <f>E24*B24</f>
        <v>2826.8451999999997</v>
      </c>
      <c r="K24" s="146">
        <f>K20+K23</f>
        <v>1116</v>
      </c>
      <c r="L24" s="146">
        <f>L20+L23</f>
        <v>1171</v>
      </c>
      <c r="M24" s="146">
        <f>M20+M23</f>
        <v>1336</v>
      </c>
      <c r="N24" s="146">
        <f>N20+N23</f>
        <v>1495</v>
      </c>
      <c r="O24" s="146"/>
      <c r="P24" s="146">
        <f>B24*K24</f>
        <v>1503.6984</v>
      </c>
      <c r="Q24" s="146">
        <f>B24*L24</f>
        <v>1577.8054</v>
      </c>
      <c r="R24" s="146">
        <f>B24*M24</f>
        <v>1800.1263999999999</v>
      </c>
      <c r="S24" s="210">
        <v>1.1181000000000001</v>
      </c>
      <c r="T24" s="146">
        <f>T20+T23</f>
        <v>808.39400000000023</v>
      </c>
      <c r="U24" s="146">
        <v>873.2</v>
      </c>
      <c r="V24" s="146">
        <v>1025.7</v>
      </c>
      <c r="W24" s="146"/>
      <c r="X24" s="30">
        <f>S24*T24</f>
        <v>903.86533140000029</v>
      </c>
      <c r="Y24" s="30">
        <f>U24*S24</f>
        <v>976.32492000000013</v>
      </c>
      <c r="Z24" s="30">
        <f>V24*S24</f>
        <v>1146.8351700000001</v>
      </c>
    </row>
    <row r="25" spans="1:26">
      <c r="A25" s="23" t="s">
        <v>248</v>
      </c>
      <c r="B25" s="1"/>
      <c r="C25" s="27">
        <f>C24/C20</f>
        <v>0.23565078543069212</v>
      </c>
      <c r="D25" s="27"/>
      <c r="E25" s="27"/>
      <c r="F25" s="27"/>
      <c r="G25" s="27"/>
      <c r="H25" s="27">
        <f>H24/H20</f>
        <v>0.23565078543069212</v>
      </c>
      <c r="I25" s="27"/>
      <c r="J25" s="27"/>
      <c r="K25" s="27">
        <f>K24/K20</f>
        <v>8.057179987004548E-2</v>
      </c>
      <c r="L25" s="27"/>
      <c r="M25" s="27"/>
      <c r="N25" s="27"/>
      <c r="O25" s="27"/>
      <c r="P25" s="27">
        <f>P24/P20</f>
        <v>8.057179987004548E-2</v>
      </c>
      <c r="Q25" s="27"/>
      <c r="R25" s="27"/>
      <c r="S25" s="27"/>
      <c r="T25" s="27">
        <f>T24/T20</f>
        <v>0.20761877171165541</v>
      </c>
      <c r="U25" s="38">
        <f>U24/U20</f>
        <v>0.21917670682730925</v>
      </c>
      <c r="V25" s="38">
        <f>V24/V20</f>
        <v>0.20068479749559773</v>
      </c>
      <c r="W25" s="38"/>
      <c r="X25" s="27">
        <f>X24/X20</f>
        <v>0.20761877171165538</v>
      </c>
      <c r="Y25" s="27">
        <f>Y24/Y20</f>
        <v>0.21917670682730925</v>
      </c>
      <c r="Z25" s="27">
        <f>Z24/Z20</f>
        <v>0.20068479749559773</v>
      </c>
    </row>
    <row r="26" spans="1:26">
      <c r="A26" s="17"/>
      <c r="B26" s="9"/>
      <c r="C26" s="146"/>
      <c r="D26" s="146"/>
      <c r="E26" s="146"/>
      <c r="F26" s="146"/>
      <c r="G26" s="146"/>
      <c r="H26" s="146"/>
      <c r="I26" s="146"/>
      <c r="J26" s="146"/>
      <c r="K26" s="146"/>
      <c r="L26" s="146"/>
      <c r="M26" s="146"/>
      <c r="N26" s="146"/>
      <c r="O26" s="146"/>
      <c r="P26" s="146"/>
      <c r="Q26" s="146"/>
      <c r="R26" s="146"/>
      <c r="S26" s="146"/>
      <c r="T26" s="146"/>
      <c r="U26" s="146"/>
      <c r="V26" s="146"/>
      <c r="W26" s="146"/>
      <c r="X26" s="146"/>
      <c r="Y26" s="146"/>
      <c r="Z26" s="146"/>
    </row>
    <row r="27" spans="1:26">
      <c r="A27" s="24" t="s">
        <v>247</v>
      </c>
      <c r="B27" s="3"/>
      <c r="C27" s="146"/>
      <c r="D27" s="146"/>
      <c r="E27" s="146"/>
      <c r="F27" s="146"/>
      <c r="G27" s="146"/>
      <c r="H27" s="146"/>
      <c r="I27" s="146"/>
      <c r="J27" s="146"/>
      <c r="K27" s="146"/>
      <c r="L27" s="146"/>
      <c r="M27" s="146"/>
      <c r="N27" s="146"/>
      <c r="O27" s="146"/>
      <c r="P27" s="146"/>
      <c r="Q27" s="146"/>
      <c r="R27" s="146"/>
      <c r="S27" s="146"/>
      <c r="T27" s="146"/>
      <c r="U27" s="146"/>
      <c r="V27" s="146"/>
      <c r="W27" s="146"/>
      <c r="X27" s="146"/>
      <c r="Y27" s="146"/>
      <c r="Z27" s="146"/>
    </row>
    <row r="28" spans="1:26" hidden="1">
      <c r="A28" s="25" t="s">
        <v>207</v>
      </c>
      <c r="B28" s="3"/>
      <c r="C28" s="146"/>
      <c r="D28" s="146"/>
      <c r="E28" s="146"/>
      <c r="F28" s="146"/>
      <c r="G28" s="146"/>
      <c r="H28" s="146"/>
      <c r="I28" s="146"/>
      <c r="J28" s="146"/>
      <c r="K28" s="146"/>
      <c r="L28" s="146"/>
      <c r="M28" s="146"/>
      <c r="N28" s="146"/>
      <c r="O28" s="146"/>
      <c r="P28" s="146"/>
      <c r="Q28" s="146"/>
      <c r="R28" s="146"/>
      <c r="S28" s="146"/>
      <c r="T28" s="146"/>
      <c r="U28" s="146"/>
      <c r="V28" s="146"/>
      <c r="W28" s="146"/>
      <c r="X28" s="146"/>
      <c r="Y28" s="146"/>
      <c r="Z28" s="146"/>
    </row>
    <row r="29" spans="1:26" hidden="1">
      <c r="A29" s="25" t="s">
        <v>206</v>
      </c>
      <c r="B29" s="3"/>
      <c r="C29" s="146"/>
      <c r="D29" s="146"/>
      <c r="E29" s="146"/>
      <c r="F29" s="146"/>
      <c r="G29" s="146"/>
      <c r="H29" s="146"/>
      <c r="I29" s="146"/>
      <c r="J29" s="146"/>
      <c r="K29" s="146"/>
      <c r="L29" s="146"/>
      <c r="M29" s="146"/>
      <c r="N29" s="146"/>
      <c r="O29" s="146"/>
      <c r="P29" s="146"/>
      <c r="Q29" s="146"/>
      <c r="R29" s="146"/>
      <c r="S29" s="210">
        <v>1.1181000000000001</v>
      </c>
      <c r="T29" s="146">
        <v>-93.025999999999996</v>
      </c>
      <c r="U29" s="146">
        <v>-91.787999999999997</v>
      </c>
      <c r="V29" s="146"/>
      <c r="W29" s="146"/>
      <c r="X29" s="146">
        <f>S29*T29</f>
        <v>-104.01237060000001</v>
      </c>
      <c r="Y29" s="146">
        <f>U29*S29</f>
        <v>-102.6281628</v>
      </c>
      <c r="Z29" s="146"/>
    </row>
    <row r="30" spans="1:26" hidden="1">
      <c r="A30" s="25" t="s">
        <v>205</v>
      </c>
      <c r="B30" s="13">
        <v>1.3473999999999999</v>
      </c>
      <c r="C30" s="146">
        <v>-1086.8</v>
      </c>
      <c r="D30" s="146">
        <v>-1065.5999999999999</v>
      </c>
      <c r="E30" s="146">
        <v>-1123.3</v>
      </c>
      <c r="F30" s="146">
        <v>-1123.3</v>
      </c>
      <c r="G30" s="146"/>
      <c r="H30" s="146">
        <f>C30*B30</f>
        <v>-1464.3543199999999</v>
      </c>
      <c r="I30" s="146">
        <f>D30*B30</f>
        <v>-1435.7894399999998</v>
      </c>
      <c r="J30" s="146">
        <f>E30*B30</f>
        <v>-1513.53442</v>
      </c>
      <c r="K30" s="146">
        <v>-1130</v>
      </c>
      <c r="L30" s="146">
        <v>-1124</v>
      </c>
      <c r="M30" s="146">
        <v>-1094</v>
      </c>
      <c r="N30" s="146">
        <v>-1094</v>
      </c>
      <c r="O30" s="146"/>
      <c r="P30" s="146">
        <f>B30*K30</f>
        <v>-1522.5619999999999</v>
      </c>
      <c r="Q30" s="146">
        <f>B30*L30</f>
        <v>-1514.4775999999999</v>
      </c>
      <c r="R30" s="146">
        <f>B30*M30</f>
        <v>-1474.0555999999999</v>
      </c>
      <c r="S30" s="210">
        <v>1.1181000000000001</v>
      </c>
      <c r="T30" s="146">
        <v>-450.012</v>
      </c>
      <c r="U30" s="146">
        <v>-459.553</v>
      </c>
      <c r="V30" s="146"/>
      <c r="W30" s="146"/>
      <c r="X30" s="146">
        <f>S30*T30</f>
        <v>-503.15841720000003</v>
      </c>
      <c r="Y30" s="146">
        <f>U30*S30</f>
        <v>-513.82620930000007</v>
      </c>
      <c r="Z30" s="146"/>
    </row>
    <row r="31" spans="1:26" hidden="1">
      <c r="A31" s="17" t="s">
        <v>246</v>
      </c>
      <c r="B31" s="13">
        <v>1.3473999999999999</v>
      </c>
      <c r="C31" s="146">
        <f>-167.6-34.4</f>
        <v>-202</v>
      </c>
      <c r="D31" s="146">
        <f>-152.8-30.9</f>
        <v>-183.70000000000002</v>
      </c>
      <c r="E31" s="146">
        <f>-167.1-34.3</f>
        <v>-201.39999999999998</v>
      </c>
      <c r="F31" s="146">
        <f>-167.1-34.3</f>
        <v>-201.39999999999998</v>
      </c>
      <c r="G31" s="146"/>
      <c r="H31" s="146">
        <f>C31*B31</f>
        <v>-272.1748</v>
      </c>
      <c r="I31" s="146">
        <f>D31*B31</f>
        <v>-247.51738</v>
      </c>
      <c r="J31" s="146">
        <f>E31*B31</f>
        <v>-271.36635999999993</v>
      </c>
      <c r="K31" s="146"/>
      <c r="L31" s="146"/>
      <c r="M31" s="146"/>
      <c r="N31" s="146"/>
      <c r="O31" s="146"/>
      <c r="P31" s="146"/>
      <c r="Q31" s="146"/>
      <c r="R31" s="146"/>
      <c r="S31" s="210">
        <v>1.1181000000000001</v>
      </c>
      <c r="T31" s="146">
        <v>-52.404000000000003</v>
      </c>
      <c r="U31" s="146">
        <v>-54.869</v>
      </c>
      <c r="V31" s="146"/>
      <c r="W31" s="146"/>
      <c r="X31" s="146">
        <f>S31*T31</f>
        <v>-58.59291240000001</v>
      </c>
      <c r="Y31" s="146">
        <f>U31*S31</f>
        <v>-61.349028900000008</v>
      </c>
      <c r="Z31" s="146"/>
    </row>
    <row r="32" spans="1:26" hidden="1">
      <c r="A32" s="17" t="s">
        <v>245</v>
      </c>
      <c r="B32" s="1"/>
      <c r="C32" s="146"/>
      <c r="G32" s="146"/>
      <c r="H32" s="146"/>
      <c r="I32" s="146"/>
      <c r="J32" s="146"/>
      <c r="K32" s="146"/>
      <c r="L32" s="146"/>
      <c r="M32" s="146"/>
      <c r="N32" s="146"/>
      <c r="O32" s="146"/>
      <c r="P32" s="146"/>
      <c r="Q32" s="146"/>
      <c r="R32" s="146"/>
      <c r="S32" s="146"/>
      <c r="T32" s="146"/>
      <c r="U32" s="146"/>
      <c r="V32" s="146"/>
      <c r="W32" s="146"/>
      <c r="X32" s="146"/>
      <c r="Y32" s="146"/>
      <c r="Z32" s="146"/>
    </row>
    <row r="33" spans="1:26" hidden="1">
      <c r="A33" s="17" t="s">
        <v>244</v>
      </c>
      <c r="B33" s="13">
        <v>1.3473999999999999</v>
      </c>
      <c r="C33" s="146">
        <v>-734.8</v>
      </c>
      <c r="D33" s="146">
        <v>-644.6</v>
      </c>
      <c r="E33" s="146">
        <v>-1035</v>
      </c>
      <c r="F33" s="146">
        <v>-1035</v>
      </c>
      <c r="G33" s="146"/>
      <c r="H33" s="146">
        <f>C33*B33</f>
        <v>-990.0695199999999</v>
      </c>
      <c r="I33" s="146">
        <f>D33*B33</f>
        <v>-868.53404</v>
      </c>
      <c r="J33" s="146">
        <f>E33*B33</f>
        <v>-1394.559</v>
      </c>
      <c r="K33" s="146">
        <v>9</v>
      </c>
      <c r="L33" s="146">
        <v>-3</v>
      </c>
      <c r="M33" s="146">
        <v>13</v>
      </c>
      <c r="N33" s="146">
        <v>13</v>
      </c>
      <c r="O33" s="146"/>
      <c r="P33" s="146">
        <f>B33*K33</f>
        <v>12.1266</v>
      </c>
      <c r="Q33" s="146">
        <f>B33*L33</f>
        <v>-4.0421999999999993</v>
      </c>
      <c r="R33" s="146">
        <f>B33*M33</f>
        <v>17.516199999999998</v>
      </c>
      <c r="S33" s="210">
        <v>1.1181000000000001</v>
      </c>
      <c r="T33" s="146">
        <v>-197.828</v>
      </c>
      <c r="U33" s="146">
        <v>-208.578</v>
      </c>
      <c r="V33" s="146"/>
      <c r="W33" s="146"/>
      <c r="X33" s="146">
        <f>S33*T33</f>
        <v>-221.19148680000004</v>
      </c>
      <c r="Y33" s="146">
        <f>U33*S33</f>
        <v>-233.21106180000001</v>
      </c>
      <c r="Z33" s="146"/>
    </row>
    <row r="34" spans="1:26" hidden="1">
      <c r="A34" s="17" t="s">
        <v>243</v>
      </c>
      <c r="B34" s="13">
        <v>1.3473999999999999</v>
      </c>
      <c r="C34" s="146">
        <v>-3.9</v>
      </c>
      <c r="D34" s="146">
        <v>-4.5999999999999996</v>
      </c>
      <c r="E34" s="146">
        <v>-1.8</v>
      </c>
      <c r="F34" s="146">
        <v>-1.8</v>
      </c>
      <c r="H34" s="146">
        <f>C34*B34</f>
        <v>-5.2548599999999999</v>
      </c>
      <c r="I34" s="146">
        <f>D34*B34</f>
        <v>-6.1980399999999989</v>
      </c>
      <c r="J34" s="146">
        <f>E34*B34</f>
        <v>-2.4253200000000001</v>
      </c>
      <c r="K34" s="146"/>
      <c r="L34" s="146"/>
      <c r="P34" s="146"/>
      <c r="Q34" s="146"/>
      <c r="R34" s="146"/>
      <c r="S34" s="146"/>
      <c r="X34" s="146"/>
      <c r="Y34" s="146"/>
      <c r="Z34" s="146"/>
    </row>
    <row r="35" spans="1:26" hidden="1">
      <c r="A35" s="25" t="s">
        <v>204</v>
      </c>
      <c r="B35" s="13">
        <v>1.3473999999999999</v>
      </c>
      <c r="C35" s="36">
        <v>25</v>
      </c>
      <c r="D35" s="146">
        <v>26.7</v>
      </c>
      <c r="E35" s="146">
        <v>14.1</v>
      </c>
      <c r="F35" s="146">
        <v>14.1</v>
      </c>
      <c r="G35" s="146"/>
      <c r="H35" s="146">
        <f>C35*B35</f>
        <v>33.684999999999995</v>
      </c>
      <c r="I35" s="146">
        <f>D35*B35</f>
        <v>35.975579999999994</v>
      </c>
      <c r="J35" s="146">
        <f>E35*B35</f>
        <v>18.998339999999999</v>
      </c>
      <c r="K35" s="58">
        <v>17</v>
      </c>
      <c r="L35" s="146">
        <v>15</v>
      </c>
      <c r="M35" s="146">
        <v>20</v>
      </c>
      <c r="N35" s="146">
        <v>20</v>
      </c>
      <c r="O35" s="146"/>
      <c r="P35" s="146">
        <f>B35*K35</f>
        <v>22.905799999999999</v>
      </c>
      <c r="Q35" s="146">
        <f>B35*L35</f>
        <v>20.210999999999999</v>
      </c>
      <c r="R35" s="146">
        <f>B35*M35</f>
        <v>26.948</v>
      </c>
      <c r="S35" s="146"/>
      <c r="T35" s="146"/>
      <c r="U35" s="146"/>
      <c r="V35" s="146"/>
      <c r="W35" s="146"/>
      <c r="X35" s="146"/>
      <c r="Y35" s="146"/>
      <c r="Z35" s="146"/>
    </row>
    <row r="36" spans="1:26">
      <c r="A36" s="29" t="s">
        <v>203</v>
      </c>
      <c r="B36" s="13">
        <v>1.3473999999999999</v>
      </c>
      <c r="C36" s="146">
        <f>C38-C24</f>
        <v>-2027.4999999999989</v>
      </c>
      <c r="D36" s="146">
        <f>D38-D24</f>
        <v>-1896</v>
      </c>
      <c r="E36" s="146">
        <v>-2364.3000000000002</v>
      </c>
      <c r="F36" s="146">
        <f>F38-F24</f>
        <v>-2394</v>
      </c>
      <c r="G36" s="146"/>
      <c r="H36" s="146">
        <f>C36*B36</f>
        <v>-2731.8534999999983</v>
      </c>
      <c r="I36" s="146">
        <f>D36*B36</f>
        <v>-2554.6704</v>
      </c>
      <c r="J36" s="146">
        <f>E36*B36</f>
        <v>-3185.6578199999999</v>
      </c>
      <c r="K36" s="146">
        <f>SUM(K30:K34)</f>
        <v>-1121</v>
      </c>
      <c r="L36" s="146">
        <f>SUM(L30:L34)</f>
        <v>-1127</v>
      </c>
      <c r="M36" s="146">
        <v>-1094</v>
      </c>
      <c r="N36" s="146">
        <v>-1199</v>
      </c>
      <c r="O36" s="146"/>
      <c r="P36" s="146">
        <f>B36*K36</f>
        <v>-1510.4353999999998</v>
      </c>
      <c r="Q36" s="146">
        <f>B36*L36</f>
        <v>-1518.5198</v>
      </c>
      <c r="R36" s="146">
        <f>B36*M36</f>
        <v>-1474.0555999999999</v>
      </c>
      <c r="S36" s="210">
        <v>1.1181000000000001</v>
      </c>
      <c r="T36" s="146">
        <f>SUM(T29:T34)</f>
        <v>-793.27</v>
      </c>
      <c r="U36" s="146">
        <f>SUM(U29:U34)</f>
        <v>-814.78800000000001</v>
      </c>
      <c r="V36" s="146"/>
      <c r="W36" s="146"/>
      <c r="X36" s="146">
        <f>S36*T36</f>
        <v>-886.95518700000002</v>
      </c>
      <c r="Y36" s="146">
        <f>U36*S36</f>
        <v>-911.01446280000005</v>
      </c>
      <c r="Z36" s="146"/>
    </row>
    <row r="37" spans="1:26">
      <c r="A37" s="17"/>
      <c r="B37" s="9"/>
      <c r="C37" s="146"/>
      <c r="D37" s="146"/>
      <c r="G37" s="146"/>
      <c r="H37" s="146"/>
      <c r="I37" s="146"/>
      <c r="J37" s="146"/>
      <c r="K37" s="146"/>
      <c r="L37" s="146"/>
      <c r="M37" s="146"/>
      <c r="N37" s="146"/>
      <c r="O37" s="146"/>
      <c r="P37" s="146"/>
      <c r="Q37" s="146"/>
      <c r="R37" s="146"/>
      <c r="S37" s="146"/>
      <c r="T37" s="146"/>
      <c r="U37" s="146"/>
      <c r="V37" s="146"/>
      <c r="W37" s="146"/>
      <c r="X37" s="146"/>
      <c r="Y37" s="146"/>
      <c r="Z37" s="146"/>
    </row>
    <row r="38" spans="1:26">
      <c r="A38" s="24" t="s">
        <v>242</v>
      </c>
      <c r="B38" s="13">
        <v>1.3473999999999999</v>
      </c>
      <c r="C38" s="146">
        <v>156.69999999999999</v>
      </c>
      <c r="D38" s="146">
        <v>167</v>
      </c>
      <c r="E38" s="146">
        <f>E24+E36</f>
        <v>-266.30000000000018</v>
      </c>
      <c r="F38" s="146">
        <v>-319</v>
      </c>
      <c r="G38" s="146"/>
      <c r="H38" s="146">
        <f>C38*B38</f>
        <v>211.13757999999999</v>
      </c>
      <c r="I38" s="146">
        <f>D38*B38</f>
        <v>225.01579999999998</v>
      </c>
      <c r="J38" s="146">
        <f>E38*B38</f>
        <v>-358.81262000000021</v>
      </c>
      <c r="K38" s="146">
        <v>-5</v>
      </c>
      <c r="L38" s="146">
        <v>44</v>
      </c>
      <c r="M38" s="146">
        <v>255</v>
      </c>
      <c r="N38" s="146">
        <v>301</v>
      </c>
      <c r="O38" s="146"/>
      <c r="P38" s="146">
        <f>B38*K38</f>
        <v>-6.7370000000000001</v>
      </c>
      <c r="Q38" s="146">
        <f>B38*L38</f>
        <v>59.285599999999995</v>
      </c>
      <c r="R38" s="146">
        <f>B38*M38</f>
        <v>343.58699999999999</v>
      </c>
      <c r="S38" s="210">
        <v>1.1181000000000001</v>
      </c>
      <c r="T38" s="146">
        <v>15.124000000000001</v>
      </c>
      <c r="U38" s="146">
        <v>58.363</v>
      </c>
      <c r="V38" s="146"/>
      <c r="W38" s="146"/>
      <c r="X38" s="146">
        <f>S38*T38</f>
        <v>16.910144400000004</v>
      </c>
      <c r="Y38" s="146">
        <f>U38*S38</f>
        <v>65.255670300000006</v>
      </c>
      <c r="Z38" s="146">
        <f>V38*S38</f>
        <v>0</v>
      </c>
    </row>
    <row r="39" spans="1:26">
      <c r="A39" s="23" t="s">
        <v>241</v>
      </c>
      <c r="B39" s="1"/>
      <c r="C39" s="27">
        <f>C38/C24</f>
        <v>7.1742514421756276E-2</v>
      </c>
      <c r="D39" s="27">
        <f>D38/D24</f>
        <v>8.0950072709646145E-2</v>
      </c>
      <c r="E39" s="27">
        <f>E38/E24</f>
        <v>-0.1269304099142041</v>
      </c>
      <c r="F39" s="27">
        <f>F38/F24</f>
        <v>-0.15373493975903615</v>
      </c>
      <c r="G39" s="27"/>
      <c r="H39" s="27">
        <f>H38/H24</f>
        <v>7.174251442175629E-2</v>
      </c>
      <c r="I39" s="27">
        <f>I38/I24</f>
        <v>8.0950072709646145E-2</v>
      </c>
      <c r="J39" s="56" t="s">
        <v>156</v>
      </c>
      <c r="K39" s="56" t="s">
        <v>156</v>
      </c>
      <c r="L39" s="27">
        <f>L38/L24</f>
        <v>3.7574722459436376E-2</v>
      </c>
      <c r="M39" s="27">
        <f>M38/M22</f>
        <v>0.19086826347305388</v>
      </c>
      <c r="N39" s="27">
        <f>N38/N22</f>
        <v>0.20133779264214047</v>
      </c>
      <c r="O39" s="27"/>
      <c r="P39" s="27"/>
      <c r="Q39" s="27"/>
      <c r="R39" s="27"/>
      <c r="S39" s="27"/>
      <c r="T39" s="27">
        <f>T38/T24</f>
        <v>1.8708698975994375E-2</v>
      </c>
      <c r="U39" s="27">
        <f>U38/U24</f>
        <v>6.6838066880439764E-2</v>
      </c>
      <c r="V39" s="27"/>
      <c r="W39" s="27"/>
      <c r="X39" s="27">
        <f>X38/X24</f>
        <v>1.8708698975994378E-2</v>
      </c>
      <c r="Y39" s="27">
        <f>Y38/Y24</f>
        <v>6.6838066880439764E-2</v>
      </c>
      <c r="Z39" s="27"/>
    </row>
    <row r="40" spans="1:26">
      <c r="A40" s="17"/>
      <c r="B40" s="1"/>
      <c r="C40" s="146"/>
      <c r="D40" s="146"/>
      <c r="E40" s="146"/>
      <c r="F40" s="146"/>
      <c r="G40" s="146"/>
      <c r="H40" s="146"/>
      <c r="I40" s="146"/>
      <c r="J40" s="146"/>
      <c r="K40" s="146"/>
      <c r="L40" s="146"/>
      <c r="M40" s="146"/>
      <c r="N40" s="146"/>
      <c r="O40" s="146"/>
      <c r="P40" s="146"/>
      <c r="Q40" s="146"/>
      <c r="R40" s="146"/>
      <c r="S40" s="146"/>
      <c r="T40" s="146"/>
      <c r="U40" s="146"/>
      <c r="V40" s="146"/>
      <c r="W40" s="146"/>
      <c r="X40" s="146"/>
      <c r="Y40" s="146"/>
      <c r="Z40" s="146"/>
    </row>
    <row r="41" spans="1:26" hidden="1">
      <c r="A41" s="17" t="s">
        <v>240</v>
      </c>
      <c r="B41" s="13">
        <v>1.3473999999999999</v>
      </c>
      <c r="C41" s="146">
        <v>72.599999999999994</v>
      </c>
      <c r="D41" s="146">
        <v>52.1</v>
      </c>
      <c r="E41" s="146">
        <v>47.9</v>
      </c>
      <c r="F41" s="146">
        <v>47.9</v>
      </c>
      <c r="G41" s="146"/>
      <c r="H41" s="146">
        <f>C41*B41</f>
        <v>97.821239999999989</v>
      </c>
      <c r="I41" s="146">
        <f>D41*B41</f>
        <v>70.199539999999999</v>
      </c>
      <c r="J41" s="146">
        <f>E41*B41</f>
        <v>64.540459999999996</v>
      </c>
      <c r="K41" s="146">
        <v>72</v>
      </c>
      <c r="L41" s="146">
        <v>69</v>
      </c>
      <c r="M41" s="146">
        <v>83</v>
      </c>
      <c r="N41" s="146">
        <v>83</v>
      </c>
      <c r="O41" s="146"/>
      <c r="P41" s="146">
        <f>B41*K41</f>
        <v>97.012799999999999</v>
      </c>
      <c r="Q41" s="146">
        <f>B41*L41</f>
        <v>92.97059999999999</v>
      </c>
      <c r="R41" s="146">
        <f>B41*M41</f>
        <v>111.8342</v>
      </c>
      <c r="S41" s="210">
        <v>1.1181000000000001</v>
      </c>
      <c r="T41" s="146">
        <v>5.2530000000000001</v>
      </c>
      <c r="U41" s="146">
        <v>4.5999999999999996</v>
      </c>
      <c r="V41" s="146">
        <v>6.7</v>
      </c>
      <c r="W41" s="146"/>
      <c r="X41" s="146">
        <f>S41*T41</f>
        <v>5.8733793000000007</v>
      </c>
      <c r="Y41" s="146">
        <f>U41*S41</f>
        <v>5.1432599999999997</v>
      </c>
      <c r="Z41" s="146">
        <f>V41*S41</f>
        <v>7.491270000000001</v>
      </c>
    </row>
    <row r="42" spans="1:26" hidden="1">
      <c r="A42" s="17" t="s">
        <v>239</v>
      </c>
      <c r="B42" s="13">
        <v>1.3473999999999999</v>
      </c>
      <c r="C42" s="146">
        <v>-179.6</v>
      </c>
      <c r="D42" s="146">
        <v>-179.1</v>
      </c>
      <c r="E42" s="146">
        <v>-182.7</v>
      </c>
      <c r="F42" s="146">
        <v>-182.7</v>
      </c>
      <c r="G42" s="146"/>
      <c r="H42" s="146">
        <f>C42*B42</f>
        <v>-241.99303999999998</v>
      </c>
      <c r="I42" s="146">
        <f>D42*B42</f>
        <v>-241.31933999999998</v>
      </c>
      <c r="J42" s="146">
        <f>E42*B42</f>
        <v>-246.16997999999998</v>
      </c>
      <c r="K42" s="146">
        <v>-161</v>
      </c>
      <c r="L42" s="146">
        <v>-186</v>
      </c>
      <c r="M42" s="146">
        <v>-194</v>
      </c>
      <c r="N42" s="146">
        <v>-194</v>
      </c>
      <c r="O42" s="146"/>
      <c r="P42" s="146">
        <f>B42*K42</f>
        <v>-216.9314</v>
      </c>
      <c r="Q42" s="146">
        <f>B42*L42</f>
        <v>-250.6164</v>
      </c>
      <c r="R42" s="146">
        <f>B42*M42</f>
        <v>-261.3956</v>
      </c>
      <c r="S42" s="210">
        <v>1.1181000000000001</v>
      </c>
      <c r="T42" s="146">
        <v>-4.4770000000000003</v>
      </c>
      <c r="U42" s="146">
        <v>-22.9</v>
      </c>
      <c r="V42" s="146">
        <v>-16.100000000000001</v>
      </c>
      <c r="W42" s="146"/>
      <c r="X42" s="146">
        <f>S42*T42</f>
        <v>-5.0057337000000004</v>
      </c>
      <c r="Y42" s="146">
        <f>U42*S42</f>
        <v>-25.604490000000002</v>
      </c>
      <c r="Z42" s="146">
        <f>V42*S42</f>
        <v>-18.001410000000003</v>
      </c>
    </row>
    <row r="43" spans="1:26" hidden="1">
      <c r="A43" s="17" t="s">
        <v>238</v>
      </c>
      <c r="B43" s="49"/>
      <c r="C43" s="146"/>
      <c r="D43" s="146"/>
      <c r="E43" s="146"/>
      <c r="F43" s="146"/>
      <c r="G43" s="146"/>
      <c r="H43" s="146"/>
      <c r="I43" s="146"/>
      <c r="J43" s="146"/>
      <c r="K43" s="146"/>
      <c r="L43" s="146"/>
      <c r="M43" s="146"/>
      <c r="N43" s="146"/>
      <c r="O43" s="146"/>
      <c r="P43" s="146"/>
      <c r="Q43" s="146"/>
      <c r="R43" s="146"/>
      <c r="S43" s="146"/>
      <c r="T43" s="146"/>
      <c r="U43" s="146"/>
      <c r="V43" s="146"/>
      <c r="W43" s="146"/>
      <c r="X43" s="146"/>
      <c r="Y43" s="146"/>
      <c r="Z43" s="146"/>
    </row>
    <row r="44" spans="1:26" ht="23" hidden="1">
      <c r="A44" s="37" t="s">
        <v>237</v>
      </c>
      <c r="B44" s="13">
        <v>1.3473999999999999</v>
      </c>
      <c r="C44" s="146">
        <v>45.1</v>
      </c>
      <c r="D44" s="146">
        <v>41.7</v>
      </c>
      <c r="E44" s="146">
        <v>-398.2</v>
      </c>
      <c r="F44" s="146">
        <v>-398.2</v>
      </c>
      <c r="G44" s="146"/>
      <c r="H44" s="146">
        <f>C44*B44</f>
        <v>60.767739999999996</v>
      </c>
      <c r="I44" s="146">
        <f>D44*B44</f>
        <v>56.186579999999999</v>
      </c>
      <c r="J44" s="146">
        <f>E44*B44</f>
        <v>-536.53467999999998</v>
      </c>
      <c r="K44" s="146">
        <v>-94</v>
      </c>
      <c r="L44" s="146">
        <v>-73</v>
      </c>
      <c r="M44" s="146">
        <v>144</v>
      </c>
      <c r="N44" s="146">
        <v>144</v>
      </c>
      <c r="O44" s="146"/>
      <c r="P44" s="146">
        <f>B44*K44</f>
        <v>-126.65559999999999</v>
      </c>
      <c r="Q44" s="146">
        <f>B44*L44</f>
        <v>-98.360199999999992</v>
      </c>
      <c r="R44" s="146">
        <f>B44*M44</f>
        <v>194.0256</v>
      </c>
      <c r="S44" s="210">
        <v>1.1181000000000001</v>
      </c>
      <c r="T44" s="146">
        <v>15.9</v>
      </c>
      <c r="U44" s="146">
        <v>40.027999999999999</v>
      </c>
      <c r="V44" s="146">
        <v>74.2</v>
      </c>
      <c r="W44" s="146"/>
      <c r="X44" s="146">
        <f>S44*T44</f>
        <v>17.777790000000003</v>
      </c>
      <c r="Y44" s="146">
        <f>U44*S44</f>
        <v>44.7553068</v>
      </c>
      <c r="Z44" s="146">
        <f>V44*S44</f>
        <v>82.963020000000014</v>
      </c>
    </row>
    <row r="45" spans="1:26" hidden="1">
      <c r="A45" s="17" t="s">
        <v>236</v>
      </c>
      <c r="B45" s="13">
        <v>1.3473999999999999</v>
      </c>
      <c r="C45" s="146">
        <v>-35.6</v>
      </c>
      <c r="D45" s="146">
        <v>-38.9</v>
      </c>
      <c r="E45" s="146">
        <v>-119.8</v>
      </c>
      <c r="F45" s="146">
        <v>-119.8</v>
      </c>
      <c r="G45" s="146"/>
      <c r="H45" s="146">
        <f>C45*B45</f>
        <v>-47.967439999999996</v>
      </c>
      <c r="I45" s="146">
        <f>D45*B45</f>
        <v>-52.413859999999993</v>
      </c>
      <c r="J45" s="146">
        <f>E45*B45</f>
        <v>-161.41852</v>
      </c>
      <c r="K45" s="146">
        <v>42</v>
      </c>
      <c r="L45" s="146">
        <v>-50</v>
      </c>
      <c r="M45" s="146">
        <v>-57</v>
      </c>
      <c r="N45" s="146">
        <v>-57</v>
      </c>
      <c r="O45" s="146"/>
      <c r="P45" s="146">
        <f>B45*K45</f>
        <v>56.590799999999994</v>
      </c>
      <c r="Q45" s="146">
        <f>B45*L45</f>
        <v>-67.36999999999999</v>
      </c>
      <c r="R45" s="146">
        <f>B45*M45</f>
        <v>-76.8018</v>
      </c>
      <c r="S45" s="210">
        <v>1.1181000000000001</v>
      </c>
      <c r="T45" s="146">
        <v>14.324</v>
      </c>
      <c r="U45" s="146">
        <v>-16.899999999999999</v>
      </c>
      <c r="V45" s="146">
        <v>-31.4</v>
      </c>
      <c r="W45" s="146"/>
      <c r="X45" s="146">
        <f>S45*T45</f>
        <v>16.015664400000002</v>
      </c>
      <c r="Y45" s="146">
        <f>U45*S45</f>
        <v>-18.895890000000001</v>
      </c>
      <c r="Z45" s="146">
        <f>V45*S45</f>
        <v>-35.108339999999998</v>
      </c>
    </row>
    <row r="46" spans="1:26" hidden="1">
      <c r="A46" s="17" t="s">
        <v>235</v>
      </c>
      <c r="B46" s="1"/>
      <c r="C46" s="146"/>
      <c r="D46" s="146"/>
      <c r="E46" s="146"/>
      <c r="F46" s="146"/>
      <c r="H46" s="146"/>
      <c r="I46" s="146"/>
      <c r="J46" s="146"/>
      <c r="K46" s="146"/>
      <c r="P46" s="146"/>
      <c r="Q46" s="146"/>
      <c r="R46" s="146"/>
      <c r="S46" s="146"/>
      <c r="X46" s="146"/>
      <c r="Y46" s="146"/>
      <c r="Z46" s="146"/>
    </row>
    <row r="47" spans="1:26" hidden="1">
      <c r="A47" s="17" t="s">
        <v>234</v>
      </c>
      <c r="B47" s="1"/>
      <c r="C47" s="146"/>
      <c r="D47" s="146"/>
      <c r="E47" s="146"/>
      <c r="F47" s="146"/>
      <c r="G47" s="146"/>
      <c r="H47" s="146"/>
      <c r="I47" s="146"/>
      <c r="J47" s="146"/>
      <c r="K47" s="146"/>
      <c r="L47" s="146"/>
      <c r="M47" s="146"/>
      <c r="N47" s="146"/>
      <c r="O47" s="146"/>
      <c r="P47" s="146"/>
      <c r="Q47" s="146"/>
      <c r="R47" s="146"/>
      <c r="S47" s="146"/>
      <c r="T47" s="146"/>
      <c r="U47" s="146"/>
      <c r="V47" s="146"/>
      <c r="W47" s="146"/>
      <c r="X47" s="146"/>
      <c r="Y47" s="146"/>
      <c r="Z47" s="146"/>
    </row>
    <row r="48" spans="1:26" ht="23" hidden="1">
      <c r="A48" s="22" t="s">
        <v>233</v>
      </c>
      <c r="B48" s="13"/>
      <c r="C48" s="146"/>
      <c r="D48" s="146"/>
      <c r="E48" s="146"/>
      <c r="F48" s="146"/>
      <c r="G48" s="146"/>
      <c r="H48" s="146"/>
      <c r="I48" s="146"/>
      <c r="J48" s="146"/>
      <c r="K48" s="146"/>
      <c r="L48" s="140" t="s">
        <v>156</v>
      </c>
      <c r="M48" s="146">
        <v>-2</v>
      </c>
      <c r="N48" s="146">
        <v>-2</v>
      </c>
      <c r="O48" s="146"/>
      <c r="P48" s="146"/>
      <c r="Q48" s="146"/>
      <c r="R48" s="146"/>
      <c r="S48" s="210">
        <v>1.1181000000000001</v>
      </c>
      <c r="T48" s="152">
        <v>-1.341</v>
      </c>
      <c r="U48" s="152">
        <f>-(U49-21.3)</f>
        <v>-1.8999999999999986</v>
      </c>
      <c r="V48" s="152">
        <f>-(V49-31.8)</f>
        <v>-1.4999999999999964</v>
      </c>
      <c r="W48" s="152"/>
      <c r="X48" s="152">
        <f>S48*T48</f>
        <v>-1.4993721</v>
      </c>
      <c r="Y48" s="152">
        <f>U48*S48</f>
        <v>-2.1243899999999987</v>
      </c>
      <c r="Z48" s="152">
        <f>V48*S48</f>
        <v>-1.6771499999999961</v>
      </c>
    </row>
    <row r="49" spans="1:26">
      <c r="A49" s="24" t="s">
        <v>232</v>
      </c>
      <c r="B49" s="13">
        <v>1.3473999999999999</v>
      </c>
      <c r="C49" s="146">
        <v>9.5</v>
      </c>
      <c r="D49" s="146">
        <v>2.8</v>
      </c>
      <c r="E49" s="146">
        <v>-518</v>
      </c>
      <c r="F49" s="146">
        <v>-590</v>
      </c>
      <c r="G49" s="146"/>
      <c r="H49" s="146">
        <f>C49*B49</f>
        <v>12.8003</v>
      </c>
      <c r="I49" s="146">
        <f>D49*B49</f>
        <v>3.7727199999999996</v>
      </c>
      <c r="J49" s="146">
        <f>E49*B49</f>
        <v>-697.95319999999992</v>
      </c>
      <c r="K49" s="146">
        <v>-66</v>
      </c>
      <c r="L49" s="146">
        <v>-123</v>
      </c>
      <c r="M49" s="146">
        <v>87</v>
      </c>
      <c r="N49" s="146">
        <v>137</v>
      </c>
      <c r="O49" s="146"/>
      <c r="P49" s="146">
        <f>B49*K49</f>
        <v>-88.928399999999996</v>
      </c>
      <c r="Q49" s="146">
        <f>B49*L49</f>
        <v>-165.7302</v>
      </c>
      <c r="R49" s="146">
        <f>B49*M49</f>
        <v>117.2238</v>
      </c>
      <c r="S49" s="210">
        <v>1.1181000000000001</v>
      </c>
      <c r="T49" s="146">
        <v>1.5760000000000001</v>
      </c>
      <c r="U49" s="146">
        <v>23.2</v>
      </c>
      <c r="V49" s="146">
        <v>33.299999999999997</v>
      </c>
      <c r="W49" s="146"/>
      <c r="X49" s="146">
        <f>S49*T49</f>
        <v>1.7621256000000003</v>
      </c>
      <c r="Y49" s="146">
        <f>U49*S49</f>
        <v>25.939920000000001</v>
      </c>
      <c r="Z49" s="146">
        <f>V49*S49</f>
        <v>37.232729999999997</v>
      </c>
    </row>
    <row r="50" spans="1:26">
      <c r="A50" s="23" t="s">
        <v>231</v>
      </c>
      <c r="B50" s="2"/>
      <c r="C50" s="27"/>
      <c r="D50" s="215">
        <f>D49/D22</f>
        <v>1.3572467280659234E-3</v>
      </c>
      <c r="E50" s="27">
        <f>E49/E22</f>
        <v>-0.24690181124880839</v>
      </c>
      <c r="F50" s="27">
        <f>F49/F22</f>
        <v>-0.28433734939759037</v>
      </c>
      <c r="G50" s="27"/>
      <c r="H50" s="27"/>
      <c r="I50" s="27"/>
      <c r="J50" s="27"/>
      <c r="K50" s="27"/>
      <c r="L50" s="215">
        <f>L49/L22</f>
        <v>-0.10503842869342442</v>
      </c>
      <c r="M50" s="27">
        <f>M49/M22</f>
        <v>6.5119760479041916E-2</v>
      </c>
      <c r="N50" s="27">
        <f>N49/N22</f>
        <v>9.1638795986622071E-2</v>
      </c>
      <c r="O50" s="27"/>
      <c r="P50" s="27"/>
      <c r="Q50" s="27"/>
      <c r="R50" s="27"/>
      <c r="S50" s="27"/>
      <c r="T50" s="27"/>
      <c r="U50" s="27"/>
      <c r="V50" s="27"/>
      <c r="W50" s="27"/>
      <c r="X50" s="27"/>
      <c r="Y50" s="27"/>
      <c r="Z50" s="27"/>
    </row>
    <row r="51" spans="1:26" hidden="1">
      <c r="A51" s="23"/>
      <c r="B51" s="2"/>
      <c r="C51" s="27"/>
      <c r="D51" s="27"/>
      <c r="E51" s="27"/>
      <c r="F51" s="27"/>
      <c r="G51" s="27"/>
      <c r="H51" s="27"/>
      <c r="I51" s="27"/>
      <c r="J51" s="27"/>
      <c r="K51" s="27"/>
      <c r="L51" s="140"/>
      <c r="M51" s="27"/>
      <c r="N51" s="27"/>
      <c r="O51" s="27"/>
      <c r="P51" s="27"/>
      <c r="Q51" s="27"/>
      <c r="R51" s="27"/>
      <c r="S51" s="27"/>
      <c r="T51" s="27"/>
      <c r="U51" s="27"/>
      <c r="V51" s="27"/>
      <c r="W51" s="27"/>
      <c r="X51" s="27"/>
      <c r="Y51" s="27"/>
      <c r="Z51" s="27"/>
    </row>
    <row r="52" spans="1:26">
      <c r="A52" s="23" t="s">
        <v>230</v>
      </c>
      <c r="D52" s="133">
        <v>-2.6</v>
      </c>
      <c r="E52" s="133">
        <v>-521</v>
      </c>
      <c r="F52" s="133">
        <v>-586</v>
      </c>
      <c r="M52" s="133">
        <v>85</v>
      </c>
      <c r="N52" s="133">
        <v>138</v>
      </c>
    </row>
    <row r="53" spans="1:26">
      <c r="A53" s="23"/>
    </row>
    <row r="54" spans="1:26">
      <c r="A54" s="24" t="s">
        <v>229</v>
      </c>
      <c r="B54" s="9"/>
      <c r="C54" s="1"/>
      <c r="D54" s="1">
        <v>-3.0000000000000001E-3</v>
      </c>
      <c r="E54" s="1">
        <f>-60.7/100</f>
        <v>-0.60699999999999998</v>
      </c>
      <c r="F54" s="1">
        <f>-67.2/100</f>
        <v>-0.67200000000000004</v>
      </c>
      <c r="G54" s="1"/>
      <c r="H54" s="27"/>
      <c r="I54" s="1"/>
      <c r="J54" s="1"/>
      <c r="K54" s="1"/>
      <c r="L54" s="1">
        <f>-11.1/100</f>
        <v>-0.111</v>
      </c>
      <c r="M54" s="1">
        <f>7.7/100</f>
        <v>7.6999999999999999E-2</v>
      </c>
      <c r="N54" s="1">
        <f>12.5/100</f>
        <v>0.125</v>
      </c>
      <c r="O54" s="1"/>
      <c r="P54" s="27"/>
      <c r="Q54" s="1"/>
      <c r="R54" s="1"/>
      <c r="S54" s="1"/>
      <c r="T54" s="1"/>
      <c r="U54" s="1"/>
      <c r="V54" s="1"/>
      <c r="W54" s="1"/>
      <c r="X54" s="1"/>
      <c r="Y54" s="1"/>
      <c r="Z54" s="1"/>
    </row>
    <row r="55" spans="1:26" hidden="1">
      <c r="A55" s="23" t="s">
        <v>228</v>
      </c>
      <c r="B55" s="13">
        <v>1.3473999999999999</v>
      </c>
      <c r="C55" s="7">
        <v>0.8</v>
      </c>
      <c r="D55" s="7">
        <v>-0.3</v>
      </c>
      <c r="E55" s="7">
        <v>-60.7</v>
      </c>
      <c r="F55" s="7">
        <v>-60.7</v>
      </c>
      <c r="G55" s="156"/>
      <c r="H55" s="154">
        <f>C55*B55/100</f>
        <v>1.0779199999999999E-2</v>
      </c>
      <c r="I55" s="154">
        <f>D55*B55/100</f>
        <v>-4.0421999999999993E-3</v>
      </c>
      <c r="J55" s="154">
        <f>E55*B55/100</f>
        <v>-0.81787180000000004</v>
      </c>
      <c r="K55" s="7">
        <v>-4.8</v>
      </c>
      <c r="L55" s="7">
        <v>-11.1</v>
      </c>
      <c r="M55" s="156">
        <v>7.7</v>
      </c>
      <c r="N55" s="156">
        <v>7.7</v>
      </c>
      <c r="O55" s="156"/>
      <c r="P55" s="154">
        <f>B55*K55/100</f>
        <v>-6.4675199999999988E-2</v>
      </c>
      <c r="Q55" s="154">
        <f>B55*L55/100</f>
        <v>-0.14956139999999998</v>
      </c>
      <c r="R55" s="154">
        <f>B55*M55/100</f>
        <v>0.10374979999999999</v>
      </c>
      <c r="S55" s="210">
        <v>1.1181000000000001</v>
      </c>
      <c r="T55" s="156">
        <v>0.08</v>
      </c>
      <c r="U55" s="156">
        <v>7.43</v>
      </c>
      <c r="V55" s="156">
        <v>9.2200000000000006</v>
      </c>
      <c r="W55" s="156"/>
      <c r="X55" s="154">
        <f>S55*T55</f>
        <v>8.9448000000000014E-2</v>
      </c>
      <c r="Y55" s="146">
        <f>U55*S55</f>
        <v>8.3074829999999995</v>
      </c>
      <c r="Z55" s="146">
        <f>V55*S55</f>
        <v>10.308882000000002</v>
      </c>
    </row>
    <row r="56" spans="1:26" hidden="1">
      <c r="A56" s="23" t="s">
        <v>227</v>
      </c>
      <c r="B56" s="13">
        <v>1.3473999999999999</v>
      </c>
      <c r="C56" s="7">
        <v>0.8</v>
      </c>
      <c r="D56" s="7">
        <v>-0.3</v>
      </c>
      <c r="E56" s="7">
        <v>-60.7</v>
      </c>
      <c r="F56" s="7">
        <v>-60.7</v>
      </c>
      <c r="G56" s="156"/>
      <c r="H56" s="154">
        <f>C56*B56/100</f>
        <v>1.0779199999999999E-2</v>
      </c>
      <c r="I56" s="154">
        <f>D56*B56/100</f>
        <v>-4.0421999999999993E-3</v>
      </c>
      <c r="J56" s="154">
        <f>E56*B56/100</f>
        <v>-0.81787180000000004</v>
      </c>
      <c r="K56" s="7">
        <v>-4.8</v>
      </c>
      <c r="L56" s="7">
        <v>-11.1</v>
      </c>
      <c r="M56" s="156">
        <v>7.6</v>
      </c>
      <c r="N56" s="156">
        <v>7.6</v>
      </c>
      <c r="O56" s="156"/>
      <c r="P56" s="154">
        <f>B56*K56/100</f>
        <v>-6.4675199999999988E-2</v>
      </c>
      <c r="Q56" s="154">
        <f>B56*L56/100</f>
        <v>-0.14956139999999998</v>
      </c>
      <c r="R56" s="154">
        <f>B56*M56/100</f>
        <v>0.10240239999999998</v>
      </c>
      <c r="S56" s="210">
        <v>1.1181000000000001</v>
      </c>
      <c r="T56" s="156">
        <v>0.08</v>
      </c>
      <c r="U56" s="156">
        <v>7.43</v>
      </c>
      <c r="V56" s="156">
        <v>9.2200000000000006</v>
      </c>
      <c r="W56" s="156"/>
      <c r="X56" s="154">
        <f>S56*T56</f>
        <v>8.9448000000000014E-2</v>
      </c>
      <c r="Y56" s="146">
        <f>U56*S56</f>
        <v>8.3074829999999995</v>
      </c>
      <c r="Z56" s="146">
        <f>V56*S56</f>
        <v>10.308882000000002</v>
      </c>
    </row>
    <row r="57" spans="1:26" hidden="1">
      <c r="A57" s="23"/>
      <c r="B57" s="2"/>
      <c r="C57" s="7"/>
      <c r="D57" s="7"/>
      <c r="E57" s="156"/>
      <c r="F57" s="156"/>
      <c r="G57" s="156"/>
      <c r="H57" s="7"/>
      <c r="I57" s="7"/>
      <c r="J57" s="156"/>
      <c r="K57" s="7"/>
      <c r="L57" s="7"/>
      <c r="M57" s="156"/>
      <c r="N57" s="156"/>
      <c r="O57" s="156"/>
      <c r="P57" s="7"/>
      <c r="Q57" s="7"/>
      <c r="R57" s="156"/>
      <c r="S57" s="156"/>
      <c r="T57" s="156"/>
      <c r="U57" s="156"/>
      <c r="V57" s="156"/>
      <c r="W57" s="156"/>
      <c r="X57" s="156"/>
      <c r="Y57" s="156"/>
      <c r="Z57" s="156"/>
    </row>
    <row r="58" spans="1:26" hidden="1">
      <c r="A58" s="214"/>
      <c r="B58" s="138"/>
      <c r="C58" s="55" t="s">
        <v>176</v>
      </c>
      <c r="D58" s="55" t="s">
        <v>176</v>
      </c>
      <c r="E58" s="55" t="s">
        <v>176</v>
      </c>
      <c r="F58" s="55" t="s">
        <v>176</v>
      </c>
      <c r="G58" s="55"/>
      <c r="H58" s="5" t="s">
        <v>176</v>
      </c>
      <c r="I58" s="5" t="s">
        <v>176</v>
      </c>
      <c r="J58" s="5" t="s">
        <v>176</v>
      </c>
      <c r="K58" s="55" t="s">
        <v>175</v>
      </c>
      <c r="L58" s="55" t="s">
        <v>175</v>
      </c>
      <c r="M58" s="55" t="s">
        <v>175</v>
      </c>
      <c r="N58" s="55" t="s">
        <v>175</v>
      </c>
      <c r="O58" s="55"/>
      <c r="P58" s="5" t="s">
        <v>175</v>
      </c>
      <c r="Q58" s="5" t="s">
        <v>175</v>
      </c>
      <c r="R58" s="5" t="s">
        <v>175</v>
      </c>
      <c r="S58" s="5"/>
      <c r="T58" s="55" t="s">
        <v>174</v>
      </c>
      <c r="U58" s="55" t="s">
        <v>174</v>
      </c>
      <c r="V58" s="55" t="s">
        <v>174</v>
      </c>
      <c r="W58" s="55"/>
      <c r="X58" s="5" t="s">
        <v>174</v>
      </c>
      <c r="Y58" s="5" t="s">
        <v>174</v>
      </c>
      <c r="Z58" s="5" t="s">
        <v>174</v>
      </c>
    </row>
    <row r="59" spans="1:26" hidden="1">
      <c r="A59" s="18" t="s">
        <v>226</v>
      </c>
      <c r="B59" s="5"/>
      <c r="C59" s="55">
        <v>2009</v>
      </c>
      <c r="D59" s="55">
        <v>2010</v>
      </c>
      <c r="E59" s="55">
        <v>2011</v>
      </c>
      <c r="F59" s="55">
        <v>2011</v>
      </c>
      <c r="G59" s="55"/>
      <c r="H59" s="5">
        <v>2009</v>
      </c>
      <c r="I59" s="5">
        <v>2010</v>
      </c>
      <c r="J59" s="5">
        <v>2011</v>
      </c>
      <c r="K59" s="55">
        <v>2009</v>
      </c>
      <c r="L59" s="55">
        <v>2010</v>
      </c>
      <c r="M59" s="55">
        <v>2011</v>
      </c>
      <c r="N59" s="55">
        <v>2011</v>
      </c>
      <c r="O59" s="55"/>
      <c r="P59" s="5">
        <v>2009</v>
      </c>
      <c r="Q59" s="5">
        <v>2010</v>
      </c>
      <c r="R59" s="5">
        <v>2011</v>
      </c>
      <c r="S59" s="5"/>
      <c r="T59" s="55">
        <v>2009</v>
      </c>
      <c r="U59" s="55">
        <v>2010</v>
      </c>
      <c r="V59" s="55">
        <v>2011</v>
      </c>
      <c r="W59" s="55"/>
      <c r="X59" s="5">
        <v>2009</v>
      </c>
      <c r="Y59" s="5">
        <v>2010</v>
      </c>
      <c r="Z59" s="5">
        <v>2011</v>
      </c>
    </row>
    <row r="60" spans="1:26" hidden="1">
      <c r="A60" s="162" t="s">
        <v>225</v>
      </c>
      <c r="B60" s="163"/>
    </row>
    <row r="61" spans="1:26" hidden="1">
      <c r="A61" s="20" t="s">
        <v>216</v>
      </c>
      <c r="B61" s="12"/>
      <c r="C61" s="150" t="s">
        <v>156</v>
      </c>
      <c r="D61" s="150" t="s">
        <v>156</v>
      </c>
      <c r="E61" s="150" t="s">
        <v>156</v>
      </c>
      <c r="F61" s="150" t="s">
        <v>156</v>
      </c>
      <c r="H61" s="150" t="s">
        <v>156</v>
      </c>
      <c r="I61" s="150" t="s">
        <v>156</v>
      </c>
      <c r="J61" s="150" t="s">
        <v>156</v>
      </c>
      <c r="T61" s="150" t="s">
        <v>156</v>
      </c>
      <c r="U61" s="150" t="s">
        <v>156</v>
      </c>
      <c r="V61" s="150" t="s">
        <v>156</v>
      </c>
      <c r="W61" s="150"/>
      <c r="X61" s="150" t="s">
        <v>156</v>
      </c>
      <c r="Y61" s="150" t="s">
        <v>156</v>
      </c>
      <c r="Z61" s="150" t="s">
        <v>156</v>
      </c>
    </row>
    <row r="62" spans="1:26" hidden="1">
      <c r="A62" s="20" t="s">
        <v>215</v>
      </c>
      <c r="B62" s="12"/>
      <c r="C62" s="150" t="s">
        <v>156</v>
      </c>
      <c r="D62" s="150" t="s">
        <v>156</v>
      </c>
      <c r="E62" s="150" t="s">
        <v>156</v>
      </c>
      <c r="F62" s="150" t="s">
        <v>156</v>
      </c>
      <c r="H62" s="150" t="s">
        <v>156</v>
      </c>
      <c r="I62" s="150" t="s">
        <v>156</v>
      </c>
      <c r="J62" s="150" t="s">
        <v>156</v>
      </c>
      <c r="T62" s="150" t="s">
        <v>156</v>
      </c>
      <c r="U62" s="150" t="s">
        <v>156</v>
      </c>
      <c r="V62" s="150" t="s">
        <v>156</v>
      </c>
      <c r="W62" s="150"/>
      <c r="X62" s="150" t="s">
        <v>156</v>
      </c>
      <c r="Y62" s="150" t="s">
        <v>156</v>
      </c>
      <c r="Z62" s="150" t="s">
        <v>156</v>
      </c>
    </row>
    <row r="63" spans="1:26" hidden="1">
      <c r="A63" s="20" t="s">
        <v>214</v>
      </c>
      <c r="B63" s="12"/>
      <c r="C63" s="150" t="s">
        <v>156</v>
      </c>
      <c r="D63" s="150" t="s">
        <v>156</v>
      </c>
      <c r="E63" s="150" t="s">
        <v>156</v>
      </c>
      <c r="F63" s="150" t="s">
        <v>156</v>
      </c>
      <c r="H63" s="150" t="s">
        <v>156</v>
      </c>
      <c r="I63" s="150" t="s">
        <v>156</v>
      </c>
      <c r="J63" s="150" t="s">
        <v>156</v>
      </c>
      <c r="T63" s="150" t="s">
        <v>156</v>
      </c>
      <c r="U63" s="150" t="s">
        <v>156</v>
      </c>
      <c r="V63" s="150" t="s">
        <v>156</v>
      </c>
      <c r="W63" s="150"/>
      <c r="X63" s="150" t="s">
        <v>156</v>
      </c>
      <c r="Y63" s="150" t="s">
        <v>156</v>
      </c>
      <c r="Z63" s="150" t="s">
        <v>156</v>
      </c>
    </row>
    <row r="64" spans="1:26" hidden="1">
      <c r="A64" s="20" t="s">
        <v>213</v>
      </c>
      <c r="B64" s="12"/>
      <c r="C64" s="150" t="s">
        <v>156</v>
      </c>
      <c r="D64" s="150" t="s">
        <v>156</v>
      </c>
      <c r="E64" s="150" t="s">
        <v>156</v>
      </c>
      <c r="F64" s="150" t="s">
        <v>156</v>
      </c>
      <c r="H64" s="150" t="s">
        <v>156</v>
      </c>
      <c r="I64" s="150" t="s">
        <v>156</v>
      </c>
      <c r="J64" s="150" t="s">
        <v>156</v>
      </c>
      <c r="T64" s="150" t="s">
        <v>156</v>
      </c>
      <c r="U64" s="150" t="s">
        <v>156</v>
      </c>
      <c r="V64" s="150" t="s">
        <v>156</v>
      </c>
      <c r="W64" s="150"/>
      <c r="X64" s="150" t="s">
        <v>156</v>
      </c>
      <c r="Y64" s="150" t="s">
        <v>156</v>
      </c>
      <c r="Z64" s="150" t="s">
        <v>156</v>
      </c>
    </row>
    <row r="65" spans="1:26" hidden="1">
      <c r="A65" s="20" t="s">
        <v>212</v>
      </c>
      <c r="B65" s="12"/>
      <c r="C65" s="150" t="s">
        <v>156</v>
      </c>
      <c r="D65" s="150" t="s">
        <v>156</v>
      </c>
      <c r="E65" s="150" t="s">
        <v>156</v>
      </c>
      <c r="F65" s="150" t="s">
        <v>156</v>
      </c>
      <c r="H65" s="150" t="s">
        <v>156</v>
      </c>
      <c r="I65" s="150" t="s">
        <v>156</v>
      </c>
      <c r="J65" s="150" t="s">
        <v>156</v>
      </c>
      <c r="T65" s="150" t="s">
        <v>156</v>
      </c>
      <c r="U65" s="150" t="s">
        <v>156</v>
      </c>
      <c r="V65" s="150" t="s">
        <v>156</v>
      </c>
      <c r="W65" s="150"/>
      <c r="X65" s="150" t="s">
        <v>156</v>
      </c>
      <c r="Y65" s="150" t="s">
        <v>156</v>
      </c>
      <c r="Z65" s="150" t="s">
        <v>156</v>
      </c>
    </row>
    <row r="66" spans="1:26" hidden="1">
      <c r="A66" s="48" t="s">
        <v>224</v>
      </c>
      <c r="B66" s="50"/>
      <c r="C66" s="11"/>
      <c r="D66" s="11"/>
      <c r="E66" s="213"/>
      <c r="F66" s="213"/>
      <c r="G66" s="213"/>
      <c r="H66" s="11"/>
      <c r="I66" s="11"/>
      <c r="J66" s="213"/>
      <c r="K66" s="11"/>
      <c r="L66" s="11"/>
      <c r="M66" s="213"/>
      <c r="N66" s="213"/>
      <c r="O66" s="213"/>
      <c r="P66" s="11"/>
      <c r="Q66" s="11"/>
      <c r="R66" s="213"/>
      <c r="S66" s="213"/>
      <c r="T66" s="213"/>
      <c r="U66" s="213"/>
      <c r="V66" s="213"/>
      <c r="W66" s="213"/>
      <c r="X66" s="213"/>
      <c r="Y66" s="213"/>
      <c r="Z66" s="213"/>
    </row>
    <row r="67" spans="1:26" hidden="1">
      <c r="A67" s="20" t="s">
        <v>223</v>
      </c>
      <c r="B67" s="12"/>
      <c r="C67" s="150" t="s">
        <v>156</v>
      </c>
      <c r="D67" s="150" t="s">
        <v>156</v>
      </c>
      <c r="E67" s="150" t="s">
        <v>156</v>
      </c>
      <c r="F67" s="150" t="s">
        <v>156</v>
      </c>
      <c r="G67" s="150"/>
      <c r="H67" s="150" t="s">
        <v>156</v>
      </c>
      <c r="I67" s="150" t="s">
        <v>156</v>
      </c>
      <c r="J67" s="150" t="s">
        <v>156</v>
      </c>
      <c r="K67" s="150" t="s">
        <v>156</v>
      </c>
      <c r="L67" s="150" t="s">
        <v>156</v>
      </c>
      <c r="M67" s="150" t="s">
        <v>156</v>
      </c>
      <c r="N67" s="150" t="s">
        <v>156</v>
      </c>
      <c r="O67" s="150"/>
      <c r="P67" s="150" t="s">
        <v>156</v>
      </c>
      <c r="Q67" s="150" t="s">
        <v>156</v>
      </c>
      <c r="R67" s="150" t="s">
        <v>156</v>
      </c>
      <c r="S67" s="156"/>
      <c r="T67" s="150"/>
      <c r="U67" s="150"/>
      <c r="V67" s="150"/>
      <c r="W67" s="150"/>
      <c r="X67" s="150"/>
      <c r="Y67" s="150"/>
      <c r="Z67" s="150"/>
    </row>
    <row r="68" spans="1:26" hidden="1">
      <c r="A68" s="20" t="s">
        <v>222</v>
      </c>
      <c r="B68" s="12"/>
      <c r="C68" s="150" t="s">
        <v>156</v>
      </c>
      <c r="D68" s="150" t="s">
        <v>156</v>
      </c>
      <c r="E68" s="150" t="s">
        <v>156</v>
      </c>
      <c r="F68" s="150" t="s">
        <v>156</v>
      </c>
      <c r="G68" s="150"/>
      <c r="H68" s="150" t="s">
        <v>156</v>
      </c>
      <c r="I68" s="150" t="s">
        <v>156</v>
      </c>
      <c r="J68" s="150" t="s">
        <v>156</v>
      </c>
      <c r="K68" s="150" t="s">
        <v>156</v>
      </c>
      <c r="L68" s="150" t="s">
        <v>156</v>
      </c>
      <c r="M68" s="150" t="s">
        <v>156</v>
      </c>
      <c r="N68" s="150" t="s">
        <v>156</v>
      </c>
      <c r="O68" s="150"/>
      <c r="P68" s="150" t="s">
        <v>156</v>
      </c>
      <c r="Q68" s="150" t="s">
        <v>156</v>
      </c>
      <c r="R68" s="150" t="s">
        <v>156</v>
      </c>
      <c r="S68" s="156"/>
      <c r="T68" s="56">
        <f>-T29/T24</f>
        <v>0.11507507477789292</v>
      </c>
      <c r="U68" s="56">
        <f>-U29/U24</f>
        <v>0.10511681172698122</v>
      </c>
      <c r="V68" s="56"/>
      <c r="W68" s="56"/>
      <c r="X68" s="56">
        <f>-X29/X24</f>
        <v>0.11507507477789293</v>
      </c>
      <c r="Y68" s="56">
        <f>-Y29/Y24</f>
        <v>0.1051168117269812</v>
      </c>
      <c r="Z68" s="56"/>
    </row>
    <row r="69" spans="1:26" hidden="1">
      <c r="A69" s="20" t="s">
        <v>221</v>
      </c>
      <c r="B69" s="12"/>
      <c r="C69" s="150" t="s">
        <v>156</v>
      </c>
      <c r="D69" s="150" t="s">
        <v>156</v>
      </c>
      <c r="E69" s="150" t="s">
        <v>156</v>
      </c>
      <c r="F69" s="150" t="s">
        <v>156</v>
      </c>
      <c r="G69" s="150"/>
      <c r="H69" s="150" t="s">
        <v>156</v>
      </c>
      <c r="I69" s="150" t="s">
        <v>156</v>
      </c>
      <c r="J69" s="150" t="s">
        <v>156</v>
      </c>
      <c r="K69" s="150" t="s">
        <v>156</v>
      </c>
      <c r="L69" s="150" t="s">
        <v>156</v>
      </c>
      <c r="M69" s="150" t="s">
        <v>156</v>
      </c>
      <c r="N69" s="150" t="s">
        <v>156</v>
      </c>
      <c r="O69" s="150"/>
      <c r="P69" s="150" t="s">
        <v>156</v>
      </c>
      <c r="Q69" s="150" t="s">
        <v>156</v>
      </c>
      <c r="R69" s="150" t="s">
        <v>156</v>
      </c>
      <c r="S69" s="156"/>
      <c r="T69" s="56">
        <f>-T30/T24</f>
        <v>0.55667409703684079</v>
      </c>
      <c r="U69" s="56">
        <f>-U30/U24</f>
        <v>0.526286074209803</v>
      </c>
      <c r="V69" s="56"/>
      <c r="W69" s="56"/>
      <c r="X69" s="56">
        <f>-X30/X24</f>
        <v>0.55667409703684079</v>
      </c>
      <c r="Y69" s="56">
        <f>-Y30/Y24</f>
        <v>0.526286074209803</v>
      </c>
      <c r="Z69" s="56"/>
    </row>
    <row r="70" spans="1:26" hidden="1">
      <c r="A70" s="20" t="s">
        <v>220</v>
      </c>
      <c r="B70" s="12"/>
      <c r="C70" s="38">
        <f>C35/C24</f>
        <v>1.1445838293196599E-2</v>
      </c>
      <c r="D70" s="38">
        <f>D35/D24</f>
        <v>1.2942317014057198E-2</v>
      </c>
      <c r="E70" s="38">
        <f>E35/E24</f>
        <v>6.7206863679694943E-3</v>
      </c>
      <c r="F70" s="38">
        <f>F35/F24</f>
        <v>6.7951807228915657E-3</v>
      </c>
      <c r="G70" s="38"/>
      <c r="H70" s="38">
        <f t="shared" ref="H70:N70" si="0">H35/H24</f>
        <v>1.1445838293196599E-2</v>
      </c>
      <c r="I70" s="38">
        <f t="shared" si="0"/>
        <v>1.2942317014057198E-2</v>
      </c>
      <c r="J70" s="38">
        <f t="shared" si="0"/>
        <v>6.7206863679694952E-3</v>
      </c>
      <c r="K70" s="38">
        <f t="shared" si="0"/>
        <v>1.5232974910394265E-2</v>
      </c>
      <c r="L70" s="38">
        <f t="shared" si="0"/>
        <v>1.2809564474807857E-2</v>
      </c>
      <c r="M70" s="38">
        <f t="shared" si="0"/>
        <v>1.4970059880239521E-2</v>
      </c>
      <c r="N70" s="38">
        <f t="shared" si="0"/>
        <v>1.3377926421404682E-2</v>
      </c>
      <c r="O70" s="38"/>
      <c r="P70" s="38">
        <f>P35/P24</f>
        <v>1.5232974910394265E-2</v>
      </c>
      <c r="Q70" s="38">
        <f>Q35/Q24</f>
        <v>1.2809564474807855E-2</v>
      </c>
      <c r="R70" s="38">
        <f>R35/R24</f>
        <v>1.4970059880239523E-2</v>
      </c>
      <c r="S70" s="27"/>
      <c r="T70" s="38"/>
      <c r="U70" s="38"/>
      <c r="V70" s="38"/>
      <c r="W70" s="38"/>
      <c r="X70" s="38"/>
      <c r="Y70" s="38"/>
      <c r="Z70" s="38"/>
    </row>
    <row r="71" spans="1:26" hidden="1">
      <c r="A71" s="28" t="s">
        <v>219</v>
      </c>
      <c r="B71" s="51"/>
      <c r="C71" s="10">
        <f>-C121/C24</f>
        <v>5.997619265635018E-2</v>
      </c>
      <c r="D71" s="10">
        <f>-D121/D24</f>
        <v>9.5055744062045561E-2</v>
      </c>
      <c r="E71" s="10">
        <f>-E121/E24</f>
        <v>5.6482364156339372E-2</v>
      </c>
      <c r="F71" s="10">
        <f>-F121/F24</f>
        <v>5.7108433734939762E-2</v>
      </c>
      <c r="G71" s="10"/>
      <c r="H71" s="10">
        <f t="shared" ref="H71:N71" si="1">-H121/H24</f>
        <v>5.997619265635018E-2</v>
      </c>
      <c r="I71" s="10">
        <f t="shared" si="1"/>
        <v>9.5055744062045561E-2</v>
      </c>
      <c r="J71" s="10">
        <f t="shared" si="1"/>
        <v>5.6482364156339372E-2</v>
      </c>
      <c r="K71" s="10">
        <f t="shared" si="1"/>
        <v>-0.1442652329749104</v>
      </c>
      <c r="L71" s="10">
        <f t="shared" si="1"/>
        <v>-2.2203245089666951E-2</v>
      </c>
      <c r="M71" s="10">
        <f t="shared" si="1"/>
        <v>-0.11077844311377245</v>
      </c>
      <c r="N71" s="10">
        <f t="shared" si="1"/>
        <v>-9.8996655518394649E-2</v>
      </c>
      <c r="O71" s="10"/>
      <c r="P71" s="10">
        <f>-P121/P24</f>
        <v>-0.1442652329749104</v>
      </c>
      <c r="Q71" s="10">
        <f>-Q121/Q24</f>
        <v>-2.2203245089666947E-2</v>
      </c>
      <c r="R71" s="10">
        <f>-R121/R24</f>
        <v>-0.11077844311377247</v>
      </c>
      <c r="S71" s="27"/>
      <c r="T71" s="150" t="s">
        <v>156</v>
      </c>
      <c r="U71" s="56">
        <f>-U121/U24</f>
        <v>2.9104443426477326E-2</v>
      </c>
      <c r="V71" s="150"/>
      <c r="W71" s="150"/>
      <c r="X71" s="150" t="s">
        <v>156</v>
      </c>
      <c r="Y71" s="56">
        <f>-Y121/Y24</f>
        <v>2.9104443426477323E-2</v>
      </c>
      <c r="Z71" s="10"/>
    </row>
    <row r="72" spans="1:26" hidden="1">
      <c r="A72" s="209" t="s">
        <v>218</v>
      </c>
      <c r="B72" s="208"/>
      <c r="C72" s="212"/>
      <c r="D72" s="212"/>
      <c r="E72" s="138"/>
      <c r="F72" s="138"/>
      <c r="G72" s="138"/>
      <c r="H72" s="212"/>
      <c r="I72" s="212"/>
      <c r="J72" s="138"/>
      <c r="K72" s="212"/>
      <c r="L72" s="212"/>
      <c r="M72" s="138"/>
      <c r="N72" s="138"/>
      <c r="O72" s="138"/>
      <c r="P72" s="212"/>
      <c r="Q72" s="212"/>
      <c r="R72" s="138"/>
      <c r="S72" s="138"/>
      <c r="T72" s="138"/>
      <c r="U72" s="138"/>
      <c r="V72" s="138"/>
      <c r="W72" s="138"/>
      <c r="X72" s="138"/>
      <c r="Y72" s="138"/>
      <c r="Z72" s="138"/>
    </row>
    <row r="73" spans="1:26" hidden="1">
      <c r="A73" s="17" t="s">
        <v>217</v>
      </c>
      <c r="B73" s="1"/>
      <c r="C73" s="1"/>
      <c r="D73" s="1"/>
      <c r="H73" s="1"/>
      <c r="I73" s="1"/>
      <c r="K73" s="1"/>
      <c r="L73" s="1"/>
      <c r="P73" s="1"/>
      <c r="Q73" s="1"/>
    </row>
    <row r="74" spans="1:26" hidden="1">
      <c r="A74" s="17" t="s">
        <v>216</v>
      </c>
      <c r="B74" s="1"/>
      <c r="C74" s="150" t="s">
        <v>156</v>
      </c>
      <c r="D74" s="150" t="s">
        <v>156</v>
      </c>
      <c r="E74" s="150" t="s">
        <v>156</v>
      </c>
      <c r="F74" s="150" t="s">
        <v>156</v>
      </c>
      <c r="G74" s="150"/>
      <c r="H74" s="150" t="s">
        <v>156</v>
      </c>
      <c r="I74" s="150" t="s">
        <v>156</v>
      </c>
      <c r="J74" s="150" t="s">
        <v>156</v>
      </c>
      <c r="K74" s="150" t="s">
        <v>156</v>
      </c>
      <c r="L74" s="150" t="s">
        <v>156</v>
      </c>
      <c r="M74" s="150" t="s">
        <v>156</v>
      </c>
      <c r="N74" s="150" t="s">
        <v>156</v>
      </c>
      <c r="O74" s="150"/>
      <c r="P74" s="1"/>
      <c r="Q74" s="27"/>
      <c r="R74" s="27"/>
      <c r="S74" s="27"/>
      <c r="T74" s="150"/>
      <c r="U74" s="150"/>
      <c r="V74" s="150"/>
      <c r="W74" s="150"/>
      <c r="X74" s="27"/>
      <c r="Y74" s="27"/>
      <c r="Z74" s="27"/>
    </row>
    <row r="75" spans="1:26" hidden="1">
      <c r="A75" s="17" t="s">
        <v>215</v>
      </c>
      <c r="B75" s="1"/>
      <c r="C75" s="150" t="s">
        <v>156</v>
      </c>
      <c r="D75" s="150" t="s">
        <v>156</v>
      </c>
      <c r="E75" s="150" t="s">
        <v>156</v>
      </c>
      <c r="F75" s="150" t="s">
        <v>156</v>
      </c>
      <c r="G75" s="150"/>
      <c r="H75" s="150" t="s">
        <v>156</v>
      </c>
      <c r="I75" s="150" t="s">
        <v>156</v>
      </c>
      <c r="J75" s="150" t="s">
        <v>156</v>
      </c>
      <c r="K75" s="150" t="s">
        <v>156</v>
      </c>
      <c r="L75" s="150" t="s">
        <v>156</v>
      </c>
      <c r="M75" s="150" t="s">
        <v>156</v>
      </c>
      <c r="N75" s="150" t="s">
        <v>156</v>
      </c>
      <c r="O75" s="150"/>
      <c r="P75" s="1"/>
      <c r="Q75" s="27"/>
      <c r="R75" s="27"/>
      <c r="S75" s="27"/>
      <c r="T75" s="150"/>
      <c r="U75" s="150"/>
      <c r="V75" s="150"/>
      <c r="W75" s="150"/>
      <c r="X75" s="27"/>
      <c r="Y75" s="27"/>
      <c r="Z75" s="27"/>
    </row>
    <row r="76" spans="1:26" hidden="1">
      <c r="A76" s="17" t="s">
        <v>214</v>
      </c>
      <c r="B76" s="1"/>
      <c r="C76" s="150" t="s">
        <v>156</v>
      </c>
      <c r="D76" s="150" t="s">
        <v>156</v>
      </c>
      <c r="E76" s="150" t="s">
        <v>156</v>
      </c>
      <c r="F76" s="150" t="s">
        <v>156</v>
      </c>
      <c r="G76" s="150"/>
      <c r="H76" s="150" t="s">
        <v>156</v>
      </c>
      <c r="I76" s="150" t="s">
        <v>156</v>
      </c>
      <c r="J76" s="150" t="s">
        <v>156</v>
      </c>
      <c r="K76" s="150" t="s">
        <v>156</v>
      </c>
      <c r="L76" s="150" t="s">
        <v>156</v>
      </c>
      <c r="M76" s="150" t="s">
        <v>156</v>
      </c>
      <c r="N76" s="150" t="s">
        <v>156</v>
      </c>
      <c r="O76" s="150"/>
      <c r="P76" s="1"/>
      <c r="Q76" s="27"/>
      <c r="R76" s="27"/>
      <c r="S76" s="27"/>
      <c r="T76" s="150"/>
      <c r="U76" s="150"/>
      <c r="V76" s="150"/>
      <c r="W76" s="150"/>
      <c r="X76" s="27"/>
      <c r="Y76" s="27"/>
      <c r="Z76" s="27"/>
    </row>
    <row r="77" spans="1:26" hidden="1">
      <c r="A77" s="17" t="s">
        <v>213</v>
      </c>
      <c r="B77" s="1"/>
      <c r="C77" s="150" t="s">
        <v>156</v>
      </c>
      <c r="D77" s="150" t="s">
        <v>156</v>
      </c>
      <c r="E77" s="150" t="s">
        <v>156</v>
      </c>
      <c r="F77" s="150" t="s">
        <v>156</v>
      </c>
      <c r="G77" s="150"/>
      <c r="H77" s="150" t="s">
        <v>156</v>
      </c>
      <c r="I77" s="150" t="s">
        <v>156</v>
      </c>
      <c r="J77" s="150" t="s">
        <v>156</v>
      </c>
      <c r="K77" s="150" t="s">
        <v>156</v>
      </c>
      <c r="L77" s="150" t="s">
        <v>156</v>
      </c>
      <c r="M77" s="150" t="s">
        <v>156</v>
      </c>
      <c r="N77" s="150" t="s">
        <v>156</v>
      </c>
      <c r="O77" s="150"/>
      <c r="P77" s="1"/>
      <c r="Q77" s="27"/>
      <c r="R77" s="27"/>
      <c r="S77" s="27"/>
      <c r="T77" s="150"/>
      <c r="U77" s="150"/>
      <c r="V77" s="150"/>
      <c r="W77" s="150"/>
      <c r="X77" s="27"/>
      <c r="Y77" s="27"/>
      <c r="Z77" s="27"/>
    </row>
    <row r="78" spans="1:26" hidden="1">
      <c r="A78" s="17" t="s">
        <v>212</v>
      </c>
      <c r="B78" s="1"/>
      <c r="C78" s="150" t="s">
        <v>156</v>
      </c>
      <c r="D78" s="150" t="s">
        <v>156</v>
      </c>
      <c r="E78" s="150" t="s">
        <v>156</v>
      </c>
      <c r="F78" s="150" t="s">
        <v>156</v>
      </c>
      <c r="G78" s="150"/>
      <c r="H78" s="150" t="s">
        <v>156</v>
      </c>
      <c r="I78" s="150" t="s">
        <v>156</v>
      </c>
      <c r="J78" s="150" t="s">
        <v>156</v>
      </c>
      <c r="K78" s="150" t="s">
        <v>156</v>
      </c>
      <c r="L78" s="150" t="s">
        <v>156</v>
      </c>
      <c r="M78" s="150" t="s">
        <v>156</v>
      </c>
      <c r="N78" s="150" t="s">
        <v>156</v>
      </c>
      <c r="O78" s="150"/>
      <c r="P78" s="1"/>
      <c r="Q78" s="27"/>
      <c r="R78" s="27"/>
      <c r="S78" s="27"/>
      <c r="T78" s="150"/>
      <c r="U78" s="150"/>
      <c r="V78" s="150"/>
      <c r="W78" s="150"/>
      <c r="X78" s="27"/>
      <c r="Y78" s="27"/>
      <c r="Z78" s="27"/>
    </row>
    <row r="79" spans="1:26" hidden="1">
      <c r="A79" s="17" t="s">
        <v>211</v>
      </c>
      <c r="B79" s="1"/>
      <c r="C79" s="1"/>
      <c r="D79" s="27">
        <f>D20/C20-1</f>
        <v>-0.77742534092870708</v>
      </c>
      <c r="E79" s="27">
        <f>E20/D20-1</f>
        <v>1.6965584100824049E-2</v>
      </c>
      <c r="F79" s="27">
        <f>F20/E20-1</f>
        <v>-1.096282173498575E-2</v>
      </c>
      <c r="G79" s="27"/>
      <c r="H79" s="27"/>
      <c r="I79" s="27">
        <f>I20/H20-1</f>
        <v>-0.77742534092870708</v>
      </c>
      <c r="J79" s="27">
        <f>J20/I20-1</f>
        <v>1.6965584100824049E-2</v>
      </c>
      <c r="K79" s="1"/>
      <c r="L79" s="27">
        <f>L20/K20-1</f>
        <v>-0.91545736769908315</v>
      </c>
      <c r="M79" s="27">
        <f>M20/L20-1</f>
        <v>0.14090520922288641</v>
      </c>
      <c r="N79" s="27">
        <f>N20/M20-1</f>
        <v>0.11901197604790426</v>
      </c>
      <c r="O79" s="27"/>
      <c r="P79" s="1"/>
      <c r="Q79" s="27">
        <f>Q20/P20-1</f>
        <v>-0.91545736769908315</v>
      </c>
      <c r="R79" s="27">
        <f>R20/Q20-1</f>
        <v>0.14090520922288641</v>
      </c>
      <c r="S79" s="27"/>
      <c r="T79" s="27"/>
      <c r="U79" s="27"/>
      <c r="V79" s="27"/>
      <c r="W79" s="27"/>
      <c r="X79" s="27"/>
      <c r="Y79" s="27">
        <f>Y20/X20-1</f>
        <v>2.320549942136485E-2</v>
      </c>
      <c r="Z79" s="27">
        <f>Z20/Y20-1</f>
        <v>0.28288152610441775</v>
      </c>
    </row>
    <row r="80" spans="1:26" hidden="1">
      <c r="A80" s="17" t="s">
        <v>210</v>
      </c>
      <c r="B80" s="1"/>
      <c r="C80" s="1"/>
      <c r="D80" s="27"/>
      <c r="E80" s="27"/>
      <c r="F80" s="27"/>
      <c r="G80" s="27"/>
      <c r="H80" s="1"/>
      <c r="I80" s="27"/>
      <c r="J80" s="27"/>
      <c r="K80" s="1"/>
      <c r="L80" s="27"/>
      <c r="M80" s="27"/>
      <c r="N80" s="27"/>
      <c r="O80" s="27"/>
      <c r="P80" s="1"/>
      <c r="Q80" s="27"/>
      <c r="R80" s="27"/>
      <c r="S80" s="27"/>
      <c r="T80" s="27"/>
      <c r="U80" s="27"/>
      <c r="V80" s="27"/>
      <c r="W80" s="27"/>
      <c r="X80" s="27"/>
      <c r="Y80" s="27"/>
      <c r="Z80" s="27"/>
    </row>
    <row r="81" spans="1:26" hidden="1">
      <c r="A81" s="17" t="s">
        <v>209</v>
      </c>
      <c r="B81" s="1"/>
      <c r="C81" s="1"/>
      <c r="D81" s="27"/>
      <c r="E81" s="27"/>
      <c r="F81" s="27"/>
      <c r="G81" s="27"/>
      <c r="H81" s="1"/>
      <c r="I81" s="27"/>
      <c r="J81" s="27"/>
      <c r="K81" s="1"/>
      <c r="L81" s="27"/>
      <c r="M81" s="27"/>
      <c r="N81" s="27"/>
      <c r="O81" s="27"/>
      <c r="P81" s="1"/>
      <c r="Q81" s="27"/>
      <c r="R81" s="27"/>
      <c r="S81" s="27"/>
      <c r="T81" s="27"/>
      <c r="U81" s="27"/>
      <c r="V81" s="27"/>
      <c r="W81" s="27"/>
      <c r="X81" s="27"/>
      <c r="Y81" s="27"/>
      <c r="Z81" s="27"/>
    </row>
    <row r="82" spans="1:26" hidden="1">
      <c r="A82" s="17" t="s">
        <v>208</v>
      </c>
      <c r="B82" s="1"/>
      <c r="C82" s="1"/>
      <c r="D82" s="1"/>
      <c r="H82" s="1"/>
      <c r="I82" s="1"/>
      <c r="K82" s="1"/>
      <c r="L82" s="1"/>
      <c r="P82" s="1"/>
      <c r="Q82" s="1"/>
    </row>
    <row r="83" spans="1:26" hidden="1">
      <c r="A83" s="25" t="s">
        <v>207</v>
      </c>
      <c r="B83" s="3"/>
      <c r="C83" s="3"/>
      <c r="D83" s="27"/>
      <c r="E83" s="27"/>
      <c r="F83" s="27"/>
      <c r="G83" s="27"/>
      <c r="H83" s="3"/>
      <c r="I83" s="27"/>
      <c r="J83" s="27"/>
      <c r="K83" s="3"/>
      <c r="L83" s="27"/>
      <c r="M83" s="27"/>
      <c r="N83" s="27"/>
      <c r="O83" s="27"/>
      <c r="P83" s="3"/>
      <c r="Q83" s="27"/>
      <c r="R83" s="27"/>
      <c r="S83" s="27"/>
      <c r="T83" s="27"/>
      <c r="U83" s="27"/>
      <c r="V83" s="27"/>
      <c r="W83" s="27"/>
      <c r="X83" s="27"/>
      <c r="Y83" s="27"/>
      <c r="Z83" s="27"/>
    </row>
    <row r="84" spans="1:26" hidden="1">
      <c r="A84" s="25" t="s">
        <v>206</v>
      </c>
      <c r="B84" s="3"/>
      <c r="C84" s="3"/>
      <c r="D84" s="27"/>
      <c r="E84" s="27"/>
      <c r="F84" s="27"/>
      <c r="G84" s="27"/>
      <c r="H84" s="3"/>
      <c r="I84" s="27"/>
      <c r="J84" s="27"/>
      <c r="K84" s="3"/>
      <c r="L84" s="27"/>
      <c r="M84" s="27"/>
      <c r="N84" s="27"/>
      <c r="O84" s="27"/>
      <c r="P84" s="3"/>
      <c r="Q84" s="27"/>
      <c r="R84" s="27"/>
      <c r="S84" s="27"/>
      <c r="T84" s="27"/>
      <c r="U84" s="27"/>
      <c r="V84" s="27"/>
      <c r="W84" s="27"/>
      <c r="X84" s="27"/>
      <c r="Y84" s="27">
        <f>Y29/X29-1</f>
        <v>-1.3308107410831549E-2</v>
      </c>
      <c r="Z84" s="27"/>
    </row>
    <row r="85" spans="1:26" hidden="1">
      <c r="A85" s="25" t="s">
        <v>205</v>
      </c>
      <c r="B85" s="3"/>
      <c r="C85" s="3"/>
      <c r="D85" s="27">
        <f>D30/C30-1</f>
        <v>-1.9506808980493284E-2</v>
      </c>
      <c r="E85" s="27">
        <f>E30/D30-1</f>
        <v>5.4147897897897979E-2</v>
      </c>
      <c r="F85" s="27">
        <f>F30/E30-1</f>
        <v>0</v>
      </c>
      <c r="G85" s="27"/>
      <c r="H85" s="3"/>
      <c r="I85" s="27">
        <f>I30/H30-1</f>
        <v>-1.9506808980493284E-2</v>
      </c>
      <c r="J85" s="27">
        <f>J30/I30-1</f>
        <v>5.4147897897897979E-2</v>
      </c>
      <c r="K85" s="3"/>
      <c r="L85" s="27">
        <f>L30/K30-1</f>
        <v>-5.3097345132743223E-3</v>
      </c>
      <c r="M85" s="27">
        <f>M30/L30-1</f>
        <v>-2.6690391459074703E-2</v>
      </c>
      <c r="N85" s="27">
        <f>N30/M30-1</f>
        <v>0</v>
      </c>
      <c r="O85" s="27"/>
      <c r="P85" s="3"/>
      <c r="Q85" s="27">
        <f>Q30/P30-1</f>
        <v>-5.3097345132743223E-3</v>
      </c>
      <c r="R85" s="27">
        <f>R30/Q30-1</f>
        <v>-2.6690391459074703E-2</v>
      </c>
      <c r="S85" s="27"/>
      <c r="T85" s="27"/>
      <c r="U85" s="27"/>
      <c r="V85" s="27"/>
      <c r="W85" s="27"/>
      <c r="X85" s="27"/>
      <c r="Y85" s="27">
        <f>Y30/X30-1</f>
        <v>2.1201656844706429E-2</v>
      </c>
      <c r="Z85" s="27"/>
    </row>
    <row r="86" spans="1:26" hidden="1">
      <c r="A86" s="25" t="s">
        <v>204</v>
      </c>
      <c r="B86" s="3"/>
      <c r="C86" s="3"/>
      <c r="D86" s="27">
        <f>D35/C35-1</f>
        <v>6.800000000000006E-2</v>
      </c>
      <c r="E86" s="27">
        <f>E35/D35-1</f>
        <v>-0.4719101123595506</v>
      </c>
      <c r="F86" s="27">
        <f>F35/E35-1</f>
        <v>0</v>
      </c>
      <c r="G86" s="27"/>
      <c r="H86" s="3"/>
      <c r="I86" s="27">
        <f>I35/H35-1</f>
        <v>6.800000000000006E-2</v>
      </c>
      <c r="J86" s="27">
        <f>J35/I35-1</f>
        <v>-0.47191011235955049</v>
      </c>
      <c r="K86" s="3"/>
      <c r="L86" s="27">
        <f>L35/K35-1</f>
        <v>-0.11764705882352944</v>
      </c>
      <c r="M86" s="27">
        <f>M35/L35-1</f>
        <v>0.33333333333333326</v>
      </c>
      <c r="N86" s="27">
        <f>N35/M35-1</f>
        <v>0</v>
      </c>
      <c r="O86" s="27"/>
      <c r="P86" s="3"/>
      <c r="Q86" s="27">
        <f>Q35/P35-1</f>
        <v>-0.11764705882352944</v>
      </c>
      <c r="R86" s="27">
        <f>R35/Q35-1</f>
        <v>0.33333333333333348</v>
      </c>
      <c r="S86" s="27"/>
      <c r="T86" s="27"/>
      <c r="U86" s="27"/>
      <c r="V86" s="27"/>
      <c r="W86" s="27"/>
      <c r="X86" s="27"/>
      <c r="Y86" s="27"/>
      <c r="Z86" s="27"/>
    </row>
    <row r="87" spans="1:26" hidden="1">
      <c r="A87" s="29" t="s">
        <v>203</v>
      </c>
      <c r="B87" s="4"/>
      <c r="C87" s="4"/>
      <c r="D87" s="27"/>
      <c r="E87" s="27"/>
      <c r="F87" s="27"/>
      <c r="G87" s="27"/>
      <c r="H87" s="4"/>
      <c r="I87" s="27"/>
      <c r="J87" s="27"/>
      <c r="K87" s="4"/>
      <c r="L87" s="27"/>
      <c r="M87" s="27"/>
      <c r="N87" s="27"/>
      <c r="O87" s="27"/>
      <c r="P87" s="4"/>
      <c r="Q87" s="27"/>
      <c r="R87" s="27"/>
      <c r="S87" s="27"/>
      <c r="T87" s="27"/>
      <c r="U87" s="27"/>
      <c r="V87" s="27"/>
      <c r="W87" s="27"/>
      <c r="X87" s="27"/>
      <c r="Y87" s="27"/>
      <c r="Z87" s="27"/>
    </row>
    <row r="88" spans="1:26" hidden="1">
      <c r="A88" s="17" t="s">
        <v>202</v>
      </c>
      <c r="B88" s="1"/>
      <c r="C88" s="1"/>
      <c r="D88" s="27">
        <f>D38/C38-1</f>
        <v>6.5730695596681654E-2</v>
      </c>
      <c r="E88" s="27">
        <f>E38/D38-1</f>
        <v>-2.5946107784431147</v>
      </c>
      <c r="F88" s="27">
        <f>F38/E38-1</f>
        <v>0.19789710852422004</v>
      </c>
      <c r="G88" s="27"/>
      <c r="H88" s="1"/>
      <c r="I88" s="27">
        <f>I38/H38-1</f>
        <v>6.5730695596681654E-2</v>
      </c>
      <c r="J88" s="150" t="s">
        <v>156</v>
      </c>
      <c r="K88" s="1"/>
      <c r="L88" s="150" t="s">
        <v>156</v>
      </c>
      <c r="M88" s="27">
        <f>M38/L38-1</f>
        <v>4.7954545454545459</v>
      </c>
      <c r="N88" s="27">
        <f>N38/M38-1</f>
        <v>0.18039215686274512</v>
      </c>
      <c r="O88" s="27"/>
      <c r="P88" s="1"/>
      <c r="Q88" s="150" t="s">
        <v>156</v>
      </c>
      <c r="R88" s="27">
        <f>R38/Q38-1</f>
        <v>4.7954545454545459</v>
      </c>
      <c r="S88" s="27"/>
      <c r="T88" s="27"/>
      <c r="U88" s="27"/>
      <c r="V88" s="27"/>
      <c r="W88" s="27"/>
      <c r="X88" s="27"/>
      <c r="Y88" s="27">
        <f>Y38/X38-1</f>
        <v>2.8589658820417876</v>
      </c>
      <c r="Z88" s="27"/>
    </row>
    <row r="89" spans="1:26" hidden="1">
      <c r="A89" s="17" t="s">
        <v>201</v>
      </c>
      <c r="B89" s="1"/>
      <c r="C89" s="1"/>
      <c r="D89" s="27">
        <f>D49/C49-1</f>
        <v>-0.70526315789473681</v>
      </c>
      <c r="E89" s="150" t="s">
        <v>156</v>
      </c>
      <c r="F89" s="150" t="s">
        <v>156</v>
      </c>
      <c r="G89" s="150"/>
      <c r="H89" s="1"/>
      <c r="I89" s="27">
        <f>I49/H49-1</f>
        <v>-0.70526315789473681</v>
      </c>
      <c r="J89" s="150" t="s">
        <v>156</v>
      </c>
      <c r="K89" s="1"/>
      <c r="L89" s="27">
        <f>L49/K49-1</f>
        <v>0.86363636363636354</v>
      </c>
      <c r="M89" s="150" t="s">
        <v>156</v>
      </c>
      <c r="N89" s="150" t="s">
        <v>156</v>
      </c>
      <c r="O89" s="150"/>
      <c r="P89" s="1"/>
      <c r="Q89" s="27">
        <f>Q49/P49-1</f>
        <v>0.86363636363636376</v>
      </c>
      <c r="R89" s="150" t="s">
        <v>156</v>
      </c>
      <c r="S89" s="27"/>
      <c r="T89" s="150"/>
      <c r="U89" s="150"/>
      <c r="V89" s="150"/>
      <c r="W89" s="150"/>
      <c r="X89" s="150"/>
      <c r="Y89" s="59">
        <f>Y49/X49-1</f>
        <v>13.720812182741115</v>
      </c>
      <c r="Z89" s="59">
        <f>Z49/Y49-1</f>
        <v>0.43534482758620663</v>
      </c>
    </row>
    <row r="90" spans="1:26" hidden="1">
      <c r="A90" s="17"/>
      <c r="B90" s="1"/>
      <c r="C90" s="1"/>
      <c r="D90" s="1"/>
      <c r="H90" s="1"/>
      <c r="I90" s="1"/>
      <c r="K90" s="1"/>
      <c r="L90" s="1"/>
      <c r="P90" s="1"/>
      <c r="Q90" s="1"/>
    </row>
    <row r="91" spans="1:26" hidden="1">
      <c r="A91" s="17"/>
      <c r="B91" s="1"/>
      <c r="C91" s="1"/>
      <c r="D91" s="1"/>
      <c r="H91" s="1"/>
      <c r="I91" s="1"/>
      <c r="K91" s="1"/>
      <c r="L91" s="1"/>
      <c r="P91" s="1"/>
      <c r="Q91" s="1"/>
    </row>
    <row r="92" spans="1:26">
      <c r="A92" s="23" t="s">
        <v>200</v>
      </c>
      <c r="B92" s="13"/>
      <c r="C92" s="7"/>
      <c r="D92" s="211">
        <f>-(D54-(-0.008))/(-7.8)</f>
        <v>6.4102564102564103E-4</v>
      </c>
      <c r="E92" s="10">
        <f>-E54/D54+1</f>
        <v>-201.33333333333331</v>
      </c>
      <c r="F92" s="10">
        <f>-F54/E54+1</f>
        <v>-0.10708401976935766</v>
      </c>
      <c r="G92" s="27"/>
      <c r="H92" s="154"/>
      <c r="I92" s="154"/>
      <c r="J92" s="154"/>
      <c r="K92" s="7"/>
      <c r="L92" s="27">
        <f>-(L54-(-7.8))/(-7.8)</f>
        <v>0.98576923076923084</v>
      </c>
      <c r="M92" s="27">
        <f>-(M54-L54)/L54</f>
        <v>1.6936936936936937</v>
      </c>
      <c r="N92" s="27">
        <f>N54/M54-1</f>
        <v>0.62337662337662336</v>
      </c>
      <c r="O92" s="27"/>
      <c r="P92" s="154"/>
      <c r="Q92" s="154"/>
      <c r="R92" s="154"/>
      <c r="S92" s="210"/>
      <c r="T92" s="156"/>
      <c r="U92" s="156"/>
      <c r="V92" s="156"/>
      <c r="W92" s="156"/>
      <c r="X92" s="154"/>
      <c r="Y92" s="146"/>
      <c r="Z92" s="146"/>
    </row>
    <row r="93" spans="1:26">
      <c r="A93" s="23"/>
      <c r="B93" s="13"/>
      <c r="C93" s="7"/>
      <c r="D93" s="7"/>
      <c r="E93" s="7"/>
      <c r="F93" s="7"/>
      <c r="G93" s="156"/>
      <c r="H93" s="154"/>
      <c r="I93" s="154"/>
      <c r="J93" s="154"/>
      <c r="K93" s="7"/>
      <c r="L93" s="7"/>
      <c r="M93" s="156"/>
      <c r="N93" s="156"/>
      <c r="O93" s="156"/>
      <c r="P93" s="154"/>
      <c r="Q93" s="154"/>
      <c r="R93" s="154"/>
      <c r="S93" s="210"/>
      <c r="T93" s="156"/>
      <c r="U93" s="156"/>
      <c r="V93" s="156"/>
      <c r="W93" s="156"/>
      <c r="X93" s="154"/>
      <c r="Y93" s="146"/>
      <c r="Z93" s="146"/>
    </row>
    <row r="94" spans="1:26">
      <c r="A94" s="18" t="s">
        <v>199</v>
      </c>
      <c r="B94" s="5"/>
      <c r="C94" s="55">
        <v>2009</v>
      </c>
      <c r="D94" s="55">
        <v>2010</v>
      </c>
      <c r="E94" s="55">
        <v>2011</v>
      </c>
      <c r="F94" s="55">
        <v>2012</v>
      </c>
      <c r="G94" s="55"/>
      <c r="H94" s="5">
        <v>2009</v>
      </c>
      <c r="I94" s="5">
        <v>2010</v>
      </c>
      <c r="J94" s="5">
        <v>2011</v>
      </c>
      <c r="K94" s="55">
        <v>2009</v>
      </c>
      <c r="L94" s="55">
        <v>2010</v>
      </c>
      <c r="M94" s="55">
        <v>2011</v>
      </c>
      <c r="N94" s="55">
        <v>2012</v>
      </c>
      <c r="O94" s="55"/>
      <c r="P94" s="5">
        <v>2009</v>
      </c>
      <c r="Q94" s="5">
        <v>2010</v>
      </c>
      <c r="R94" s="5">
        <v>2011</v>
      </c>
      <c r="S94" s="5"/>
      <c r="T94" s="55">
        <v>2009</v>
      </c>
      <c r="U94" s="55">
        <v>2010</v>
      </c>
      <c r="V94" s="55">
        <v>2011</v>
      </c>
      <c r="W94" s="55"/>
      <c r="X94" s="5">
        <v>2009</v>
      </c>
      <c r="Y94" s="5">
        <v>2010</v>
      </c>
      <c r="Z94" s="5">
        <v>2011</v>
      </c>
    </row>
    <row r="95" spans="1:26">
      <c r="A95" s="31" t="s">
        <v>408</v>
      </c>
      <c r="B95" s="53"/>
      <c r="C95" s="32"/>
      <c r="D95" s="32"/>
      <c r="H95" s="32"/>
      <c r="I95" s="32"/>
      <c r="K95" s="32"/>
      <c r="L95" s="32"/>
      <c r="P95" s="32"/>
      <c r="Q95" s="32"/>
    </row>
    <row r="96" spans="1:26" hidden="1">
      <c r="A96" s="39" t="s">
        <v>1</v>
      </c>
      <c r="B96" s="34"/>
      <c r="C96" s="40"/>
      <c r="D96" s="40"/>
      <c r="E96" s="30"/>
      <c r="F96" s="30"/>
      <c r="G96" s="30"/>
      <c r="H96" s="40"/>
      <c r="I96" s="40"/>
      <c r="J96" s="30"/>
      <c r="K96" s="40"/>
      <c r="L96" s="40"/>
      <c r="M96" s="30"/>
      <c r="N96" s="30"/>
      <c r="O96" s="30"/>
      <c r="P96" s="40"/>
      <c r="Q96" s="40"/>
      <c r="R96" s="30"/>
      <c r="S96" s="30"/>
      <c r="T96" s="30"/>
      <c r="U96" s="30"/>
      <c r="V96" s="30"/>
      <c r="W96" s="30"/>
      <c r="X96" s="30"/>
      <c r="Y96" s="30"/>
      <c r="Z96" s="30"/>
    </row>
    <row r="97" spans="1:26" hidden="1">
      <c r="A97" s="33" t="s">
        <v>2</v>
      </c>
      <c r="B97" s="13">
        <v>1.3473999999999999</v>
      </c>
      <c r="C97" s="34">
        <v>550.20000000000005</v>
      </c>
      <c r="D97" s="34">
        <v>339.6</v>
      </c>
      <c r="E97" s="30">
        <v>359.3</v>
      </c>
      <c r="F97" s="30">
        <v>359.3</v>
      </c>
      <c r="G97" s="30"/>
      <c r="H97" s="146">
        <f>C97*B97</f>
        <v>741.33947999999998</v>
      </c>
      <c r="I97" s="146">
        <f>D97*B97</f>
        <v>457.57704000000001</v>
      </c>
      <c r="J97" s="146">
        <f>E97*B97</f>
        <v>484.12081999999998</v>
      </c>
      <c r="K97" s="34">
        <v>790</v>
      </c>
      <c r="L97" s="34">
        <v>1304</v>
      </c>
      <c r="M97" s="30">
        <v>902</v>
      </c>
      <c r="N97" s="30">
        <v>902</v>
      </c>
      <c r="O97" s="30"/>
      <c r="P97" s="146">
        <f>B97*K97</f>
        <v>1064.4459999999999</v>
      </c>
      <c r="Q97" s="146">
        <f>B97*L97</f>
        <v>1757.0095999999999</v>
      </c>
      <c r="R97" s="146">
        <f>B97*M97</f>
        <v>1215.3547999999998</v>
      </c>
      <c r="S97" s="210">
        <v>1.1181000000000001</v>
      </c>
      <c r="T97" s="30">
        <v>660.37900000000002</v>
      </c>
      <c r="U97" s="30">
        <v>587.89800000000002</v>
      </c>
      <c r="V97" s="30"/>
      <c r="W97" s="30"/>
      <c r="X97" s="146">
        <f>S97*T97</f>
        <v>738.36975990000008</v>
      </c>
      <c r="Y97" s="146">
        <f>U97*S97</f>
        <v>657.32875380000007</v>
      </c>
      <c r="Z97" s="146"/>
    </row>
    <row r="98" spans="1:26" hidden="1">
      <c r="A98" s="33" t="s">
        <v>9</v>
      </c>
      <c r="B98" s="54"/>
      <c r="E98" s="30"/>
      <c r="F98" s="30"/>
      <c r="G98" s="30"/>
      <c r="H98" s="34"/>
      <c r="I98" s="34"/>
      <c r="J98" s="30"/>
      <c r="K98" s="34"/>
      <c r="L98" s="34"/>
      <c r="M98" s="30"/>
      <c r="N98" s="30"/>
      <c r="O98" s="30"/>
      <c r="P98" s="34"/>
      <c r="Q98" s="34"/>
      <c r="R98" s="30"/>
      <c r="S98" s="30"/>
      <c r="T98" s="30"/>
      <c r="U98" s="30"/>
      <c r="V98" s="30"/>
      <c r="W98" s="30"/>
      <c r="X98" s="30"/>
      <c r="Y98" s="30"/>
      <c r="Z98" s="30"/>
    </row>
    <row r="99" spans="1:26" hidden="1">
      <c r="A99" s="33" t="s">
        <v>198</v>
      </c>
      <c r="B99" s="13">
        <v>1.3473999999999999</v>
      </c>
      <c r="C99" s="34">
        <v>133.9</v>
      </c>
      <c r="D99" s="34">
        <v>85.2</v>
      </c>
      <c r="E99" s="30">
        <v>117.2</v>
      </c>
      <c r="F99" s="30">
        <v>117.2</v>
      </c>
      <c r="G99" s="30"/>
      <c r="H99" s="146">
        <f>C99*B99</f>
        <v>180.41685999999999</v>
      </c>
      <c r="I99" s="146">
        <f>D99*B99</f>
        <v>114.79848</v>
      </c>
      <c r="J99" s="146">
        <f>E99*B99</f>
        <v>157.91528</v>
      </c>
      <c r="K99" s="30">
        <v>271</v>
      </c>
      <c r="L99" s="30">
        <v>144</v>
      </c>
      <c r="M99" s="30">
        <v>185</v>
      </c>
      <c r="N99" s="30">
        <v>185</v>
      </c>
      <c r="O99" s="30"/>
      <c r="P99" s="146">
        <f>B99*K99</f>
        <v>365.1454</v>
      </c>
      <c r="Q99" s="146">
        <f>B99*L99</f>
        <v>194.0256</v>
      </c>
      <c r="R99" s="146">
        <f>B99*M99</f>
        <v>249.26899999999998</v>
      </c>
      <c r="S99" s="210">
        <v>1.1181000000000001</v>
      </c>
      <c r="T99" s="30">
        <v>4.1669999999999998</v>
      </c>
      <c r="U99" s="30">
        <v>86.367999999999995</v>
      </c>
      <c r="V99" s="30"/>
      <c r="W99" s="30"/>
      <c r="X99" s="146">
        <f>S99*T99</f>
        <v>4.6591227000000002</v>
      </c>
      <c r="Y99" s="146">
        <f>U99*S99</f>
        <v>96.568060799999998</v>
      </c>
      <c r="Z99" s="146"/>
    </row>
    <row r="100" spans="1:26" ht="23">
      <c r="A100" s="41" t="s">
        <v>197</v>
      </c>
      <c r="B100" s="13">
        <v>1.3473999999999999</v>
      </c>
      <c r="C100" s="30">
        <f>SUM(C97:C99)</f>
        <v>684.1</v>
      </c>
      <c r="D100" s="30">
        <f>SUM(D97:D99)</f>
        <v>424.8</v>
      </c>
      <c r="E100" s="30">
        <f>SUM(E97:E99)</f>
        <v>476.5</v>
      </c>
      <c r="F100" s="30">
        <v>499</v>
      </c>
      <c r="G100" s="146"/>
      <c r="H100" s="146">
        <f>C100*B100</f>
        <v>921.75634000000002</v>
      </c>
      <c r="I100" s="146">
        <f>D100*B100</f>
        <v>572.37551999999994</v>
      </c>
      <c r="J100" s="146">
        <f>E100*B100</f>
        <v>642.03609999999992</v>
      </c>
      <c r="K100" s="146">
        <f>SUM(K97:K99)</f>
        <v>1061</v>
      </c>
      <c r="L100" s="146">
        <v>1304</v>
      </c>
      <c r="M100" s="146">
        <v>902</v>
      </c>
      <c r="N100" s="146">
        <v>830</v>
      </c>
      <c r="O100" s="146"/>
      <c r="P100" s="146">
        <f>B100*K100</f>
        <v>1429.5914</v>
      </c>
      <c r="Q100" s="146">
        <f>B100*L100</f>
        <v>1757.0095999999999</v>
      </c>
      <c r="R100" s="146">
        <f>B100*M100</f>
        <v>1215.3547999999998</v>
      </c>
      <c r="S100" s="210">
        <v>1.1181000000000001</v>
      </c>
      <c r="T100" s="146">
        <f>SUM(T97:T99)</f>
        <v>664.54600000000005</v>
      </c>
      <c r="U100" s="146">
        <f>SUM(U97:U99)</f>
        <v>674.26600000000008</v>
      </c>
      <c r="V100" s="146"/>
      <c r="W100" s="146"/>
      <c r="X100" s="146">
        <f>S100*T100</f>
        <v>743.02888260000009</v>
      </c>
      <c r="Y100" s="146">
        <f>U100*S100</f>
        <v>753.8968146000002</v>
      </c>
      <c r="Z100" s="146"/>
    </row>
    <row r="101" spans="1:26" hidden="1">
      <c r="A101" s="35" t="s">
        <v>196</v>
      </c>
      <c r="B101" s="42"/>
      <c r="C101" s="30"/>
      <c r="D101" s="30"/>
      <c r="E101" s="30"/>
      <c r="F101" s="30"/>
      <c r="G101" s="30"/>
      <c r="H101" s="30"/>
      <c r="I101" s="30"/>
      <c r="J101" s="30"/>
      <c r="K101" s="30"/>
      <c r="L101" s="30"/>
      <c r="M101" s="30"/>
      <c r="N101" s="30"/>
      <c r="O101" s="30"/>
      <c r="P101" s="30"/>
      <c r="Q101" s="30"/>
      <c r="R101" s="30"/>
      <c r="S101" s="210">
        <v>1.1181000000000001</v>
      </c>
      <c r="T101" s="30">
        <v>162.595</v>
      </c>
      <c r="U101" s="30">
        <v>164.042</v>
      </c>
      <c r="V101" s="30"/>
      <c r="W101" s="30"/>
      <c r="X101" s="146">
        <f>S101*T101</f>
        <v>181.79746950000001</v>
      </c>
      <c r="Y101" s="146">
        <f>U101*S101</f>
        <v>183.41536020000001</v>
      </c>
      <c r="Z101" s="146"/>
    </row>
    <row r="102" spans="1:26">
      <c r="A102" s="43" t="s">
        <v>409</v>
      </c>
      <c r="B102" s="13">
        <v>1.3473999999999999</v>
      </c>
      <c r="C102" s="30">
        <v>7061.5</v>
      </c>
      <c r="D102" s="30">
        <v>6900.6</v>
      </c>
      <c r="E102" s="30">
        <v>6689.8</v>
      </c>
      <c r="F102" s="30">
        <v>5907</v>
      </c>
      <c r="G102" s="30"/>
      <c r="H102" s="146">
        <f>C102*B102</f>
        <v>9514.6651000000002</v>
      </c>
      <c r="I102" s="146">
        <f>D102*B102</f>
        <v>9297.8684400000002</v>
      </c>
      <c r="J102" s="146">
        <f>E102*B102</f>
        <v>9013.8365199999989</v>
      </c>
      <c r="K102" s="30">
        <v>9140</v>
      </c>
      <c r="L102" s="30">
        <v>9287</v>
      </c>
      <c r="M102" s="30">
        <v>9053</v>
      </c>
      <c r="N102" s="30">
        <v>8621</v>
      </c>
      <c r="O102" s="30"/>
      <c r="P102" s="146">
        <f>B102*K102</f>
        <v>12315.235999999999</v>
      </c>
      <c r="Q102" s="146">
        <f>B102*L102</f>
        <v>12513.3038</v>
      </c>
      <c r="R102" s="146">
        <f>B102*M102</f>
        <v>12198.012199999999</v>
      </c>
      <c r="S102" s="210">
        <v>1.1181000000000001</v>
      </c>
      <c r="T102" s="30">
        <v>1851.87</v>
      </c>
      <c r="U102" s="30">
        <v>1820.941</v>
      </c>
      <c r="V102" s="30"/>
      <c r="W102" s="30"/>
      <c r="X102" s="146">
        <f>S102*T102</f>
        <v>2070.5758470000001</v>
      </c>
      <c r="Y102" s="146">
        <f>U102*S102</f>
        <v>2035.9941321000001</v>
      </c>
      <c r="Z102" s="146"/>
    </row>
    <row r="103" spans="1:26" hidden="1">
      <c r="A103" s="39" t="s">
        <v>5</v>
      </c>
      <c r="B103" s="34"/>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spans="1:26" hidden="1">
      <c r="A104" s="33" t="s">
        <v>195</v>
      </c>
      <c r="B104" s="54"/>
      <c r="C104" s="30"/>
      <c r="D104" s="30"/>
      <c r="E104" s="30"/>
      <c r="F104" s="30"/>
      <c r="G104" s="30"/>
      <c r="H104" s="30"/>
      <c r="I104" s="30"/>
      <c r="J104" s="30"/>
      <c r="K104" s="30"/>
      <c r="L104" s="30"/>
      <c r="M104" s="30"/>
      <c r="N104" s="30"/>
      <c r="O104" s="30"/>
      <c r="P104" s="30"/>
      <c r="Q104" s="30"/>
      <c r="R104" s="30"/>
      <c r="S104" s="210">
        <v>1.1181000000000001</v>
      </c>
      <c r="T104" s="30">
        <v>341.91300000000001</v>
      </c>
      <c r="U104" s="30">
        <v>352.00599999999997</v>
      </c>
      <c r="V104" s="30"/>
      <c r="W104" s="30"/>
      <c r="X104" s="146">
        <f t="shared" ref="X104:X110" si="2">S104*T104</f>
        <v>382.29292530000004</v>
      </c>
      <c r="Y104" s="146">
        <f t="shared" ref="Y104:Y110" si="3">U104*S104</f>
        <v>393.5779086</v>
      </c>
      <c r="Z104" s="146"/>
    </row>
    <row r="105" spans="1:26" hidden="1">
      <c r="A105" s="33" t="s">
        <v>194</v>
      </c>
      <c r="B105" s="13">
        <v>1.3473999999999999</v>
      </c>
      <c r="C105" s="30">
        <v>619.1</v>
      </c>
      <c r="D105" s="30">
        <v>106.3</v>
      </c>
      <c r="E105" s="30">
        <v>179.5</v>
      </c>
      <c r="F105" s="30">
        <v>179.5</v>
      </c>
      <c r="G105" s="30"/>
      <c r="H105" s="146">
        <f t="shared" ref="H105:H110" si="4">C105*B105</f>
        <v>834.17534000000001</v>
      </c>
      <c r="I105" s="146">
        <f t="shared" ref="I105:I110" si="5">D105*B105</f>
        <v>143.22861999999998</v>
      </c>
      <c r="J105" s="146">
        <f t="shared" ref="J105:J110" si="6">E105*B105</f>
        <v>241.85829999999999</v>
      </c>
      <c r="K105" s="30">
        <v>327</v>
      </c>
      <c r="L105" s="30">
        <v>757</v>
      </c>
      <c r="M105" s="30">
        <v>96</v>
      </c>
      <c r="N105" s="30">
        <v>96</v>
      </c>
      <c r="O105" s="30"/>
      <c r="P105" s="146">
        <f t="shared" ref="P105:P110" si="7">B105*K105</f>
        <v>440.59979999999996</v>
      </c>
      <c r="Q105" s="146">
        <f t="shared" ref="Q105:Q110" si="8">B105*L105</f>
        <v>1019.9817999999999</v>
      </c>
      <c r="R105" s="146">
        <f t="shared" ref="R105:R110" si="9">B105*M105</f>
        <v>129.35039999999998</v>
      </c>
      <c r="S105" s="210">
        <v>1.1181000000000001</v>
      </c>
      <c r="T105" s="30">
        <v>6.2039999999999997</v>
      </c>
      <c r="U105" s="30">
        <v>11.760999999999999</v>
      </c>
      <c r="V105" s="30"/>
      <c r="W105" s="30"/>
      <c r="X105" s="146">
        <f t="shared" si="2"/>
        <v>6.9366924000000001</v>
      </c>
      <c r="Y105" s="146">
        <f t="shared" si="3"/>
        <v>13.1499741</v>
      </c>
      <c r="Z105" s="146"/>
    </row>
    <row r="106" spans="1:26" hidden="1">
      <c r="A106" s="33" t="s">
        <v>193</v>
      </c>
      <c r="B106" s="13">
        <v>1.3473999999999999</v>
      </c>
      <c r="C106" s="30">
        <v>320.89999999999998</v>
      </c>
      <c r="D106" s="30">
        <v>956.4</v>
      </c>
      <c r="E106" s="30">
        <v>967.8</v>
      </c>
      <c r="F106" s="30">
        <v>967.8</v>
      </c>
      <c r="G106" s="30"/>
      <c r="H106" s="146">
        <f t="shared" si="4"/>
        <v>432.38065999999992</v>
      </c>
      <c r="I106" s="146">
        <f t="shared" si="5"/>
        <v>1288.6533599999998</v>
      </c>
      <c r="J106" s="146">
        <f t="shared" si="6"/>
        <v>1304.0137199999999</v>
      </c>
      <c r="K106" s="30">
        <v>801</v>
      </c>
      <c r="L106" s="30">
        <v>796</v>
      </c>
      <c r="M106" s="30">
        <v>802</v>
      </c>
      <c r="N106" s="30">
        <v>802</v>
      </c>
      <c r="O106" s="30"/>
      <c r="P106" s="146">
        <f t="shared" si="7"/>
        <v>1079.2674</v>
      </c>
      <c r="Q106" s="146">
        <f t="shared" si="8"/>
        <v>1072.5303999999999</v>
      </c>
      <c r="R106" s="146">
        <f t="shared" si="9"/>
        <v>1080.6147999999998</v>
      </c>
      <c r="S106" s="210">
        <v>1.1181000000000001</v>
      </c>
      <c r="T106" s="30">
        <v>257.14</v>
      </c>
      <c r="U106" s="30">
        <v>243.89699999999999</v>
      </c>
      <c r="V106" s="30"/>
      <c r="W106" s="30"/>
      <c r="X106" s="146">
        <f t="shared" si="2"/>
        <v>287.50823400000002</v>
      </c>
      <c r="Y106" s="146">
        <f t="shared" si="3"/>
        <v>272.70123570000004</v>
      </c>
      <c r="Z106" s="146"/>
    </row>
    <row r="107" spans="1:26" hidden="1">
      <c r="A107" s="44" t="s">
        <v>192</v>
      </c>
      <c r="B107" s="13">
        <v>1.3473999999999999</v>
      </c>
      <c r="C107" s="30">
        <f>SUM(C105:C106)</f>
        <v>940</v>
      </c>
      <c r="D107" s="30">
        <f>SUM(D105:D106)</f>
        <v>1062.7</v>
      </c>
      <c r="E107" s="30">
        <f>SUM(E105:E106)</f>
        <v>1147.3</v>
      </c>
      <c r="F107" s="30">
        <f>SUM(F105:F106)</f>
        <v>1147.3</v>
      </c>
      <c r="G107" s="30"/>
      <c r="H107" s="146">
        <f t="shared" si="4"/>
        <v>1266.556</v>
      </c>
      <c r="I107" s="146">
        <f t="shared" si="5"/>
        <v>1431.8819799999999</v>
      </c>
      <c r="J107" s="146">
        <f t="shared" si="6"/>
        <v>1545.8720199999998</v>
      </c>
      <c r="K107" s="30">
        <f>SUM(K105:K106)</f>
        <v>1128</v>
      </c>
      <c r="L107" s="30">
        <f>SUM(L105:L106)</f>
        <v>1553</v>
      </c>
      <c r="M107" s="30">
        <f>SUM(M105:M106)</f>
        <v>898</v>
      </c>
      <c r="N107" s="30">
        <f>SUM(N105:N106)</f>
        <v>898</v>
      </c>
      <c r="O107" s="30"/>
      <c r="P107" s="146">
        <f t="shared" si="7"/>
        <v>1519.8671999999999</v>
      </c>
      <c r="Q107" s="146">
        <f t="shared" si="8"/>
        <v>2092.5121999999997</v>
      </c>
      <c r="R107" s="146">
        <f t="shared" si="9"/>
        <v>1209.9651999999999</v>
      </c>
      <c r="S107" s="210">
        <v>1.1181000000000001</v>
      </c>
      <c r="T107" s="30">
        <f>SUM(T105:T106)</f>
        <v>263.34399999999999</v>
      </c>
      <c r="U107" s="30">
        <f>SUM(U105:U106)</f>
        <v>255.65799999999999</v>
      </c>
      <c r="V107" s="30"/>
      <c r="W107" s="30"/>
      <c r="X107" s="146">
        <f t="shared" si="2"/>
        <v>294.44492640000004</v>
      </c>
      <c r="Y107" s="146">
        <f t="shared" si="3"/>
        <v>285.85120979999999</v>
      </c>
      <c r="Z107" s="146"/>
    </row>
    <row r="108" spans="1:26">
      <c r="A108" s="39" t="s">
        <v>191</v>
      </c>
      <c r="B108" s="13">
        <v>1.3473999999999999</v>
      </c>
      <c r="C108" s="30">
        <v>5341.9</v>
      </c>
      <c r="D108" s="30">
        <v>5157.8999999999996</v>
      </c>
      <c r="E108" s="30">
        <v>5506.6</v>
      </c>
      <c r="F108" s="30">
        <v>5449</v>
      </c>
      <c r="G108" s="30"/>
      <c r="H108" s="146">
        <f t="shared" si="4"/>
        <v>7197.6760599999989</v>
      </c>
      <c r="I108" s="146">
        <f t="shared" si="5"/>
        <v>6949.7544599999992</v>
      </c>
      <c r="J108" s="146">
        <f t="shared" si="6"/>
        <v>7419.5928400000003</v>
      </c>
      <c r="K108" s="30">
        <v>6989</v>
      </c>
      <c r="L108" s="30">
        <v>7311</v>
      </c>
      <c r="M108" s="30">
        <v>7115</v>
      </c>
      <c r="N108" s="30">
        <v>7012</v>
      </c>
      <c r="O108" s="30"/>
      <c r="P108" s="146">
        <f t="shared" si="7"/>
        <v>9416.9786000000004</v>
      </c>
      <c r="Q108" s="146">
        <f t="shared" si="8"/>
        <v>9850.8413999999993</v>
      </c>
      <c r="R108" s="146">
        <f t="shared" si="9"/>
        <v>9586.7510000000002</v>
      </c>
      <c r="S108" s="210">
        <v>1.1181000000000001</v>
      </c>
      <c r="T108" s="30">
        <v>1260.1379999999999</v>
      </c>
      <c r="U108" s="30">
        <v>1258.547</v>
      </c>
      <c r="V108" s="30"/>
      <c r="W108" s="30"/>
      <c r="X108" s="146">
        <f t="shared" si="2"/>
        <v>1408.9602978</v>
      </c>
      <c r="Y108" s="146">
        <f t="shared" si="3"/>
        <v>1407.1814007</v>
      </c>
      <c r="Z108" s="146"/>
    </row>
    <row r="109" spans="1:26" hidden="1">
      <c r="A109" s="39" t="s">
        <v>190</v>
      </c>
      <c r="B109" s="13">
        <v>1.3473999999999999</v>
      </c>
      <c r="C109" s="30">
        <v>1719.6</v>
      </c>
      <c r="D109" s="30">
        <v>1742.7</v>
      </c>
      <c r="E109" s="30">
        <v>1183.2</v>
      </c>
      <c r="F109" s="30">
        <v>1183.2</v>
      </c>
      <c r="G109" s="30"/>
      <c r="H109" s="146">
        <f t="shared" si="4"/>
        <v>2316.9890399999999</v>
      </c>
      <c r="I109" s="146">
        <f t="shared" si="5"/>
        <v>2348.1139800000001</v>
      </c>
      <c r="J109" s="146">
        <f t="shared" si="6"/>
        <v>1594.24368</v>
      </c>
      <c r="K109" s="30">
        <v>2151</v>
      </c>
      <c r="L109" s="30">
        <v>1976</v>
      </c>
      <c r="M109" s="30">
        <v>1938</v>
      </c>
      <c r="N109" s="30">
        <v>1938</v>
      </c>
      <c r="O109" s="30"/>
      <c r="P109" s="146">
        <f t="shared" si="7"/>
        <v>2898.2574</v>
      </c>
      <c r="Q109" s="146">
        <f t="shared" si="8"/>
        <v>2662.4623999999999</v>
      </c>
      <c r="R109" s="146">
        <f t="shared" si="9"/>
        <v>2611.2611999999999</v>
      </c>
      <c r="S109" s="210">
        <v>1.1181000000000001</v>
      </c>
      <c r="T109" s="30">
        <v>591.73199999999997</v>
      </c>
      <c r="U109" s="30">
        <v>562.39400000000001</v>
      </c>
      <c r="V109" s="30"/>
      <c r="W109" s="30"/>
      <c r="X109" s="146">
        <f t="shared" si="2"/>
        <v>661.61554920000003</v>
      </c>
      <c r="Y109" s="146">
        <f t="shared" si="3"/>
        <v>628.81273140000008</v>
      </c>
      <c r="Z109" s="146"/>
    </row>
    <row r="110" spans="1:26" hidden="1">
      <c r="A110" s="39" t="s">
        <v>6</v>
      </c>
      <c r="B110" s="13">
        <v>1.3473999999999999</v>
      </c>
      <c r="C110" s="30">
        <f>SUM(C108:C109)</f>
        <v>7061.5</v>
      </c>
      <c r="D110" s="30">
        <f>SUM(D108:D109)</f>
        <v>6900.5999999999995</v>
      </c>
      <c r="E110" s="30">
        <f>SUM(E108:E109)</f>
        <v>6689.8</v>
      </c>
      <c r="F110" s="30">
        <f>SUM(F108:F109)</f>
        <v>6632.2</v>
      </c>
      <c r="G110" s="30"/>
      <c r="H110" s="146">
        <f t="shared" si="4"/>
        <v>9514.6651000000002</v>
      </c>
      <c r="I110" s="146">
        <f t="shared" si="5"/>
        <v>9297.8684399999984</v>
      </c>
      <c r="J110" s="146">
        <f t="shared" si="6"/>
        <v>9013.8365199999989</v>
      </c>
      <c r="K110" s="30">
        <f>SUM(K108:K109)</f>
        <v>9140</v>
      </c>
      <c r="L110" s="30">
        <f>SUM(L108:L109)</f>
        <v>9287</v>
      </c>
      <c r="M110" s="30">
        <f>SUM(M108:M109)</f>
        <v>9053</v>
      </c>
      <c r="N110" s="30">
        <f>SUM(N108:N109)</f>
        <v>8950</v>
      </c>
      <c r="O110" s="30"/>
      <c r="P110" s="146">
        <f t="shared" si="7"/>
        <v>12315.235999999999</v>
      </c>
      <c r="Q110" s="146">
        <f t="shared" si="8"/>
        <v>12513.3038</v>
      </c>
      <c r="R110" s="146">
        <f t="shared" si="9"/>
        <v>12198.012199999999</v>
      </c>
      <c r="S110" s="210">
        <v>1.1181000000000001</v>
      </c>
      <c r="T110" s="30">
        <f>SUM(T108:T109)</f>
        <v>1851.87</v>
      </c>
      <c r="U110" s="30">
        <f>SUM(U108:U109)</f>
        <v>1820.941</v>
      </c>
      <c r="V110" s="30"/>
      <c r="W110" s="30"/>
      <c r="X110" s="146">
        <f t="shared" si="2"/>
        <v>2070.5758470000001</v>
      </c>
      <c r="Y110" s="146">
        <f t="shared" si="3"/>
        <v>2035.9941321000001</v>
      </c>
      <c r="Z110" s="146"/>
    </row>
    <row r="111" spans="1:26">
      <c r="A111" s="137" t="s">
        <v>189</v>
      </c>
      <c r="D111" s="201">
        <f>D102-D108</f>
        <v>1742.7000000000007</v>
      </c>
      <c r="E111" s="201">
        <f>E102-E108</f>
        <v>1183.1999999999998</v>
      </c>
      <c r="F111" s="201">
        <f>F102-F108</f>
        <v>458</v>
      </c>
      <c r="G111" s="201"/>
      <c r="L111" s="201">
        <f>L102-L108</f>
        <v>1976</v>
      </c>
      <c r="M111" s="201">
        <f>M102-M108</f>
        <v>1938</v>
      </c>
      <c r="N111" s="201">
        <f>N102-N108</f>
        <v>1609</v>
      </c>
      <c r="O111" s="201"/>
    </row>
    <row r="112" spans="1:26" hidden="1">
      <c r="A112" s="31"/>
      <c r="B112" s="53"/>
    </row>
    <row r="113" spans="1:26">
      <c r="A113" s="137" t="s">
        <v>188</v>
      </c>
      <c r="B113" s="53"/>
    </row>
    <row r="114" spans="1:26" hidden="1">
      <c r="A114" s="31" t="s">
        <v>187</v>
      </c>
      <c r="B114" s="53"/>
      <c r="C114" s="27">
        <f>C107/C102</f>
        <v>0.1331161934433194</v>
      </c>
      <c r="D114" s="27">
        <f>D107/D102</f>
        <v>0.1540011013535055</v>
      </c>
      <c r="E114" s="27">
        <f>E107/E102</f>
        <v>0.17149989536309007</v>
      </c>
      <c r="F114" s="27">
        <f>F107/F102</f>
        <v>0.19422718808193667</v>
      </c>
      <c r="G114" s="27"/>
      <c r="H114" s="27">
        <f t="shared" ref="H114:M114" si="10">H107/H102</f>
        <v>0.1331161934433194</v>
      </c>
      <c r="I114" s="27">
        <f t="shared" si="10"/>
        <v>0.15400110135350548</v>
      </c>
      <c r="J114" s="27">
        <f t="shared" si="10"/>
        <v>0.17149989536309007</v>
      </c>
      <c r="K114" s="27">
        <f t="shared" si="10"/>
        <v>0.12341356673960613</v>
      </c>
      <c r="L114" s="27">
        <f t="shared" si="10"/>
        <v>0.16722299989232259</v>
      </c>
      <c r="M114" s="27">
        <f t="shared" si="10"/>
        <v>9.9193637468242571E-2</v>
      </c>
      <c r="N114" s="27"/>
      <c r="O114" s="27"/>
      <c r="P114" s="27">
        <f>P107/P102</f>
        <v>0.12341356673960613</v>
      </c>
      <c r="Q114" s="27">
        <f>Q107/Q102</f>
        <v>0.16722299989232259</v>
      </c>
      <c r="R114" s="27">
        <f>R107/R102</f>
        <v>9.9193637468242571E-2</v>
      </c>
      <c r="T114" s="27">
        <f>T107/T102</f>
        <v>0.14220436639720932</v>
      </c>
      <c r="U114" s="27">
        <f>U107/U102</f>
        <v>0.14039883774378192</v>
      </c>
      <c r="V114" s="27"/>
      <c r="W114" s="27"/>
      <c r="X114" s="27">
        <f>X107/X102</f>
        <v>0.14220436639720932</v>
      </c>
      <c r="Y114" s="27"/>
      <c r="Z114" s="27"/>
    </row>
    <row r="115" spans="1:26" hidden="1">
      <c r="A115" s="45"/>
      <c r="B115" s="32"/>
    </row>
    <row r="116" spans="1:26" hidden="1">
      <c r="A116" s="26" t="s">
        <v>186</v>
      </c>
      <c r="B116" s="52"/>
      <c r="C116" s="55" t="s">
        <v>185</v>
      </c>
      <c r="D116" s="55" t="s">
        <v>185</v>
      </c>
      <c r="E116" s="55" t="s">
        <v>185</v>
      </c>
      <c r="F116" s="55" t="s">
        <v>185</v>
      </c>
      <c r="G116" s="55" t="s">
        <v>184</v>
      </c>
      <c r="H116" s="5" t="s">
        <v>185</v>
      </c>
      <c r="I116" s="5" t="s">
        <v>185</v>
      </c>
      <c r="J116" s="5" t="s">
        <v>185</v>
      </c>
      <c r="K116" s="55" t="s">
        <v>184</v>
      </c>
      <c r="L116" s="55" t="s">
        <v>184</v>
      </c>
      <c r="M116" s="55" t="s">
        <v>184</v>
      </c>
      <c r="N116" s="55" t="s">
        <v>184</v>
      </c>
      <c r="O116" s="55" t="s">
        <v>184</v>
      </c>
      <c r="P116" s="5" t="s">
        <v>184</v>
      </c>
      <c r="Q116" s="5" t="s">
        <v>184</v>
      </c>
      <c r="R116" s="5" t="s">
        <v>184</v>
      </c>
      <c r="S116" s="5"/>
      <c r="T116" s="55" t="s">
        <v>183</v>
      </c>
      <c r="U116" s="55" t="s">
        <v>183</v>
      </c>
      <c r="V116" s="55" t="s">
        <v>183</v>
      </c>
      <c r="W116" s="55"/>
      <c r="X116" s="5" t="s">
        <v>183</v>
      </c>
      <c r="Y116" s="5" t="s">
        <v>183</v>
      </c>
      <c r="Z116" s="5" t="s">
        <v>183</v>
      </c>
    </row>
    <row r="117" spans="1:26" hidden="1">
      <c r="A117" s="18" t="s">
        <v>182</v>
      </c>
      <c r="B117" s="5"/>
      <c r="C117" s="55">
        <v>2009</v>
      </c>
      <c r="D117" s="55">
        <v>2010</v>
      </c>
      <c r="E117" s="55">
        <v>2011</v>
      </c>
      <c r="F117" s="55">
        <v>2011</v>
      </c>
      <c r="G117" s="55">
        <v>2011</v>
      </c>
      <c r="H117" s="5">
        <v>2009</v>
      </c>
      <c r="I117" s="5">
        <v>2010</v>
      </c>
      <c r="J117" s="5">
        <v>2011</v>
      </c>
      <c r="K117" s="55">
        <v>2009</v>
      </c>
      <c r="L117" s="55">
        <v>2010</v>
      </c>
      <c r="M117" s="55">
        <v>2011</v>
      </c>
      <c r="N117" s="55">
        <v>2011</v>
      </c>
      <c r="O117" s="55">
        <v>2011</v>
      </c>
      <c r="P117" s="5">
        <v>2009</v>
      </c>
      <c r="Q117" s="5">
        <v>2010</v>
      </c>
      <c r="R117" s="5">
        <v>2011</v>
      </c>
      <c r="S117" s="5"/>
      <c r="T117" s="55">
        <v>2009</v>
      </c>
      <c r="U117" s="55">
        <v>2010</v>
      </c>
      <c r="V117" s="55">
        <v>2011</v>
      </c>
      <c r="W117" s="55"/>
      <c r="X117" s="5">
        <v>2009</v>
      </c>
      <c r="Y117" s="5">
        <v>2010</v>
      </c>
      <c r="Z117" s="5">
        <v>2011</v>
      </c>
    </row>
    <row r="118" spans="1:26" hidden="1">
      <c r="A118" s="137" t="s">
        <v>181</v>
      </c>
      <c r="B118" s="13">
        <v>1.3473999999999999</v>
      </c>
      <c r="C118" s="57">
        <v>178.1</v>
      </c>
      <c r="D118" s="57">
        <v>299.39999999999998</v>
      </c>
      <c r="E118" s="57">
        <v>288.60000000000002</v>
      </c>
      <c r="F118" s="57">
        <v>288.60000000000002</v>
      </c>
      <c r="G118" s="133">
        <v>613</v>
      </c>
      <c r="H118" s="146">
        <f>C118*B118</f>
        <v>239.97193999999999</v>
      </c>
      <c r="I118" s="146">
        <f>D118*B118</f>
        <v>403.41155999999995</v>
      </c>
      <c r="J118" s="146">
        <f>E118*B118</f>
        <v>388.85964000000001</v>
      </c>
      <c r="K118" s="133">
        <v>218</v>
      </c>
      <c r="L118" s="133">
        <v>520</v>
      </c>
      <c r="M118" s="133">
        <v>613</v>
      </c>
      <c r="N118" s="133">
        <v>613</v>
      </c>
      <c r="O118" s="133">
        <v>613</v>
      </c>
      <c r="P118" s="146">
        <f>B118*K118</f>
        <v>293.73320000000001</v>
      </c>
      <c r="Q118" s="146">
        <f>B118*L118</f>
        <v>700.64799999999991</v>
      </c>
      <c r="R118" s="146">
        <f>B118*M118</f>
        <v>825.95619999999997</v>
      </c>
      <c r="S118" s="210">
        <v>1.1181000000000001</v>
      </c>
      <c r="T118" s="133">
        <v>46.738</v>
      </c>
      <c r="U118" s="133">
        <v>117.008</v>
      </c>
      <c r="X118" s="146">
        <f>S118*T118</f>
        <v>52.257757800000007</v>
      </c>
      <c r="Y118" s="146">
        <f>U118*S118</f>
        <v>130.8266448</v>
      </c>
      <c r="Z118" s="146"/>
    </row>
    <row r="119" spans="1:26" hidden="1">
      <c r="A119" s="137" t="s">
        <v>180</v>
      </c>
      <c r="B119" s="13">
        <v>1.3473999999999999</v>
      </c>
      <c r="C119" s="57">
        <v>-130</v>
      </c>
      <c r="D119" s="57">
        <v>-291.10000000000002</v>
      </c>
      <c r="E119" s="57">
        <v>-178.4</v>
      </c>
      <c r="F119" s="57">
        <v>-178.4</v>
      </c>
      <c r="G119" s="146">
        <v>-213</v>
      </c>
      <c r="H119" s="146">
        <f>C119*B119</f>
        <v>-175.16199999999998</v>
      </c>
      <c r="I119" s="146">
        <f>D119*B119</f>
        <v>-392.22814</v>
      </c>
      <c r="J119" s="146">
        <f>E119*B119</f>
        <v>-240.37616</v>
      </c>
      <c r="K119" s="146">
        <v>-175</v>
      </c>
      <c r="L119" s="146">
        <v>-313</v>
      </c>
      <c r="M119" s="146">
        <v>-213</v>
      </c>
      <c r="N119" s="146">
        <v>-213</v>
      </c>
      <c r="O119" s="146">
        <v>-213</v>
      </c>
      <c r="P119" s="146">
        <f>B119*K119</f>
        <v>-235.79499999999999</v>
      </c>
      <c r="Q119" s="146">
        <f>B119*L119</f>
        <v>-421.7362</v>
      </c>
      <c r="R119" s="146">
        <f>B119*M119</f>
        <v>-286.99619999999999</v>
      </c>
      <c r="S119" s="210">
        <v>1.1181000000000001</v>
      </c>
      <c r="T119" s="146">
        <v>-52.426000000000002</v>
      </c>
      <c r="U119" s="146">
        <v>-146.85900000000001</v>
      </c>
      <c r="V119" s="146"/>
      <c r="W119" s="146"/>
      <c r="X119" s="146">
        <f>S119*T119</f>
        <v>-58.61751060000001</v>
      </c>
      <c r="Y119" s="146">
        <f>U119*S119</f>
        <v>-164.20304790000003</v>
      </c>
      <c r="Z119" s="146"/>
    </row>
    <row r="120" spans="1:26" hidden="1">
      <c r="A120" s="137" t="s">
        <v>179</v>
      </c>
      <c r="B120" s="13">
        <v>1.3473999999999999</v>
      </c>
      <c r="C120" s="57">
        <v>-358.5</v>
      </c>
      <c r="D120" s="57">
        <v>-184.2</v>
      </c>
      <c r="E120" s="57">
        <v>-82.4</v>
      </c>
      <c r="F120" s="57">
        <v>-82.4</v>
      </c>
      <c r="G120" s="146">
        <v>-806</v>
      </c>
      <c r="H120" s="146">
        <f>C120*B120</f>
        <v>-483.04289999999997</v>
      </c>
      <c r="I120" s="146">
        <f>D120*B120</f>
        <v>-248.19107999999997</v>
      </c>
      <c r="J120" s="146">
        <f>E120*B120</f>
        <v>-111.02576000000001</v>
      </c>
      <c r="K120" s="146">
        <v>-395</v>
      </c>
      <c r="L120" s="146">
        <v>354</v>
      </c>
      <c r="M120" s="146">
        <v>-806</v>
      </c>
      <c r="N120" s="146">
        <v>-806</v>
      </c>
      <c r="O120" s="146">
        <v>-806</v>
      </c>
      <c r="P120" s="146">
        <f>B120*K120</f>
        <v>-532.22299999999996</v>
      </c>
      <c r="Q120" s="146">
        <f>B120*L120</f>
        <v>476.97959999999995</v>
      </c>
      <c r="R120" s="146">
        <f>B120*M120</f>
        <v>-1086.0044</v>
      </c>
      <c r="S120" s="210">
        <v>1.1181000000000001</v>
      </c>
      <c r="T120" s="146">
        <v>199.23</v>
      </c>
      <c r="U120" s="146">
        <v>-29.510999999999999</v>
      </c>
      <c r="V120" s="146"/>
      <c r="W120" s="146"/>
      <c r="X120" s="146">
        <f>S120*T120</f>
        <v>222.759063</v>
      </c>
      <c r="Y120" s="146">
        <f>U120*S120</f>
        <v>-32.9962491</v>
      </c>
      <c r="Z120" s="146"/>
    </row>
    <row r="121" spans="1:26" ht="23" hidden="1">
      <c r="A121" s="46" t="s">
        <v>178</v>
      </c>
      <c r="B121" s="13">
        <v>1.3473999999999999</v>
      </c>
      <c r="C121" s="57">
        <v>-131</v>
      </c>
      <c r="D121" s="57">
        <v>-196.1</v>
      </c>
      <c r="E121" s="57">
        <v>-118.5</v>
      </c>
      <c r="F121" s="57">
        <v>-118.5</v>
      </c>
      <c r="G121" s="146">
        <v>148</v>
      </c>
      <c r="H121" s="146">
        <f>C121*B121</f>
        <v>-176.5094</v>
      </c>
      <c r="I121" s="146">
        <f>D121*B121</f>
        <v>-264.22513999999995</v>
      </c>
      <c r="J121" s="146">
        <f>E121*B121</f>
        <v>-159.6669</v>
      </c>
      <c r="K121" s="146">
        <v>161</v>
      </c>
      <c r="L121" s="146">
        <v>26</v>
      </c>
      <c r="M121" s="146">
        <v>148</v>
      </c>
      <c r="N121" s="146">
        <v>148</v>
      </c>
      <c r="O121" s="146">
        <v>148</v>
      </c>
      <c r="P121" s="146">
        <f>B121*K121</f>
        <v>216.9314</v>
      </c>
      <c r="Q121" s="146">
        <f>B121*L121</f>
        <v>35.032399999999996</v>
      </c>
      <c r="R121" s="146">
        <f>B121*M121</f>
        <v>199.4152</v>
      </c>
      <c r="S121" s="210">
        <v>1.1181000000000001</v>
      </c>
      <c r="T121" s="146">
        <v>28.768999999999998</v>
      </c>
      <c r="U121" s="146">
        <v>-25.414000000000001</v>
      </c>
      <c r="V121" s="146"/>
      <c r="W121" s="146"/>
      <c r="X121" s="146">
        <f>S121*T121</f>
        <v>32.166618900000003</v>
      </c>
      <c r="Y121" s="146">
        <f>U121*S121</f>
        <v>-28.415393400000003</v>
      </c>
      <c r="Z121" s="146"/>
    </row>
    <row r="122" spans="1:26" hidden="1">
      <c r="A122" s="29" t="s">
        <v>177</v>
      </c>
      <c r="B122" s="4"/>
      <c r="G122" s="150" t="s">
        <v>156</v>
      </c>
      <c r="K122" s="150" t="s">
        <v>156</v>
      </c>
      <c r="L122" s="150" t="s">
        <v>156</v>
      </c>
      <c r="M122" s="150" t="s">
        <v>156</v>
      </c>
      <c r="N122" s="150" t="s">
        <v>156</v>
      </c>
      <c r="O122" s="150" t="s">
        <v>156</v>
      </c>
      <c r="P122" s="150" t="s">
        <v>156</v>
      </c>
      <c r="Q122" s="150" t="s">
        <v>156</v>
      </c>
      <c r="R122" s="150" t="s">
        <v>156</v>
      </c>
      <c r="T122" s="150"/>
      <c r="U122" s="150"/>
      <c r="V122" s="150"/>
      <c r="W122" s="150"/>
      <c r="X122" s="150"/>
      <c r="Y122" s="150"/>
      <c r="Z122" s="150"/>
    </row>
    <row r="123" spans="1:26" hidden="1">
      <c r="A123" s="29"/>
      <c r="B123" s="4"/>
    </row>
    <row r="124" spans="1:26" hidden="1">
      <c r="A124" s="26"/>
      <c r="B124" s="52"/>
      <c r="C124" s="55" t="s">
        <v>176</v>
      </c>
      <c r="D124" s="55" t="s">
        <v>176</v>
      </c>
      <c r="E124" s="55" t="s">
        <v>176</v>
      </c>
      <c r="F124" s="55" t="s">
        <v>176</v>
      </c>
      <c r="G124" s="55" t="s">
        <v>175</v>
      </c>
      <c r="H124" s="5" t="s">
        <v>176</v>
      </c>
      <c r="I124" s="5" t="s">
        <v>176</v>
      </c>
      <c r="J124" s="5" t="s">
        <v>176</v>
      </c>
      <c r="K124" s="55" t="s">
        <v>175</v>
      </c>
      <c r="L124" s="55" t="s">
        <v>175</v>
      </c>
      <c r="M124" s="55" t="s">
        <v>175</v>
      </c>
      <c r="N124" s="55" t="s">
        <v>175</v>
      </c>
      <c r="O124" s="55" t="s">
        <v>175</v>
      </c>
      <c r="P124" s="5" t="s">
        <v>175</v>
      </c>
      <c r="Q124" s="5" t="s">
        <v>175</v>
      </c>
      <c r="R124" s="5" t="s">
        <v>175</v>
      </c>
      <c r="S124" s="5"/>
      <c r="T124" s="55" t="s">
        <v>174</v>
      </c>
      <c r="U124" s="55" t="s">
        <v>174</v>
      </c>
      <c r="V124" s="55" t="s">
        <v>174</v>
      </c>
      <c r="W124" s="55"/>
      <c r="X124" s="5" t="s">
        <v>174</v>
      </c>
      <c r="Y124" s="5" t="s">
        <v>174</v>
      </c>
      <c r="Z124" s="5" t="s">
        <v>174</v>
      </c>
    </row>
    <row r="125" spans="1:26" hidden="1">
      <c r="A125" s="209" t="s">
        <v>173</v>
      </c>
      <c r="B125" s="208"/>
      <c r="C125" s="55">
        <v>2009</v>
      </c>
      <c r="D125" s="55">
        <v>2010</v>
      </c>
      <c r="E125" s="55">
        <v>2011</v>
      </c>
      <c r="F125" s="55">
        <v>2011</v>
      </c>
      <c r="G125" s="55">
        <v>2011</v>
      </c>
      <c r="H125" s="5">
        <v>2009</v>
      </c>
      <c r="I125" s="5">
        <v>2010</v>
      </c>
      <c r="J125" s="5">
        <v>2011</v>
      </c>
      <c r="K125" s="55">
        <v>2009</v>
      </c>
      <c r="L125" s="55">
        <v>2010</v>
      </c>
      <c r="M125" s="55">
        <v>2011</v>
      </c>
      <c r="N125" s="55">
        <v>2011</v>
      </c>
      <c r="O125" s="55">
        <v>2011</v>
      </c>
      <c r="P125" s="5">
        <v>2009</v>
      </c>
      <c r="Q125" s="5">
        <v>2010</v>
      </c>
      <c r="R125" s="5">
        <v>2011</v>
      </c>
      <c r="S125" s="5"/>
      <c r="T125" s="55">
        <v>2009</v>
      </c>
      <c r="U125" s="55">
        <v>2010</v>
      </c>
      <c r="V125" s="55">
        <v>2011</v>
      </c>
      <c r="W125" s="55"/>
      <c r="X125" s="5">
        <v>2009</v>
      </c>
      <c r="Y125" s="5">
        <v>2010</v>
      </c>
      <c r="Z125" s="5">
        <v>2011</v>
      </c>
    </row>
    <row r="126" spans="1:26" hidden="1">
      <c r="A126" s="137" t="s">
        <v>172</v>
      </c>
      <c r="C126" s="14"/>
      <c r="D126" s="14"/>
      <c r="E126" s="14">
        <v>22</v>
      </c>
      <c r="F126" s="14">
        <v>22</v>
      </c>
      <c r="G126" s="14">
        <v>180</v>
      </c>
      <c r="H126" s="14"/>
      <c r="I126" s="14"/>
      <c r="J126" s="14">
        <v>22</v>
      </c>
      <c r="K126" s="14">
        <v>180</v>
      </c>
      <c r="L126" s="14">
        <v>180</v>
      </c>
      <c r="M126" s="14">
        <v>180</v>
      </c>
      <c r="N126" s="14">
        <v>180</v>
      </c>
      <c r="O126" s="14">
        <v>180</v>
      </c>
      <c r="P126" s="14">
        <v>180</v>
      </c>
      <c r="Q126" s="14">
        <v>180</v>
      </c>
      <c r="R126" s="14">
        <v>180</v>
      </c>
      <c r="S126" s="14"/>
      <c r="T126" s="150" t="s">
        <v>156</v>
      </c>
      <c r="U126" s="150" t="s">
        <v>156</v>
      </c>
      <c r="V126" s="150" t="s">
        <v>156</v>
      </c>
      <c r="W126" s="150"/>
      <c r="X126" s="150" t="s">
        <v>156</v>
      </c>
      <c r="Y126" s="150" t="s">
        <v>156</v>
      </c>
      <c r="Z126" s="14"/>
    </row>
    <row r="127" spans="1:26" hidden="1">
      <c r="A127" s="137" t="s">
        <v>171</v>
      </c>
      <c r="D127" s="175">
        <v>22300000</v>
      </c>
      <c r="E127" s="175">
        <v>23700000</v>
      </c>
      <c r="F127" s="175">
        <v>23700000</v>
      </c>
      <c r="G127" s="30">
        <v>30000000</v>
      </c>
      <c r="I127" s="175">
        <v>22300000</v>
      </c>
      <c r="J127" s="175">
        <v>23700000</v>
      </c>
      <c r="K127" s="30">
        <v>30000000</v>
      </c>
      <c r="L127" s="30">
        <v>30000000</v>
      </c>
      <c r="M127" s="30">
        <v>30000000</v>
      </c>
      <c r="N127" s="30">
        <v>30000000</v>
      </c>
      <c r="O127" s="30">
        <v>30000000</v>
      </c>
      <c r="P127" s="30">
        <v>30000000</v>
      </c>
      <c r="Q127" s="30">
        <v>30000000</v>
      </c>
      <c r="R127" s="30">
        <v>30000000</v>
      </c>
      <c r="T127" s="150" t="s">
        <v>156</v>
      </c>
      <c r="U127" s="150" t="s">
        <v>156</v>
      </c>
      <c r="V127" s="150" t="s">
        <v>156</v>
      </c>
      <c r="W127" s="150"/>
      <c r="X127" s="150" t="s">
        <v>156</v>
      </c>
      <c r="Y127" s="150" t="s">
        <v>156</v>
      </c>
      <c r="Z127" s="30"/>
    </row>
    <row r="128" spans="1:26" hidden="1">
      <c r="A128" s="137" t="s">
        <v>170</v>
      </c>
      <c r="C128" s="30"/>
      <c r="D128" s="30"/>
      <c r="E128" s="30"/>
      <c r="F128" s="30"/>
      <c r="G128" s="30"/>
      <c r="H128" s="30"/>
      <c r="I128" s="30"/>
      <c r="J128" s="30"/>
      <c r="K128" s="30"/>
      <c r="L128" s="30"/>
      <c r="M128" s="30"/>
      <c r="N128" s="30"/>
      <c r="O128" s="30"/>
      <c r="P128" s="30"/>
      <c r="Q128" s="30"/>
      <c r="R128" s="30"/>
      <c r="S128" s="30"/>
      <c r="T128" s="150" t="s">
        <v>156</v>
      </c>
      <c r="U128" s="150" t="s">
        <v>156</v>
      </c>
      <c r="V128" s="150" t="s">
        <v>156</v>
      </c>
      <c r="W128" s="150"/>
      <c r="X128" s="150" t="s">
        <v>156</v>
      </c>
      <c r="Y128" s="150" t="s">
        <v>156</v>
      </c>
      <c r="Z128" s="30"/>
    </row>
    <row r="129" spans="1:26" hidden="1">
      <c r="A129" s="137" t="s">
        <v>169</v>
      </c>
      <c r="T129" s="150" t="s">
        <v>156</v>
      </c>
      <c r="U129" s="150" t="s">
        <v>156</v>
      </c>
      <c r="V129" s="150" t="s">
        <v>156</v>
      </c>
      <c r="W129" s="150"/>
      <c r="X129" s="150" t="s">
        <v>156</v>
      </c>
      <c r="Y129" s="150" t="s">
        <v>156</v>
      </c>
    </row>
    <row r="130" spans="1:26" hidden="1">
      <c r="A130" s="137" t="s">
        <v>168</v>
      </c>
      <c r="T130" s="150" t="s">
        <v>156</v>
      </c>
      <c r="U130" s="150" t="s">
        <v>156</v>
      </c>
      <c r="V130" s="150" t="s">
        <v>156</v>
      </c>
      <c r="W130" s="150"/>
      <c r="X130" s="150" t="s">
        <v>156</v>
      </c>
      <c r="Y130" s="150" t="s">
        <v>156</v>
      </c>
    </row>
    <row r="131" spans="1:26" hidden="1">
      <c r="A131" s="137" t="s">
        <v>167</v>
      </c>
      <c r="T131" s="150" t="s">
        <v>156</v>
      </c>
      <c r="U131" s="150" t="s">
        <v>156</v>
      </c>
      <c r="V131" s="150" t="s">
        <v>156</v>
      </c>
      <c r="W131" s="150"/>
      <c r="X131" s="150" t="s">
        <v>156</v>
      </c>
      <c r="Y131" s="150" t="s">
        <v>156</v>
      </c>
    </row>
    <row r="132" spans="1:26" hidden="1">
      <c r="A132" s="137" t="s">
        <v>166</v>
      </c>
      <c r="T132" s="150" t="s">
        <v>156</v>
      </c>
      <c r="U132" s="150" t="s">
        <v>156</v>
      </c>
      <c r="V132" s="150" t="s">
        <v>156</v>
      </c>
      <c r="W132" s="150"/>
      <c r="X132" s="150" t="s">
        <v>156</v>
      </c>
      <c r="Y132" s="150" t="s">
        <v>156</v>
      </c>
    </row>
    <row r="133" spans="1:26" hidden="1">
      <c r="A133" s="137" t="s">
        <v>165</v>
      </c>
      <c r="T133" s="150" t="s">
        <v>156</v>
      </c>
      <c r="U133" s="150" t="s">
        <v>156</v>
      </c>
      <c r="V133" s="150" t="s">
        <v>156</v>
      </c>
      <c r="W133" s="150"/>
      <c r="X133" s="150" t="s">
        <v>156</v>
      </c>
      <c r="Y133" s="150" t="s">
        <v>156</v>
      </c>
    </row>
    <row r="134" spans="1:26" hidden="1">
      <c r="A134" s="137" t="s">
        <v>164</v>
      </c>
      <c r="T134" s="150" t="s">
        <v>156</v>
      </c>
      <c r="U134" s="150" t="s">
        <v>156</v>
      </c>
      <c r="V134" s="150" t="s">
        <v>156</v>
      </c>
      <c r="W134" s="150"/>
      <c r="X134" s="150" t="s">
        <v>156</v>
      </c>
      <c r="Y134" s="150" t="s">
        <v>156</v>
      </c>
    </row>
    <row r="135" spans="1:26" hidden="1">
      <c r="A135" s="137" t="s">
        <v>163</v>
      </c>
      <c r="T135" s="150" t="s">
        <v>156</v>
      </c>
      <c r="U135" s="150" t="s">
        <v>156</v>
      </c>
      <c r="V135" s="150" t="s">
        <v>156</v>
      </c>
      <c r="W135" s="150"/>
      <c r="X135" s="150" t="s">
        <v>156</v>
      </c>
      <c r="Y135" s="150" t="s">
        <v>156</v>
      </c>
    </row>
    <row r="136" spans="1:26" hidden="1">
      <c r="A136" s="47" t="s">
        <v>162</v>
      </c>
      <c r="B136" s="30"/>
      <c r="C136" s="30"/>
      <c r="D136" s="30">
        <v>31000</v>
      </c>
      <c r="E136" s="30">
        <v>31000</v>
      </c>
      <c r="F136" s="30">
        <v>31000</v>
      </c>
      <c r="G136" s="30">
        <v>53247</v>
      </c>
      <c r="H136" s="30"/>
      <c r="I136" s="30">
        <v>31000</v>
      </c>
      <c r="J136" s="30">
        <v>31000</v>
      </c>
      <c r="K136" s="30">
        <v>49463</v>
      </c>
      <c r="L136" s="30">
        <v>52190</v>
      </c>
      <c r="M136" s="30">
        <v>53247</v>
      </c>
      <c r="N136" s="30">
        <v>53247</v>
      </c>
      <c r="O136" s="30">
        <v>53247</v>
      </c>
      <c r="P136" s="30">
        <v>49463</v>
      </c>
      <c r="Q136" s="30">
        <v>52190</v>
      </c>
      <c r="R136" s="30">
        <v>53247</v>
      </c>
      <c r="S136" s="30"/>
      <c r="T136" s="150" t="s">
        <v>156</v>
      </c>
      <c r="U136" s="150" t="s">
        <v>156</v>
      </c>
      <c r="V136" s="150" t="s">
        <v>156</v>
      </c>
      <c r="W136" s="150"/>
      <c r="X136" s="150" t="s">
        <v>156</v>
      </c>
      <c r="Y136" s="150" t="s">
        <v>156</v>
      </c>
      <c r="Z136" s="30"/>
    </row>
    <row r="137" spans="1:26" hidden="1">
      <c r="A137" s="35" t="s">
        <v>160</v>
      </c>
      <c r="B137" s="42"/>
      <c r="C137" s="30"/>
      <c r="D137" s="30"/>
      <c r="E137" s="30"/>
      <c r="F137" s="30"/>
      <c r="G137" s="30"/>
      <c r="H137" s="30"/>
      <c r="I137" s="30"/>
      <c r="J137" s="30"/>
      <c r="K137" s="30"/>
      <c r="L137" s="30"/>
      <c r="M137" s="30"/>
      <c r="N137" s="30"/>
      <c r="O137" s="30"/>
      <c r="P137" s="30"/>
      <c r="Q137" s="30"/>
      <c r="R137" s="30"/>
      <c r="S137" s="30"/>
      <c r="T137" s="150" t="s">
        <v>156</v>
      </c>
      <c r="U137" s="150" t="s">
        <v>156</v>
      </c>
      <c r="V137" s="150" t="s">
        <v>156</v>
      </c>
      <c r="W137" s="150"/>
      <c r="X137" s="150" t="s">
        <v>156</v>
      </c>
      <c r="Y137" s="150" t="s">
        <v>156</v>
      </c>
      <c r="Z137" s="30"/>
    </row>
    <row r="138" spans="1:26" hidden="1">
      <c r="A138" s="35" t="s">
        <v>159</v>
      </c>
      <c r="B138" s="42"/>
      <c r="C138" s="30"/>
      <c r="D138" s="30"/>
      <c r="E138" s="30"/>
      <c r="F138" s="30"/>
      <c r="G138" s="30"/>
      <c r="H138" s="30"/>
      <c r="I138" s="30"/>
      <c r="J138" s="30"/>
      <c r="K138" s="30"/>
      <c r="L138" s="30"/>
      <c r="M138" s="30"/>
      <c r="N138" s="30"/>
      <c r="O138" s="30"/>
      <c r="P138" s="30"/>
      <c r="Q138" s="30"/>
      <c r="R138" s="30"/>
      <c r="S138" s="30"/>
      <c r="T138" s="150" t="s">
        <v>156</v>
      </c>
      <c r="U138" s="150" t="s">
        <v>156</v>
      </c>
      <c r="V138" s="150" t="s">
        <v>156</v>
      </c>
      <c r="W138" s="150"/>
      <c r="X138" s="150" t="s">
        <v>156</v>
      </c>
      <c r="Y138" s="150" t="s">
        <v>156</v>
      </c>
      <c r="Z138" s="30"/>
    </row>
    <row r="139" spans="1:26" hidden="1">
      <c r="A139" s="35" t="s">
        <v>158</v>
      </c>
      <c r="B139" s="42"/>
      <c r="C139" s="30"/>
      <c r="D139" s="30"/>
      <c r="E139" s="30"/>
      <c r="F139" s="30"/>
      <c r="G139" s="30"/>
      <c r="H139" s="30"/>
      <c r="I139" s="30"/>
      <c r="J139" s="30"/>
      <c r="K139" s="30"/>
      <c r="L139" s="30"/>
      <c r="M139" s="30"/>
      <c r="N139" s="30"/>
      <c r="O139" s="30"/>
      <c r="P139" s="30"/>
      <c r="Q139" s="30"/>
      <c r="R139" s="30"/>
      <c r="S139" s="30"/>
      <c r="T139" s="150" t="s">
        <v>156</v>
      </c>
      <c r="U139" s="150" t="s">
        <v>156</v>
      </c>
      <c r="V139" s="150" t="s">
        <v>156</v>
      </c>
      <c r="W139" s="150"/>
      <c r="X139" s="150" t="s">
        <v>156</v>
      </c>
      <c r="Y139" s="150" t="s">
        <v>156</v>
      </c>
      <c r="Z139" s="30"/>
    </row>
    <row r="140" spans="1:26" hidden="1">
      <c r="A140" s="35" t="s">
        <v>157</v>
      </c>
      <c r="B140" s="42"/>
      <c r="C140" s="30"/>
      <c r="D140" s="30"/>
      <c r="E140" s="30"/>
      <c r="F140" s="30"/>
      <c r="G140" s="30"/>
      <c r="H140" s="30"/>
      <c r="I140" s="30"/>
      <c r="J140" s="30"/>
      <c r="K140" s="30"/>
      <c r="L140" s="30"/>
      <c r="M140" s="30"/>
      <c r="N140" s="30"/>
      <c r="O140" s="30"/>
      <c r="P140" s="30"/>
      <c r="Q140" s="30"/>
      <c r="R140" s="30"/>
      <c r="S140" s="30"/>
      <c r="T140" s="150" t="s">
        <v>156</v>
      </c>
      <c r="U140" s="150" t="s">
        <v>156</v>
      </c>
      <c r="V140" s="150" t="s">
        <v>156</v>
      </c>
      <c r="W140" s="150"/>
      <c r="X140" s="150" t="s">
        <v>156</v>
      </c>
      <c r="Y140" s="150" t="s">
        <v>156</v>
      </c>
      <c r="Z140" s="30"/>
    </row>
    <row r="141" spans="1:26" hidden="1">
      <c r="A141" s="137" t="s">
        <v>161</v>
      </c>
      <c r="C141" s="1"/>
      <c r="D141" s="1"/>
      <c r="H141" s="1"/>
      <c r="I141" s="1"/>
      <c r="K141" s="1"/>
      <c r="L141" s="1"/>
      <c r="P141" s="1"/>
      <c r="Q141" s="1"/>
      <c r="T141" s="150" t="s">
        <v>156</v>
      </c>
      <c r="U141" s="150" t="s">
        <v>156</v>
      </c>
      <c r="V141" s="150" t="s">
        <v>156</v>
      </c>
      <c r="W141" s="150"/>
      <c r="X141" s="150" t="s">
        <v>156</v>
      </c>
      <c r="Y141" s="150" t="s">
        <v>156</v>
      </c>
    </row>
    <row r="142" spans="1:26" hidden="1">
      <c r="A142" s="144" t="s">
        <v>160</v>
      </c>
      <c r="B142" s="135"/>
      <c r="C142" s="1"/>
      <c r="D142" s="1"/>
      <c r="H142" s="1"/>
      <c r="I142" s="1"/>
      <c r="K142" s="1"/>
      <c r="L142" s="1"/>
      <c r="P142" s="1"/>
      <c r="Q142" s="1"/>
      <c r="T142" s="150" t="s">
        <v>156</v>
      </c>
      <c r="U142" s="150" t="s">
        <v>156</v>
      </c>
      <c r="V142" s="150" t="s">
        <v>156</v>
      </c>
      <c r="W142" s="150"/>
      <c r="X142" s="150" t="s">
        <v>156</v>
      </c>
      <c r="Y142" s="150" t="s">
        <v>156</v>
      </c>
    </row>
    <row r="143" spans="1:26" hidden="1">
      <c r="A143" s="144" t="s">
        <v>159</v>
      </c>
      <c r="B143" s="135"/>
      <c r="C143" s="1"/>
      <c r="D143" s="1"/>
      <c r="H143" s="1"/>
      <c r="I143" s="1"/>
      <c r="K143" s="1"/>
      <c r="L143" s="1"/>
      <c r="P143" s="1"/>
      <c r="Q143" s="1"/>
      <c r="T143" s="150" t="s">
        <v>156</v>
      </c>
      <c r="U143" s="150" t="s">
        <v>156</v>
      </c>
      <c r="V143" s="150" t="s">
        <v>156</v>
      </c>
      <c r="W143" s="150"/>
      <c r="X143" s="150" t="s">
        <v>156</v>
      </c>
      <c r="Y143" s="150" t="s">
        <v>156</v>
      </c>
    </row>
    <row r="144" spans="1:26" hidden="1">
      <c r="A144" s="144" t="s">
        <v>158</v>
      </c>
      <c r="B144" s="135"/>
      <c r="C144" s="1"/>
      <c r="D144" s="1"/>
      <c r="H144" s="1"/>
      <c r="I144" s="1"/>
      <c r="K144" s="1"/>
      <c r="L144" s="1"/>
      <c r="P144" s="1"/>
      <c r="Q144" s="1"/>
      <c r="T144" s="173">
        <f>T20/(293.258+198.23)/2</f>
        <v>3.9610794159776033</v>
      </c>
      <c r="U144" s="173">
        <f>U20/(198.23+210.094)/2</f>
        <v>4.8784788550268914</v>
      </c>
      <c r="V144" s="150" t="s">
        <v>156</v>
      </c>
      <c r="W144" s="150"/>
      <c r="X144" s="150" t="s">
        <v>156</v>
      </c>
      <c r="Y144" s="150" t="s">
        <v>156</v>
      </c>
    </row>
    <row r="145" spans="1:26" hidden="1">
      <c r="A145" s="144" t="s">
        <v>157</v>
      </c>
      <c r="B145" s="135"/>
      <c r="C145" s="1"/>
      <c r="D145" s="1"/>
      <c r="H145" s="1"/>
      <c r="I145" s="1"/>
      <c r="K145" s="1"/>
      <c r="L145" s="1"/>
      <c r="P145" s="1"/>
      <c r="Q145" s="1"/>
      <c r="T145" s="150" t="s">
        <v>156</v>
      </c>
      <c r="U145" s="150" t="s">
        <v>156</v>
      </c>
      <c r="V145" s="150" t="s">
        <v>156</v>
      </c>
      <c r="W145" s="150"/>
      <c r="X145" s="150" t="s">
        <v>156</v>
      </c>
      <c r="Y145" s="150" t="s">
        <v>156</v>
      </c>
    </row>
    <row r="146" spans="1:26" hidden="1">
      <c r="A146" s="137" t="s">
        <v>155</v>
      </c>
      <c r="C146" s="143">
        <f>365/(C20/((113.4+126+925.9+1010.3)/2))</f>
        <v>42.836936820300359</v>
      </c>
      <c r="D146" s="143">
        <f>365/(D20/((136.6+113.4+972.9+925.9)/2))</f>
        <v>190.09015996122153</v>
      </c>
      <c r="E146" s="143">
        <f>365/(D20/((153+136.6+1090.5+972.9)/2))</f>
        <v>208.15438681531751</v>
      </c>
      <c r="F146" s="143">
        <f>365/(E20/((153+136.6+1090.5+972.9)/2))</f>
        <v>204.68183984747378</v>
      </c>
      <c r="G146" s="143" t="e">
        <f>365/(G20/((202+156+1472+1425)/2))</f>
        <v>#DIV/0!</v>
      </c>
      <c r="K146" s="143">
        <f>365/(K20/((194+210+1507+1653)/2))</f>
        <v>46.959064327485379</v>
      </c>
      <c r="L146" s="143">
        <f>365/(L20/((56+194+1425+1507)/2))</f>
        <v>495.91374893253629</v>
      </c>
      <c r="M146" s="143">
        <f>365/(M20/((202+156+1472+1425)/2))</f>
        <v>444.63884730538922</v>
      </c>
      <c r="N146" s="143">
        <f>365/(N20/((202+156+1472+1425)/2))</f>
        <v>397.34949832775919</v>
      </c>
      <c r="O146" s="143" t="e">
        <f>365/(O20/((202+156+1472+1425)/2))</f>
        <v>#DIV/0!</v>
      </c>
      <c r="T146" s="207">
        <f>365/(T20/((198.23+293.258)/2))</f>
        <v>23.036649967665266</v>
      </c>
      <c r="U146" s="133">
        <f>365/(U20/((210.094+198.23)/2))</f>
        <v>18.704600903614455</v>
      </c>
    </row>
    <row r="147" spans="1:26" hidden="1">
      <c r="A147" s="137" t="s">
        <v>13</v>
      </c>
      <c r="C147" s="133" t="e">
        <f>365/(C21/((113.4+126+925.9+1010.3)/2))</f>
        <v>#DIV/0!</v>
      </c>
      <c r="D147" s="133">
        <f>D21/(136.6+113.4+972.9+925.9)/2</f>
        <v>0</v>
      </c>
      <c r="E147" s="133">
        <f>D21/(153+136.6+1090.5+972.9)/2</f>
        <v>0</v>
      </c>
      <c r="F147" s="133">
        <f>E21/(153+136.6+1090.5+972.9)/2</f>
        <v>0</v>
      </c>
      <c r="G147" s="133">
        <f>G21/(202+156+1472+1425)/2</f>
        <v>0</v>
      </c>
      <c r="K147" s="133">
        <f>K21/(194+210+1507+1653)/2</f>
        <v>0</v>
      </c>
      <c r="L147" s="133">
        <f>L21/(56+194+1425+1507)/2</f>
        <v>0</v>
      </c>
      <c r="M147" s="133">
        <f>M21/(202+156+1472+1425)/2</f>
        <v>0</v>
      </c>
      <c r="N147" s="133">
        <f>N21/(202+156+1472+1425)/2</f>
        <v>0</v>
      </c>
      <c r="O147" s="133">
        <f>O21/(202+156+1472+1425)/2</f>
        <v>0</v>
      </c>
      <c r="T147" s="133" t="e">
        <f>T21/(198.23+293.258)/2</f>
        <v>#VALUE!</v>
      </c>
      <c r="U147" s="133">
        <f>U21/(210.094+198.23)/2</f>
        <v>0</v>
      </c>
    </row>
    <row r="148" spans="1:26" hidden="1"/>
    <row r="149" spans="1:26">
      <c r="A149" s="18" t="s">
        <v>154</v>
      </c>
      <c r="B149" s="5"/>
      <c r="C149" s="55">
        <v>2009</v>
      </c>
      <c r="D149" s="55">
        <v>2010</v>
      </c>
      <c r="E149" s="55">
        <v>2011</v>
      </c>
      <c r="F149" s="55">
        <v>2012</v>
      </c>
      <c r="G149" s="55"/>
      <c r="H149" s="5">
        <v>2009</v>
      </c>
      <c r="I149" s="5">
        <v>2010</v>
      </c>
      <c r="J149" s="5">
        <v>2011</v>
      </c>
      <c r="K149" s="55">
        <v>2009</v>
      </c>
      <c r="L149" s="55">
        <v>2010</v>
      </c>
      <c r="M149" s="55">
        <v>2011</v>
      </c>
      <c r="N149" s="55">
        <v>2012</v>
      </c>
      <c r="O149" s="55"/>
      <c r="P149" s="5">
        <v>2009</v>
      </c>
      <c r="Q149" s="5">
        <v>2010</v>
      </c>
      <c r="R149" s="5">
        <v>2011</v>
      </c>
      <c r="S149" s="5"/>
      <c r="T149" s="55">
        <v>2009</v>
      </c>
      <c r="U149" s="55">
        <v>2010</v>
      </c>
      <c r="V149" s="55">
        <v>2011</v>
      </c>
      <c r="W149" s="55"/>
      <c r="X149" s="5">
        <v>2009</v>
      </c>
      <c r="Y149" s="5">
        <v>2010</v>
      </c>
      <c r="Z149" s="5">
        <v>2011</v>
      </c>
    </row>
    <row r="150" spans="1:26">
      <c r="A150" s="137" t="s">
        <v>153</v>
      </c>
      <c r="C150" s="133">
        <v>853.7</v>
      </c>
      <c r="D150" s="133">
        <v>853.8</v>
      </c>
      <c r="E150" s="133">
        <v>858.2</v>
      </c>
      <c r="F150" s="133">
        <v>871.9</v>
      </c>
      <c r="G150" s="133">
        <v>871.9</v>
      </c>
      <c r="H150" s="133">
        <v>853.7</v>
      </c>
      <c r="I150" s="133">
        <v>853.8</v>
      </c>
      <c r="J150" s="133">
        <v>858.2</v>
      </c>
      <c r="K150" s="175">
        <v>1107</v>
      </c>
      <c r="L150" s="175">
        <v>1107</v>
      </c>
      <c r="M150" s="175">
        <v>1107</v>
      </c>
      <c r="N150" s="175">
        <v>1108</v>
      </c>
      <c r="O150" s="175">
        <v>1108</v>
      </c>
      <c r="P150" s="175">
        <v>1107</v>
      </c>
      <c r="Q150" s="175">
        <v>1107</v>
      </c>
      <c r="R150" s="175">
        <v>1107</v>
      </c>
      <c r="T150" s="206">
        <v>2.6746880000000002</v>
      </c>
      <c r="U150" s="206">
        <f>U49/U55</f>
        <v>3.1224764468371466</v>
      </c>
      <c r="V150" s="206">
        <f>V49/V55</f>
        <v>3.6117136659436002</v>
      </c>
      <c r="W150" s="206"/>
      <c r="X150" s="206">
        <v>2.6746880000000002</v>
      </c>
      <c r="Y150" s="206"/>
      <c r="Z150" s="206"/>
    </row>
    <row r="151" spans="1:26">
      <c r="A151" s="137" t="s">
        <v>152</v>
      </c>
      <c r="D151" s="205" t="s">
        <v>143</v>
      </c>
      <c r="E151" s="133" t="s">
        <v>143</v>
      </c>
      <c r="F151" s="133" t="s">
        <v>143</v>
      </c>
      <c r="L151" s="195" t="s">
        <v>143</v>
      </c>
      <c r="M151" s="195">
        <f>M158/M49</f>
        <v>21.096620689655172</v>
      </c>
      <c r="N151" s="195">
        <f>N158/N49</f>
        <v>22.847445255474454</v>
      </c>
    </row>
    <row r="152" spans="1:26">
      <c r="A152" s="137" t="s">
        <v>151</v>
      </c>
      <c r="D152" s="205" t="s">
        <v>143</v>
      </c>
      <c r="E152" s="133" t="s">
        <v>143</v>
      </c>
      <c r="F152" s="133" t="s">
        <v>143</v>
      </c>
      <c r="L152" s="195" t="s">
        <v>143</v>
      </c>
      <c r="M152" s="204">
        <f>M151/(M92*100)</f>
        <v>0.12455983492296405</v>
      </c>
      <c r="N152" s="204">
        <f>N151/(N92*100)</f>
        <v>0.36651110097323603</v>
      </c>
    </row>
    <row r="153" spans="1:26" hidden="1"/>
    <row r="154" spans="1:26" hidden="1"/>
    <row r="155" spans="1:26" hidden="1">
      <c r="A155" s="137" t="s">
        <v>150</v>
      </c>
    </row>
    <row r="156" spans="1:26" hidden="1">
      <c r="A156" s="137" t="s">
        <v>149</v>
      </c>
    </row>
    <row r="157" spans="1:26" hidden="1"/>
    <row r="158" spans="1:26">
      <c r="A158" s="137" t="s">
        <v>148</v>
      </c>
      <c r="D158" s="30">
        <f>D150*D159</f>
        <v>1619.6586</v>
      </c>
      <c r="E158" s="30">
        <f>E150*E159</f>
        <v>126.58450000000001</v>
      </c>
      <c r="F158" s="30">
        <f>F150*F159</f>
        <v>418.512</v>
      </c>
      <c r="G158" s="30">
        <f>G150*G159</f>
        <v>1379.6073699999997</v>
      </c>
      <c r="J158" s="30">
        <v>201</v>
      </c>
      <c r="K158" s="30"/>
      <c r="L158" s="30">
        <f>L150*L159</f>
        <v>2725.4340000000002</v>
      </c>
      <c r="M158" s="30">
        <f>M150*M159</f>
        <v>1835.4059999999999</v>
      </c>
      <c r="N158" s="30">
        <f>N150*N159</f>
        <v>3130.1000000000004</v>
      </c>
      <c r="O158" s="30">
        <f>O150*O159</f>
        <v>3944.48</v>
      </c>
      <c r="P158" s="30"/>
      <c r="Q158" s="30"/>
      <c r="R158" s="30">
        <v>2190</v>
      </c>
      <c r="S158" s="30"/>
      <c r="T158" s="30"/>
      <c r="U158" s="30"/>
      <c r="V158" s="30">
        <v>1087</v>
      </c>
      <c r="W158" s="30"/>
      <c r="X158" s="30"/>
      <c r="Y158" s="30"/>
      <c r="Z158" s="30"/>
    </row>
    <row r="159" spans="1:26">
      <c r="A159" s="137" t="s">
        <v>415</v>
      </c>
      <c r="D159" s="133">
        <v>1.897</v>
      </c>
      <c r="E159" s="133">
        <v>0.14749999999999999</v>
      </c>
      <c r="F159" s="133">
        <v>0.48</v>
      </c>
      <c r="G159" s="133">
        <f>158.23/100</f>
        <v>1.5822999999999998</v>
      </c>
      <c r="J159" s="133">
        <f>23/100</f>
        <v>0.23</v>
      </c>
      <c r="L159" s="133">
        <v>2.4620000000000002</v>
      </c>
      <c r="M159" s="133">
        <v>1.6579999999999999</v>
      </c>
      <c r="N159" s="133">
        <v>2.8250000000000002</v>
      </c>
      <c r="O159" s="133">
        <v>3.56</v>
      </c>
      <c r="R159" s="133">
        <f>197.7/100</f>
        <v>1.9769999999999999</v>
      </c>
      <c r="V159" s="133">
        <v>290</v>
      </c>
    </row>
    <row r="160" spans="1:26" hidden="1">
      <c r="A160" s="137" t="s">
        <v>11</v>
      </c>
      <c r="E160" s="133">
        <f>190/100</f>
        <v>1.9</v>
      </c>
      <c r="F160" s="133">
        <f>190/100</f>
        <v>1.9</v>
      </c>
      <c r="G160" s="133">
        <f>266.4/100</f>
        <v>2.6639999999999997</v>
      </c>
      <c r="J160" s="133">
        <f>190/100</f>
        <v>1.9</v>
      </c>
      <c r="M160" s="133">
        <f>266.4/100</f>
        <v>2.6639999999999997</v>
      </c>
      <c r="N160" s="133">
        <f>266.4/100</f>
        <v>2.6639999999999997</v>
      </c>
      <c r="O160" s="133">
        <f>266.4/100</f>
        <v>2.6639999999999997</v>
      </c>
      <c r="R160" s="133">
        <f>266.4/100</f>
        <v>2.6639999999999997</v>
      </c>
      <c r="V160" s="133">
        <v>416.47</v>
      </c>
    </row>
    <row r="161" spans="1:28" hidden="1">
      <c r="A161" s="137" t="s">
        <v>147</v>
      </c>
      <c r="E161" s="133">
        <f>10.2/100</f>
        <v>0.10199999999999999</v>
      </c>
      <c r="F161" s="133">
        <f>10.2/100</f>
        <v>0.10199999999999999</v>
      </c>
      <c r="G161" s="133">
        <f>134.1/100</f>
        <v>1.341</v>
      </c>
      <c r="J161" s="133">
        <f>10.2/100</f>
        <v>0.10199999999999999</v>
      </c>
      <c r="M161" s="133">
        <f>134.1/100</f>
        <v>1.341</v>
      </c>
      <c r="N161" s="133">
        <f>134.1/100</f>
        <v>1.341</v>
      </c>
      <c r="O161" s="133">
        <f>134.1/100</f>
        <v>1.341</v>
      </c>
      <c r="R161" s="133">
        <f>134.1/100</f>
        <v>1.341</v>
      </c>
      <c r="V161" s="133">
        <v>213.4</v>
      </c>
    </row>
    <row r="163" spans="1:28">
      <c r="A163" s="137" t="s">
        <v>146</v>
      </c>
      <c r="C163" s="201">
        <f>C161-C118</f>
        <v>-178.1</v>
      </c>
      <c r="D163" s="203">
        <f>D161-D118</f>
        <v>-299.39999999999998</v>
      </c>
      <c r="E163" s="203">
        <f>E161-E118</f>
        <v>-288.49800000000005</v>
      </c>
      <c r="F163" s="203">
        <f>F161-F118</f>
        <v>-288.49800000000005</v>
      </c>
      <c r="G163" s="202"/>
      <c r="H163" s="135"/>
      <c r="I163" s="135"/>
      <c r="J163" s="135"/>
      <c r="K163" s="135"/>
      <c r="L163" s="202">
        <f>L158-L111</f>
        <v>749.4340000000002</v>
      </c>
      <c r="M163" s="203">
        <f>M158-M111</f>
        <v>-102.59400000000005</v>
      </c>
      <c r="N163" s="202">
        <f>N158-N111</f>
        <v>1521.1000000000004</v>
      </c>
      <c r="O163" s="202"/>
      <c r="P163" s="201">
        <f>P161-P118</f>
        <v>-293.73320000000001</v>
      </c>
      <c r="U163" s="200"/>
      <c r="V163" s="200"/>
      <c r="W163" s="200"/>
      <c r="X163" s="200"/>
      <c r="AA163" s="133"/>
      <c r="AB163" s="133"/>
    </row>
    <row r="164" spans="1:28">
      <c r="A164" s="137" t="s">
        <v>145</v>
      </c>
      <c r="C164" s="195" t="e">
        <f>C163/C22</f>
        <v>#DIV/0!</v>
      </c>
      <c r="D164" s="199">
        <f>D163/D22</f>
        <v>-0.14512845370819194</v>
      </c>
      <c r="E164" s="199">
        <f>E163/E22</f>
        <v>-0.137510962821735</v>
      </c>
      <c r="F164" s="199">
        <f>F163/F22</f>
        <v>-0.13903518072289159</v>
      </c>
      <c r="G164" s="196"/>
      <c r="H164" s="135"/>
      <c r="I164" s="135"/>
      <c r="J164" s="135"/>
      <c r="K164" s="135"/>
      <c r="L164" s="197">
        <f>L163/L22</f>
        <v>0.63999487617421025</v>
      </c>
      <c r="M164" s="199">
        <f>M163/M22</f>
        <v>-7.6791916167664703E-2</v>
      </c>
      <c r="N164" s="197">
        <f>N163/N22</f>
        <v>1.0174581939799334</v>
      </c>
      <c r="O164" s="196"/>
      <c r="P164" s="195" t="e">
        <f>P163/P22</f>
        <v>#DIV/0!</v>
      </c>
      <c r="U164" s="198"/>
      <c r="V164" s="198"/>
      <c r="W164" s="198"/>
      <c r="X164" s="198"/>
      <c r="AA164" s="133"/>
      <c r="AB164" s="133"/>
    </row>
    <row r="165" spans="1:28">
      <c r="A165" s="137" t="s">
        <v>144</v>
      </c>
      <c r="C165" s="195">
        <f>C163/C38</f>
        <v>-1.1365666879387364</v>
      </c>
      <c r="D165" s="199" t="s">
        <v>143</v>
      </c>
      <c r="E165" s="197" t="s">
        <v>143</v>
      </c>
      <c r="F165" s="197" t="s">
        <v>143</v>
      </c>
      <c r="G165" s="196"/>
      <c r="H165" s="135"/>
      <c r="I165" s="135"/>
      <c r="J165" s="135"/>
      <c r="K165" s="135"/>
      <c r="L165" s="197">
        <f>L163/L38</f>
        <v>17.032590909090914</v>
      </c>
      <c r="M165" s="197">
        <f>M163/M38</f>
        <v>-0.4023294117647061</v>
      </c>
      <c r="N165" s="197">
        <f>N163/N38</f>
        <v>5.0534883720930246</v>
      </c>
      <c r="O165" s="196"/>
      <c r="P165" s="195">
        <f>P163/P38</f>
        <v>43.6</v>
      </c>
      <c r="U165" s="198"/>
      <c r="V165" s="198"/>
      <c r="W165" s="198"/>
      <c r="X165" s="198"/>
      <c r="AA165" s="133"/>
      <c r="AB165" s="133"/>
    </row>
    <row r="166" spans="1:28">
      <c r="A166" s="137" t="s">
        <v>142</v>
      </c>
      <c r="C166" s="195" t="e">
        <f>C161/C22</f>
        <v>#DIV/0!</v>
      </c>
      <c r="D166" s="197">
        <f>D158/D22</f>
        <v>0.78509869122636933</v>
      </c>
      <c r="E166" s="197">
        <f>E158/E22</f>
        <v>6.0335795996186846E-2</v>
      </c>
      <c r="F166" s="197">
        <f>F158/F22</f>
        <v>0.20169253012048194</v>
      </c>
      <c r="G166" s="196"/>
      <c r="H166" s="135"/>
      <c r="I166" s="135"/>
      <c r="J166" s="135"/>
      <c r="K166" s="135"/>
      <c r="L166" s="197">
        <f>L158/L22</f>
        <v>2.3274415029888984</v>
      </c>
      <c r="M166" s="197">
        <f>M158/M22</f>
        <v>1.3738068862275448</v>
      </c>
      <c r="N166" s="197">
        <f>N158/N22</f>
        <v>2.0937123745819401</v>
      </c>
      <c r="O166" s="196"/>
      <c r="P166" s="195" t="e">
        <f>P161/P22</f>
        <v>#DIV/0!</v>
      </c>
      <c r="U166" s="195"/>
      <c r="V166" s="195"/>
      <c r="W166" s="195"/>
      <c r="X166" s="195"/>
      <c r="AA166" s="133"/>
      <c r="AB166" s="133"/>
    </row>
    <row r="167" spans="1:28">
      <c r="A167" s="137" t="s">
        <v>141</v>
      </c>
      <c r="C167" s="195">
        <f>C161/C38</f>
        <v>0</v>
      </c>
      <c r="D167" s="197">
        <f>D161/D38</f>
        <v>0</v>
      </c>
      <c r="E167" s="197" t="s">
        <v>140</v>
      </c>
      <c r="F167" s="197" t="s">
        <v>140</v>
      </c>
      <c r="G167" s="196"/>
      <c r="H167" s="135"/>
      <c r="I167" s="135"/>
      <c r="J167" s="135"/>
      <c r="K167" s="135"/>
      <c r="L167" s="197">
        <f>L158/L38</f>
        <v>61.94168181818182</v>
      </c>
      <c r="M167" s="197">
        <f>M158/M38</f>
        <v>7.1976705882352938</v>
      </c>
      <c r="N167" s="197">
        <f>N158/N38</f>
        <v>10.399003322259137</v>
      </c>
      <c r="O167" s="196"/>
      <c r="P167" s="195">
        <f>P161/P38</f>
        <v>0</v>
      </c>
      <c r="U167" s="195"/>
      <c r="V167" s="195"/>
      <c r="W167" s="195"/>
      <c r="X167" s="195"/>
      <c r="AA167" s="133"/>
      <c r="AB167" s="133"/>
    </row>
    <row r="168" spans="1:28">
      <c r="D168" s="135"/>
      <c r="E168" s="135"/>
      <c r="F168" s="135"/>
      <c r="G168" s="135"/>
      <c r="H168" s="135"/>
      <c r="I168" s="135"/>
      <c r="J168" s="135"/>
      <c r="K168" s="135"/>
      <c r="L168" s="135"/>
      <c r="M168" s="135"/>
      <c r="N168" s="135"/>
      <c r="O168" s="135"/>
    </row>
  </sheetData>
  <phoneticPr fontId="11" type="noConversion"/>
  <pageMargins left="0.75" right="0.75" top="1" bottom="1" header="0.5" footer="0.5"/>
  <pageSetup paperSize="9" scale="67" orientation="landscape" r:id="rId1"/>
  <headerFooter alignWithMargins="0"/>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0" tint="-0.14999847407452621"/>
  </sheetPr>
  <dimension ref="A1:AI108"/>
  <sheetViews>
    <sheetView workbookViewId="0"/>
  </sheetViews>
  <sheetFormatPr defaultColWidth="9" defaultRowHeight="11.5" outlineLevelRow="1" outlineLevelCol="2"/>
  <cols>
    <col min="1" max="1" width="3.33203125" style="243" customWidth="1"/>
    <col min="2" max="2" width="26.83203125" style="243" customWidth="1"/>
    <col min="3" max="6" width="11.08203125" style="243" hidden="1" customWidth="1" outlineLevel="2"/>
    <col min="7" max="7" width="11.08203125" style="243" customWidth="1" outlineLevel="1" collapsed="1"/>
    <col min="8" max="8" width="8.75" style="245" customWidth="1" outlineLevel="1"/>
    <col min="9" max="9" width="1.08203125" style="243" customWidth="1" outlineLevel="1"/>
    <col min="10" max="13" width="11.08203125" style="243" hidden="1" customWidth="1" outlineLevel="2"/>
    <col min="14" max="14" width="11.08203125" style="243" customWidth="1" outlineLevel="1" collapsed="1"/>
    <col min="15" max="15" width="8.75" style="245" customWidth="1" outlineLevel="1"/>
    <col min="16" max="16" width="0.75" style="243" customWidth="1" outlineLevel="1"/>
    <col min="17" max="17" width="11.75" style="243" hidden="1" customWidth="1" outlineLevel="2"/>
    <col min="18" max="18" width="8.5" style="246" hidden="1" customWidth="1" outlineLevel="2"/>
    <col min="19" max="19" width="0.75" style="246" customWidth="1" outlineLevel="1" collapsed="1"/>
    <col min="20" max="20" width="11.25" style="246" customWidth="1" outlineLevel="1"/>
    <col min="21" max="21" width="8.5" style="246" customWidth="1" outlineLevel="1"/>
    <col min="22" max="22" width="1.08203125" style="246" customWidth="1" outlineLevel="1"/>
    <col min="23" max="23" width="12.08203125" style="246" customWidth="1" outlineLevel="1"/>
    <col min="24" max="24" width="8.5" style="246" customWidth="1" outlineLevel="1"/>
    <col min="25" max="25" width="1.58203125" style="246" customWidth="1" outlineLevel="1"/>
    <col min="26" max="26" width="12.08203125" style="246" customWidth="1" outlineLevel="1"/>
    <col min="27" max="27" width="8.5" style="246" customWidth="1" outlineLevel="1"/>
    <col min="28" max="28" width="11.25" style="248" customWidth="1" outlineLevel="1"/>
    <col min="29" max="29" width="2.33203125" style="248" customWidth="1" outlineLevel="1"/>
    <col min="30" max="30" width="26.5" style="249" customWidth="1"/>
    <col min="31" max="34" width="7.33203125" style="249" bestFit="1" customWidth="1"/>
    <col min="35" max="35" width="9" style="250"/>
    <col min="36" max="16384" width="9" style="249"/>
  </cols>
  <sheetData>
    <row r="1" spans="1:35">
      <c r="B1" s="244" t="s">
        <v>271</v>
      </c>
      <c r="T1" s="247">
        <v>0.5</v>
      </c>
      <c r="W1" s="247">
        <v>0.5</v>
      </c>
      <c r="Z1" s="247">
        <v>0.5</v>
      </c>
    </row>
    <row r="2" spans="1:35" ht="8.25" customHeight="1">
      <c r="B2" s="244"/>
    </row>
    <row r="3" spans="1:35" s="261" customFormat="1" ht="23.5">
      <c r="A3" s="251"/>
      <c r="B3" s="252" t="s">
        <v>272</v>
      </c>
      <c r="C3" s="253" t="s">
        <v>273</v>
      </c>
      <c r="D3" s="253" t="s">
        <v>274</v>
      </c>
      <c r="E3" s="253" t="s">
        <v>275</v>
      </c>
      <c r="F3" s="253" t="s">
        <v>276</v>
      </c>
      <c r="G3" s="254" t="s">
        <v>277</v>
      </c>
      <c r="H3" s="255" t="s">
        <v>278</v>
      </c>
      <c r="I3" s="254"/>
      <c r="J3" s="253" t="s">
        <v>279</v>
      </c>
      <c r="K3" s="253" t="s">
        <v>280</v>
      </c>
      <c r="L3" s="253" t="s">
        <v>281</v>
      </c>
      <c r="M3" s="253" t="s">
        <v>282</v>
      </c>
      <c r="N3" s="254" t="s">
        <v>283</v>
      </c>
      <c r="O3" s="255" t="s">
        <v>284</v>
      </c>
      <c r="P3" s="254"/>
      <c r="Q3" s="256" t="s">
        <v>285</v>
      </c>
      <c r="R3" s="255" t="s">
        <v>284</v>
      </c>
      <c r="S3" s="257"/>
      <c r="T3" s="257" t="s">
        <v>286</v>
      </c>
      <c r="U3" s="255" t="s">
        <v>284</v>
      </c>
      <c r="V3" s="257"/>
      <c r="W3" s="257" t="s">
        <v>287</v>
      </c>
      <c r="X3" s="255" t="s">
        <v>284</v>
      </c>
      <c r="Y3" s="257"/>
      <c r="Z3" s="257" t="s">
        <v>288</v>
      </c>
      <c r="AA3" s="255" t="s">
        <v>284</v>
      </c>
      <c r="AB3" s="258" t="s">
        <v>289</v>
      </c>
      <c r="AC3" s="259"/>
      <c r="AD3" s="260"/>
      <c r="AE3" s="257" t="s">
        <v>290</v>
      </c>
      <c r="AF3" s="257" t="s">
        <v>291</v>
      </c>
      <c r="AG3" s="257" t="s">
        <v>292</v>
      </c>
      <c r="AH3" s="257" t="s">
        <v>293</v>
      </c>
    </row>
    <row r="4" spans="1:35" ht="12" outlineLevel="1">
      <c r="B4" s="262" t="s">
        <v>294</v>
      </c>
      <c r="C4" s="263">
        <v>68954754</v>
      </c>
      <c r="D4" s="263">
        <v>47215417</v>
      </c>
      <c r="E4" s="263">
        <v>94773100</v>
      </c>
      <c r="F4" s="263">
        <v>77579804</v>
      </c>
      <c r="G4" s="263">
        <f>SUM(C4:F4)</f>
        <v>288523075</v>
      </c>
      <c r="H4" s="264">
        <f>G4/G$8</f>
        <v>1.0904439277709019</v>
      </c>
      <c r="I4" s="263"/>
      <c r="J4" s="263">
        <v>112270622.55000001</v>
      </c>
      <c r="K4" s="263">
        <v>80381472.765000001</v>
      </c>
      <c r="L4" s="263">
        <v>154313394</v>
      </c>
      <c r="M4" s="263">
        <v>107236968</v>
      </c>
      <c r="N4" s="263">
        <f>SUM(J4:M4)</f>
        <v>454202457.315</v>
      </c>
      <c r="O4" s="264">
        <f>N4/N$8</f>
        <v>1.0881648291833912</v>
      </c>
      <c r="P4" s="263"/>
      <c r="Q4" s="265">
        <v>158424034</v>
      </c>
      <c r="R4" s="264">
        <f>Q4/Q$8</f>
        <v>1.0857071110730725</v>
      </c>
      <c r="S4" s="264"/>
      <c r="T4" s="263">
        <f>N4*(1+$T$1)</f>
        <v>681303685.97249997</v>
      </c>
      <c r="U4" s="264">
        <f>T4/T$8</f>
        <v>1.0881648291833912</v>
      </c>
      <c r="V4" s="264"/>
      <c r="W4" s="263">
        <f>T4*(1+$W$1)</f>
        <v>1021955528.95875</v>
      </c>
      <c r="X4" s="264">
        <f>W4/W$8</f>
        <v>1.088164829183391</v>
      </c>
      <c r="Y4" s="264"/>
      <c r="Z4" s="263">
        <f>W4*(1+$Z$1)</f>
        <v>1532933293.4381251</v>
      </c>
      <c r="AA4" s="264">
        <f>Z4/Z$8</f>
        <v>1.088164829183391</v>
      </c>
      <c r="AB4" s="266"/>
      <c r="AC4" s="266"/>
      <c r="AD4" s="267"/>
      <c r="AE4" s="268"/>
      <c r="AF4" s="268"/>
      <c r="AG4" s="268"/>
      <c r="AH4" s="268"/>
    </row>
    <row r="5" spans="1:35" ht="12" outlineLevel="1">
      <c r="B5" s="269" t="s">
        <v>295</v>
      </c>
      <c r="C5" s="263">
        <v>-5908129.1718084347</v>
      </c>
      <c r="D5" s="263">
        <v>-4685693.0548157617</v>
      </c>
      <c r="E5" s="263">
        <v>-8164574.1465746341</v>
      </c>
      <c r="F5" s="263">
        <v>-5172371.1710641524</v>
      </c>
      <c r="G5" s="263">
        <f>SUM(C5:F5)</f>
        <v>-23930767.544262983</v>
      </c>
      <c r="H5" s="264">
        <f>G5/G$8</f>
        <v>-9.0443927770902016E-2</v>
      </c>
      <c r="I5" s="263"/>
      <c r="J5" s="263">
        <v>-8082210.9362500003</v>
      </c>
      <c r="K5" s="263">
        <v>-5561371.7207810348</v>
      </c>
      <c r="L5" s="263">
        <v>-12865452.309608806</v>
      </c>
      <c r="M5" s="263">
        <v>-8013280.3542546174</v>
      </c>
      <c r="N5" s="263">
        <f>SUM(J5:M5)</f>
        <v>-34522315.320894457</v>
      </c>
      <c r="O5" s="264">
        <f>N5/N$8</f>
        <v>-8.270754318733993E-2</v>
      </c>
      <c r="P5" s="263"/>
      <c r="Q5" s="265">
        <v>-12266302.221457435</v>
      </c>
      <c r="R5" s="264">
        <f>Q5/Q$8</f>
        <v>-8.4063075608892548E-2</v>
      </c>
      <c r="S5" s="264"/>
      <c r="T5" s="263">
        <f>N5*(1+$T$1)</f>
        <v>-51783472.98134169</v>
      </c>
      <c r="U5" s="264">
        <f>T5/T$8</f>
        <v>-8.2707543187339944E-2</v>
      </c>
      <c r="V5" s="264"/>
      <c r="W5" s="263">
        <f>T5*(1+$W$1)</f>
        <v>-77675209.472012535</v>
      </c>
      <c r="X5" s="264">
        <f>W5/W$8</f>
        <v>-8.270754318733993E-2</v>
      </c>
      <c r="Y5" s="264"/>
      <c r="Z5" s="263">
        <f>W5*(1+$Z$1)</f>
        <v>-116512814.20801881</v>
      </c>
      <c r="AA5" s="264">
        <f>Z5/Z$8</f>
        <v>-8.270754318733993E-2</v>
      </c>
      <c r="AB5" s="266"/>
      <c r="AC5" s="266"/>
      <c r="AD5" s="267"/>
      <c r="AE5" s="268"/>
      <c r="AF5" s="268"/>
      <c r="AG5" s="268"/>
      <c r="AH5" s="268"/>
    </row>
    <row r="6" spans="1:35" ht="12" outlineLevel="1">
      <c r="B6" s="262" t="s">
        <v>296</v>
      </c>
      <c r="C6" s="263">
        <f>SUM(C4:C5)</f>
        <v>63046624.828191563</v>
      </c>
      <c r="D6" s="263">
        <f>SUM(D4:D5)</f>
        <v>42529723.945184238</v>
      </c>
      <c r="E6" s="263">
        <f>SUM(E4:E5)</f>
        <v>86608525.853425369</v>
      </c>
      <c r="F6" s="263">
        <f>SUM(F4:F5)</f>
        <v>72407432.828935847</v>
      </c>
      <c r="G6" s="263">
        <f>SUM(C6:F6)</f>
        <v>264592307.45573705</v>
      </c>
      <c r="H6" s="264">
        <f>G6/G$8</f>
        <v>1</v>
      </c>
      <c r="I6" s="263"/>
      <c r="J6" s="263">
        <f>SUM(J4:J5)</f>
        <v>104188411.61375001</v>
      </c>
      <c r="K6" s="263">
        <f>SUM(K4:K5)</f>
        <v>74820101.044218972</v>
      </c>
      <c r="L6" s="263">
        <f>SUM(L4:L5)</f>
        <v>141447941.69039118</v>
      </c>
      <c r="M6" s="263">
        <f>SUM(M4:M5)</f>
        <v>99223687.645745382</v>
      </c>
      <c r="N6" s="263">
        <f>SUM(N4:N5)</f>
        <v>419680141.99410552</v>
      </c>
      <c r="O6" s="264">
        <f>N6/N$8</f>
        <v>1.0054572859960511</v>
      </c>
      <c r="P6" s="263"/>
      <c r="Q6" s="263">
        <f>SUM(Q4:Q5)</f>
        <v>146157731.77854258</v>
      </c>
      <c r="R6" s="264">
        <f>Q6/Q$8</f>
        <v>1.00164403546418</v>
      </c>
      <c r="S6" s="264"/>
      <c r="T6" s="263">
        <f>SUM(T4:T5)</f>
        <v>629520212.99115825</v>
      </c>
      <c r="U6" s="264">
        <f>T6/T$8</f>
        <v>1.0054572859960511</v>
      </c>
      <c r="V6" s="264"/>
      <c r="W6" s="263">
        <f>SUM(W4:W5)</f>
        <v>944280319.48673749</v>
      </c>
      <c r="X6" s="264">
        <f>W6/W$8</f>
        <v>1.0054572859960511</v>
      </c>
      <c r="Y6" s="264"/>
      <c r="Z6" s="263">
        <f>SUM(Z4:Z5)</f>
        <v>1416420479.2301064</v>
      </c>
      <c r="AA6" s="264">
        <f>Z6/Z$8</f>
        <v>1.0054572859960511</v>
      </c>
      <c r="AB6" s="266"/>
      <c r="AC6" s="266"/>
      <c r="AD6" s="267"/>
      <c r="AE6" s="268"/>
      <c r="AF6" s="268"/>
      <c r="AG6" s="268"/>
      <c r="AH6" s="268"/>
    </row>
    <row r="7" spans="1:35" ht="12" outlineLevel="1">
      <c r="B7" s="270" t="s">
        <v>297</v>
      </c>
      <c r="C7" s="263"/>
      <c r="D7" s="263"/>
      <c r="E7" s="263"/>
      <c r="F7" s="263"/>
      <c r="G7" s="263"/>
      <c r="H7" s="271"/>
      <c r="I7" s="263"/>
      <c r="J7" s="263"/>
      <c r="K7" s="263"/>
      <c r="L7" s="263">
        <v>-1295322.5</v>
      </c>
      <c r="M7" s="263">
        <v>-982561</v>
      </c>
      <c r="N7" s="263">
        <f>SUM(J7:M7)</f>
        <v>-2277883.5</v>
      </c>
      <c r="O7" s="264">
        <f>N7/N$8</f>
        <v>-5.4572859960511401E-3</v>
      </c>
      <c r="P7" s="263"/>
      <c r="Q7" s="265">
        <v>-239894.1</v>
      </c>
      <c r="R7" s="264">
        <f>Q7/Q$8</f>
        <v>-1.6440354641801052E-3</v>
      </c>
      <c r="S7" s="264"/>
      <c r="T7" s="263">
        <f>N7*(1+$T$1)</f>
        <v>-3416825.25</v>
      </c>
      <c r="U7" s="264">
        <f>T7/T$8</f>
        <v>-5.4572859960511401E-3</v>
      </c>
      <c r="V7" s="264"/>
      <c r="W7" s="263">
        <f>T7*(1+$W$1)</f>
        <v>-5125237.875</v>
      </c>
      <c r="X7" s="264">
        <f>W7/W$8</f>
        <v>-5.4572859960511392E-3</v>
      </c>
      <c r="Y7" s="264"/>
      <c r="Z7" s="263">
        <f>W7*(1+$Z$1)</f>
        <v>-7687856.8125</v>
      </c>
      <c r="AA7" s="264">
        <f>Z7/Z$8</f>
        <v>-5.4572859960511392E-3</v>
      </c>
      <c r="AB7" s="266"/>
      <c r="AC7" s="266"/>
      <c r="AD7" s="267"/>
      <c r="AE7" s="268"/>
      <c r="AF7" s="268"/>
      <c r="AG7" s="268"/>
      <c r="AH7" s="268"/>
    </row>
    <row r="8" spans="1:35" s="280" customFormat="1" ht="12">
      <c r="A8" s="272"/>
      <c r="B8" s="273" t="s">
        <v>298</v>
      </c>
      <c r="C8" s="274">
        <f>SUM(C6:C7)</f>
        <v>63046624.828191563</v>
      </c>
      <c r="D8" s="274">
        <f>SUM(D6:D7)</f>
        <v>42529723.945184238</v>
      </c>
      <c r="E8" s="274">
        <f>SUM(E6:E7)</f>
        <v>86608525.853425369</v>
      </c>
      <c r="F8" s="274">
        <f>SUM(F6:F7)</f>
        <v>72407432.828935847</v>
      </c>
      <c r="G8" s="274">
        <f>SUM(G6:G7)</f>
        <v>264592307.45573705</v>
      </c>
      <c r="H8" s="275">
        <f>G8/G$8</f>
        <v>1</v>
      </c>
      <c r="I8" s="274"/>
      <c r="J8" s="274">
        <f>SUM(J6:J7)</f>
        <v>104188411.61375001</v>
      </c>
      <c r="K8" s="274">
        <f>SUM(K6:K7)</f>
        <v>74820101.044218972</v>
      </c>
      <c r="L8" s="274">
        <f>SUM(L6:L7)</f>
        <v>140152619.19039118</v>
      </c>
      <c r="M8" s="274">
        <f>SUM(M6:M7)</f>
        <v>98241126.645745382</v>
      </c>
      <c r="N8" s="274">
        <f>SUM(N6:N7)</f>
        <v>417402258.49410552</v>
      </c>
      <c r="O8" s="275">
        <f>N8/N$8</f>
        <v>1</v>
      </c>
      <c r="P8" s="274"/>
      <c r="Q8" s="274">
        <f>SUM(Q6:Q7)</f>
        <v>145917837.67854258</v>
      </c>
      <c r="R8" s="275">
        <f>Q8/Q$8</f>
        <v>1</v>
      </c>
      <c r="S8" s="275"/>
      <c r="T8" s="274">
        <f>SUM(T6:T7)</f>
        <v>626103387.74115825</v>
      </c>
      <c r="U8" s="275">
        <f>T8/T$8</f>
        <v>1</v>
      </c>
      <c r="V8" s="275"/>
      <c r="W8" s="274">
        <f>SUM(W6:W7)</f>
        <v>939155081.61173749</v>
      </c>
      <c r="X8" s="275">
        <f>W8/W$8</f>
        <v>1</v>
      </c>
      <c r="Y8" s="275"/>
      <c r="Z8" s="274">
        <f>SUM(Z6:Z7)</f>
        <v>1408732622.4176064</v>
      </c>
      <c r="AA8" s="275">
        <f>Z8/Z$8</f>
        <v>1</v>
      </c>
      <c r="AB8" s="276"/>
      <c r="AC8" s="276"/>
      <c r="AD8" s="277" t="s">
        <v>299</v>
      </c>
      <c r="AE8" s="278">
        <f>N8/G8-1</f>
        <v>0.57752983262346591</v>
      </c>
      <c r="AF8" s="278">
        <f>T8/N8-1</f>
        <v>0.5</v>
      </c>
      <c r="AG8" s="278">
        <f>W8/T8-1</f>
        <v>0.50000000000000022</v>
      </c>
      <c r="AH8" s="278">
        <f>Z8/W8-1</f>
        <v>0.50000000000000022</v>
      </c>
      <c r="AI8" s="279"/>
    </row>
    <row r="9" spans="1:35">
      <c r="B9" s="281"/>
      <c r="C9" s="263"/>
      <c r="D9" s="263"/>
      <c r="E9" s="263"/>
      <c r="F9" s="263"/>
      <c r="G9" s="263"/>
      <c r="H9" s="282"/>
      <c r="I9" s="263"/>
      <c r="J9" s="263"/>
      <c r="K9" s="263"/>
      <c r="L9" s="263"/>
      <c r="M9" s="263"/>
      <c r="N9" s="263"/>
      <c r="O9" s="282"/>
      <c r="P9" s="263"/>
      <c r="Q9" s="263"/>
      <c r="R9" s="282"/>
      <c r="S9" s="282"/>
      <c r="T9" s="263"/>
      <c r="U9" s="282"/>
      <c r="V9" s="282"/>
      <c r="W9" s="263"/>
      <c r="X9" s="282"/>
      <c r="Y9" s="282"/>
      <c r="Z9" s="263"/>
      <c r="AA9" s="282"/>
      <c r="AB9" s="266"/>
      <c r="AC9" s="266"/>
      <c r="AD9" s="267"/>
      <c r="AE9" s="268"/>
      <c r="AF9" s="268"/>
      <c r="AG9" s="268"/>
      <c r="AH9" s="268"/>
    </row>
    <row r="10" spans="1:35" ht="12" outlineLevel="1">
      <c r="B10" s="262" t="s">
        <v>300</v>
      </c>
      <c r="C10" s="263"/>
      <c r="D10" s="263"/>
      <c r="E10" s="263"/>
      <c r="F10" s="263"/>
      <c r="G10" s="263"/>
      <c r="H10" s="282"/>
      <c r="I10" s="263"/>
      <c r="J10" s="263"/>
      <c r="K10" s="263"/>
      <c r="L10" s="263"/>
      <c r="M10" s="263"/>
      <c r="N10" s="263"/>
      <c r="O10" s="282"/>
      <c r="P10" s="263"/>
      <c r="Q10" s="263"/>
      <c r="R10" s="282"/>
      <c r="S10" s="282"/>
      <c r="T10" s="263"/>
      <c r="U10" s="282"/>
      <c r="V10" s="282"/>
      <c r="W10" s="263"/>
      <c r="X10" s="282"/>
      <c r="Y10" s="282"/>
      <c r="Z10" s="263"/>
      <c r="AA10" s="282"/>
      <c r="AB10" s="266"/>
      <c r="AC10" s="266"/>
      <c r="AD10" s="267"/>
      <c r="AE10" s="268"/>
      <c r="AF10" s="268"/>
      <c r="AG10" s="268"/>
      <c r="AH10" s="268"/>
    </row>
    <row r="11" spans="1:35" ht="12" outlineLevel="1">
      <c r="B11" s="269" t="s">
        <v>301</v>
      </c>
      <c r="C11" s="263">
        <v>-13442849.289999999</v>
      </c>
      <c r="D11" s="263">
        <v>-14193703.48</v>
      </c>
      <c r="E11" s="263">
        <v>-18710266.170000002</v>
      </c>
      <c r="F11" s="263">
        <v>-18754148.27</v>
      </c>
      <c r="G11" s="263">
        <f>SUM(C11:F11)</f>
        <v>-65100967.209999993</v>
      </c>
      <c r="H11" s="264">
        <f>G11/G$8</f>
        <v>-0.24604255443401565</v>
      </c>
      <c r="I11" s="263"/>
      <c r="J11" s="263">
        <v>-19720249</v>
      </c>
      <c r="K11" s="263">
        <v>-20832678</v>
      </c>
      <c r="L11" s="263">
        <v>-24990609</v>
      </c>
      <c r="M11" s="263">
        <v>-24502989</v>
      </c>
      <c r="N11" s="263">
        <f>SUM(J11:M11)</f>
        <v>-90046525</v>
      </c>
      <c r="O11" s="264">
        <f>N11/N$8</f>
        <v>-0.21573080443998513</v>
      </c>
      <c r="P11" s="263"/>
      <c r="Q11" s="265">
        <v>-26049867</v>
      </c>
      <c r="R11" s="264">
        <f>Q11/Q$8</f>
        <v>-0.17852421208014288</v>
      </c>
      <c r="S11" s="264"/>
      <c r="T11" s="283">
        <f>T$8*(O11+2%)</f>
        <v>-122547719.74517684</v>
      </c>
      <c r="U11" s="264">
        <f>T11/T$8</f>
        <v>-0.19573080443998514</v>
      </c>
      <c r="V11" s="264"/>
      <c r="W11" s="283">
        <f>W$8*(U11+1%)</f>
        <v>-174430028.8016479</v>
      </c>
      <c r="X11" s="264">
        <f>W11/W$8</f>
        <v>-0.18573080443998513</v>
      </c>
      <c r="Y11" s="264"/>
      <c r="Z11" s="283">
        <f>Z$8*(X11+1%)</f>
        <v>-247557716.97829577</v>
      </c>
      <c r="AA11" s="264">
        <f>Z11/Z$8</f>
        <v>-0.17573080443998512</v>
      </c>
      <c r="AB11" s="266"/>
      <c r="AC11" s="266"/>
      <c r="AD11" s="267"/>
      <c r="AE11" s="268"/>
      <c r="AF11" s="268"/>
      <c r="AG11" s="268"/>
      <c r="AH11" s="268"/>
    </row>
    <row r="12" spans="1:35" ht="12" outlineLevel="1">
      <c r="B12" s="269" t="s">
        <v>302</v>
      </c>
      <c r="C12" s="263">
        <v>-2766104.15</v>
      </c>
      <c r="D12" s="263">
        <v>-3581093.57</v>
      </c>
      <c r="E12" s="263">
        <v>-5588266.3799999999</v>
      </c>
      <c r="F12" s="263">
        <v>-4857947</v>
      </c>
      <c r="G12" s="263">
        <f>SUM(C12:F12)</f>
        <v>-16793411.100000001</v>
      </c>
      <c r="H12" s="264">
        <f>G12/G$8</f>
        <v>-6.3469007324823024E-2</v>
      </c>
      <c r="I12" s="263"/>
      <c r="J12" s="263">
        <v>-4236579.4400000004</v>
      </c>
      <c r="K12" s="263">
        <v>-5543220</v>
      </c>
      <c r="L12" s="263">
        <v>-7207675.2599999998</v>
      </c>
      <c r="M12" s="263">
        <v>-5776266.3600000003</v>
      </c>
      <c r="N12" s="263">
        <f>SUM(J12:M12)</f>
        <v>-22763741.060000002</v>
      </c>
      <c r="O12" s="264">
        <f>N12/N$8</f>
        <v>-5.4536698344964676E-2</v>
      </c>
      <c r="P12" s="263"/>
      <c r="Q12" s="265">
        <v>-6555930.0299999993</v>
      </c>
      <c r="R12" s="264">
        <f>Q12/Q$8</f>
        <v>-4.4928914341800567E-2</v>
      </c>
      <c r="S12" s="264"/>
      <c r="T12" s="263">
        <f>N12*(1+$T$1)</f>
        <v>-34145611.590000004</v>
      </c>
      <c r="U12" s="264">
        <f>T12/T$8</f>
        <v>-5.4536698344964676E-2</v>
      </c>
      <c r="V12" s="264"/>
      <c r="W12" s="263">
        <f>T12*(1+$W$1)</f>
        <v>-51218417.385000005</v>
      </c>
      <c r="X12" s="264">
        <f>W12/W$8</f>
        <v>-5.4536698344964669E-2</v>
      </c>
      <c r="Y12" s="264"/>
      <c r="Z12" s="263">
        <f>W12*(1+$Z$1)</f>
        <v>-76827626.077500015</v>
      </c>
      <c r="AA12" s="264">
        <f>Z12/Z$8</f>
        <v>-5.4536698344964669E-2</v>
      </c>
      <c r="AB12" s="284"/>
      <c r="AC12" s="284"/>
      <c r="AD12" s="267"/>
      <c r="AE12" s="268"/>
      <c r="AF12" s="268"/>
      <c r="AG12" s="268"/>
      <c r="AH12" s="268"/>
    </row>
    <row r="13" spans="1:35" ht="12" outlineLevel="1">
      <c r="B13" s="269" t="s">
        <v>303</v>
      </c>
      <c r="C13" s="263">
        <v>-151662.11540566571</v>
      </c>
      <c r="D13" s="263">
        <v>-73774.414635214955</v>
      </c>
      <c r="E13" s="263">
        <v>-71066.907575320452</v>
      </c>
      <c r="F13" s="263">
        <v>-267682.23385987803</v>
      </c>
      <c r="G13" s="263">
        <f>SUM(C13:F13)</f>
        <v>-564185.67147607915</v>
      </c>
      <c r="H13" s="264">
        <f>G13/G$8</f>
        <v>-2.1322829711157053E-3</v>
      </c>
      <c r="I13" s="263"/>
      <c r="J13" s="263">
        <v>-873855.69590714364</v>
      </c>
      <c r="K13" s="263">
        <v>-854124.57589449745</v>
      </c>
      <c r="L13" s="263">
        <v>-1191836.9905135138</v>
      </c>
      <c r="M13" s="263">
        <v>-1121483.2214684854</v>
      </c>
      <c r="N13" s="263">
        <f>SUM(J13:M13)</f>
        <v>-4041300.4837836404</v>
      </c>
      <c r="O13" s="264">
        <f>N13/N$8</f>
        <v>-9.6820283109242226E-3</v>
      </c>
      <c r="P13" s="263"/>
      <c r="Q13" s="265">
        <v>-823150.04754120018</v>
      </c>
      <c r="R13" s="264">
        <f>Q13/Q$8</f>
        <v>-5.6411886348987856E-3</v>
      </c>
      <c r="S13" s="264"/>
      <c r="T13" s="263">
        <f>N13*(1+$T$1)</f>
        <v>-6061950.7256754609</v>
      </c>
      <c r="U13" s="264">
        <f>T13/T$8</f>
        <v>-9.6820283109242244E-3</v>
      </c>
      <c r="V13" s="264"/>
      <c r="W13" s="263">
        <f>T13*(1+$W$1)</f>
        <v>-9092926.0885131918</v>
      </c>
      <c r="X13" s="264">
        <f>W13/W$8</f>
        <v>-9.6820283109242226E-3</v>
      </c>
      <c r="Y13" s="264"/>
      <c r="Z13" s="263">
        <f>W13*(1+$Z$1)</f>
        <v>-13639389.132769788</v>
      </c>
      <c r="AA13" s="264">
        <f>Z13/Z$8</f>
        <v>-9.6820283109242226E-3</v>
      </c>
      <c r="AB13" s="285" t="s">
        <v>304</v>
      </c>
      <c r="AC13" s="285"/>
      <c r="AD13" s="267"/>
      <c r="AE13" s="268"/>
      <c r="AF13" s="268"/>
      <c r="AG13" s="268"/>
      <c r="AH13" s="268"/>
    </row>
    <row r="14" spans="1:35" outlineLevel="1">
      <c r="B14" s="286"/>
      <c r="C14" s="263"/>
      <c r="D14" s="263"/>
      <c r="E14" s="263" t="s">
        <v>305</v>
      </c>
      <c r="F14" s="263"/>
      <c r="G14" s="263"/>
      <c r="H14" s="282"/>
      <c r="I14" s="263"/>
      <c r="J14" s="263"/>
      <c r="K14" s="263"/>
      <c r="L14" s="263"/>
      <c r="M14" s="263"/>
      <c r="N14" s="263"/>
      <c r="O14" s="282"/>
      <c r="P14" s="263"/>
      <c r="Q14" s="263"/>
      <c r="R14" s="282"/>
      <c r="S14" s="282"/>
      <c r="T14" s="263"/>
      <c r="U14" s="282"/>
      <c r="V14" s="282"/>
      <c r="W14" s="263"/>
      <c r="X14" s="282"/>
      <c r="Y14" s="282"/>
      <c r="Z14" s="263"/>
      <c r="AA14" s="282"/>
      <c r="AB14" s="266"/>
      <c r="AC14" s="266"/>
      <c r="AD14" s="267"/>
      <c r="AE14" s="268"/>
      <c r="AF14" s="268"/>
      <c r="AG14" s="268"/>
      <c r="AH14" s="268"/>
    </row>
    <row r="15" spans="1:35" s="294" customFormat="1" ht="12">
      <c r="A15" s="287"/>
      <c r="B15" s="288" t="s">
        <v>306</v>
      </c>
      <c r="C15" s="289">
        <f>SUM(C8:C14)</f>
        <v>46686009.272785902</v>
      </c>
      <c r="D15" s="289">
        <f>SUM(D8:D14)</f>
        <v>24681152.480549023</v>
      </c>
      <c r="E15" s="289">
        <f>SUM(E8:E14)</f>
        <v>62238926.395850047</v>
      </c>
      <c r="F15" s="289">
        <f>SUM(F8:F14)</f>
        <v>48527655.325075969</v>
      </c>
      <c r="G15" s="289">
        <f>SUM(G8:G14)</f>
        <v>182133743.47426102</v>
      </c>
      <c r="H15" s="290">
        <f>G15/G$8</f>
        <v>0.68835615527004579</v>
      </c>
      <c r="I15" s="289"/>
      <c r="J15" s="289">
        <f>SUM(J8:J14)</f>
        <v>79357727.477842867</v>
      </c>
      <c r="K15" s="289">
        <f>SUM(K8:K14)</f>
        <v>47590078.468324475</v>
      </c>
      <c r="L15" s="289">
        <f>SUM(L8:L14)</f>
        <v>106762497.93987766</v>
      </c>
      <c r="M15" s="289">
        <f>SUM(M8:M14)</f>
        <v>66840388.064276896</v>
      </c>
      <c r="N15" s="289">
        <f>SUM(N8:N14)</f>
        <v>300550691.95032185</v>
      </c>
      <c r="O15" s="290">
        <f>N15/N$8</f>
        <v>0.72005046890412594</v>
      </c>
      <c r="P15" s="289"/>
      <c r="Q15" s="289">
        <f>SUM(Q8:Q14)</f>
        <v>112488890.60100138</v>
      </c>
      <c r="R15" s="290">
        <f>Q15/Q$8</f>
        <v>0.7709056849431577</v>
      </c>
      <c r="S15" s="290"/>
      <c r="T15" s="289">
        <f>SUM(T8:T14)</f>
        <v>463348105.68030596</v>
      </c>
      <c r="U15" s="290">
        <f>T15/T$8</f>
        <v>0.74005046890412596</v>
      </c>
      <c r="V15" s="290"/>
      <c r="W15" s="289">
        <f>SUM(W8:W14)</f>
        <v>704413709.33657646</v>
      </c>
      <c r="X15" s="290">
        <f>W15/W$8</f>
        <v>0.75005046890412608</v>
      </c>
      <c r="Y15" s="290"/>
      <c r="Z15" s="289">
        <f>SUM(Z8:Z14)</f>
        <v>1070707890.2290406</v>
      </c>
      <c r="AA15" s="290">
        <f>Z15/Z$8</f>
        <v>0.76005046890412586</v>
      </c>
      <c r="AB15" s="291"/>
      <c r="AC15" s="291"/>
      <c r="AD15" s="292" t="s">
        <v>307</v>
      </c>
      <c r="AE15" s="293">
        <f>N15/G15-1</f>
        <v>0.65016479767679858</v>
      </c>
      <c r="AF15" s="293">
        <f>T15/N15-1</f>
        <v>0.54166374621720381</v>
      </c>
      <c r="AG15" s="293">
        <f>W15/T15-1</f>
        <v>0.52026888790735093</v>
      </c>
      <c r="AH15" s="293">
        <f>Z15/W15-1</f>
        <v>0.51999865425311431</v>
      </c>
    </row>
    <row r="16" spans="1:35" s="246" customFormat="1" ht="12">
      <c r="B16" s="295" t="s">
        <v>308</v>
      </c>
      <c r="C16" s="296">
        <f>C15/C8</f>
        <v>0.74049973967694549</v>
      </c>
      <c r="D16" s="296">
        <f>D15/D8</f>
        <v>0.58032712632605132</v>
      </c>
      <c r="E16" s="296">
        <f>E15/E8</f>
        <v>0.71862355100214992</v>
      </c>
      <c r="F16" s="296">
        <f>F15/F8</f>
        <v>0.67020267711636206</v>
      </c>
      <c r="G16" s="296">
        <f>G15/G8</f>
        <v>0.68835615527004579</v>
      </c>
      <c r="H16" s="297"/>
      <c r="I16" s="296"/>
      <c r="J16" s="296">
        <f>J15/J8</f>
        <v>0.76167518295642989</v>
      </c>
      <c r="K16" s="296">
        <f>K15/K8</f>
        <v>0.63606006680208238</v>
      </c>
      <c r="L16" s="296">
        <f>L15/L8</f>
        <v>0.76175884943573902</v>
      </c>
      <c r="M16" s="296">
        <f>M15/M8</f>
        <v>0.68037074030412303</v>
      </c>
      <c r="N16" s="296">
        <f>N15/N8</f>
        <v>0.72005046890412594</v>
      </c>
      <c r="O16" s="297"/>
      <c r="P16" s="298"/>
      <c r="Q16" s="296">
        <f>Q15/Q8</f>
        <v>0.7709056849431577</v>
      </c>
      <c r="R16" s="297"/>
      <c r="S16" s="297"/>
      <c r="T16" s="296">
        <f>T15/T8</f>
        <v>0.74005046890412596</v>
      </c>
      <c r="U16" s="297"/>
      <c r="V16" s="297"/>
      <c r="W16" s="296">
        <f>W15/W8</f>
        <v>0.75005046890412608</v>
      </c>
      <c r="X16" s="297"/>
      <c r="Y16" s="297"/>
      <c r="Z16" s="296">
        <f>Z15/Z8</f>
        <v>0.76005046890412586</v>
      </c>
      <c r="AA16" s="297"/>
      <c r="AB16" s="299"/>
      <c r="AC16" s="299"/>
      <c r="AD16" s="300" t="s">
        <v>309</v>
      </c>
      <c r="AE16" s="301">
        <f>N16-G16</f>
        <v>3.1694313634080151E-2</v>
      </c>
      <c r="AF16" s="301">
        <f>T16-N16</f>
        <v>2.0000000000000018E-2</v>
      </c>
      <c r="AG16" s="301">
        <f>W16-T16</f>
        <v>1.000000000000012E-2</v>
      </c>
      <c r="AH16" s="301">
        <f>Z16-W16</f>
        <v>9.9999999999997868E-3</v>
      </c>
    </row>
    <row r="17" spans="1:34">
      <c r="B17" s="286"/>
      <c r="C17" s="302"/>
      <c r="D17" s="302"/>
      <c r="E17" s="302"/>
      <c r="F17" s="302"/>
      <c r="G17" s="302"/>
      <c r="H17" s="303"/>
      <c r="I17" s="302"/>
      <c r="J17" s="302"/>
      <c r="K17" s="302"/>
      <c r="L17" s="302"/>
      <c r="M17" s="302"/>
      <c r="N17" s="302"/>
      <c r="O17" s="303"/>
      <c r="P17" s="302"/>
      <c r="Q17" s="263"/>
      <c r="R17" s="303"/>
      <c r="S17" s="303"/>
      <c r="T17" s="302"/>
      <c r="U17" s="303"/>
      <c r="V17" s="303"/>
      <c r="W17" s="302"/>
      <c r="X17" s="303"/>
      <c r="Y17" s="303"/>
      <c r="Z17" s="302"/>
      <c r="AA17" s="303"/>
      <c r="AB17" s="266"/>
      <c r="AC17" s="266"/>
      <c r="AD17" s="267"/>
      <c r="AE17" s="268"/>
      <c r="AF17" s="268"/>
      <c r="AG17" s="268"/>
      <c r="AH17" s="268"/>
    </row>
    <row r="18" spans="1:34" ht="12" hidden="1" outlineLevel="1">
      <c r="B18" s="304" t="s">
        <v>310</v>
      </c>
      <c r="C18" s="263"/>
      <c r="D18" s="263"/>
      <c r="E18" s="263"/>
      <c r="F18" s="263"/>
      <c r="G18" s="263"/>
      <c r="H18" s="271"/>
      <c r="I18" s="263"/>
      <c r="J18" s="263"/>
      <c r="K18" s="263"/>
      <c r="L18" s="263"/>
      <c r="M18" s="263"/>
      <c r="N18" s="263"/>
      <c r="O18" s="271"/>
      <c r="P18" s="263"/>
      <c r="Q18" s="263"/>
      <c r="R18" s="271"/>
      <c r="S18" s="271"/>
      <c r="T18" s="263"/>
      <c r="U18" s="271"/>
      <c r="V18" s="271"/>
      <c r="W18" s="263"/>
      <c r="X18" s="271"/>
      <c r="Y18" s="271"/>
      <c r="Z18" s="263"/>
      <c r="AA18" s="271"/>
      <c r="AB18" s="266"/>
      <c r="AC18" s="266"/>
      <c r="AD18" s="267"/>
      <c r="AE18" s="268"/>
      <c r="AF18" s="268"/>
      <c r="AG18" s="268"/>
      <c r="AH18" s="268"/>
    </row>
    <row r="19" spans="1:34" ht="12" hidden="1" outlineLevel="1">
      <c r="B19" s="269" t="s">
        <v>311</v>
      </c>
      <c r="C19" s="263">
        <v>-19950233.059999999</v>
      </c>
      <c r="D19" s="263">
        <v>-25887706.308266997</v>
      </c>
      <c r="E19" s="263">
        <f>-16892707.29-3597570.31-10571641.79</f>
        <v>-31061919.389999997</v>
      </c>
      <c r="F19" s="263">
        <v>-31451591.283200003</v>
      </c>
      <c r="G19" s="263">
        <f>SUM(C19:F19)</f>
        <v>-108351450.04146701</v>
      </c>
      <c r="H19" s="264">
        <f>G19/G$8</f>
        <v>-0.40950340198228491</v>
      </c>
      <c r="I19" s="263"/>
      <c r="J19" s="263">
        <v>-34822025</v>
      </c>
      <c r="K19" s="263">
        <v>-23055463</v>
      </c>
      <c r="L19" s="263">
        <v>-38268437</v>
      </c>
      <c r="M19" s="263">
        <v>-43116341</v>
      </c>
      <c r="N19" s="263">
        <f t="shared" ref="N19:N24" si="0">SUM(J19:M19)</f>
        <v>-139262266</v>
      </c>
      <c r="O19" s="264">
        <f t="shared" ref="O19:O24" si="1">N19/N$8</f>
        <v>-0.33364042279605116</v>
      </c>
      <c r="P19" s="263"/>
      <c r="Q19" s="265">
        <v>-42141237</v>
      </c>
      <c r="R19" s="264">
        <f>Q19/Q$8</f>
        <v>-0.28880113405214558</v>
      </c>
      <c r="S19" s="264"/>
      <c r="T19" s="283">
        <f>T$8*(O19+2%)</f>
        <v>-196371331.24517682</v>
      </c>
      <c r="U19" s="264">
        <f t="shared" ref="U19:U24" si="2">T19/T$8</f>
        <v>-0.31364042279605114</v>
      </c>
      <c r="V19" s="264"/>
      <c r="W19" s="283">
        <f>W$8*(U19+1%)</f>
        <v>-285165446.0516479</v>
      </c>
      <c r="X19" s="264">
        <f t="shared" ref="X19:X24" si="3">W19/W$8</f>
        <v>-0.30364042279605113</v>
      </c>
      <c r="Y19" s="264"/>
      <c r="Z19" s="283">
        <f>Z$8*(X19+1%)</f>
        <v>-413660842.8532958</v>
      </c>
      <c r="AA19" s="264">
        <f t="shared" ref="AA19:AA24" si="4">Z19/Z$8</f>
        <v>-0.29364042279605113</v>
      </c>
      <c r="AB19" s="285" t="s">
        <v>312</v>
      </c>
      <c r="AC19" s="285"/>
      <c r="AD19" s="267"/>
      <c r="AE19" s="268"/>
      <c r="AF19" s="268"/>
      <c r="AG19" s="268"/>
      <c r="AH19" s="268"/>
    </row>
    <row r="20" spans="1:34" ht="12" hidden="1" customHeight="1" outlineLevel="1">
      <c r="B20" s="286" t="s">
        <v>313</v>
      </c>
      <c r="C20" s="263"/>
      <c r="D20" s="263"/>
      <c r="E20" s="263"/>
      <c r="F20" s="263"/>
      <c r="G20" s="263"/>
      <c r="H20" s="264"/>
      <c r="I20" s="263"/>
      <c r="J20" s="263"/>
      <c r="K20" s="263">
        <v>-433589</v>
      </c>
      <c r="L20" s="263">
        <v>-850554</v>
      </c>
      <c r="M20" s="263">
        <v>-1088450</v>
      </c>
      <c r="N20" s="263">
        <f t="shared" si="0"/>
        <v>-2372593</v>
      </c>
      <c r="O20" s="264">
        <f t="shared" si="1"/>
        <v>-5.6841882182424881E-3</v>
      </c>
      <c r="P20" s="263"/>
      <c r="Q20" s="265">
        <v>-1224345</v>
      </c>
      <c r="R20" s="264">
        <f>Q20/Q$8</f>
        <v>-8.3906465410845486E-3</v>
      </c>
      <c r="S20" s="264"/>
      <c r="T20" s="263">
        <f>N20*(1+$T$1)</f>
        <v>-3558889.5</v>
      </c>
      <c r="U20" s="264">
        <f t="shared" si="2"/>
        <v>-5.6841882182424881E-3</v>
      </c>
      <c r="V20" s="264"/>
      <c r="W20" s="263">
        <f>T20*(1+$W$1)</f>
        <v>-5338334.25</v>
      </c>
      <c r="X20" s="264">
        <f t="shared" si="3"/>
        <v>-5.6841882182424872E-3</v>
      </c>
      <c r="Y20" s="264"/>
      <c r="Z20" s="263">
        <f>W20*(1+$Z$1)</f>
        <v>-8007501.375</v>
      </c>
      <c r="AA20" s="264">
        <f t="shared" si="4"/>
        <v>-5.6841882182424872E-3</v>
      </c>
      <c r="AB20" s="266"/>
      <c r="AC20" s="266"/>
      <c r="AD20" s="267"/>
      <c r="AE20" s="268"/>
      <c r="AF20" s="268"/>
      <c r="AG20" s="268"/>
      <c r="AH20" s="268"/>
    </row>
    <row r="21" spans="1:34" ht="12" hidden="1" customHeight="1" outlineLevel="1">
      <c r="B21" s="286" t="s">
        <v>314</v>
      </c>
      <c r="C21" s="263"/>
      <c r="D21" s="263"/>
      <c r="E21" s="263"/>
      <c r="F21" s="263"/>
      <c r="G21" s="263"/>
      <c r="H21" s="264"/>
      <c r="I21" s="263"/>
      <c r="J21" s="263"/>
      <c r="K21" s="263"/>
      <c r="L21" s="263">
        <v>-369044</v>
      </c>
      <c r="M21" s="263">
        <v>-1061919</v>
      </c>
      <c r="N21" s="263">
        <f t="shared" si="0"/>
        <v>-1430963</v>
      </c>
      <c r="O21" s="264">
        <f t="shared" si="1"/>
        <v>-3.4282588818819433E-3</v>
      </c>
      <c r="P21" s="263"/>
      <c r="Q21" s="265">
        <v>-1457955</v>
      </c>
      <c r="R21" s="264">
        <f>Q21/Q$8</f>
        <v>-9.9916159887996625E-3</v>
      </c>
      <c r="S21" s="264"/>
      <c r="T21" s="263">
        <f>N21*(1+$T$1)</f>
        <v>-2146444.5</v>
      </c>
      <c r="U21" s="264">
        <f t="shared" si="2"/>
        <v>-3.4282588818819433E-3</v>
      </c>
      <c r="V21" s="264"/>
      <c r="W21" s="263">
        <f>T21*(1+$W$1)</f>
        <v>-3219666.75</v>
      </c>
      <c r="X21" s="264">
        <f t="shared" si="3"/>
        <v>-3.4282588818819429E-3</v>
      </c>
      <c r="Y21" s="264"/>
      <c r="Z21" s="263">
        <f>W21*(1+$Z$1)</f>
        <v>-4829500.125</v>
      </c>
      <c r="AA21" s="264">
        <f t="shared" si="4"/>
        <v>-3.4282588818819425E-3</v>
      </c>
      <c r="AB21" s="266"/>
      <c r="AC21" s="266"/>
      <c r="AD21" s="267"/>
      <c r="AE21" s="268"/>
      <c r="AF21" s="268"/>
      <c r="AG21" s="268"/>
      <c r="AH21" s="268"/>
    </row>
    <row r="22" spans="1:34" hidden="1" outlineLevel="1">
      <c r="B22" s="286" t="s">
        <v>315</v>
      </c>
      <c r="C22" s="263">
        <v>-378696.65550000011</v>
      </c>
      <c r="D22" s="263">
        <v>-395076.90799999994</v>
      </c>
      <c r="E22" s="263">
        <v>-425966.84650000004</v>
      </c>
      <c r="F22" s="263">
        <v>-775112.9935000001</v>
      </c>
      <c r="G22" s="263">
        <f>SUM(C22:F22)</f>
        <v>-1974853.4035000002</v>
      </c>
      <c r="H22" s="264">
        <f>G22/G$8</f>
        <v>-7.4637597082461218E-3</v>
      </c>
      <c r="I22" s="263"/>
      <c r="J22" s="263">
        <v>-479052.05</v>
      </c>
      <c r="K22" s="263">
        <v>-488035.32679180888</v>
      </c>
      <c r="L22" s="263">
        <v>-563588.72184300353</v>
      </c>
      <c r="M22" s="263">
        <v>-594599.81740614329</v>
      </c>
      <c r="N22" s="263">
        <f t="shared" si="0"/>
        <v>-2125275.916040956</v>
      </c>
      <c r="O22" s="264">
        <f t="shared" si="1"/>
        <v>-5.0916732547362795E-3</v>
      </c>
      <c r="P22" s="263"/>
      <c r="Q22" s="302"/>
      <c r="R22" s="264"/>
      <c r="S22" s="264"/>
      <c r="T22" s="263">
        <f>N22*(1+$T$1)</f>
        <v>-3187913.8740614341</v>
      </c>
      <c r="U22" s="264">
        <f t="shared" si="2"/>
        <v>-5.0916732547362795E-3</v>
      </c>
      <c r="V22" s="264"/>
      <c r="W22" s="263">
        <f>T22*(1+$W$1)</f>
        <v>-4781870.8110921513</v>
      </c>
      <c r="X22" s="264">
        <f t="shared" si="3"/>
        <v>-5.0916732547362795E-3</v>
      </c>
      <c r="Y22" s="264"/>
      <c r="Z22" s="263">
        <f>W22*(1+$Z$1)</f>
        <v>-7172806.216638227</v>
      </c>
      <c r="AA22" s="264">
        <f t="shared" si="4"/>
        <v>-5.0916732547362786E-3</v>
      </c>
      <c r="AB22" s="285" t="s">
        <v>316</v>
      </c>
      <c r="AC22" s="285"/>
      <c r="AD22" s="267"/>
      <c r="AE22" s="268"/>
      <c r="AF22" s="268"/>
      <c r="AG22" s="268"/>
      <c r="AH22" s="268"/>
    </row>
    <row r="23" spans="1:34" ht="12" hidden="1" outlineLevel="1">
      <c r="B23" s="270" t="s">
        <v>317</v>
      </c>
      <c r="C23" s="263"/>
      <c r="D23" s="263"/>
      <c r="E23" s="263"/>
      <c r="F23" s="263"/>
      <c r="G23" s="263"/>
      <c r="H23" s="264"/>
      <c r="I23" s="263"/>
      <c r="J23" s="263"/>
      <c r="K23" s="263"/>
      <c r="L23" s="263">
        <v>-4915010</v>
      </c>
      <c r="M23" s="263">
        <v>-6347558</v>
      </c>
      <c r="N23" s="263">
        <f t="shared" si="0"/>
        <v>-11262568</v>
      </c>
      <c r="O23" s="264">
        <f t="shared" si="1"/>
        <v>-2.6982527695544437E-2</v>
      </c>
      <c r="P23" s="263"/>
      <c r="Q23" s="265">
        <v>-5729151</v>
      </c>
      <c r="R23" s="264">
        <f>Q23/Q$8</f>
        <v>-3.92628556669085E-2</v>
      </c>
      <c r="S23" s="264"/>
      <c r="T23" s="263">
        <f>N23*(1+$T$1)</f>
        <v>-16893852</v>
      </c>
      <c r="U23" s="264">
        <f t="shared" si="2"/>
        <v>-2.6982527695544437E-2</v>
      </c>
      <c r="V23" s="264"/>
      <c r="W23" s="263">
        <f>T23*(1+$W$1)</f>
        <v>-25340778</v>
      </c>
      <c r="X23" s="264">
        <f t="shared" si="3"/>
        <v>-2.6982527695544434E-2</v>
      </c>
      <c r="Y23" s="264"/>
      <c r="Z23" s="263">
        <f>W23*(1+$Z$1)</f>
        <v>-38011167</v>
      </c>
      <c r="AA23" s="264">
        <f t="shared" si="4"/>
        <v>-2.698252769554443E-2</v>
      </c>
      <c r="AB23" s="285" t="s">
        <v>318</v>
      </c>
      <c r="AC23" s="285"/>
      <c r="AD23" s="267"/>
      <c r="AE23" s="268"/>
      <c r="AF23" s="268"/>
      <c r="AG23" s="268"/>
      <c r="AH23" s="268"/>
    </row>
    <row r="24" spans="1:34" ht="12" hidden="1" outlineLevel="1">
      <c r="B24" s="269" t="s">
        <v>319</v>
      </c>
      <c r="C24" s="263">
        <v>-1109665.8410617399</v>
      </c>
      <c r="D24" s="263">
        <v>-843323.29040450999</v>
      </c>
      <c r="E24" s="263">
        <v>-1848699.08864124</v>
      </c>
      <c r="F24" s="263">
        <v>-1714092.9754359699</v>
      </c>
      <c r="G24" s="263">
        <f>SUM(C24:F24)</f>
        <v>-5515781.1955434605</v>
      </c>
      <c r="H24" s="264">
        <f>G24/G$8</f>
        <v>-2.0846339973304706E-2</v>
      </c>
      <c r="I24" s="263"/>
      <c r="J24" s="263">
        <v>-2208683.142038695</v>
      </c>
      <c r="K24" s="263">
        <v>-1614015.4069557115</v>
      </c>
      <c r="L24" s="263">
        <v>-3183556.3406976657</v>
      </c>
      <c r="M24" s="263">
        <v>-1414956.3187313434</v>
      </c>
      <c r="N24" s="263">
        <f t="shared" si="0"/>
        <v>-8421211.2084234152</v>
      </c>
      <c r="O24" s="264">
        <f t="shared" si="1"/>
        <v>-2.017528903366568E-2</v>
      </c>
      <c r="P24" s="263"/>
      <c r="Q24" s="265">
        <v>-2396820.171873651</v>
      </c>
      <c r="R24" s="264">
        <f>Q24/Q$8</f>
        <v>-1.6425820242442549E-2</v>
      </c>
      <c r="S24" s="264"/>
      <c r="T24" s="263">
        <f>N24*(1+$T$1)</f>
        <v>-12631816.812635124</v>
      </c>
      <c r="U24" s="264">
        <f t="shared" si="2"/>
        <v>-2.0175289033665684E-2</v>
      </c>
      <c r="V24" s="264"/>
      <c r="W24" s="263">
        <f>T24*(1+$W$1)</f>
        <v>-18947725.218952686</v>
      </c>
      <c r="X24" s="264">
        <f t="shared" si="3"/>
        <v>-2.017528903366568E-2</v>
      </c>
      <c r="Y24" s="264"/>
      <c r="Z24" s="263">
        <f>W24*(1+$Z$1)</f>
        <v>-28421587.828429028</v>
      </c>
      <c r="AA24" s="264">
        <f t="shared" si="4"/>
        <v>-2.017528903366568E-2</v>
      </c>
      <c r="AB24" s="266"/>
      <c r="AC24" s="266"/>
      <c r="AD24" s="267"/>
      <c r="AE24" s="268"/>
      <c r="AF24" s="268"/>
      <c r="AG24" s="268"/>
      <c r="AH24" s="268"/>
    </row>
    <row r="25" spans="1:34" hidden="1" outlineLevel="1">
      <c r="B25" s="305"/>
      <c r="C25" s="263"/>
      <c r="D25" s="263"/>
      <c r="E25" s="263"/>
      <c r="F25" s="263"/>
      <c r="G25" s="263"/>
      <c r="H25" s="271"/>
      <c r="I25" s="263"/>
      <c r="J25" s="263"/>
      <c r="K25" s="263"/>
      <c r="L25" s="263"/>
      <c r="M25" s="263"/>
      <c r="N25" s="263"/>
      <c r="O25" s="271"/>
      <c r="P25" s="263"/>
      <c r="Q25" s="302"/>
      <c r="R25" s="271"/>
      <c r="S25" s="271"/>
      <c r="T25" s="263"/>
      <c r="U25" s="271"/>
      <c r="V25" s="271"/>
      <c r="W25" s="263"/>
      <c r="X25" s="271"/>
      <c r="Y25" s="271"/>
      <c r="Z25" s="263"/>
      <c r="AA25" s="271"/>
      <c r="AB25" s="266"/>
      <c r="AC25" s="266"/>
      <c r="AD25" s="267"/>
      <c r="AE25" s="268"/>
      <c r="AF25" s="268"/>
      <c r="AG25" s="268"/>
      <c r="AH25" s="268"/>
    </row>
    <row r="26" spans="1:34" s="294" customFormat="1" ht="12" collapsed="1">
      <c r="A26" s="287"/>
      <c r="B26" s="306" t="s">
        <v>320</v>
      </c>
      <c r="C26" s="289">
        <f>SUM(C15,C19:C24)</f>
        <v>25247413.716224164</v>
      </c>
      <c r="D26" s="289">
        <f>SUM(D15,D19:D24)</f>
        <v>-2444954.0261224844</v>
      </c>
      <c r="E26" s="289">
        <f>SUM(E15,E19:E24)</f>
        <v>28902341.070708808</v>
      </c>
      <c r="F26" s="289">
        <f>SUM(F15,F19:F24)</f>
        <v>14586858.072939996</v>
      </c>
      <c r="G26" s="289">
        <f>SUM(G15,G19:G24)</f>
        <v>66291658.833750539</v>
      </c>
      <c r="H26" s="290">
        <f>G26/G$8</f>
        <v>0.25054265360620998</v>
      </c>
      <c r="I26" s="289"/>
      <c r="J26" s="289">
        <f>SUM(J15,J19:J24)</f>
        <v>41847967.285804175</v>
      </c>
      <c r="K26" s="289">
        <f>SUM(K15,K19:K24)</f>
        <v>21998975.734576955</v>
      </c>
      <c r="L26" s="289">
        <f>SUM(L15,L19:L24)</f>
        <v>58612307.877336986</v>
      </c>
      <c r="M26" s="289">
        <f>SUM(M15,M19:M24)</f>
        <v>13216563.928139409</v>
      </c>
      <c r="N26" s="289">
        <f>SUM(N15,N19:N24)</f>
        <v>135675814.82585749</v>
      </c>
      <c r="O26" s="290">
        <f>N26/N$8</f>
        <v>0.32504810902400394</v>
      </c>
      <c r="P26" s="289"/>
      <c r="Q26" s="289">
        <f>SUM(Q15,Q19:Q24)</f>
        <v>59539382.42912773</v>
      </c>
      <c r="R26" s="290">
        <f>Q26/Q$8</f>
        <v>0.40803361245177688</v>
      </c>
      <c r="S26" s="290"/>
      <c r="T26" s="289">
        <f>SUM(T15,T19:T24)</f>
        <v>228557857.74843258</v>
      </c>
      <c r="U26" s="290">
        <f>T26/T$8</f>
        <v>0.36504810902400397</v>
      </c>
      <c r="V26" s="290"/>
      <c r="W26" s="289">
        <f>SUM(W15,W19:W24)</f>
        <v>361619888.25488377</v>
      </c>
      <c r="X26" s="290">
        <f>W26/W$8</f>
        <v>0.3850481090240041</v>
      </c>
      <c r="Y26" s="290"/>
      <c r="Z26" s="289">
        <f>SUM(Z15,Z19:Z24)</f>
        <v>570604484.83067763</v>
      </c>
      <c r="AA26" s="290">
        <f>Z26/Z$8</f>
        <v>0.40504810902400396</v>
      </c>
      <c r="AB26" s="291"/>
      <c r="AC26" s="291"/>
      <c r="AD26" s="292" t="s">
        <v>321</v>
      </c>
      <c r="AE26" s="293">
        <f>N26/G26-1</f>
        <v>1.0466498683659724</v>
      </c>
      <c r="AF26" s="293">
        <f>T26/N26-1</f>
        <v>0.68458806045713438</v>
      </c>
      <c r="AG26" s="293">
        <f>W26/T26-1</f>
        <v>0.58218094891714012</v>
      </c>
      <c r="AH26" s="293">
        <f>Z26/W26-1</f>
        <v>0.5779123421123713</v>
      </c>
    </row>
    <row r="27" spans="1:34" ht="12">
      <c r="B27" s="295" t="s">
        <v>322</v>
      </c>
      <c r="C27" s="296">
        <f>C26/C8</f>
        <v>0.40045623036960221</v>
      </c>
      <c r="D27" s="296">
        <f>D26/D8</f>
        <v>-5.7488123583255314E-2</v>
      </c>
      <c r="E27" s="296">
        <f>E26/E8</f>
        <v>0.33371242364317094</v>
      </c>
      <c r="F27" s="296">
        <f>F26/F8</f>
        <v>0.20145525815563395</v>
      </c>
      <c r="G27" s="296">
        <f>G26/G8</f>
        <v>0.25054265360620998</v>
      </c>
      <c r="H27" s="264"/>
      <c r="I27" s="298"/>
      <c r="J27" s="296">
        <f>J26/J8</f>
        <v>0.40165663952094832</v>
      </c>
      <c r="K27" s="296">
        <f>K26/K8</f>
        <v>0.2940249401905442</v>
      </c>
      <c r="L27" s="296">
        <f>L26/L8</f>
        <v>0.41820344290330197</v>
      </c>
      <c r="M27" s="296">
        <f>M26/M8</f>
        <v>0.13453188475533215</v>
      </c>
      <c r="N27" s="296">
        <f>N26/N8</f>
        <v>0.32504810902400394</v>
      </c>
      <c r="O27" s="264"/>
      <c r="P27" s="298"/>
      <c r="Q27" s="296">
        <f>Q26/Q8</f>
        <v>0.40803361245177688</v>
      </c>
      <c r="R27" s="264"/>
      <c r="S27" s="264"/>
      <c r="T27" s="296">
        <f>T26/T8</f>
        <v>0.36504810902400397</v>
      </c>
      <c r="U27" s="264"/>
      <c r="V27" s="264"/>
      <c r="W27" s="296">
        <f>W26/W8</f>
        <v>0.3850481090240041</v>
      </c>
      <c r="X27" s="264"/>
      <c r="Y27" s="264"/>
      <c r="Z27" s="296">
        <f>Z26/Z8</f>
        <v>0.40504810902400396</v>
      </c>
      <c r="AA27" s="264"/>
      <c r="AB27" s="266"/>
      <c r="AC27" s="266"/>
      <c r="AD27" s="300" t="s">
        <v>323</v>
      </c>
      <c r="AE27" s="301">
        <f>N27-G27</f>
        <v>7.4505455417793964E-2</v>
      </c>
      <c r="AF27" s="301">
        <f>T27-N27</f>
        <v>4.0000000000000036E-2</v>
      </c>
      <c r="AG27" s="301">
        <f>W27-T27</f>
        <v>2.0000000000000129E-2</v>
      </c>
      <c r="AH27" s="301">
        <f>Z27-W27</f>
        <v>1.9999999999999851E-2</v>
      </c>
    </row>
    <row r="28" spans="1:34">
      <c r="B28" s="286"/>
      <c r="C28" s="263"/>
      <c r="D28" s="263"/>
      <c r="E28" s="263"/>
      <c r="F28" s="263"/>
      <c r="G28" s="263"/>
      <c r="H28" s="271"/>
      <c r="I28" s="263"/>
      <c r="J28" s="263"/>
      <c r="K28" s="263"/>
      <c r="L28" s="263"/>
      <c r="M28" s="263"/>
      <c r="N28" s="263"/>
      <c r="O28" s="271"/>
      <c r="P28" s="263"/>
      <c r="Q28" s="302"/>
      <c r="R28" s="271"/>
      <c r="S28" s="271"/>
      <c r="T28" s="263"/>
      <c r="U28" s="271"/>
      <c r="V28" s="271"/>
      <c r="W28" s="263"/>
      <c r="X28" s="271"/>
      <c r="Y28" s="271"/>
      <c r="Z28" s="263"/>
      <c r="AA28" s="271"/>
      <c r="AB28" s="266"/>
      <c r="AC28" s="266"/>
      <c r="AD28" s="267"/>
      <c r="AE28" s="268"/>
      <c r="AF28" s="268"/>
      <c r="AG28" s="268"/>
      <c r="AH28" s="268"/>
    </row>
    <row r="29" spans="1:34" ht="12" outlineLevel="1">
      <c r="B29" s="304" t="s">
        <v>324</v>
      </c>
      <c r="C29" s="263"/>
      <c r="D29" s="263"/>
      <c r="E29" s="263"/>
      <c r="F29" s="263"/>
      <c r="G29" s="263"/>
      <c r="H29" s="271"/>
      <c r="I29" s="263"/>
      <c r="J29" s="263"/>
      <c r="K29" s="263"/>
      <c r="L29" s="263"/>
      <c r="M29" s="263"/>
      <c r="N29" s="263"/>
      <c r="O29" s="271"/>
      <c r="P29" s="263"/>
      <c r="Q29" s="302"/>
      <c r="R29" s="271"/>
      <c r="S29" s="271"/>
      <c r="T29" s="263"/>
      <c r="U29" s="271"/>
      <c r="V29" s="271"/>
      <c r="W29" s="263"/>
      <c r="X29" s="271"/>
      <c r="Y29" s="271"/>
      <c r="Z29" s="263"/>
      <c r="AA29" s="271"/>
      <c r="AB29" s="266"/>
      <c r="AC29" s="266"/>
      <c r="AD29" s="267"/>
      <c r="AE29" s="268"/>
      <c r="AF29" s="268"/>
      <c r="AG29" s="268"/>
      <c r="AH29" s="268"/>
    </row>
    <row r="30" spans="1:34" ht="12" outlineLevel="1">
      <c r="B30" s="270" t="s">
        <v>325</v>
      </c>
      <c r="C30" s="302">
        <v>-4221783.8234819993</v>
      </c>
      <c r="D30" s="302">
        <v>-4993807.5455480004</v>
      </c>
      <c r="E30" s="302">
        <v>-5871812.8599200007</v>
      </c>
      <c r="F30" s="302">
        <v>-6188857.8460900001</v>
      </c>
      <c r="G30" s="263">
        <f>SUM(C30:F30)</f>
        <v>-21276262.075039998</v>
      </c>
      <c r="H30" s="264">
        <f>G30/G$8</f>
        <v>-8.0411491473913119E-2</v>
      </c>
      <c r="I30" s="263"/>
      <c r="J30" s="263">
        <v>-4628431.7543859649</v>
      </c>
      <c r="K30" s="263">
        <v>-6948696.8709677421</v>
      </c>
      <c r="L30" s="263">
        <v>-6103451.6024230868</v>
      </c>
      <c r="M30" s="263">
        <v>-7648571.5858663712</v>
      </c>
      <c r="N30" s="263">
        <f>SUM(J30:M30)</f>
        <v>-25329151.813643165</v>
      </c>
      <c r="O30" s="264">
        <f>N30/N$8</f>
        <v>-6.068283364116215E-2</v>
      </c>
      <c r="P30" s="263"/>
      <c r="Q30" s="265">
        <v>-8447838.5443888512</v>
      </c>
      <c r="R30" s="264">
        <f>Q30/Q$8</f>
        <v>-5.7894488287302225E-2</v>
      </c>
      <c r="S30" s="264"/>
      <c r="T30" s="263">
        <f>N30*(1+$T$1)</f>
        <v>-37993727.720464751</v>
      </c>
      <c r="U30" s="264">
        <f>T30/T$8</f>
        <v>-6.0682833641162157E-2</v>
      </c>
      <c r="V30" s="264"/>
      <c r="W30" s="263">
        <f>T30*(1+$W$1)</f>
        <v>-56990591.580697127</v>
      </c>
      <c r="X30" s="264">
        <f>W30/W$8</f>
        <v>-6.068283364116215E-2</v>
      </c>
      <c r="Y30" s="264"/>
      <c r="Z30" s="263">
        <f>W30*(1+$Z$1)</f>
        <v>-85485887.371045694</v>
      </c>
      <c r="AA30" s="264">
        <f>Z30/Z$8</f>
        <v>-6.0682833641162143E-2</v>
      </c>
      <c r="AB30" s="285" t="s">
        <v>318</v>
      </c>
      <c r="AC30" s="285"/>
      <c r="AD30" s="267"/>
      <c r="AE30" s="268"/>
      <c r="AF30" s="268"/>
      <c r="AG30" s="268"/>
      <c r="AH30" s="268"/>
    </row>
    <row r="31" spans="1:34" ht="12" outlineLevel="1">
      <c r="B31" s="270" t="s">
        <v>326</v>
      </c>
      <c r="C31" s="263"/>
      <c r="D31" s="263"/>
      <c r="E31" s="263">
        <v>-161387.04999999999</v>
      </c>
      <c r="F31" s="263">
        <v>-172021.64</v>
      </c>
      <c r="G31" s="263">
        <f>SUM(C31:F31)</f>
        <v>-333408.69</v>
      </c>
      <c r="H31" s="264">
        <f>G31/G$8</f>
        <v>-1.2600845928061421E-3</v>
      </c>
      <c r="I31" s="263"/>
      <c r="J31" s="263">
        <v>-19004.080000000002</v>
      </c>
      <c r="K31" s="263">
        <v>-19515.169999999998</v>
      </c>
      <c r="L31" s="263">
        <v>-12777.76275</v>
      </c>
      <c r="M31" s="263">
        <v>-242423.408</v>
      </c>
      <c r="N31" s="263">
        <f>SUM(J31:M31)</f>
        <v>-293720.42074999999</v>
      </c>
      <c r="O31" s="264">
        <f>N31/N$8</f>
        <v>-7.0368670694231005E-4</v>
      </c>
      <c r="P31" s="263"/>
      <c r="Q31" s="263"/>
      <c r="R31" s="264"/>
      <c r="S31" s="264"/>
      <c r="T31" s="263">
        <f>N31*(1+$T$1)</f>
        <v>-440580.63112499996</v>
      </c>
      <c r="U31" s="264">
        <f>T31/T$8</f>
        <v>-7.0368670694231005E-4</v>
      </c>
      <c r="V31" s="264"/>
      <c r="W31" s="263">
        <f>T31*(1+$W$1)</f>
        <v>-660870.94668749999</v>
      </c>
      <c r="X31" s="264">
        <f>W31/W$8</f>
        <v>-7.0368670694231005E-4</v>
      </c>
      <c r="Y31" s="264"/>
      <c r="Z31" s="263">
        <f>W31*(1+$Z$1)</f>
        <v>-991306.42003124999</v>
      </c>
      <c r="AA31" s="264">
        <f>Z31/Z$8</f>
        <v>-7.0368670694230995E-4</v>
      </c>
      <c r="AB31" s="266"/>
      <c r="AC31" s="266"/>
      <c r="AD31" s="267"/>
      <c r="AE31" s="268"/>
      <c r="AF31" s="268"/>
      <c r="AG31" s="268"/>
      <c r="AH31" s="268"/>
    </row>
    <row r="32" spans="1:34" ht="12" outlineLevel="1">
      <c r="B32" s="270" t="s">
        <v>327</v>
      </c>
      <c r="C32" s="263"/>
      <c r="D32" s="263"/>
      <c r="E32" s="263"/>
      <c r="F32" s="263"/>
      <c r="G32" s="263"/>
      <c r="H32" s="271"/>
      <c r="I32" s="263"/>
      <c r="J32" s="263"/>
      <c r="K32" s="263"/>
      <c r="L32" s="263"/>
      <c r="M32" s="263"/>
      <c r="N32" s="263"/>
      <c r="O32" s="271"/>
      <c r="P32" s="263"/>
      <c r="Q32" s="265">
        <v>-236748.82</v>
      </c>
      <c r="R32" s="264">
        <f>Q32/Q$8</f>
        <v>-1.6224803202029236E-3</v>
      </c>
      <c r="S32" s="264"/>
      <c r="T32" s="263"/>
      <c r="U32" s="271"/>
      <c r="V32" s="271"/>
      <c r="W32" s="263"/>
      <c r="X32" s="271"/>
      <c r="Y32" s="271"/>
      <c r="Z32" s="263"/>
      <c r="AA32" s="271"/>
      <c r="AB32" s="285" t="s">
        <v>316</v>
      </c>
      <c r="AC32" s="285"/>
      <c r="AD32" s="267"/>
      <c r="AE32" s="268"/>
      <c r="AF32" s="268"/>
      <c r="AG32" s="268"/>
      <c r="AH32" s="268"/>
    </row>
    <row r="33" spans="1:35" ht="12" outlineLevel="1">
      <c r="B33" s="269" t="s">
        <v>328</v>
      </c>
      <c r="C33" s="263">
        <v>-5374740.1202419661</v>
      </c>
      <c r="D33" s="263">
        <v>-6373023.4314982826</v>
      </c>
      <c r="E33" s="263">
        <v>-7197644.554012388</v>
      </c>
      <c r="F33" s="263">
        <v>-8071844.703043147</v>
      </c>
      <c r="G33" s="263">
        <f>SUM(C33:F33)</f>
        <v>-27017252.808795784</v>
      </c>
      <c r="H33" s="264">
        <f>G33/G$8</f>
        <v>-0.10210898823396605</v>
      </c>
      <c r="I33" s="263"/>
      <c r="J33" s="263">
        <v>-8238958.0238834433</v>
      </c>
      <c r="K33" s="263">
        <v>-9376478.1526626106</v>
      </c>
      <c r="L33" s="263">
        <v>-9466241.5327016953</v>
      </c>
      <c r="M33" s="263">
        <v>-9982357.4896836784</v>
      </c>
      <c r="N33" s="263">
        <f>SUM(J33:M33)</f>
        <v>-37064035.198931426</v>
      </c>
      <c r="O33" s="264">
        <f>N33/N$8</f>
        <v>-8.8796920583636085E-2</v>
      </c>
      <c r="P33" s="263"/>
      <c r="Q33" s="265">
        <v>-9711672.0003462564</v>
      </c>
      <c r="R33" s="264">
        <f>Q33/Q$8</f>
        <v>-6.6555755998393404E-2</v>
      </c>
      <c r="S33" s="264"/>
      <c r="T33" s="263">
        <f>N33*(1+$T$1)</f>
        <v>-55596052.798397139</v>
      </c>
      <c r="U33" s="264">
        <f>T33/T$8</f>
        <v>-8.8796920583636085E-2</v>
      </c>
      <c r="V33" s="264"/>
      <c r="W33" s="263">
        <f>T33*(1+$W$1)</f>
        <v>-83394079.197595716</v>
      </c>
      <c r="X33" s="264">
        <f>W33/W$8</f>
        <v>-8.8796920583636085E-2</v>
      </c>
      <c r="Y33" s="264"/>
      <c r="Z33" s="263">
        <f>W33*(1+$Z$1)</f>
        <v>-125091118.79639357</v>
      </c>
      <c r="AA33" s="264">
        <f>Z33/Z$8</f>
        <v>-8.8796920583636071E-2</v>
      </c>
      <c r="AB33" s="285" t="s">
        <v>329</v>
      </c>
      <c r="AC33" s="285"/>
      <c r="AD33" s="267"/>
      <c r="AE33" s="268"/>
      <c r="AF33" s="268"/>
      <c r="AG33" s="268"/>
      <c r="AH33" s="268"/>
    </row>
    <row r="34" spans="1:35" outlineLevel="1">
      <c r="B34" s="286"/>
      <c r="C34" s="263"/>
      <c r="D34" s="263"/>
      <c r="E34" s="263"/>
      <c r="F34" s="263"/>
      <c r="G34" s="263"/>
      <c r="H34" s="271"/>
      <c r="I34" s="263"/>
      <c r="J34" s="263"/>
      <c r="K34" s="263"/>
      <c r="L34" s="263"/>
      <c r="M34" s="263"/>
      <c r="N34" s="263"/>
      <c r="O34" s="271"/>
      <c r="P34" s="263"/>
      <c r="Q34" s="263"/>
      <c r="R34" s="271"/>
      <c r="S34" s="271"/>
      <c r="T34" s="263"/>
      <c r="U34" s="271"/>
      <c r="V34" s="271"/>
      <c r="W34" s="263"/>
      <c r="X34" s="271"/>
      <c r="Y34" s="271"/>
      <c r="Z34" s="263"/>
      <c r="AA34" s="271"/>
      <c r="AB34" s="266"/>
      <c r="AC34" s="266"/>
      <c r="AD34" s="267"/>
      <c r="AE34" s="268"/>
      <c r="AF34" s="268"/>
      <c r="AG34" s="268"/>
      <c r="AH34" s="268"/>
    </row>
    <row r="35" spans="1:35" s="294" customFormat="1" ht="12">
      <c r="A35" s="287"/>
      <c r="B35" s="306" t="s">
        <v>330</v>
      </c>
      <c r="C35" s="307">
        <f>SUM(C26,C30:C33)</f>
        <v>15650889.772500198</v>
      </c>
      <c r="D35" s="307">
        <f>SUM(D26,D30:D33)</f>
        <v>-13811785.003168767</v>
      </c>
      <c r="E35" s="307">
        <f>SUM(E26,E30:E33)</f>
        <v>15671496.60677642</v>
      </c>
      <c r="F35" s="307">
        <f>SUM(F26,F30:F33)</f>
        <v>154133.8838068489</v>
      </c>
      <c r="G35" s="307">
        <f>SUM(G26,G30:G33)</f>
        <v>17664735.25991476</v>
      </c>
      <c r="H35" s="290">
        <f>G35/G$8</f>
        <v>6.6762089305524672E-2</v>
      </c>
      <c r="I35" s="289"/>
      <c r="J35" s="307">
        <f>SUM(J26,J30:J33)</f>
        <v>28961573.42753477</v>
      </c>
      <c r="K35" s="307">
        <f>SUM(K26,K30:K33)</f>
        <v>5654285.5409466028</v>
      </c>
      <c r="L35" s="307">
        <f>SUM(L26,L30:L33)</f>
        <v>43029836.979462206</v>
      </c>
      <c r="M35" s="307">
        <f>SUM(M26,M30:M33)</f>
        <v>-4656788.5554106403</v>
      </c>
      <c r="N35" s="307">
        <f>SUM(N26,N30:N33)</f>
        <v>72988907.3925329</v>
      </c>
      <c r="O35" s="290">
        <f>N35/N$8</f>
        <v>0.17486466809226342</v>
      </c>
      <c r="P35" s="289"/>
      <c r="Q35" s="307">
        <f>SUM(Q26,Q30:Q33)</f>
        <v>41143123.064392619</v>
      </c>
      <c r="R35" s="290">
        <f>Q35/Q$8</f>
        <v>0.28196088784587831</v>
      </c>
      <c r="S35" s="290"/>
      <c r="T35" s="307">
        <f>SUM(T26,T30:T33)</f>
        <v>134527496.59844565</v>
      </c>
      <c r="U35" s="290">
        <f>T35/T$8</f>
        <v>0.21486466809226337</v>
      </c>
      <c r="V35" s="290"/>
      <c r="W35" s="307">
        <f>SUM(W26,W30:W33)</f>
        <v>220574346.52990341</v>
      </c>
      <c r="X35" s="290">
        <f>W35/W$8</f>
        <v>0.23486466809226356</v>
      </c>
      <c r="Y35" s="290"/>
      <c r="Z35" s="307">
        <f>SUM(Z26,Z30:Z33)</f>
        <v>359036172.2432071</v>
      </c>
      <c r="AA35" s="290">
        <f>Z35/Z$8</f>
        <v>0.25486466809226344</v>
      </c>
      <c r="AB35" s="291"/>
      <c r="AC35" s="291"/>
      <c r="AD35" s="292" t="s">
        <v>331</v>
      </c>
      <c r="AE35" s="293">
        <f>N35/G35-1</f>
        <v>3.1318993077785366</v>
      </c>
      <c r="AF35" s="293">
        <f>T35/N35-1</f>
        <v>0.84312248811945412</v>
      </c>
      <c r="AG35" s="293">
        <f>W35/T35-1</f>
        <v>0.63962276937555052</v>
      </c>
      <c r="AH35" s="293">
        <f>Z35/W35-1</f>
        <v>0.62773313348355453</v>
      </c>
    </row>
    <row r="36" spans="1:35" ht="12">
      <c r="B36" s="295" t="s">
        <v>332</v>
      </c>
      <c r="C36" s="296">
        <f>C35/C8</f>
        <v>0.24824310286475221</v>
      </c>
      <c r="D36" s="296">
        <f>D35/D8</f>
        <v>-0.32475604640581529</v>
      </c>
      <c r="E36" s="296">
        <f>E35/E8</f>
        <v>0.18094634970809415</v>
      </c>
      <c r="F36" s="296">
        <f>F35/F8</f>
        <v>2.128702507254933E-3</v>
      </c>
      <c r="G36" s="296">
        <f>G35/G8</f>
        <v>6.6762089305524672E-2</v>
      </c>
      <c r="H36" s="264"/>
      <c r="I36" s="298"/>
      <c r="J36" s="296">
        <f>J35/J8</f>
        <v>0.2779730776096469</v>
      </c>
      <c r="K36" s="296">
        <f>K35/K8</f>
        <v>7.5571744250985409E-2</v>
      </c>
      <c r="L36" s="296">
        <f>L35/L8</f>
        <v>0.30702128314140215</v>
      </c>
      <c r="M36" s="296">
        <f>M35/M8</f>
        <v>-4.7401620018089605E-2</v>
      </c>
      <c r="N36" s="296">
        <f>N35/N8</f>
        <v>0.17486466809226342</v>
      </c>
      <c r="O36" s="264"/>
      <c r="P36" s="298"/>
      <c r="Q36" s="296">
        <f>Q35/Q8</f>
        <v>0.28196088784587831</v>
      </c>
      <c r="R36" s="264"/>
      <c r="S36" s="264"/>
      <c r="T36" s="296">
        <f>T35/T8</f>
        <v>0.21486466809226337</v>
      </c>
      <c r="U36" s="264"/>
      <c r="V36" s="264"/>
      <c r="W36" s="296">
        <f>W35/W8</f>
        <v>0.23486466809226356</v>
      </c>
      <c r="X36" s="264"/>
      <c r="Y36" s="264"/>
      <c r="Z36" s="296">
        <f>Z35/Z8</f>
        <v>0.25486466809226344</v>
      </c>
      <c r="AA36" s="264"/>
      <c r="AB36" s="266"/>
      <c r="AC36" s="266"/>
      <c r="AD36" s="300" t="s">
        <v>333</v>
      </c>
      <c r="AE36" s="301">
        <f>N36-G36</f>
        <v>0.10810257878673875</v>
      </c>
      <c r="AF36" s="301">
        <f>T36-N36</f>
        <v>3.9999999999999952E-2</v>
      </c>
      <c r="AG36" s="301">
        <f>W36-T36</f>
        <v>2.0000000000000184E-2</v>
      </c>
      <c r="AH36" s="301">
        <f>Z36-W36</f>
        <v>1.9999999999999879E-2</v>
      </c>
    </row>
    <row r="37" spans="1:35">
      <c r="B37" s="286"/>
      <c r="C37" s="263"/>
      <c r="D37" s="263"/>
      <c r="E37" s="263"/>
      <c r="F37" s="263"/>
      <c r="G37" s="263"/>
      <c r="H37" s="271"/>
      <c r="I37" s="263"/>
      <c r="J37" s="263"/>
      <c r="K37" s="263"/>
      <c r="L37" s="263"/>
      <c r="M37" s="263"/>
      <c r="N37" s="263"/>
      <c r="O37" s="271"/>
      <c r="P37" s="263"/>
      <c r="Q37" s="263"/>
      <c r="R37" s="271"/>
      <c r="S37" s="271"/>
      <c r="T37" s="263"/>
      <c r="U37" s="271"/>
      <c r="V37" s="271"/>
      <c r="W37" s="263"/>
      <c r="X37" s="271"/>
      <c r="Y37" s="271"/>
      <c r="Z37" s="263"/>
      <c r="AA37" s="271"/>
      <c r="AB37" s="266"/>
      <c r="AC37" s="266"/>
      <c r="AD37" s="267"/>
      <c r="AE37" s="268"/>
      <c r="AF37" s="268"/>
      <c r="AG37" s="268"/>
      <c r="AH37" s="268"/>
    </row>
    <row r="38" spans="1:35" ht="12" outlineLevel="1">
      <c r="B38" s="308" t="s">
        <v>334</v>
      </c>
      <c r="C38" s="263"/>
      <c r="D38" s="263"/>
      <c r="E38" s="263"/>
      <c r="F38" s="263"/>
      <c r="G38" s="263"/>
      <c r="H38" s="271"/>
      <c r="I38" s="263"/>
      <c r="J38" s="263"/>
      <c r="K38" s="263"/>
      <c r="L38" s="263"/>
      <c r="M38" s="263"/>
      <c r="N38" s="263"/>
      <c r="O38" s="271"/>
      <c r="P38" s="263"/>
      <c r="Q38" s="263"/>
      <c r="R38" s="271"/>
      <c r="S38" s="271"/>
      <c r="T38" s="263"/>
      <c r="U38" s="271"/>
      <c r="V38" s="271"/>
      <c r="W38" s="263"/>
      <c r="X38" s="271"/>
      <c r="Y38" s="271"/>
      <c r="Z38" s="263"/>
      <c r="AA38" s="271"/>
      <c r="AB38" s="266"/>
      <c r="AC38" s="266"/>
      <c r="AD38" s="267"/>
      <c r="AE38" s="268"/>
      <c r="AF38" s="268"/>
      <c r="AG38" s="268"/>
      <c r="AH38" s="268"/>
    </row>
    <row r="39" spans="1:35" ht="12" outlineLevel="1">
      <c r="B39" s="270" t="s">
        <v>335</v>
      </c>
      <c r="C39" s="263">
        <v>-4517937.0275177602</v>
      </c>
      <c r="D39" s="263">
        <v>-5185843.3426249176</v>
      </c>
      <c r="E39" s="263">
        <v>-5991051.6987549998</v>
      </c>
      <c r="F39" s="263">
        <v>-6712776.2308941148</v>
      </c>
      <c r="G39" s="263">
        <f>SUM(C39:F39)</f>
        <v>-22407608.299791791</v>
      </c>
      <c r="H39" s="264">
        <f>G39/G$8</f>
        <v>-8.468730068254271E-2</v>
      </c>
      <c r="I39" s="263"/>
      <c r="J39" s="263">
        <f>-6637906.7438186</f>
        <v>-6637906.7438185997</v>
      </c>
      <c r="K39" s="263">
        <f>-7059965.76349151</f>
        <v>-7059965.7634915104</v>
      </c>
      <c r="L39" s="263">
        <v>-7669694.6503903922</v>
      </c>
      <c r="M39" s="263">
        <v>-10337769.528041795</v>
      </c>
      <c r="N39" s="263">
        <f>SUM(J39:M39)</f>
        <v>-31705336.685742296</v>
      </c>
      <c r="O39" s="264">
        <f>N39/N$8</f>
        <v>-7.5958708992443155E-2</v>
      </c>
      <c r="P39" s="263"/>
      <c r="Q39" s="265">
        <v>-8012664.7045393307</v>
      </c>
      <c r="R39" s="264">
        <f>Q39/Q$8</f>
        <v>-5.491216723065246E-2</v>
      </c>
      <c r="S39" s="264"/>
      <c r="T39" s="263">
        <f>N39*(1+$T$1)</f>
        <v>-47558005.028613448</v>
      </c>
      <c r="U39" s="264">
        <f>T39/T$8</f>
        <v>-7.5958708992443169E-2</v>
      </c>
      <c r="V39" s="264"/>
      <c r="W39" s="263">
        <f>T39*(1+$W$1)</f>
        <v>-71337007.542920172</v>
      </c>
      <c r="X39" s="264">
        <f>W39/W$8</f>
        <v>-7.5958708992443155E-2</v>
      </c>
      <c r="Y39" s="264"/>
      <c r="Z39" s="263">
        <f>W39*(1+$Z$1)</f>
        <v>-107005511.31438026</v>
      </c>
      <c r="AA39" s="264">
        <f>Z39/Z$8</f>
        <v>-7.5958708992443155E-2</v>
      </c>
      <c r="AB39" s="285" t="s">
        <v>336</v>
      </c>
      <c r="AC39" s="285"/>
      <c r="AD39" s="267"/>
      <c r="AE39" s="268"/>
      <c r="AF39" s="268"/>
      <c r="AG39" s="268"/>
      <c r="AH39" s="268"/>
    </row>
    <row r="40" spans="1:35" ht="12" outlineLevel="1">
      <c r="B40" s="270" t="s">
        <v>337</v>
      </c>
      <c r="C40" s="263">
        <v>-10050802.9258161</v>
      </c>
      <c r="D40" s="263">
        <v>-11321143.5953144</v>
      </c>
      <c r="E40" s="263">
        <v>-17079183.576506302</v>
      </c>
      <c r="F40" s="263">
        <v>-17756556.035816599</v>
      </c>
      <c r="G40" s="263">
        <f>SUM(C40:F40)</f>
        <v>-56207686.133453399</v>
      </c>
      <c r="H40" s="264">
        <f>G40/G$8</f>
        <v>-0.21243129353961371</v>
      </c>
      <c r="I40" s="263"/>
      <c r="J40" s="263">
        <v>-10253773.581319463</v>
      </c>
      <c r="K40" s="263">
        <v>-8204469.3087475039</v>
      </c>
      <c r="L40" s="263">
        <v>-10322660.33238011</v>
      </c>
      <c r="M40" s="263">
        <v>-8053308.4929051353</v>
      </c>
      <c r="N40" s="263">
        <f>SUM(J40:M40)</f>
        <v>-36834211.715352207</v>
      </c>
      <c r="O40" s="264">
        <f>N40/N$8</f>
        <v>-8.8246316271123809E-2</v>
      </c>
      <c r="P40" s="263"/>
      <c r="Q40" s="265">
        <v>-16790510.33687593</v>
      </c>
      <c r="R40" s="264">
        <f>Q40/Q$8</f>
        <v>-0.11506825076359391</v>
      </c>
      <c r="S40" s="264"/>
      <c r="T40" s="263">
        <f>N40*(1+$T$1)</f>
        <v>-55251317.573028311</v>
      </c>
      <c r="U40" s="264">
        <f>T40/T$8</f>
        <v>-8.8246316271123809E-2</v>
      </c>
      <c r="V40" s="264"/>
      <c r="W40" s="263">
        <f>T40*(1+$W$1)</f>
        <v>-82876976.359542459</v>
      </c>
      <c r="X40" s="264">
        <f>W40/W$8</f>
        <v>-8.8246316271123781E-2</v>
      </c>
      <c r="Y40" s="264"/>
      <c r="Z40" s="263">
        <f>W40*(1+$Z$1)</f>
        <v>-124315464.53931369</v>
      </c>
      <c r="AA40" s="264">
        <f>Z40/Z$8</f>
        <v>-8.8246316271123781E-2</v>
      </c>
      <c r="AB40" s="285" t="s">
        <v>338</v>
      </c>
      <c r="AC40" s="285"/>
      <c r="AD40" s="267"/>
      <c r="AE40" s="268"/>
      <c r="AF40" s="268"/>
      <c r="AG40" s="268"/>
      <c r="AH40" s="268"/>
    </row>
    <row r="41" spans="1:35" ht="12" outlineLevel="1">
      <c r="B41" s="270" t="s">
        <v>339</v>
      </c>
      <c r="C41" s="263">
        <v>-4608067.6656275121</v>
      </c>
      <c r="D41" s="263">
        <v>-6324407.2325609513</v>
      </c>
      <c r="E41" s="263">
        <v>-6763045.2179967659</v>
      </c>
      <c r="F41" s="263">
        <v>-7324615.8921485748</v>
      </c>
      <c r="G41" s="263">
        <f>SUM(C41:F41)</f>
        <v>-25020136.008333802</v>
      </c>
      <c r="H41" s="264">
        <f>G41/G$8</f>
        <v>-9.4561086257276605E-2</v>
      </c>
      <c r="I41" s="263"/>
      <c r="J41" s="263">
        <v>-6513507.400096694</v>
      </c>
      <c r="K41" s="263">
        <v>-6802453.5312443087</v>
      </c>
      <c r="L41" s="263">
        <v>-7520269.1190268453</v>
      </c>
      <c r="M41" s="263">
        <v>-7867497.7853567749</v>
      </c>
      <c r="N41" s="263">
        <f>SUM(J41:M41)</f>
        <v>-28703727.835724622</v>
      </c>
      <c r="O41" s="264">
        <f>N41/N$8</f>
        <v>-6.8767543183118576E-2</v>
      </c>
      <c r="P41" s="263"/>
      <c r="Q41" s="265">
        <v>-8983957.0080873817</v>
      </c>
      <c r="R41" s="264">
        <f>Q41/Q$8</f>
        <v>-6.156860018635326E-2</v>
      </c>
      <c r="S41" s="264"/>
      <c r="T41" s="263">
        <f>N41*(1+$T$1)</f>
        <v>-43055591.753586933</v>
      </c>
      <c r="U41" s="264">
        <f>T41/T$8</f>
        <v>-6.8767543183118576E-2</v>
      </c>
      <c r="V41" s="264"/>
      <c r="W41" s="263">
        <f>T41*(1+$W$1)</f>
        <v>-64583387.6303804</v>
      </c>
      <c r="X41" s="264">
        <f>W41/W$8</f>
        <v>-6.8767543183118562E-2</v>
      </c>
      <c r="Y41" s="264"/>
      <c r="Z41" s="263">
        <f>W41*(1+$Z$1)</f>
        <v>-96875081.445570603</v>
      </c>
      <c r="AA41" s="264">
        <f>Z41/Z$8</f>
        <v>-6.8767543183118562E-2</v>
      </c>
      <c r="AB41" s="266"/>
      <c r="AC41" s="266"/>
      <c r="AD41" s="267"/>
      <c r="AE41" s="268"/>
      <c r="AF41" s="268"/>
      <c r="AG41" s="268"/>
      <c r="AH41" s="268"/>
    </row>
    <row r="42" spans="1:35" outlineLevel="1">
      <c r="B42" s="286"/>
      <c r="C42" s="263"/>
      <c r="D42" s="263"/>
      <c r="E42" s="263"/>
      <c r="F42" s="263"/>
      <c r="G42" s="263"/>
      <c r="H42" s="271"/>
      <c r="I42" s="263"/>
      <c r="J42" s="263"/>
      <c r="K42" s="263"/>
      <c r="L42" s="263"/>
      <c r="M42" s="263"/>
      <c r="N42" s="263"/>
      <c r="O42" s="271"/>
      <c r="P42" s="263"/>
      <c r="Q42" s="263"/>
      <c r="R42" s="271"/>
      <c r="S42" s="271"/>
      <c r="T42" s="263"/>
      <c r="U42" s="271"/>
      <c r="V42" s="271"/>
      <c r="W42" s="263"/>
      <c r="X42" s="271"/>
      <c r="Y42" s="271"/>
      <c r="Z42" s="263"/>
      <c r="AA42" s="271"/>
      <c r="AB42" s="266"/>
      <c r="AC42" s="266"/>
      <c r="AD42" s="267"/>
      <c r="AE42" s="268"/>
      <c r="AF42" s="268"/>
      <c r="AG42" s="268"/>
      <c r="AH42" s="268"/>
    </row>
    <row r="43" spans="1:35" s="294" customFormat="1" ht="12">
      <c r="A43" s="287"/>
      <c r="B43" s="288" t="s">
        <v>340</v>
      </c>
      <c r="C43" s="307">
        <f>SUM(C35,C39:C41)</f>
        <v>-3525917.8464611741</v>
      </c>
      <c r="D43" s="307">
        <f>SUM(D35,D39:D41)</f>
        <v>-36643179.17366904</v>
      </c>
      <c r="E43" s="307">
        <f>SUM(E35,E39:E41)</f>
        <v>-14161783.886481646</v>
      </c>
      <c r="F43" s="307">
        <f>SUM(F35,F39:F41)</f>
        <v>-31639814.275052443</v>
      </c>
      <c r="G43" s="307">
        <f>SUM(G35,G39:G41)</f>
        <v>-85970695.181664228</v>
      </c>
      <c r="H43" s="290">
        <f>G43/G$8</f>
        <v>-0.32491759117390834</v>
      </c>
      <c r="I43" s="289"/>
      <c r="J43" s="307">
        <f>SUM(J35,J39:J41)</f>
        <v>5556385.702300014</v>
      </c>
      <c r="K43" s="307">
        <f>SUM(K35,K39:K41)</f>
        <v>-16412603.06253672</v>
      </c>
      <c r="L43" s="307">
        <f>SUM(L35,L39:L41)</f>
        <v>17517212.877664857</v>
      </c>
      <c r="M43" s="307">
        <f>SUM(M35,M39:M41)</f>
        <v>-30915364.361714344</v>
      </c>
      <c r="N43" s="307">
        <f>SUM(N35,N39:N41)</f>
        <v>-24254368.844286226</v>
      </c>
      <c r="O43" s="290">
        <f>N43/N$8</f>
        <v>-5.8107900354422114E-2</v>
      </c>
      <c r="P43" s="289"/>
      <c r="Q43" s="307">
        <f>SUM(Q35,Q39:Q41)</f>
        <v>7355991.0148899779</v>
      </c>
      <c r="R43" s="290">
        <f>Q43/Q$8</f>
        <v>5.041186966527867E-2</v>
      </c>
      <c r="S43" s="290"/>
      <c r="T43" s="307">
        <f>SUM(T35,T39:T41)</f>
        <v>-11337417.756783038</v>
      </c>
      <c r="U43" s="290">
        <f>T43/T$8</f>
        <v>-1.8107900354422165E-2</v>
      </c>
      <c r="V43" s="290"/>
      <c r="W43" s="307">
        <f>SUM(W35,W39:W41)</f>
        <v>1776974.9970603809</v>
      </c>
      <c r="X43" s="290">
        <f>W43/W$8</f>
        <v>1.8920996455780369E-3</v>
      </c>
      <c r="Y43" s="290"/>
      <c r="Z43" s="307">
        <f>SUM(Z35,Z39:Z41)</f>
        <v>30840114.943942547</v>
      </c>
      <c r="AA43" s="290">
        <f>Z43/Z$8</f>
        <v>2.189209964557793E-2</v>
      </c>
      <c r="AB43" s="291"/>
      <c r="AC43" s="291"/>
      <c r="AD43" s="292" t="s">
        <v>341</v>
      </c>
      <c r="AE43" s="293">
        <f>-(N43/G43-1)</f>
        <v>0.71787632061094253</v>
      </c>
      <c r="AF43" s="293">
        <f>-(T43/N43-1)</f>
        <v>0.53256183124905876</v>
      </c>
      <c r="AG43" s="293">
        <f>-(W43/T43-1)</f>
        <v>1.1567354255775957</v>
      </c>
      <c r="AH43" s="293">
        <f>Z43/W43-1</f>
        <v>16.355401733260635</v>
      </c>
    </row>
    <row r="44" spans="1:35" s="246" customFormat="1" ht="12">
      <c r="B44" s="295" t="s">
        <v>342</v>
      </c>
      <c r="C44" s="296">
        <f>C43/C8</f>
        <v>-5.5925560742857483E-2</v>
      </c>
      <c r="D44" s="296">
        <f>D43/D8</f>
        <v>-0.86158986644018065</v>
      </c>
      <c r="E44" s="296">
        <f>E43/E8</f>
        <v>-0.16351489356196619</v>
      </c>
      <c r="F44" s="296">
        <f>F43/F8</f>
        <v>-0.43696914859282748</v>
      </c>
      <c r="G44" s="296">
        <f>G43/G8</f>
        <v>-0.32491759117390834</v>
      </c>
      <c r="H44" s="264"/>
      <c r="I44" s="298"/>
      <c r="J44" s="296">
        <f>J43/J8</f>
        <v>5.3330169989526201E-2</v>
      </c>
      <c r="K44" s="296">
        <f>K43/K8</f>
        <v>-0.21936087807254909</v>
      </c>
      <c r="L44" s="296">
        <f>L43/L8</f>
        <v>0.12498669649454422</v>
      </c>
      <c r="M44" s="296">
        <f>M43/M8</f>
        <v>-0.31468861786565461</v>
      </c>
      <c r="N44" s="296">
        <f>N43/N8</f>
        <v>-5.8107900354422114E-2</v>
      </c>
      <c r="O44" s="264"/>
      <c r="P44" s="298"/>
      <c r="Q44" s="296">
        <f>Q43/Q8</f>
        <v>5.041186966527867E-2</v>
      </c>
      <c r="R44" s="264"/>
      <c r="S44" s="264"/>
      <c r="T44" s="296">
        <f>T43/T8</f>
        <v>-1.8107900354422165E-2</v>
      </c>
      <c r="U44" s="264"/>
      <c r="V44" s="264"/>
      <c r="W44" s="296">
        <f>W43/W8</f>
        <v>1.8920996455780369E-3</v>
      </c>
      <c r="X44" s="264"/>
      <c r="Y44" s="264"/>
      <c r="Z44" s="296">
        <f>Z43/Z8</f>
        <v>2.189209964557793E-2</v>
      </c>
      <c r="AA44" s="264"/>
      <c r="AB44" s="299"/>
      <c r="AC44" s="299"/>
      <c r="AD44" s="300" t="s">
        <v>343</v>
      </c>
      <c r="AE44" s="301">
        <f>N44-G44</f>
        <v>0.26680969081948624</v>
      </c>
      <c r="AF44" s="301">
        <f>T44-N44</f>
        <v>3.9999999999999952E-2</v>
      </c>
      <c r="AG44" s="301">
        <f>W44-T44</f>
        <v>2.0000000000000202E-2</v>
      </c>
      <c r="AH44" s="301">
        <f>Z44-W44</f>
        <v>1.9999999999999893E-2</v>
      </c>
    </row>
    <row r="45" spans="1:35">
      <c r="B45" s="268"/>
      <c r="C45" s="268"/>
      <c r="D45" s="268"/>
      <c r="E45" s="268"/>
      <c r="F45" s="268"/>
      <c r="G45" s="268"/>
      <c r="H45" s="309"/>
      <c r="I45" s="268"/>
      <c r="J45" s="268"/>
      <c r="K45" s="268"/>
      <c r="L45" s="268"/>
      <c r="M45" s="268"/>
      <c r="N45" s="268"/>
      <c r="O45" s="309"/>
      <c r="P45" s="268"/>
      <c r="Q45" s="268"/>
      <c r="R45" s="301"/>
      <c r="S45" s="301"/>
      <c r="T45" s="268"/>
      <c r="U45" s="309"/>
      <c r="V45" s="309"/>
      <c r="W45" s="268"/>
      <c r="X45" s="309"/>
      <c r="Y45" s="309"/>
      <c r="Z45" s="268"/>
      <c r="AA45" s="309"/>
      <c r="AB45" s="284"/>
      <c r="AC45" s="284"/>
      <c r="AD45" s="267"/>
      <c r="AE45" s="267"/>
      <c r="AF45" s="267"/>
      <c r="AG45" s="267"/>
      <c r="AH45" s="267"/>
    </row>
    <row r="46" spans="1:35" s="320" customFormat="1" ht="12">
      <c r="A46" s="310"/>
      <c r="B46" s="311" t="s">
        <v>344</v>
      </c>
      <c r="C46" s="312"/>
      <c r="D46" s="312"/>
      <c r="E46" s="312"/>
      <c r="F46" s="312"/>
      <c r="G46" s="312"/>
      <c r="H46" s="313"/>
      <c r="I46" s="312"/>
      <c r="J46" s="312"/>
      <c r="K46" s="312"/>
      <c r="L46" s="312"/>
      <c r="M46" s="312"/>
      <c r="N46" s="312"/>
      <c r="O46" s="313"/>
      <c r="P46" s="312"/>
      <c r="Q46" s="312"/>
      <c r="R46" s="314"/>
      <c r="S46" s="314"/>
      <c r="T46" s="315">
        <v>0.15</v>
      </c>
      <c r="U46" s="313"/>
      <c r="V46" s="313"/>
      <c r="W46" s="315">
        <v>0.15</v>
      </c>
      <c r="X46" s="313"/>
      <c r="Y46" s="313"/>
      <c r="Z46" s="315">
        <v>0.15</v>
      </c>
      <c r="AA46" s="313"/>
      <c r="AB46" s="316"/>
      <c r="AC46" s="316"/>
      <c r="AD46" s="317" t="s">
        <v>345</v>
      </c>
      <c r="AE46" s="318">
        <f>N54/G54-1</f>
        <v>2.1350136866080449E-2</v>
      </c>
      <c r="AF46" s="318">
        <f>T54/N54-1</f>
        <v>0.14999999999999991</v>
      </c>
      <c r="AG46" s="318">
        <f>W54/T54-1</f>
        <v>0.14999999999999991</v>
      </c>
      <c r="AH46" s="318">
        <f>Z54/W54-1</f>
        <v>0.14999999999999991</v>
      </c>
      <c r="AI46" s="319" t="s">
        <v>346</v>
      </c>
    </row>
    <row r="47" spans="1:35" hidden="1" outlineLevel="1">
      <c r="B47" s="267" t="s">
        <v>347</v>
      </c>
      <c r="C47" s="268">
        <v>6398505</v>
      </c>
      <c r="D47" s="268">
        <v>6043522</v>
      </c>
      <c r="E47" s="268">
        <v>7270255</v>
      </c>
      <c r="F47" s="268">
        <v>5893081</v>
      </c>
      <c r="G47" s="263">
        <f>SUM(C47:F47)</f>
        <v>25605363</v>
      </c>
      <c r="H47" s="264">
        <f>G47/G$54</f>
        <v>0.20360591175716861</v>
      </c>
      <c r="I47" s="268"/>
      <c r="J47" s="263">
        <v>6939382</v>
      </c>
      <c r="K47" s="263">
        <v>5445600</v>
      </c>
      <c r="L47" s="263">
        <v>8081870</v>
      </c>
      <c r="M47" s="263">
        <v>7458215</v>
      </c>
      <c r="N47" s="263">
        <f>SUM(J47:M47)</f>
        <v>27925067</v>
      </c>
      <c r="O47" s="264">
        <f>N47/N$54</f>
        <v>0.21740975117102995</v>
      </c>
      <c r="P47" s="268"/>
      <c r="Q47" s="268">
        <v>7716286</v>
      </c>
      <c r="R47" s="264">
        <f>Q47/Q$54</f>
        <v>0.22610487372733548</v>
      </c>
      <c r="S47" s="264"/>
      <c r="T47" s="263">
        <f>N47*(1+T$46)</f>
        <v>32113827.049999997</v>
      </c>
      <c r="U47" s="264">
        <f>T47/T$54</f>
        <v>0.21740975117102995</v>
      </c>
      <c r="V47" s="264"/>
      <c r="W47" s="263">
        <f>T47*(1+W$46)</f>
        <v>36930901.107499994</v>
      </c>
      <c r="X47" s="264">
        <f>W47/W$54</f>
        <v>0.21740975117102995</v>
      </c>
      <c r="Y47" s="264"/>
      <c r="Z47" s="263">
        <f>W47*(1+Z$46)</f>
        <v>42470536.273624994</v>
      </c>
      <c r="AA47" s="264">
        <f>Z47/Z$54</f>
        <v>0.21740975117102995</v>
      </c>
      <c r="AB47" s="284"/>
      <c r="AC47" s="284"/>
      <c r="AD47" s="267"/>
      <c r="AE47" s="267"/>
      <c r="AF47" s="267"/>
      <c r="AG47" s="267"/>
      <c r="AH47" s="267"/>
    </row>
    <row r="48" spans="1:35" hidden="1" outlineLevel="1">
      <c r="B48" s="267" t="s">
        <v>348</v>
      </c>
      <c r="C48" s="268">
        <v>9087736</v>
      </c>
      <c r="D48" s="268">
        <v>13010390</v>
      </c>
      <c r="E48" s="268">
        <v>10266695</v>
      </c>
      <c r="F48" s="268">
        <v>10129713</v>
      </c>
      <c r="G48" s="263">
        <f t="shared" ref="G48:G56" si="5">SUM(C48:F48)</f>
        <v>42494534</v>
      </c>
      <c r="H48" s="264">
        <f t="shared" ref="H48:H56" si="6">G48/G$54</f>
        <v>0.33790336578184821</v>
      </c>
      <c r="I48" s="268"/>
      <c r="J48" s="263">
        <v>9558521</v>
      </c>
      <c r="K48" s="263">
        <v>11639916</v>
      </c>
      <c r="L48" s="263">
        <v>10520307</v>
      </c>
      <c r="M48" s="263">
        <v>10658399</v>
      </c>
      <c r="N48" s="263">
        <f t="shared" ref="N48:N56" si="7">SUM(J48:M48)</f>
        <v>42377143</v>
      </c>
      <c r="O48" s="264">
        <f t="shared" ref="O48:O56" si="8">N48/N$54</f>
        <v>0.32992594484980658</v>
      </c>
      <c r="P48" s="268"/>
      <c r="Q48" s="268">
        <v>10206678</v>
      </c>
      <c r="R48" s="264">
        <f t="shared" ref="R48:R56" si="9">Q48/Q$54</f>
        <v>0.29907906995225075</v>
      </c>
      <c r="S48" s="264"/>
      <c r="T48" s="263">
        <f>N48*(1+T$46)</f>
        <v>48733714.449999996</v>
      </c>
      <c r="U48" s="264">
        <f t="shared" ref="U48:U54" si="10">T48/T$54</f>
        <v>0.32992594484980658</v>
      </c>
      <c r="V48" s="264"/>
      <c r="W48" s="263">
        <f>T48*(1+W$46)</f>
        <v>56043771.617499992</v>
      </c>
      <c r="X48" s="264">
        <f t="shared" ref="X48:X54" si="11">W48/W$54</f>
        <v>0.32992594484980658</v>
      </c>
      <c r="Y48" s="264"/>
      <c r="Z48" s="263">
        <f>W48*(1+Z$46)</f>
        <v>64450337.360124983</v>
      </c>
      <c r="AA48" s="264">
        <f t="shared" ref="AA48:AA54" si="12">Z48/Z$54</f>
        <v>0.32992594484980653</v>
      </c>
      <c r="AB48" s="284"/>
      <c r="AC48" s="284"/>
      <c r="AD48" s="267"/>
      <c r="AE48" s="267"/>
      <c r="AF48" s="267"/>
      <c r="AG48" s="267"/>
      <c r="AH48" s="267"/>
    </row>
    <row r="49" spans="1:34" hidden="1" outlineLevel="1">
      <c r="B49" s="267" t="s">
        <v>349</v>
      </c>
      <c r="C49" s="268">
        <v>10404950</v>
      </c>
      <c r="D49" s="268">
        <v>12252978</v>
      </c>
      <c r="E49" s="268">
        <v>17686892</v>
      </c>
      <c r="F49" s="268">
        <v>9988094</v>
      </c>
      <c r="G49" s="263">
        <f t="shared" si="5"/>
        <v>50332914</v>
      </c>
      <c r="H49" s="264">
        <f t="shared" si="6"/>
        <v>0.40023173451456856</v>
      </c>
      <c r="I49" s="268"/>
      <c r="J49" s="263">
        <v>16518246</v>
      </c>
      <c r="K49" s="263">
        <v>9496726</v>
      </c>
      <c r="L49" s="263">
        <v>16113746</v>
      </c>
      <c r="M49" s="263">
        <v>9991806</v>
      </c>
      <c r="N49" s="263">
        <f t="shared" si="7"/>
        <v>52120524</v>
      </c>
      <c r="O49" s="264">
        <f t="shared" si="8"/>
        <v>0.40578273827395633</v>
      </c>
      <c r="P49" s="268"/>
      <c r="Q49" s="268">
        <v>14803517</v>
      </c>
      <c r="R49" s="264">
        <f t="shared" si="9"/>
        <v>0.4337769934921365</v>
      </c>
      <c r="S49" s="264"/>
      <c r="T49" s="263">
        <f>N49*(1+T$46)</f>
        <v>59938602.599999994</v>
      </c>
      <c r="U49" s="264">
        <f t="shared" si="10"/>
        <v>0.40578273827395628</v>
      </c>
      <c r="V49" s="264"/>
      <c r="W49" s="263">
        <f>T49*(1+W$46)</f>
        <v>68929392.989999995</v>
      </c>
      <c r="X49" s="264">
        <f t="shared" si="11"/>
        <v>0.40578273827395633</v>
      </c>
      <c r="Y49" s="264"/>
      <c r="Z49" s="263">
        <f>W49*(1+Z$46)</f>
        <v>79268801.938499987</v>
      </c>
      <c r="AA49" s="264">
        <f t="shared" si="12"/>
        <v>0.40578273827395633</v>
      </c>
      <c r="AB49" s="284"/>
      <c r="AC49" s="284"/>
      <c r="AD49" s="267"/>
      <c r="AE49" s="267"/>
      <c r="AF49" s="267"/>
      <c r="AG49" s="267"/>
      <c r="AH49" s="267"/>
    </row>
    <row r="50" spans="1:34" hidden="1" outlineLevel="1">
      <c r="B50" s="267" t="s">
        <v>350</v>
      </c>
      <c r="C50" s="268"/>
      <c r="D50" s="268"/>
      <c r="E50" s="268"/>
      <c r="F50" s="268"/>
      <c r="G50" s="268"/>
      <c r="H50" s="309"/>
      <c r="I50" s="268"/>
      <c r="J50" s="268"/>
      <c r="K50" s="268"/>
      <c r="L50" s="268"/>
      <c r="M50" s="268"/>
      <c r="N50" s="268"/>
      <c r="O50" s="309"/>
      <c r="P50" s="268"/>
      <c r="Q50" s="268"/>
      <c r="R50" s="309"/>
      <c r="S50" s="309"/>
      <c r="T50" s="268"/>
      <c r="U50" s="309"/>
      <c r="V50" s="309"/>
      <c r="W50" s="268"/>
      <c r="X50" s="309"/>
      <c r="Y50" s="309"/>
      <c r="Z50" s="268"/>
      <c r="AA50" s="309"/>
      <c r="AB50" s="284"/>
      <c r="AC50" s="284"/>
      <c r="AD50" s="267"/>
      <c r="AE50" s="267"/>
      <c r="AF50" s="267"/>
      <c r="AG50" s="267"/>
      <c r="AH50" s="267"/>
    </row>
    <row r="51" spans="1:34" hidden="1" outlineLevel="1">
      <c r="B51" s="267" t="s">
        <v>351</v>
      </c>
      <c r="C51" s="268">
        <v>3112570</v>
      </c>
      <c r="D51" s="268">
        <v>1086208</v>
      </c>
      <c r="E51" s="268">
        <v>1284973</v>
      </c>
      <c r="F51" s="268">
        <v>1842866</v>
      </c>
      <c r="G51" s="263">
        <f t="shared" si="5"/>
        <v>7326617</v>
      </c>
      <c r="H51" s="264">
        <f t="shared" si="6"/>
        <v>5.8258987946414639E-2</v>
      </c>
      <c r="I51" s="268"/>
      <c r="J51" s="263">
        <v>1383647</v>
      </c>
      <c r="K51" s="263">
        <v>1770570</v>
      </c>
      <c r="L51" s="263">
        <v>1571587</v>
      </c>
      <c r="M51" s="263">
        <v>1295871</v>
      </c>
      <c r="N51" s="263">
        <f t="shared" si="7"/>
        <v>6021675</v>
      </c>
      <c r="O51" s="264">
        <f t="shared" si="8"/>
        <v>4.6881565705207143E-2</v>
      </c>
      <c r="P51" s="268"/>
      <c r="Q51" s="268">
        <v>1400541</v>
      </c>
      <c r="R51" s="264">
        <f t="shared" si="9"/>
        <v>4.1039062828277253E-2</v>
      </c>
      <c r="S51" s="264"/>
      <c r="T51" s="263">
        <f>N51*(1+T$46)</f>
        <v>6924926.2499999991</v>
      </c>
      <c r="U51" s="264">
        <f t="shared" si="10"/>
        <v>4.6881565705207143E-2</v>
      </c>
      <c r="V51" s="264"/>
      <c r="W51" s="263">
        <f>T51*(1+W$46)</f>
        <v>7963665.1874999981</v>
      </c>
      <c r="X51" s="264">
        <f t="shared" si="11"/>
        <v>4.6881565705207143E-2</v>
      </c>
      <c r="Y51" s="264"/>
      <c r="Z51" s="263">
        <f>W51*(1+Z$46)</f>
        <v>9158214.9656249974</v>
      </c>
      <c r="AA51" s="264">
        <f t="shared" si="12"/>
        <v>4.6881565705207143E-2</v>
      </c>
      <c r="AB51" s="284"/>
      <c r="AC51" s="284"/>
      <c r="AD51" s="267"/>
      <c r="AE51" s="267"/>
      <c r="AF51" s="267"/>
      <c r="AG51" s="267"/>
      <c r="AH51" s="267"/>
    </row>
    <row r="52" spans="1:34" hidden="1" outlineLevel="1">
      <c r="B52" s="267" t="s">
        <v>352</v>
      </c>
      <c r="C52" s="268">
        <v>29003761</v>
      </c>
      <c r="D52" s="268">
        <v>32393098</v>
      </c>
      <c r="E52" s="268">
        <v>36508815</v>
      </c>
      <c r="F52" s="268">
        <v>27853754</v>
      </c>
      <c r="G52" s="263">
        <f>SUM(G47:G51)</f>
        <v>125759428</v>
      </c>
      <c r="H52" s="264">
        <f t="shared" si="6"/>
        <v>1</v>
      </c>
      <c r="I52" s="268"/>
      <c r="J52" s="263">
        <v>34399796</v>
      </c>
      <c r="K52" s="263">
        <v>28352812</v>
      </c>
      <c r="L52" s="263">
        <v>36287510</v>
      </c>
      <c r="M52" s="263">
        <v>29404291</v>
      </c>
      <c r="N52" s="263">
        <f>SUM(N47:N51)</f>
        <v>128444409</v>
      </c>
      <c r="O52" s="264">
        <f t="shared" si="8"/>
        <v>1</v>
      </c>
      <c r="P52" s="268"/>
      <c r="Q52" s="268">
        <v>34127022</v>
      </c>
      <c r="R52" s="264">
        <f t="shared" si="9"/>
        <v>1</v>
      </c>
      <c r="S52" s="264"/>
      <c r="T52" s="263">
        <f>N52*(1+T$46)</f>
        <v>147711070.34999999</v>
      </c>
      <c r="U52" s="264">
        <f t="shared" si="10"/>
        <v>1</v>
      </c>
      <c r="V52" s="264"/>
      <c r="W52" s="263">
        <f>T52*(1+W$46)</f>
        <v>169867730.90249997</v>
      </c>
      <c r="X52" s="264">
        <f t="shared" si="11"/>
        <v>1</v>
      </c>
      <c r="Y52" s="264"/>
      <c r="Z52" s="263">
        <f>W52*(1+Z$46)</f>
        <v>195347890.53787497</v>
      </c>
      <c r="AA52" s="264">
        <f t="shared" si="12"/>
        <v>1</v>
      </c>
      <c r="AB52" s="284"/>
      <c r="AC52" s="284"/>
      <c r="AD52" s="267"/>
      <c r="AE52" s="321"/>
      <c r="AF52" s="321"/>
      <c r="AG52" s="321"/>
      <c r="AH52" s="321"/>
    </row>
    <row r="53" spans="1:34" hidden="1" outlineLevel="1">
      <c r="B53" s="267" t="s">
        <v>353</v>
      </c>
      <c r="C53" s="268"/>
      <c r="D53" s="268"/>
      <c r="E53" s="268"/>
      <c r="F53" s="268"/>
      <c r="G53" s="268"/>
      <c r="H53" s="309"/>
      <c r="I53" s="268"/>
      <c r="J53" s="268"/>
      <c r="K53" s="268"/>
      <c r="L53" s="268"/>
      <c r="M53" s="268"/>
      <c r="N53" s="268"/>
      <c r="O53" s="309"/>
      <c r="P53" s="268"/>
      <c r="Q53" s="268"/>
      <c r="R53" s="309"/>
      <c r="S53" s="309"/>
      <c r="T53" s="268"/>
      <c r="U53" s="309"/>
      <c r="V53" s="309"/>
      <c r="W53" s="268"/>
      <c r="X53" s="309"/>
      <c r="Y53" s="309"/>
      <c r="Z53" s="268"/>
      <c r="AA53" s="309"/>
      <c r="AB53" s="284"/>
      <c r="AC53" s="284"/>
      <c r="AD53" s="267"/>
      <c r="AE53" s="267"/>
      <c r="AF53" s="267"/>
      <c r="AG53" s="267"/>
      <c r="AH53" s="267"/>
    </row>
    <row r="54" spans="1:34" s="328" customFormat="1" ht="12" hidden="1" outlineLevel="1">
      <c r="A54" s="244"/>
      <c r="B54" s="322" t="s">
        <v>354</v>
      </c>
      <c r="C54" s="323">
        <f>SUM(C52:C53)</f>
        <v>29003761</v>
      </c>
      <c r="D54" s="323">
        <f>SUM(D52:D53)</f>
        <v>32393098</v>
      </c>
      <c r="E54" s="323">
        <f>SUM(E52:E53)</f>
        <v>36508815</v>
      </c>
      <c r="F54" s="323">
        <f>SUM(F52:F53)</f>
        <v>27853754</v>
      </c>
      <c r="G54" s="323">
        <f>SUM(G52:G53)</f>
        <v>125759428</v>
      </c>
      <c r="H54" s="324">
        <f t="shared" si="6"/>
        <v>1</v>
      </c>
      <c r="I54" s="323"/>
      <c r="J54" s="325">
        <v>34399796</v>
      </c>
      <c r="K54" s="325">
        <v>28352812</v>
      </c>
      <c r="L54" s="325">
        <v>36287510</v>
      </c>
      <c r="M54" s="325">
        <v>29404291</v>
      </c>
      <c r="N54" s="326">
        <f>SUM(N52:N53)</f>
        <v>128444409</v>
      </c>
      <c r="O54" s="324">
        <f t="shared" si="8"/>
        <v>1</v>
      </c>
      <c r="P54" s="323"/>
      <c r="Q54" s="323">
        <v>34127022</v>
      </c>
      <c r="R54" s="324">
        <f t="shared" si="9"/>
        <v>1</v>
      </c>
      <c r="S54" s="324"/>
      <c r="T54" s="323">
        <f>SUM(T52:T53)</f>
        <v>147711070.34999999</v>
      </c>
      <c r="U54" s="324">
        <f t="shared" si="10"/>
        <v>1</v>
      </c>
      <c r="V54" s="324"/>
      <c r="W54" s="323">
        <f>SUM(W52:W53)</f>
        <v>169867730.90249997</v>
      </c>
      <c r="X54" s="324">
        <f t="shared" si="11"/>
        <v>1</v>
      </c>
      <c r="Y54" s="324"/>
      <c r="Z54" s="323">
        <f>SUM(Z52:Z53)</f>
        <v>195347890.53787497</v>
      </c>
      <c r="AA54" s="324">
        <f t="shared" si="12"/>
        <v>1</v>
      </c>
      <c r="AB54" s="327"/>
      <c r="AC54" s="327"/>
      <c r="AD54" s="267" t="s">
        <v>345</v>
      </c>
      <c r="AE54" s="321">
        <f>N54/G54-1</f>
        <v>2.1350136866080449E-2</v>
      </c>
      <c r="AF54" s="321">
        <f>T54/N54-1</f>
        <v>0.14999999999999991</v>
      </c>
      <c r="AG54" s="321">
        <f>W54/T54-1</f>
        <v>0.14999999999999991</v>
      </c>
      <c r="AH54" s="321">
        <f>Z54/W54-1</f>
        <v>0.14999999999999991</v>
      </c>
    </row>
    <row r="55" spans="1:34" hidden="1" outlineLevel="1">
      <c r="B55" s="267" t="s">
        <v>355</v>
      </c>
      <c r="C55" s="268">
        <v>-9763224</v>
      </c>
      <c r="D55" s="268">
        <v>-11720008</v>
      </c>
      <c r="E55" s="268">
        <v>-10517271</v>
      </c>
      <c r="F55" s="268">
        <v>-10696650</v>
      </c>
      <c r="G55" s="263">
        <f t="shared" si="5"/>
        <v>-42697153</v>
      </c>
      <c r="H55" s="264">
        <f t="shared" si="6"/>
        <v>-0.33951452928046078</v>
      </c>
      <c r="I55" s="268"/>
      <c r="J55" s="263">
        <v>-10834486</v>
      </c>
      <c r="K55" s="263">
        <v>-11162107</v>
      </c>
      <c r="L55" s="263">
        <v>-11853829</v>
      </c>
      <c r="M55" s="263">
        <v>-11367546</v>
      </c>
      <c r="N55" s="263">
        <f t="shared" si="7"/>
        <v>-45217968</v>
      </c>
      <c r="O55" s="264">
        <f t="shared" si="8"/>
        <v>-0.35204310060704941</v>
      </c>
      <c r="P55" s="268"/>
      <c r="Q55" s="268">
        <v>-11087576</v>
      </c>
      <c r="R55" s="264">
        <f t="shared" si="9"/>
        <v>-0.3248914013065658</v>
      </c>
      <c r="S55" s="264"/>
      <c r="T55" s="263"/>
      <c r="U55" s="264"/>
      <c r="V55" s="264"/>
      <c r="W55" s="263"/>
      <c r="X55" s="264"/>
      <c r="Y55" s="264"/>
      <c r="Z55" s="263"/>
      <c r="AA55" s="264"/>
      <c r="AB55" s="284"/>
      <c r="AC55" s="284"/>
      <c r="AD55" s="267"/>
      <c r="AE55" s="267"/>
      <c r="AF55" s="267"/>
      <c r="AG55" s="267"/>
      <c r="AH55" s="267"/>
    </row>
    <row r="56" spans="1:34" hidden="1" outlineLevel="1">
      <c r="B56" s="267" t="s">
        <v>356</v>
      </c>
      <c r="C56" s="268">
        <v>19240537</v>
      </c>
      <c r="D56" s="268">
        <v>20673090</v>
      </c>
      <c r="E56" s="268">
        <v>25991544</v>
      </c>
      <c r="F56" s="268">
        <v>17157104</v>
      </c>
      <c r="G56" s="263">
        <f t="shared" si="5"/>
        <v>83062275</v>
      </c>
      <c r="H56" s="264">
        <f t="shared" si="6"/>
        <v>0.66048547071953922</v>
      </c>
      <c r="I56" s="268"/>
      <c r="J56" s="263">
        <v>23565310</v>
      </c>
      <c r="K56" s="263">
        <v>17190705</v>
      </c>
      <c r="L56" s="263">
        <v>24433681</v>
      </c>
      <c r="M56" s="263">
        <v>18036745</v>
      </c>
      <c r="N56" s="263">
        <f t="shared" si="7"/>
        <v>83226441</v>
      </c>
      <c r="O56" s="264">
        <f t="shared" si="8"/>
        <v>0.64795689939295065</v>
      </c>
      <c r="P56" s="268"/>
      <c r="Q56" s="268">
        <v>23039446</v>
      </c>
      <c r="R56" s="264">
        <f t="shared" si="9"/>
        <v>0.6751085986934342</v>
      </c>
      <c r="S56" s="264"/>
      <c r="T56" s="263"/>
      <c r="U56" s="264"/>
      <c r="V56" s="264"/>
      <c r="W56" s="263"/>
      <c r="X56" s="264"/>
      <c r="Y56" s="264"/>
      <c r="Z56" s="263"/>
      <c r="AA56" s="264"/>
      <c r="AB56" s="284"/>
      <c r="AC56" s="284"/>
      <c r="AD56" s="267"/>
      <c r="AE56" s="267"/>
      <c r="AF56" s="267"/>
      <c r="AG56" s="267"/>
      <c r="AH56" s="267"/>
    </row>
    <row r="57" spans="1:34" hidden="1" outlineLevel="1">
      <c r="B57" s="267" t="s">
        <v>357</v>
      </c>
      <c r="C57" s="329">
        <f>C56/C54</f>
        <v>0.6633807594815031</v>
      </c>
      <c r="D57" s="329">
        <f>D56/D54</f>
        <v>0.63819428447380977</v>
      </c>
      <c r="E57" s="329">
        <f>E56/E54</f>
        <v>0.71192516108780857</v>
      </c>
      <c r="F57" s="329">
        <f>F56/F54</f>
        <v>0.61597097468441775</v>
      </c>
      <c r="G57" s="329">
        <f>G56/G54</f>
        <v>0.66048547071953922</v>
      </c>
      <c r="H57" s="309"/>
      <c r="I57" s="268"/>
      <c r="J57" s="329">
        <f>J56/J54</f>
        <v>0.68504214385457407</v>
      </c>
      <c r="K57" s="329">
        <f>K56/K54</f>
        <v>0.6063139345755193</v>
      </c>
      <c r="L57" s="329">
        <f>L56/L54</f>
        <v>0.67333583924606566</v>
      </c>
      <c r="M57" s="329">
        <f>M56/M54</f>
        <v>0.61340519994173637</v>
      </c>
      <c r="N57" s="329">
        <f>N56/N54</f>
        <v>0.64795689939295065</v>
      </c>
      <c r="O57" s="309"/>
      <c r="P57" s="268"/>
      <c r="Q57" s="329">
        <v>0.6751085986934342</v>
      </c>
      <c r="R57" s="309"/>
      <c r="S57" s="309"/>
      <c r="T57" s="329"/>
      <c r="U57" s="309"/>
      <c r="V57" s="309"/>
      <c r="W57" s="329"/>
      <c r="X57" s="309"/>
      <c r="Y57" s="309"/>
      <c r="Z57" s="329"/>
      <c r="AA57" s="309"/>
      <c r="AB57" s="284"/>
      <c r="AC57" s="284"/>
      <c r="AD57" s="267"/>
      <c r="AE57" s="267"/>
      <c r="AF57" s="267"/>
      <c r="AG57" s="267"/>
      <c r="AH57" s="267"/>
    </row>
    <row r="58" spans="1:34" hidden="1" outlineLevel="1">
      <c r="B58" s="267"/>
      <c r="C58" s="268"/>
      <c r="D58" s="268"/>
      <c r="E58" s="268"/>
      <c r="F58" s="268"/>
      <c r="G58" s="268"/>
      <c r="H58" s="309"/>
      <c r="I58" s="268"/>
      <c r="J58" s="268"/>
      <c r="K58" s="268"/>
      <c r="L58" s="268"/>
      <c r="M58" s="268"/>
      <c r="N58" s="268"/>
      <c r="O58" s="309"/>
      <c r="P58" s="268"/>
      <c r="Q58" s="268"/>
      <c r="R58" s="309"/>
      <c r="S58" s="309"/>
      <c r="T58" s="268"/>
      <c r="U58" s="309"/>
      <c r="V58" s="309"/>
      <c r="W58" s="268"/>
      <c r="X58" s="309"/>
      <c r="Y58" s="309"/>
      <c r="Z58" s="268"/>
      <c r="AA58" s="309"/>
      <c r="AB58" s="284"/>
      <c r="AC58" s="284"/>
      <c r="AD58" s="267"/>
      <c r="AE58" s="267"/>
      <c r="AF58" s="267"/>
      <c r="AG58" s="267"/>
      <c r="AH58" s="267"/>
    </row>
    <row r="59" spans="1:34" hidden="1" outlineLevel="1">
      <c r="B59" s="267" t="s">
        <v>358</v>
      </c>
      <c r="C59" s="268"/>
      <c r="D59" s="268"/>
      <c r="E59" s="268"/>
      <c r="F59" s="268"/>
      <c r="G59" s="268"/>
      <c r="H59" s="309"/>
      <c r="I59" s="268"/>
      <c r="J59" s="268"/>
      <c r="K59" s="268"/>
      <c r="L59" s="268"/>
      <c r="M59" s="268"/>
      <c r="N59" s="268"/>
      <c r="O59" s="309"/>
      <c r="P59" s="268"/>
      <c r="Q59" s="268"/>
      <c r="R59" s="309"/>
      <c r="S59" s="309"/>
      <c r="T59" s="268"/>
      <c r="U59" s="309"/>
      <c r="V59" s="309"/>
      <c r="W59" s="268"/>
      <c r="X59" s="309"/>
      <c r="Y59" s="309"/>
      <c r="Z59" s="268"/>
      <c r="AA59" s="309"/>
      <c r="AB59" s="284"/>
      <c r="AC59" s="284"/>
      <c r="AD59" s="267"/>
      <c r="AE59" s="267"/>
      <c r="AF59" s="267"/>
      <c r="AG59" s="267"/>
      <c r="AH59" s="267"/>
    </row>
    <row r="60" spans="1:34" hidden="1" outlineLevel="1">
      <c r="B60" s="267" t="s">
        <v>359</v>
      </c>
      <c r="C60" s="268">
        <v>-8386300</v>
      </c>
      <c r="D60" s="268">
        <v>-8398511</v>
      </c>
      <c r="E60" s="268">
        <v>-7965780</v>
      </c>
      <c r="F60" s="268">
        <v>-8416714</v>
      </c>
      <c r="G60" s="263">
        <f>SUM(C60:F60)</f>
        <v>-33167305</v>
      </c>
      <c r="H60" s="264">
        <f>G60/G$54</f>
        <v>-0.26373613117896816</v>
      </c>
      <c r="I60" s="268"/>
      <c r="J60" s="263">
        <v>-9203603</v>
      </c>
      <c r="K60" s="263">
        <v>-9576636</v>
      </c>
      <c r="L60" s="263">
        <v>-9828967</v>
      </c>
      <c r="M60" s="263">
        <v>-9879361</v>
      </c>
      <c r="N60" s="263">
        <f>SUM(J60:M60)</f>
        <v>-38488567</v>
      </c>
      <c r="O60" s="264">
        <f>N60/N$54</f>
        <v>-0.29965155587270442</v>
      </c>
      <c r="P60" s="268"/>
      <c r="Q60" s="268">
        <v>-10132935</v>
      </c>
      <c r="R60" s="264">
        <f>Q60/Q$54</f>
        <v>-0.2969182309549307</v>
      </c>
      <c r="S60" s="264"/>
      <c r="T60" s="263"/>
      <c r="U60" s="264"/>
      <c r="V60" s="264"/>
      <c r="W60" s="263"/>
      <c r="X60" s="264"/>
      <c r="Y60" s="264"/>
      <c r="Z60" s="263"/>
      <c r="AA60" s="264"/>
      <c r="AB60" s="284"/>
      <c r="AC60" s="284"/>
      <c r="AD60" s="267"/>
      <c r="AE60" s="267"/>
      <c r="AF60" s="267"/>
      <c r="AG60" s="267"/>
      <c r="AH60" s="267"/>
    </row>
    <row r="61" spans="1:34" hidden="1" outlineLevel="1">
      <c r="B61" s="267" t="s">
        <v>360</v>
      </c>
      <c r="C61" s="268">
        <v>-1571446</v>
      </c>
      <c r="D61" s="268">
        <v>-2769389</v>
      </c>
      <c r="E61" s="268">
        <v>-2284127</v>
      </c>
      <c r="F61" s="268">
        <v>-2241483</v>
      </c>
      <c r="G61" s="263">
        <f>SUM(C61:F61)</f>
        <v>-8866445</v>
      </c>
      <c r="H61" s="264">
        <f>G61/G$54</f>
        <v>-7.0503223026745956E-2</v>
      </c>
      <c r="I61" s="268"/>
      <c r="J61" s="263">
        <v>-1414842</v>
      </c>
      <c r="K61" s="263">
        <v>-1131058</v>
      </c>
      <c r="L61" s="263">
        <v>-2273616</v>
      </c>
      <c r="M61" s="263">
        <v>-1578684</v>
      </c>
      <c r="N61" s="263">
        <f>SUM(J61:M61)</f>
        <v>-6398200</v>
      </c>
      <c r="O61" s="264">
        <f>N61/N$54</f>
        <v>-4.9812989524518736E-2</v>
      </c>
      <c r="P61" s="268"/>
      <c r="Q61" s="268">
        <v>-1839741</v>
      </c>
      <c r="R61" s="264">
        <f>Q61/Q$54</f>
        <v>-5.3908629941399513E-2</v>
      </c>
      <c r="S61" s="264"/>
      <c r="T61" s="263"/>
      <c r="U61" s="264"/>
      <c r="V61" s="264"/>
      <c r="W61" s="263"/>
      <c r="X61" s="264"/>
      <c r="Y61" s="264"/>
      <c r="Z61" s="263"/>
      <c r="AA61" s="264"/>
      <c r="AB61" s="284"/>
      <c r="AC61" s="284"/>
      <c r="AD61" s="267"/>
      <c r="AE61" s="267"/>
      <c r="AF61" s="267"/>
      <c r="AG61" s="267"/>
      <c r="AH61" s="267"/>
    </row>
    <row r="62" spans="1:34" hidden="1" outlineLevel="1">
      <c r="B62" s="267" t="s">
        <v>361</v>
      </c>
      <c r="C62" s="268">
        <v>-5285870</v>
      </c>
      <c r="D62" s="268">
        <v>-5112321</v>
      </c>
      <c r="E62" s="268">
        <v>-6182181</v>
      </c>
      <c r="F62" s="268">
        <v>-3780534</v>
      </c>
      <c r="G62" s="263">
        <f>SUM(C62:F62)</f>
        <v>-20360906</v>
      </c>
      <c r="H62" s="264">
        <f>G62/G$54</f>
        <v>-0.16190361489239599</v>
      </c>
      <c r="I62" s="268"/>
      <c r="J62" s="263">
        <v>-7245161</v>
      </c>
      <c r="K62" s="263">
        <v>-3403061</v>
      </c>
      <c r="L62" s="263">
        <v>-6154808</v>
      </c>
      <c r="M62" s="263">
        <v>-3776144</v>
      </c>
      <c r="N62" s="263">
        <f>SUM(J62:M62)</f>
        <v>-20579174</v>
      </c>
      <c r="O62" s="264">
        <f>N62/N$54</f>
        <v>-0.16021852691151392</v>
      </c>
      <c r="P62" s="268"/>
      <c r="Q62" s="268">
        <v>-5267166</v>
      </c>
      <c r="R62" s="264">
        <f>Q62/Q$54</f>
        <v>-0.15434004174170252</v>
      </c>
      <c r="S62" s="264"/>
      <c r="T62" s="263"/>
      <c r="U62" s="264"/>
      <c r="V62" s="264"/>
      <c r="W62" s="263"/>
      <c r="X62" s="264"/>
      <c r="Y62" s="264"/>
      <c r="Z62" s="263"/>
      <c r="AA62" s="264"/>
      <c r="AB62" s="284"/>
      <c r="AC62" s="284"/>
      <c r="AD62" s="267"/>
      <c r="AE62" s="267"/>
      <c r="AF62" s="267"/>
      <c r="AG62" s="267"/>
      <c r="AH62" s="267"/>
    </row>
    <row r="63" spans="1:34" hidden="1" outlineLevel="1">
      <c r="B63" s="267" t="s">
        <v>362</v>
      </c>
      <c r="C63" s="268"/>
      <c r="D63" s="268"/>
      <c r="E63" s="268"/>
      <c r="F63" s="268"/>
      <c r="G63" s="268"/>
      <c r="H63" s="309"/>
      <c r="I63" s="268"/>
      <c r="J63" s="268"/>
      <c r="K63" s="268"/>
      <c r="L63" s="268"/>
      <c r="M63" s="268"/>
      <c r="N63" s="268"/>
      <c r="O63" s="309"/>
      <c r="P63" s="268"/>
      <c r="Q63" s="268"/>
      <c r="R63" s="309"/>
      <c r="S63" s="309"/>
      <c r="T63" s="268"/>
      <c r="U63" s="309"/>
      <c r="V63" s="309"/>
      <c r="W63" s="268"/>
      <c r="X63" s="309"/>
      <c r="Y63" s="309"/>
      <c r="Z63" s="268"/>
      <c r="AA63" s="309"/>
      <c r="AB63" s="284"/>
      <c r="AC63" s="284"/>
      <c r="AD63" s="267"/>
      <c r="AE63" s="267"/>
      <c r="AF63" s="267"/>
      <c r="AG63" s="267"/>
      <c r="AH63" s="267"/>
    </row>
    <row r="64" spans="1:34" hidden="1" outlineLevel="1">
      <c r="B64" s="267" t="s">
        <v>363</v>
      </c>
      <c r="C64" s="268">
        <v>-15243616</v>
      </c>
      <c r="D64" s="268">
        <v>-16280221</v>
      </c>
      <c r="E64" s="268">
        <v>-16432088</v>
      </c>
      <c r="F64" s="268">
        <v>-14438731</v>
      </c>
      <c r="G64" s="263">
        <f>SUM(C64:F64)</f>
        <v>-62394656</v>
      </c>
      <c r="H64" s="264">
        <f>G64/G$54</f>
        <v>-0.49614296909811006</v>
      </c>
      <c r="I64" s="268"/>
      <c r="J64" s="263">
        <v>-17863606</v>
      </c>
      <c r="K64" s="263">
        <v>-14110755</v>
      </c>
      <c r="L64" s="263">
        <v>-18257391</v>
      </c>
      <c r="M64" s="263">
        <v>-15234189</v>
      </c>
      <c r="N64" s="263">
        <f>SUM(J64:M64)</f>
        <v>-65465941</v>
      </c>
      <c r="O64" s="264">
        <f>N64/N$54</f>
        <v>-0.50968307230873711</v>
      </c>
      <c r="P64" s="268"/>
      <c r="Q64" s="268">
        <v>-17239842</v>
      </c>
      <c r="R64" s="264">
        <f>Q64/Q$54</f>
        <v>-0.50516690263803266</v>
      </c>
      <c r="S64" s="264"/>
      <c r="T64" s="263"/>
      <c r="U64" s="264"/>
      <c r="V64" s="264"/>
      <c r="W64" s="263"/>
      <c r="X64" s="264"/>
      <c r="Y64" s="264"/>
      <c r="Z64" s="263"/>
      <c r="AA64" s="264"/>
      <c r="AB64" s="284"/>
      <c r="AC64" s="284"/>
      <c r="AD64" s="267"/>
      <c r="AE64" s="267"/>
      <c r="AF64" s="267"/>
      <c r="AG64" s="267"/>
      <c r="AH64" s="267"/>
    </row>
    <row r="65" spans="1:35" hidden="1" outlineLevel="1">
      <c r="B65" s="267"/>
      <c r="C65" s="268"/>
      <c r="D65" s="268"/>
      <c r="E65" s="268"/>
      <c r="F65" s="268"/>
      <c r="G65" s="268"/>
      <c r="H65" s="309"/>
      <c r="I65" s="268"/>
      <c r="J65" s="268"/>
      <c r="K65" s="268"/>
      <c r="L65" s="268"/>
      <c r="M65" s="268"/>
      <c r="N65" s="268"/>
      <c r="O65" s="309"/>
      <c r="P65" s="268"/>
      <c r="Q65" s="268"/>
      <c r="R65" s="309"/>
      <c r="S65" s="309"/>
      <c r="T65" s="268"/>
      <c r="U65" s="309"/>
      <c r="V65" s="309"/>
      <c r="W65" s="268"/>
      <c r="X65" s="309"/>
      <c r="Y65" s="309"/>
      <c r="Z65" s="268"/>
      <c r="AA65" s="309"/>
      <c r="AB65" s="284"/>
      <c r="AC65" s="284"/>
      <c r="AD65" s="267"/>
      <c r="AE65" s="267"/>
      <c r="AF65" s="267"/>
      <c r="AG65" s="267"/>
      <c r="AH65" s="267"/>
    </row>
    <row r="66" spans="1:35" hidden="1" outlineLevel="1">
      <c r="B66" s="267" t="s">
        <v>364</v>
      </c>
      <c r="C66" s="268">
        <v>3996921</v>
      </c>
      <c r="D66" s="268">
        <v>4392869</v>
      </c>
      <c r="E66" s="268">
        <v>9559456</v>
      </c>
      <c r="F66" s="268">
        <v>2718373</v>
      </c>
      <c r="G66" s="263">
        <f>SUM(C66:F66)</f>
        <v>20667619</v>
      </c>
      <c r="H66" s="264">
        <f>G66/G$54</f>
        <v>0.16434250162142913</v>
      </c>
      <c r="I66" s="268"/>
      <c r="J66" s="263">
        <v>5701704</v>
      </c>
      <c r="K66" s="263">
        <v>3079950</v>
      </c>
      <c r="L66" s="263">
        <v>6176290</v>
      </c>
      <c r="M66" s="263">
        <v>2802556</v>
      </c>
      <c r="N66" s="263">
        <f>SUM(J66:M66)</f>
        <v>17760500</v>
      </c>
      <c r="O66" s="264">
        <f>N66/N$54</f>
        <v>0.13827382708421354</v>
      </c>
      <c r="P66" s="268"/>
      <c r="Q66" s="268">
        <v>5799604</v>
      </c>
      <c r="R66" s="264">
        <f>Q66/Q$54</f>
        <v>0.16994169605540149</v>
      </c>
      <c r="S66" s="264"/>
      <c r="T66" s="263"/>
      <c r="U66" s="264"/>
      <c r="V66" s="264"/>
      <c r="W66" s="263"/>
      <c r="X66" s="264"/>
      <c r="Y66" s="264"/>
      <c r="Z66" s="263"/>
      <c r="AA66" s="264"/>
      <c r="AB66" s="284"/>
      <c r="AC66" s="284"/>
      <c r="AD66" s="267"/>
      <c r="AE66" s="267"/>
      <c r="AF66" s="267"/>
      <c r="AG66" s="267"/>
      <c r="AH66" s="267"/>
    </row>
    <row r="67" spans="1:35" hidden="1" outlineLevel="1">
      <c r="B67" s="267" t="s">
        <v>365</v>
      </c>
      <c r="C67" s="329">
        <f>C66/C54</f>
        <v>0.13780698992796142</v>
      </c>
      <c r="D67" s="329">
        <f>D66/D54</f>
        <v>0.13561126509110058</v>
      </c>
      <c r="E67" s="329">
        <f>E66/E54</f>
        <v>0.2618396680363359</v>
      </c>
      <c r="F67" s="329">
        <f>F66/F54</f>
        <v>9.7594493008016078E-2</v>
      </c>
      <c r="G67" s="329">
        <f>G66/G54</f>
        <v>0.16434250162142913</v>
      </c>
      <c r="H67" s="309"/>
      <c r="I67" s="268"/>
      <c r="J67" s="329">
        <f>J66/J54</f>
        <v>0.16574819222765158</v>
      </c>
      <c r="K67" s="329">
        <f>K66/K54</f>
        <v>0.10862943682623086</v>
      </c>
      <c r="L67" s="329">
        <f>L66/L54</f>
        <v>0.17020429343319507</v>
      </c>
      <c r="M67" s="329">
        <f>M66/M54</f>
        <v>9.5311123128253628E-2</v>
      </c>
      <c r="N67" s="329">
        <f>N66/N54</f>
        <v>0.13827382708421354</v>
      </c>
      <c r="O67" s="309"/>
      <c r="P67" s="268"/>
      <c r="Q67" s="329">
        <v>0.16994169605540149</v>
      </c>
      <c r="R67" s="309"/>
      <c r="S67" s="309"/>
      <c r="T67" s="329"/>
      <c r="U67" s="309"/>
      <c r="V67" s="309"/>
      <c r="W67" s="329"/>
      <c r="X67" s="309"/>
      <c r="Y67" s="309"/>
      <c r="Z67" s="329"/>
      <c r="AA67" s="309"/>
      <c r="AB67" s="284"/>
      <c r="AC67" s="284"/>
      <c r="AD67" s="267"/>
      <c r="AE67" s="267"/>
      <c r="AF67" s="267"/>
      <c r="AG67" s="267"/>
      <c r="AH67" s="267"/>
    </row>
    <row r="68" spans="1:35" collapsed="1">
      <c r="B68" s="267"/>
      <c r="C68" s="268"/>
      <c r="D68" s="268"/>
      <c r="E68" s="268"/>
      <c r="F68" s="268"/>
      <c r="G68" s="268"/>
      <c r="H68" s="309"/>
      <c r="I68" s="268"/>
      <c r="J68" s="268"/>
      <c r="K68" s="268"/>
      <c r="L68" s="268"/>
      <c r="M68" s="268"/>
      <c r="N68" s="268"/>
      <c r="O68" s="309"/>
      <c r="P68" s="268"/>
      <c r="Q68" s="268"/>
      <c r="R68" s="301"/>
      <c r="S68" s="301"/>
      <c r="T68" s="268"/>
      <c r="U68" s="309"/>
      <c r="V68" s="309"/>
      <c r="W68" s="268"/>
      <c r="X68" s="309"/>
      <c r="Y68" s="309"/>
      <c r="Z68" s="268"/>
      <c r="AA68" s="309"/>
      <c r="AB68" s="284"/>
      <c r="AC68" s="284"/>
      <c r="AD68" s="267"/>
      <c r="AE68" s="267"/>
      <c r="AF68" s="267"/>
      <c r="AG68" s="267"/>
      <c r="AH68" s="267"/>
    </row>
    <row r="69" spans="1:35" s="320" customFormat="1" ht="12">
      <c r="A69" s="310"/>
      <c r="B69" s="277" t="s">
        <v>366</v>
      </c>
      <c r="C69" s="312"/>
      <c r="D69" s="312"/>
      <c r="E69" s="312"/>
      <c r="F69" s="312"/>
      <c r="G69" s="312"/>
      <c r="H69" s="313"/>
      <c r="I69" s="312"/>
      <c r="J69" s="312"/>
      <c r="K69" s="312"/>
      <c r="L69" s="312"/>
      <c r="M69" s="312"/>
      <c r="N69" s="312"/>
      <c r="O69" s="313"/>
      <c r="P69" s="312"/>
      <c r="Q69" s="312"/>
      <c r="R69" s="314"/>
      <c r="S69" s="314"/>
      <c r="T69" s="312"/>
      <c r="U69" s="313"/>
      <c r="V69" s="313"/>
      <c r="W69" s="312"/>
      <c r="X69" s="313"/>
      <c r="Y69" s="313"/>
      <c r="Z69" s="312"/>
      <c r="AA69" s="313"/>
      <c r="AB69" s="316"/>
      <c r="AC69" s="316"/>
      <c r="AD69" s="317" t="s">
        <v>367</v>
      </c>
      <c r="AE69" s="318">
        <f>N78/G78-1</f>
        <v>6.3267347811719832E-2</v>
      </c>
      <c r="AF69" s="318">
        <f>T78/N78-1</f>
        <v>0.14999999999999991</v>
      </c>
      <c r="AG69" s="318">
        <f>W78/T78-1</f>
        <v>0.14999999999999969</v>
      </c>
      <c r="AH69" s="318">
        <f>Z78/W78-1</f>
        <v>0.14999999999999991</v>
      </c>
      <c r="AI69" s="319" t="s">
        <v>368</v>
      </c>
    </row>
    <row r="70" spans="1:35" outlineLevel="1">
      <c r="B70" s="267" t="s">
        <v>369</v>
      </c>
      <c r="C70" s="268"/>
      <c r="D70" s="268"/>
      <c r="E70" s="268"/>
      <c r="F70" s="268"/>
      <c r="G70" s="268"/>
      <c r="H70" s="309"/>
      <c r="I70" s="268"/>
      <c r="J70" s="268"/>
      <c r="K70" s="268"/>
      <c r="L70" s="268"/>
      <c r="M70" s="268"/>
      <c r="N70" s="268"/>
      <c r="O70" s="309"/>
      <c r="P70" s="268"/>
      <c r="Q70" s="268"/>
      <c r="R70" s="301"/>
      <c r="S70" s="301"/>
      <c r="T70" s="268"/>
      <c r="U70" s="309"/>
      <c r="V70" s="309"/>
      <c r="W70" s="268"/>
      <c r="X70" s="309"/>
      <c r="Y70" s="309"/>
      <c r="Z70" s="268"/>
      <c r="AA70" s="309"/>
      <c r="AB70" s="284"/>
      <c r="AC70" s="284"/>
      <c r="AD70" s="267"/>
      <c r="AE70" s="267"/>
      <c r="AF70" s="267"/>
      <c r="AG70" s="267"/>
      <c r="AH70" s="267"/>
    </row>
    <row r="71" spans="1:35" outlineLevel="1">
      <c r="B71" s="267" t="s">
        <v>347</v>
      </c>
      <c r="C71" s="263">
        <v>337972</v>
      </c>
      <c r="D71" s="263">
        <v>537001</v>
      </c>
      <c r="E71" s="263">
        <v>478885</v>
      </c>
      <c r="F71" s="263">
        <v>424965</v>
      </c>
      <c r="G71" s="263">
        <f>SUM(C71:F71)</f>
        <v>1778823</v>
      </c>
      <c r="H71" s="264">
        <f>G71/G$78</f>
        <v>9.0142939272093124E-3</v>
      </c>
      <c r="I71" s="268"/>
      <c r="J71" s="263">
        <v>408060</v>
      </c>
      <c r="K71" s="263">
        <v>533558</v>
      </c>
      <c r="L71" s="263">
        <v>689399</v>
      </c>
      <c r="M71" s="263">
        <v>561814</v>
      </c>
      <c r="N71" s="263">
        <f t="shared" ref="N71:N80" si="13">SUM(J71:M71)</f>
        <v>2192831</v>
      </c>
      <c r="O71" s="264">
        <f>N71/N$78</f>
        <v>1.0451091828877801E-2</v>
      </c>
      <c r="P71" s="268"/>
      <c r="Q71" s="263">
        <v>621825</v>
      </c>
      <c r="R71" s="264">
        <f>Q71/Q$78</f>
        <v>9.8760933644961475E-3</v>
      </c>
      <c r="S71" s="264"/>
      <c r="T71" s="263">
        <f t="shared" ref="T71:T76" si="14">N71*(1+T$46)</f>
        <v>2521755.65</v>
      </c>
      <c r="U71" s="264">
        <f>T71/T$78</f>
        <v>1.0451091828877802E-2</v>
      </c>
      <c r="V71" s="264"/>
      <c r="W71" s="263">
        <f>T71*(1+W$46)</f>
        <v>2900018.9974999996</v>
      </c>
      <c r="X71" s="264">
        <f>W71/W$78</f>
        <v>1.0451091828877802E-2</v>
      </c>
      <c r="Y71" s="264"/>
      <c r="Z71" s="263">
        <f>W71*(1+Z$46)</f>
        <v>3335021.8471249994</v>
      </c>
      <c r="AA71" s="264">
        <f>Z71/Z$78</f>
        <v>1.0451091828877804E-2</v>
      </c>
      <c r="AB71" s="284"/>
      <c r="AC71" s="284"/>
      <c r="AD71" s="267"/>
      <c r="AE71" s="267"/>
      <c r="AF71" s="267"/>
      <c r="AG71" s="267"/>
      <c r="AH71" s="267"/>
    </row>
    <row r="72" spans="1:35" outlineLevel="1">
      <c r="B72" s="267" t="s">
        <v>348</v>
      </c>
      <c r="C72" s="263">
        <v>2512275</v>
      </c>
      <c r="D72" s="263">
        <v>2572297</v>
      </c>
      <c r="E72" s="263">
        <v>2925690</v>
      </c>
      <c r="F72" s="263">
        <v>2676778</v>
      </c>
      <c r="G72" s="263">
        <f>SUM(C72:F72)</f>
        <v>10687040</v>
      </c>
      <c r="H72" s="264">
        <f>G72/G$78</f>
        <v>5.4157226307419572E-2</v>
      </c>
      <c r="I72" s="268"/>
      <c r="J72" s="263">
        <v>2387235</v>
      </c>
      <c r="K72" s="263">
        <v>2478381</v>
      </c>
      <c r="L72" s="263">
        <v>2409195</v>
      </c>
      <c r="M72" s="263">
        <v>2211415</v>
      </c>
      <c r="N72" s="263">
        <f t="shared" si="13"/>
        <v>9486226</v>
      </c>
      <c r="O72" s="264">
        <f>N72/N$78</f>
        <v>4.5211609574786267E-2</v>
      </c>
      <c r="P72" s="268"/>
      <c r="Q72" s="263">
        <v>2347711</v>
      </c>
      <c r="R72" s="264">
        <f>Q72/Q$78</f>
        <v>3.7287360638209491E-2</v>
      </c>
      <c r="S72" s="264"/>
      <c r="T72" s="263">
        <f t="shared" si="14"/>
        <v>10909159.899999999</v>
      </c>
      <c r="U72" s="264">
        <f>T72/T$78</f>
        <v>4.5211609574786267E-2</v>
      </c>
      <c r="V72" s="264"/>
      <c r="W72" s="263">
        <f>T72*(1+W$46)</f>
        <v>12545533.884999998</v>
      </c>
      <c r="X72" s="264">
        <f>W72/W$78</f>
        <v>4.5211609574786274E-2</v>
      </c>
      <c r="Y72" s="264"/>
      <c r="Z72" s="263">
        <f>W72*(1+Z$46)</f>
        <v>14427363.967749996</v>
      </c>
      <c r="AA72" s="264">
        <f>Z72/Z$78</f>
        <v>4.5211609574786274E-2</v>
      </c>
      <c r="AB72" s="284"/>
      <c r="AC72" s="284"/>
      <c r="AD72" s="267"/>
      <c r="AE72" s="267"/>
      <c r="AF72" s="267"/>
      <c r="AG72" s="267"/>
      <c r="AH72" s="267"/>
    </row>
    <row r="73" spans="1:35" outlineLevel="1">
      <c r="B73" s="267" t="s">
        <v>349</v>
      </c>
      <c r="C73" s="263">
        <v>44450760</v>
      </c>
      <c r="D73" s="263">
        <v>39948033</v>
      </c>
      <c r="E73" s="263">
        <v>51449787</v>
      </c>
      <c r="F73" s="263">
        <v>43738072</v>
      </c>
      <c r="G73" s="263">
        <f>SUM(C73:F73)</f>
        <v>179586652</v>
      </c>
      <c r="H73" s="264">
        <f>G73/G$78</f>
        <v>0.91006630031849822</v>
      </c>
      <c r="I73" s="268"/>
      <c r="J73" s="263">
        <v>44150439</v>
      </c>
      <c r="K73" s="263">
        <v>45734929</v>
      </c>
      <c r="L73" s="263">
        <v>54119361</v>
      </c>
      <c r="M73" s="263">
        <v>47094599</v>
      </c>
      <c r="N73" s="263">
        <f t="shared" si="13"/>
        <v>191099328</v>
      </c>
      <c r="O73" s="264">
        <f>N73/N$78</f>
        <v>0.91078456359146631</v>
      </c>
      <c r="P73" s="268"/>
      <c r="Q73" s="263">
        <v>57834078</v>
      </c>
      <c r="R73" s="264">
        <f>Q73/Q$78</f>
        <v>0.91854581912524047</v>
      </c>
      <c r="S73" s="264"/>
      <c r="T73" s="263">
        <f t="shared" si="14"/>
        <v>219764227.19999999</v>
      </c>
      <c r="U73" s="264">
        <f>T73/T$78</f>
        <v>0.91078456359146642</v>
      </c>
      <c r="V73" s="264"/>
      <c r="W73" s="263">
        <f>T73*(1+W$46)</f>
        <v>252728861.27999997</v>
      </c>
      <c r="X73" s="264">
        <f>W73/W$78</f>
        <v>0.91078456359146653</v>
      </c>
      <c r="Y73" s="264"/>
      <c r="Z73" s="263">
        <f>W73*(1+Z$46)</f>
        <v>290638190.47199994</v>
      </c>
      <c r="AA73" s="264">
        <f>Z73/Z$78</f>
        <v>0.91078456359146653</v>
      </c>
      <c r="AB73" s="284"/>
      <c r="AC73" s="284"/>
      <c r="AD73" s="267"/>
      <c r="AE73" s="267"/>
      <c r="AF73" s="267"/>
      <c r="AG73" s="267"/>
      <c r="AH73" s="267"/>
    </row>
    <row r="74" spans="1:35" outlineLevel="1">
      <c r="B74" s="267" t="s">
        <v>350</v>
      </c>
      <c r="C74" s="268"/>
      <c r="D74" s="268"/>
      <c r="E74" s="268"/>
      <c r="F74" s="268"/>
      <c r="G74" s="268"/>
      <c r="H74" s="309"/>
      <c r="I74" s="268"/>
      <c r="J74" s="268"/>
      <c r="K74" s="268"/>
      <c r="L74" s="268"/>
      <c r="M74" s="268"/>
      <c r="N74" s="268"/>
      <c r="O74" s="309"/>
      <c r="P74" s="268"/>
      <c r="Q74" s="268"/>
      <c r="R74" s="309"/>
      <c r="S74" s="309"/>
      <c r="T74" s="268"/>
      <c r="U74" s="309"/>
      <c r="V74" s="309"/>
      <c r="W74" s="268"/>
      <c r="X74" s="309"/>
      <c r="Y74" s="309"/>
      <c r="Z74" s="268"/>
      <c r="AA74" s="309"/>
      <c r="AB74" s="284"/>
      <c r="AC74" s="284"/>
      <c r="AD74" s="267"/>
      <c r="AE74" s="267"/>
      <c r="AF74" s="267"/>
      <c r="AG74" s="267"/>
      <c r="AH74" s="267"/>
    </row>
    <row r="75" spans="1:35" outlineLevel="1">
      <c r="B75" s="267" t="s">
        <v>351</v>
      </c>
      <c r="C75" s="263">
        <v>1418378</v>
      </c>
      <c r="D75" s="263">
        <v>922167</v>
      </c>
      <c r="E75" s="263">
        <v>1731020</v>
      </c>
      <c r="F75" s="263">
        <v>1209512</v>
      </c>
      <c r="G75" s="263">
        <f>SUM(C75:F75)</f>
        <v>5281077</v>
      </c>
      <c r="H75" s="264">
        <f>G75/G$78</f>
        <v>2.6762179446872886E-2</v>
      </c>
      <c r="I75" s="268"/>
      <c r="J75" s="263">
        <v>2643216</v>
      </c>
      <c r="K75" s="263">
        <v>1097901</v>
      </c>
      <c r="L75" s="263">
        <v>2570059</v>
      </c>
      <c r="M75" s="263">
        <v>728804</v>
      </c>
      <c r="N75" s="263">
        <f t="shared" si="13"/>
        <v>7039980</v>
      </c>
      <c r="O75" s="264">
        <f>N75/N$78</f>
        <v>3.355273500486957E-2</v>
      </c>
      <c r="P75" s="268"/>
      <c r="Q75" s="263">
        <v>2159035</v>
      </c>
      <c r="R75" s="264">
        <f>Q75/Q$78</f>
        <v>3.4290726872053937E-2</v>
      </c>
      <c r="S75" s="264"/>
      <c r="T75" s="263">
        <f t="shared" si="14"/>
        <v>8095976.9999999991</v>
      </c>
      <c r="U75" s="264">
        <f>T75/T$78</f>
        <v>3.355273500486957E-2</v>
      </c>
      <c r="V75" s="264"/>
      <c r="W75" s="263">
        <f>T75*(1+W$46)</f>
        <v>9310373.5499999989</v>
      </c>
      <c r="X75" s="264">
        <f>W75/W$78</f>
        <v>3.3552735004869577E-2</v>
      </c>
      <c r="Y75" s="264"/>
      <c r="Z75" s="263">
        <f>W75*(1+Z$46)</f>
        <v>10706929.582499998</v>
      </c>
      <c r="AA75" s="264">
        <f>Z75/Z$78</f>
        <v>3.3552735004869577E-2</v>
      </c>
      <c r="AB75" s="284"/>
      <c r="AC75" s="284"/>
      <c r="AD75" s="267"/>
      <c r="AE75" s="267"/>
      <c r="AF75" s="267"/>
      <c r="AG75" s="267"/>
      <c r="AH75" s="267"/>
    </row>
    <row r="76" spans="1:35" outlineLevel="1">
      <c r="B76" s="267" t="s">
        <v>352</v>
      </c>
      <c r="C76" s="263">
        <v>48719385</v>
      </c>
      <c r="D76" s="263">
        <v>43979498</v>
      </c>
      <c r="E76" s="263">
        <v>56585382</v>
      </c>
      <c r="F76" s="263">
        <v>48049327</v>
      </c>
      <c r="G76" s="263">
        <f>SUM(G71:G75)</f>
        <v>197333592</v>
      </c>
      <c r="H76" s="264">
        <f>G76/G$78</f>
        <v>1</v>
      </c>
      <c r="I76" s="268"/>
      <c r="J76" s="263">
        <v>49588950</v>
      </c>
      <c r="K76" s="263">
        <v>49844769</v>
      </c>
      <c r="L76" s="263">
        <v>59788014</v>
      </c>
      <c r="M76" s="263">
        <v>50596632</v>
      </c>
      <c r="N76" s="263">
        <f>SUM(N71:N75)</f>
        <v>209818365</v>
      </c>
      <c r="O76" s="264">
        <f>N76/N$78</f>
        <v>1</v>
      </c>
      <c r="P76" s="268"/>
      <c r="Q76" s="263">
        <v>62962649</v>
      </c>
      <c r="R76" s="264">
        <f>Q76/Q$78</f>
        <v>1</v>
      </c>
      <c r="S76" s="264"/>
      <c r="T76" s="263">
        <f t="shared" si="14"/>
        <v>241291119.74999997</v>
      </c>
      <c r="U76" s="264">
        <f>T76/T$78</f>
        <v>1</v>
      </c>
      <c r="V76" s="264"/>
      <c r="W76" s="263">
        <f>T76*(1+W$46)</f>
        <v>277484787.71249992</v>
      </c>
      <c r="X76" s="264">
        <f>W76/W$78</f>
        <v>1</v>
      </c>
      <c r="Y76" s="264"/>
      <c r="Z76" s="263">
        <f>W76*(1+Z$46)</f>
        <v>319107505.86937487</v>
      </c>
      <c r="AA76" s="264">
        <f>Z76/Z$78</f>
        <v>1</v>
      </c>
      <c r="AB76" s="284"/>
      <c r="AC76" s="284"/>
      <c r="AD76" s="267"/>
      <c r="AE76" s="267"/>
      <c r="AF76" s="267"/>
      <c r="AG76" s="267"/>
      <c r="AH76" s="267"/>
    </row>
    <row r="77" spans="1:35" outlineLevel="1">
      <c r="B77" s="267" t="s">
        <v>353</v>
      </c>
      <c r="C77" s="268"/>
      <c r="D77" s="268"/>
      <c r="E77" s="268"/>
      <c r="F77" s="268"/>
      <c r="G77" s="268"/>
      <c r="H77" s="309"/>
      <c r="I77" s="268"/>
      <c r="J77" s="268"/>
      <c r="K77" s="268"/>
      <c r="L77" s="268"/>
      <c r="M77" s="268"/>
      <c r="N77" s="268"/>
      <c r="O77" s="309"/>
      <c r="P77" s="268"/>
      <c r="Q77" s="268"/>
      <c r="R77" s="309"/>
      <c r="S77" s="309"/>
      <c r="T77" s="268"/>
      <c r="U77" s="309"/>
      <c r="V77" s="309"/>
      <c r="W77" s="268"/>
      <c r="X77" s="309"/>
      <c r="Y77" s="309"/>
      <c r="Z77" s="268"/>
      <c r="AA77" s="309"/>
      <c r="AB77" s="284"/>
      <c r="AC77" s="284"/>
      <c r="AD77" s="267"/>
      <c r="AE77" s="267"/>
      <c r="AF77" s="267"/>
      <c r="AG77" s="267"/>
      <c r="AH77" s="267"/>
    </row>
    <row r="78" spans="1:35" s="328" customFormat="1" ht="12" outlineLevel="1">
      <c r="A78" s="244"/>
      <c r="B78" s="322" t="s">
        <v>354</v>
      </c>
      <c r="C78" s="325">
        <v>48719385</v>
      </c>
      <c r="D78" s="325">
        <v>43979498</v>
      </c>
      <c r="E78" s="325">
        <v>56585382</v>
      </c>
      <c r="F78" s="325">
        <v>48049327</v>
      </c>
      <c r="G78" s="325">
        <f>SUM(G76:G77)</f>
        <v>197333592</v>
      </c>
      <c r="H78" s="324">
        <f>G78/G$78</f>
        <v>1</v>
      </c>
      <c r="I78" s="323"/>
      <c r="J78" s="325">
        <v>49588950</v>
      </c>
      <c r="K78" s="325">
        <v>49844769</v>
      </c>
      <c r="L78" s="325">
        <v>59788014</v>
      </c>
      <c r="M78" s="325">
        <v>50596632</v>
      </c>
      <c r="N78" s="330">
        <f>SUM(N76:N77)</f>
        <v>209818365</v>
      </c>
      <c r="O78" s="324">
        <f>N78/N$78</f>
        <v>1</v>
      </c>
      <c r="P78" s="323"/>
      <c r="Q78" s="325">
        <v>62962649</v>
      </c>
      <c r="R78" s="324">
        <f>Q78/Q$78</f>
        <v>1</v>
      </c>
      <c r="S78" s="324"/>
      <c r="T78" s="325">
        <f>SUM(T76:T77)</f>
        <v>241291119.74999997</v>
      </c>
      <c r="U78" s="324">
        <f>T78/T$78</f>
        <v>1</v>
      </c>
      <c r="V78" s="324"/>
      <c r="W78" s="325">
        <f>SUM(W76:W77)</f>
        <v>277484787.71249992</v>
      </c>
      <c r="X78" s="324">
        <f>W78/W$78</f>
        <v>1</v>
      </c>
      <c r="Y78" s="324"/>
      <c r="Z78" s="325">
        <f>SUM(Z76:Z77)</f>
        <v>319107505.86937487</v>
      </c>
      <c r="AA78" s="324">
        <f>Z78/Z$78</f>
        <v>1</v>
      </c>
      <c r="AB78" s="327"/>
      <c r="AC78" s="327"/>
      <c r="AD78" s="267" t="s">
        <v>367</v>
      </c>
      <c r="AE78" s="321">
        <f>N78/G78-1</f>
        <v>6.3267347811719832E-2</v>
      </c>
      <c r="AF78" s="321">
        <f>T78/N78-1</f>
        <v>0.14999999999999991</v>
      </c>
      <c r="AG78" s="321">
        <f>W78/T78-1</f>
        <v>0.14999999999999969</v>
      </c>
      <c r="AH78" s="321">
        <f>Z78/W78-1</f>
        <v>0.14999999999999991</v>
      </c>
    </row>
    <row r="79" spans="1:35" outlineLevel="1">
      <c r="B79" s="267" t="s">
        <v>355</v>
      </c>
      <c r="C79" s="263">
        <v>-9077262</v>
      </c>
      <c r="D79" s="263">
        <v>-9714245</v>
      </c>
      <c r="E79" s="263">
        <v>-9486399</v>
      </c>
      <c r="F79" s="263">
        <v>-8406791</v>
      </c>
      <c r="G79" s="263">
        <f>SUM(C79:F79)</f>
        <v>-36684697</v>
      </c>
      <c r="H79" s="264">
        <f>G79/G$78</f>
        <v>-0.18590193706097438</v>
      </c>
      <c r="I79" s="268"/>
      <c r="J79" s="263">
        <v>-8600521</v>
      </c>
      <c r="K79" s="263">
        <v>-8894105</v>
      </c>
      <c r="L79" s="263">
        <v>-9187699</v>
      </c>
      <c r="M79" s="263">
        <v>-9266453</v>
      </c>
      <c r="N79" s="263">
        <f t="shared" si="13"/>
        <v>-35948778</v>
      </c>
      <c r="O79" s="264">
        <f>N79/N$78</f>
        <v>-0.1713328478181593</v>
      </c>
      <c r="P79" s="268"/>
      <c r="Q79" s="263">
        <v>-9630741</v>
      </c>
      <c r="R79" s="264">
        <f>Q79/Q$78</f>
        <v>-0.15295959037555742</v>
      </c>
      <c r="S79" s="264"/>
      <c r="T79" s="263"/>
      <c r="U79" s="264"/>
      <c r="V79" s="264"/>
      <c r="W79" s="263"/>
      <c r="X79" s="264"/>
      <c r="Y79" s="264"/>
      <c r="Z79" s="263"/>
      <c r="AA79" s="264"/>
      <c r="AB79" s="284"/>
      <c r="AC79" s="284"/>
      <c r="AD79" s="267"/>
      <c r="AE79" s="267"/>
      <c r="AF79" s="267"/>
      <c r="AG79" s="267"/>
      <c r="AH79" s="267"/>
    </row>
    <row r="80" spans="1:35" outlineLevel="1">
      <c r="B80" s="267" t="s">
        <v>356</v>
      </c>
      <c r="C80" s="263">
        <v>39642123</v>
      </c>
      <c r="D80" s="263">
        <v>34265253</v>
      </c>
      <c r="E80" s="263">
        <v>47098983</v>
      </c>
      <c r="F80" s="263">
        <v>39642536</v>
      </c>
      <c r="G80" s="263">
        <f>SUM(C80:F80)</f>
        <v>160648895</v>
      </c>
      <c r="H80" s="264">
        <f>G80/G$78</f>
        <v>0.81409806293902565</v>
      </c>
      <c r="I80" s="268"/>
      <c r="J80" s="263">
        <v>40988429</v>
      </c>
      <c r="K80" s="263">
        <v>40950664</v>
      </c>
      <c r="L80" s="263">
        <v>50600315</v>
      </c>
      <c r="M80" s="263">
        <v>41330179</v>
      </c>
      <c r="N80" s="263">
        <f t="shared" si="13"/>
        <v>173869587</v>
      </c>
      <c r="O80" s="264">
        <f>N80/N$78</f>
        <v>0.82866715218184073</v>
      </c>
      <c r="P80" s="268"/>
      <c r="Q80" s="263">
        <v>53331908</v>
      </c>
      <c r="R80" s="264">
        <f>Q80/Q$78</f>
        <v>0.8470404096244426</v>
      </c>
      <c r="S80" s="264"/>
      <c r="T80" s="263"/>
      <c r="U80" s="264"/>
      <c r="V80" s="264"/>
      <c r="W80" s="263"/>
      <c r="X80" s="264"/>
      <c r="Y80" s="264"/>
      <c r="Z80" s="263"/>
      <c r="AA80" s="264"/>
      <c r="AB80" s="284"/>
      <c r="AC80" s="284"/>
      <c r="AD80" s="267"/>
      <c r="AE80" s="267"/>
      <c r="AF80" s="267"/>
      <c r="AG80" s="267"/>
      <c r="AH80" s="267"/>
    </row>
    <row r="81" spans="1:34" outlineLevel="1">
      <c r="B81" s="267" t="s">
        <v>357</v>
      </c>
      <c r="C81" s="331">
        <f>C80/C78</f>
        <v>0.81368274661102558</v>
      </c>
      <c r="D81" s="331">
        <f>D80/D78</f>
        <v>0.77911878393882528</v>
      </c>
      <c r="E81" s="331">
        <f>E80/E78</f>
        <v>0.83235247930287015</v>
      </c>
      <c r="F81" s="331">
        <f>F80/F78</f>
        <v>0.82503831947531747</v>
      </c>
      <c r="G81" s="331">
        <f>G80/G78</f>
        <v>0.81409806293902565</v>
      </c>
      <c r="H81" s="309"/>
      <c r="I81" s="268"/>
      <c r="J81" s="331">
        <f>J80/J78</f>
        <v>0.82656376067652171</v>
      </c>
      <c r="K81" s="331">
        <f>K80/K78</f>
        <v>0.82156392378907406</v>
      </c>
      <c r="L81" s="331">
        <f>L80/L78</f>
        <v>0.84632874743088138</v>
      </c>
      <c r="M81" s="331">
        <f>M80/M78</f>
        <v>0.81685632751207626</v>
      </c>
      <c r="N81" s="331">
        <f>N80/N78</f>
        <v>0.82866715218184073</v>
      </c>
      <c r="O81" s="309"/>
      <c r="P81" s="268"/>
      <c r="Q81" s="331">
        <f>Q80/Q78</f>
        <v>0.8470404096244426</v>
      </c>
      <c r="R81" s="309"/>
      <c r="S81" s="309"/>
      <c r="T81" s="331"/>
      <c r="U81" s="309"/>
      <c r="V81" s="309"/>
      <c r="W81" s="331"/>
      <c r="X81" s="309"/>
      <c r="Y81" s="309"/>
      <c r="Z81" s="331"/>
      <c r="AA81" s="309"/>
      <c r="AB81" s="284"/>
      <c r="AC81" s="284"/>
      <c r="AD81" s="267"/>
      <c r="AE81" s="267"/>
      <c r="AF81" s="267"/>
      <c r="AG81" s="267"/>
      <c r="AH81" s="267"/>
    </row>
    <row r="82" spans="1:34" outlineLevel="1">
      <c r="B82" s="267"/>
      <c r="C82" s="268"/>
      <c r="D82" s="268"/>
      <c r="E82" s="268"/>
      <c r="F82" s="268"/>
      <c r="G82" s="268"/>
      <c r="H82" s="309"/>
      <c r="I82" s="268"/>
      <c r="J82" s="268"/>
      <c r="K82" s="268"/>
      <c r="L82" s="268"/>
      <c r="M82" s="268"/>
      <c r="N82" s="268"/>
      <c r="O82" s="309"/>
      <c r="P82" s="268"/>
      <c r="Q82" s="268"/>
      <c r="R82" s="309"/>
      <c r="S82" s="309"/>
      <c r="T82" s="268"/>
      <c r="U82" s="309"/>
      <c r="V82" s="309"/>
      <c r="W82" s="268"/>
      <c r="X82" s="309"/>
      <c r="Y82" s="309"/>
      <c r="Z82" s="268"/>
      <c r="AA82" s="309"/>
      <c r="AB82" s="284"/>
      <c r="AC82" s="284"/>
      <c r="AD82" s="267"/>
      <c r="AE82" s="267"/>
      <c r="AF82" s="267"/>
      <c r="AG82" s="267"/>
      <c r="AH82" s="267"/>
    </row>
    <row r="83" spans="1:34" outlineLevel="1">
      <c r="B83" s="267" t="s">
        <v>358</v>
      </c>
      <c r="C83" s="268"/>
      <c r="D83" s="268"/>
      <c r="E83" s="268"/>
      <c r="F83" s="268"/>
      <c r="G83" s="268"/>
      <c r="H83" s="309"/>
      <c r="I83" s="268"/>
      <c r="J83" s="268"/>
      <c r="K83" s="268"/>
      <c r="L83" s="268"/>
      <c r="M83" s="268"/>
      <c r="N83" s="268"/>
      <c r="O83" s="309"/>
      <c r="P83" s="268"/>
      <c r="Q83" s="268"/>
      <c r="R83" s="309"/>
      <c r="S83" s="309"/>
      <c r="T83" s="268"/>
      <c r="U83" s="309"/>
      <c r="V83" s="309"/>
      <c r="W83" s="268"/>
      <c r="X83" s="309"/>
      <c r="Y83" s="309"/>
      <c r="Z83" s="268"/>
      <c r="AA83" s="309"/>
      <c r="AB83" s="284"/>
      <c r="AC83" s="284"/>
      <c r="AD83" s="267"/>
      <c r="AE83" s="267"/>
      <c r="AF83" s="267"/>
      <c r="AG83" s="267"/>
      <c r="AH83" s="267"/>
    </row>
    <row r="84" spans="1:34" outlineLevel="1">
      <c r="B84" s="267" t="s">
        <v>359</v>
      </c>
      <c r="C84" s="263">
        <v>-5435111</v>
      </c>
      <c r="D84" s="263">
        <v>-5686497</v>
      </c>
      <c r="E84" s="263">
        <v>-5708846</v>
      </c>
      <c r="F84" s="263">
        <v>-4369548</v>
      </c>
      <c r="G84" s="263">
        <f>SUM(C84:F84)</f>
        <v>-21200002</v>
      </c>
      <c r="H84" s="264">
        <f>G84/G$78</f>
        <v>-0.10743230174414502</v>
      </c>
      <c r="I84" s="268"/>
      <c r="J84" s="263">
        <v>-6188181</v>
      </c>
      <c r="K84" s="263">
        <v>-6479646</v>
      </c>
      <c r="L84" s="263">
        <v>-6536874</v>
      </c>
      <c r="M84" s="263">
        <v>-6637594</v>
      </c>
      <c r="N84" s="263">
        <f>SUM(J84:M84)</f>
        <v>-25842295</v>
      </c>
      <c r="O84" s="264">
        <f>N84/N$78</f>
        <v>-0.12316507661281223</v>
      </c>
      <c r="P84" s="268"/>
      <c r="Q84" s="263">
        <v>-6670466</v>
      </c>
      <c r="R84" s="264">
        <f>Q84/Q$78</f>
        <v>-0.10594322357688604</v>
      </c>
      <c r="S84" s="264"/>
      <c r="T84" s="263"/>
      <c r="U84" s="264"/>
      <c r="V84" s="264"/>
      <c r="W84" s="263"/>
      <c r="X84" s="264"/>
      <c r="Y84" s="264"/>
      <c r="Z84" s="263"/>
      <c r="AA84" s="264"/>
      <c r="AB84" s="284"/>
      <c r="AC84" s="284"/>
      <c r="AD84" s="267"/>
      <c r="AE84" s="267"/>
      <c r="AF84" s="267"/>
      <c r="AG84" s="267"/>
      <c r="AH84" s="267"/>
    </row>
    <row r="85" spans="1:34" outlineLevel="1">
      <c r="B85" s="267" t="s">
        <v>360</v>
      </c>
      <c r="C85" s="263">
        <v>-11109681</v>
      </c>
      <c r="D85" s="263">
        <v>-10035408</v>
      </c>
      <c r="E85" s="263">
        <v>-12900160</v>
      </c>
      <c r="F85" s="263">
        <v>-12911040</v>
      </c>
      <c r="G85" s="263">
        <f>SUM(C85:F85)</f>
        <v>-46956289</v>
      </c>
      <c r="H85" s="264">
        <f>G85/G$78</f>
        <v>-0.2379538553172437</v>
      </c>
      <c r="I85" s="268"/>
      <c r="J85" s="263">
        <v>-10868274</v>
      </c>
      <c r="K85" s="263">
        <v>-10704830</v>
      </c>
      <c r="L85" s="263">
        <v>-12066729</v>
      </c>
      <c r="M85" s="263">
        <v>-16340397</v>
      </c>
      <c r="N85" s="263">
        <f>SUM(J85:M85)</f>
        <v>-49980230</v>
      </c>
      <c r="O85" s="264">
        <f>N85/N$78</f>
        <v>-0.23820712738849148</v>
      </c>
      <c r="P85" s="268"/>
      <c r="Q85" s="263">
        <v>-11848508</v>
      </c>
      <c r="R85" s="264">
        <f>Q85/Q$78</f>
        <v>-0.18818312425196723</v>
      </c>
      <c r="S85" s="264"/>
      <c r="T85" s="263"/>
      <c r="U85" s="264"/>
      <c r="V85" s="264"/>
      <c r="W85" s="263"/>
      <c r="X85" s="264"/>
      <c r="Y85" s="264"/>
      <c r="Z85" s="263"/>
      <c r="AA85" s="264"/>
      <c r="AB85" s="284"/>
      <c r="AC85" s="284"/>
      <c r="AD85" s="267"/>
      <c r="AE85" s="267"/>
      <c r="AF85" s="267"/>
      <c r="AG85" s="267"/>
      <c r="AH85" s="267"/>
    </row>
    <row r="86" spans="1:34" outlineLevel="1">
      <c r="B86" s="267" t="s">
        <v>361</v>
      </c>
      <c r="C86" s="263">
        <v>-12980498</v>
      </c>
      <c r="D86" s="263">
        <v>-12630273</v>
      </c>
      <c r="E86" s="263">
        <v>-12638227</v>
      </c>
      <c r="F86" s="263">
        <v>-11898778</v>
      </c>
      <c r="G86" s="263">
        <f>SUM(C86:F86)</f>
        <v>-50147776</v>
      </c>
      <c r="H86" s="264">
        <f>G86/G$78</f>
        <v>-0.25412691013094213</v>
      </c>
      <c r="I86" s="268"/>
      <c r="J86" s="263">
        <v>-11987699</v>
      </c>
      <c r="K86" s="263">
        <v>-12237179</v>
      </c>
      <c r="L86" s="263">
        <v>-12052563</v>
      </c>
      <c r="M86" s="263">
        <v>-11914420</v>
      </c>
      <c r="N86" s="263">
        <f>SUM(J86:M86)</f>
        <v>-48191861</v>
      </c>
      <c r="O86" s="264">
        <f>N86/N$78</f>
        <v>-0.22968371238618698</v>
      </c>
      <c r="P86" s="268"/>
      <c r="Q86" s="263">
        <v>-12156888</v>
      </c>
      <c r="R86" s="264">
        <f>Q86/Q$78</f>
        <v>-0.19308094867482467</v>
      </c>
      <c r="S86" s="264"/>
      <c r="T86" s="263"/>
      <c r="U86" s="264"/>
      <c r="V86" s="264"/>
      <c r="W86" s="263"/>
      <c r="X86" s="264"/>
      <c r="Y86" s="264"/>
      <c r="Z86" s="263"/>
      <c r="AA86" s="264"/>
      <c r="AB86" s="284"/>
      <c r="AC86" s="284"/>
      <c r="AD86" s="267"/>
      <c r="AE86" s="267"/>
      <c r="AF86" s="267"/>
      <c r="AG86" s="267"/>
      <c r="AH86" s="267"/>
    </row>
    <row r="87" spans="1:34" outlineLevel="1">
      <c r="B87" s="267" t="s">
        <v>362</v>
      </c>
      <c r="C87" s="268"/>
      <c r="D87" s="268"/>
      <c r="E87" s="268"/>
      <c r="F87" s="268"/>
      <c r="G87" s="268"/>
      <c r="H87" s="309"/>
      <c r="I87" s="268"/>
      <c r="J87" s="268"/>
      <c r="K87" s="268"/>
      <c r="L87" s="268"/>
      <c r="M87" s="268"/>
      <c r="N87" s="268"/>
      <c r="O87" s="309"/>
      <c r="P87" s="268"/>
      <c r="Q87" s="268"/>
      <c r="R87" s="309"/>
      <c r="S87" s="309"/>
      <c r="T87" s="268"/>
      <c r="U87" s="309"/>
      <c r="V87" s="309"/>
      <c r="W87" s="268"/>
      <c r="X87" s="309"/>
      <c r="Y87" s="309"/>
      <c r="Z87" s="268"/>
      <c r="AA87" s="309"/>
      <c r="AB87" s="284"/>
      <c r="AC87" s="284"/>
      <c r="AD87" s="267"/>
      <c r="AE87" s="267"/>
      <c r="AF87" s="267"/>
      <c r="AG87" s="267"/>
      <c r="AH87" s="267"/>
    </row>
    <row r="88" spans="1:34" outlineLevel="1">
      <c r="B88" s="267" t="s">
        <v>363</v>
      </c>
      <c r="C88" s="263">
        <v>-29525290</v>
      </c>
      <c r="D88" s="263">
        <v>-28352178</v>
      </c>
      <c r="E88" s="263">
        <v>-31247233</v>
      </c>
      <c r="F88" s="263">
        <v>-29179366</v>
      </c>
      <c r="G88" s="263">
        <f>SUM(C88:F88)</f>
        <v>-118304067</v>
      </c>
      <c r="H88" s="264">
        <f>G88/G$78</f>
        <v>-0.59951306719233088</v>
      </c>
      <c r="I88" s="268"/>
      <c r="J88" s="263">
        <v>-29044154</v>
      </c>
      <c r="K88" s="263">
        <v>-29421655</v>
      </c>
      <c r="L88" s="263">
        <v>-30656166</v>
      </c>
      <c r="M88" s="263">
        <v>-34892411</v>
      </c>
      <c r="N88" s="263">
        <f>SUM(J88:M88)</f>
        <v>-124014386</v>
      </c>
      <c r="O88" s="264">
        <f>N88/N$78</f>
        <v>-0.59105591638749067</v>
      </c>
      <c r="P88" s="268"/>
      <c r="Q88" s="263">
        <v>-30675862</v>
      </c>
      <c r="R88" s="264">
        <f>Q88/Q$78</f>
        <v>-0.48720729650367794</v>
      </c>
      <c r="S88" s="264"/>
      <c r="T88" s="263"/>
      <c r="U88" s="264"/>
      <c r="V88" s="264"/>
      <c r="W88" s="263"/>
      <c r="X88" s="264"/>
      <c r="Y88" s="264"/>
      <c r="Z88" s="263"/>
      <c r="AA88" s="264"/>
      <c r="AB88" s="284"/>
      <c r="AC88" s="284"/>
      <c r="AD88" s="267"/>
      <c r="AE88" s="267"/>
      <c r="AF88" s="267"/>
      <c r="AG88" s="267"/>
      <c r="AH88" s="267"/>
    </row>
    <row r="89" spans="1:34" outlineLevel="1">
      <c r="B89" s="267"/>
      <c r="C89" s="268"/>
      <c r="D89" s="268"/>
      <c r="E89" s="268"/>
      <c r="F89" s="268"/>
      <c r="G89" s="268"/>
      <c r="H89" s="309"/>
      <c r="I89" s="268"/>
      <c r="J89" s="268"/>
      <c r="K89" s="268"/>
      <c r="L89" s="268"/>
      <c r="M89" s="268"/>
      <c r="N89" s="268"/>
      <c r="O89" s="309"/>
      <c r="P89" s="268"/>
      <c r="Q89" s="268"/>
      <c r="R89" s="309"/>
      <c r="S89" s="309"/>
      <c r="T89" s="268"/>
      <c r="U89" s="309"/>
      <c r="V89" s="309"/>
      <c r="W89" s="268"/>
      <c r="X89" s="309"/>
      <c r="Y89" s="309"/>
      <c r="Z89" s="268"/>
      <c r="AA89" s="309"/>
      <c r="AB89" s="284"/>
      <c r="AC89" s="284"/>
      <c r="AD89" s="267"/>
      <c r="AE89" s="267"/>
      <c r="AF89" s="267"/>
      <c r="AG89" s="267"/>
      <c r="AH89" s="267"/>
    </row>
    <row r="90" spans="1:34" outlineLevel="1">
      <c r="B90" s="267" t="s">
        <v>364</v>
      </c>
      <c r="C90" s="263">
        <v>10116833</v>
      </c>
      <c r="D90" s="263">
        <v>5913075</v>
      </c>
      <c r="E90" s="263">
        <v>15851750</v>
      </c>
      <c r="F90" s="263">
        <v>10463170</v>
      </c>
      <c r="G90" s="263">
        <f>SUM(C90:F90)</f>
        <v>42344828</v>
      </c>
      <c r="H90" s="264">
        <f>G90/G$78</f>
        <v>0.21458499574669476</v>
      </c>
      <c r="I90" s="268"/>
      <c r="J90" s="263">
        <v>11944275</v>
      </c>
      <c r="K90" s="263">
        <v>11529009</v>
      </c>
      <c r="L90" s="263">
        <v>19944149</v>
      </c>
      <c r="M90" s="263">
        <v>6437768</v>
      </c>
      <c r="N90" s="263">
        <f>SUM(J90:M90)</f>
        <v>49855201</v>
      </c>
      <c r="O90" s="264">
        <f>N90/N$78</f>
        <v>0.23761123579435003</v>
      </c>
      <c r="P90" s="268"/>
      <c r="Q90" s="263">
        <v>22656046</v>
      </c>
      <c r="R90" s="264">
        <f>Q90/Q$78</f>
        <v>0.35983311312076466</v>
      </c>
      <c r="S90" s="264"/>
      <c r="T90" s="263"/>
      <c r="U90" s="264"/>
      <c r="V90" s="264"/>
      <c r="W90" s="263"/>
      <c r="X90" s="264"/>
      <c r="Y90" s="264"/>
      <c r="Z90" s="263"/>
      <c r="AA90" s="264"/>
      <c r="AB90" s="284"/>
      <c r="AC90" s="284"/>
      <c r="AD90" s="267"/>
      <c r="AE90" s="267"/>
      <c r="AF90" s="267"/>
      <c r="AG90" s="267"/>
      <c r="AH90" s="267"/>
    </row>
    <row r="91" spans="1:34" outlineLevel="1">
      <c r="B91" s="267" t="s">
        <v>365</v>
      </c>
      <c r="C91" s="332">
        <f>C90/C78</f>
        <v>0.20765518694458068</v>
      </c>
      <c r="D91" s="332">
        <f>D90/D78</f>
        <v>0.13445071610412651</v>
      </c>
      <c r="E91" s="332">
        <f>E90/E78</f>
        <v>0.28013860540872554</v>
      </c>
      <c r="F91" s="332">
        <f>F90/F78</f>
        <v>0.2177589292769907</v>
      </c>
      <c r="G91" s="332">
        <f>G90/G78</f>
        <v>0.21458499574669476</v>
      </c>
      <c r="H91" s="309"/>
      <c r="I91" s="268"/>
      <c r="J91" s="332">
        <f>J90/J78</f>
        <v>0.24086565656260114</v>
      </c>
      <c r="K91" s="332">
        <f>K90/K78</f>
        <v>0.23129827324508215</v>
      </c>
      <c r="L91" s="332">
        <f>L90/L78</f>
        <v>0.33358105857137182</v>
      </c>
      <c r="M91" s="332">
        <f>M90/M78</f>
        <v>0.12723708566214448</v>
      </c>
      <c r="N91" s="332">
        <f>N90/N78</f>
        <v>0.23761123579435003</v>
      </c>
      <c r="O91" s="309"/>
      <c r="P91" s="268"/>
      <c r="Q91" s="332">
        <f>Q90/Q78</f>
        <v>0.35983311312076466</v>
      </c>
      <c r="R91" s="309"/>
      <c r="S91" s="309"/>
      <c r="T91" s="332"/>
      <c r="U91" s="309"/>
      <c r="V91" s="309"/>
      <c r="W91" s="332"/>
      <c r="X91" s="309"/>
      <c r="Y91" s="309"/>
      <c r="Z91" s="332"/>
      <c r="AA91" s="309"/>
      <c r="AB91" s="284"/>
      <c r="AC91" s="284"/>
      <c r="AD91" s="267"/>
      <c r="AE91" s="267"/>
      <c r="AF91" s="267"/>
      <c r="AG91" s="267"/>
      <c r="AH91" s="267"/>
    </row>
    <row r="92" spans="1:34">
      <c r="B92" s="267"/>
      <c r="C92" s="268"/>
      <c r="D92" s="268"/>
      <c r="E92" s="268"/>
      <c r="F92" s="268"/>
      <c r="G92" s="268"/>
      <c r="H92" s="309"/>
      <c r="I92" s="268"/>
      <c r="J92" s="268"/>
      <c r="K92" s="268"/>
      <c r="L92" s="268"/>
      <c r="M92" s="268"/>
      <c r="N92" s="268"/>
      <c r="O92" s="309"/>
      <c r="P92" s="268"/>
      <c r="Q92" s="268"/>
      <c r="R92" s="301"/>
      <c r="S92" s="301"/>
      <c r="T92" s="247">
        <v>0.25</v>
      </c>
      <c r="U92" s="309"/>
      <c r="V92" s="309"/>
      <c r="W92" s="247">
        <v>0.25</v>
      </c>
      <c r="X92" s="309"/>
      <c r="Y92" s="309"/>
      <c r="Z92" s="247">
        <v>0.25</v>
      </c>
      <c r="AA92" s="309"/>
      <c r="AB92" s="284"/>
      <c r="AC92" s="284"/>
      <c r="AD92" s="267"/>
      <c r="AE92" s="267"/>
      <c r="AF92" s="267"/>
      <c r="AG92" s="267"/>
      <c r="AH92" s="267"/>
    </row>
    <row r="93" spans="1:34" s="280" customFormat="1" ht="12">
      <c r="A93" s="272"/>
      <c r="B93" s="333" t="s">
        <v>370</v>
      </c>
      <c r="C93" s="311">
        <v>6969691</v>
      </c>
      <c r="D93" s="311">
        <v>9756490</v>
      </c>
      <c r="E93" s="311">
        <v>11420855</v>
      </c>
      <c r="F93" s="311">
        <v>14767309</v>
      </c>
      <c r="G93" s="274">
        <f>SUM(C93:F93)</f>
        <v>42914345</v>
      </c>
      <c r="H93" s="334"/>
      <c r="I93" s="311"/>
      <c r="J93" s="311">
        <v>14899284</v>
      </c>
      <c r="K93" s="311">
        <v>13632649</v>
      </c>
      <c r="L93" s="311">
        <v>14678024</v>
      </c>
      <c r="M93" s="311">
        <v>10886652</v>
      </c>
      <c r="N93" s="274">
        <f>SUM(J93:M93)</f>
        <v>54096609</v>
      </c>
      <c r="O93" s="334"/>
      <c r="P93" s="311"/>
      <c r="Q93" s="311">
        <v>11568977</v>
      </c>
      <c r="R93" s="335"/>
      <c r="S93" s="335"/>
      <c r="T93" s="274">
        <f>N93*(1+T$92)</f>
        <v>67620761.25</v>
      </c>
      <c r="U93" s="334"/>
      <c r="V93" s="334"/>
      <c r="W93" s="274">
        <f>T93*(1+W$92)</f>
        <v>84525951.5625</v>
      </c>
      <c r="X93" s="334"/>
      <c r="Y93" s="334"/>
      <c r="Z93" s="274">
        <f>W93*(1+Z$92)</f>
        <v>105657439.453125</v>
      </c>
      <c r="AA93" s="334"/>
      <c r="AB93" s="336"/>
      <c r="AC93" s="336"/>
      <c r="AD93" s="317" t="s">
        <v>371</v>
      </c>
      <c r="AE93" s="318">
        <f>N93/G93-1</f>
        <v>0.26057170393722662</v>
      </c>
      <c r="AF93" s="318">
        <f>T93/N93-1</f>
        <v>0.25</v>
      </c>
      <c r="AG93" s="318">
        <f>W93/T93-1</f>
        <v>0.25</v>
      </c>
      <c r="AH93" s="318">
        <f>Z93/W93-1</f>
        <v>0.25</v>
      </c>
    </row>
    <row r="94" spans="1:34">
      <c r="B94" s="267"/>
      <c r="C94" s="268"/>
      <c r="D94" s="268"/>
      <c r="E94" s="268"/>
      <c r="F94" s="268"/>
      <c r="G94" s="268"/>
      <c r="H94" s="309"/>
      <c r="I94" s="268"/>
      <c r="J94" s="268"/>
      <c r="K94" s="268"/>
      <c r="L94" s="268"/>
      <c r="M94" s="268"/>
      <c r="N94" s="268"/>
      <c r="O94" s="309"/>
      <c r="P94" s="268"/>
      <c r="Q94" s="268"/>
      <c r="R94" s="301"/>
      <c r="S94" s="301"/>
      <c r="T94" s="268"/>
      <c r="U94" s="309"/>
      <c r="V94" s="309"/>
      <c r="W94" s="268"/>
      <c r="X94" s="309"/>
      <c r="Y94" s="309"/>
      <c r="Z94" s="268"/>
      <c r="AA94" s="309"/>
      <c r="AB94" s="284"/>
      <c r="AC94" s="284"/>
      <c r="AD94" s="267"/>
      <c r="AE94" s="267"/>
      <c r="AF94" s="267"/>
      <c r="AG94" s="267"/>
      <c r="AH94" s="267"/>
    </row>
    <row r="95" spans="1:34" s="342" customFormat="1" ht="23">
      <c r="A95" s="337"/>
      <c r="B95" s="338" t="s">
        <v>372</v>
      </c>
      <c r="C95" s="334">
        <f>C8+C54+C78+C93</f>
        <v>147739461.82819158</v>
      </c>
      <c r="D95" s="334">
        <f>D8+D54+D78+D93</f>
        <v>128658809.94518423</v>
      </c>
      <c r="E95" s="334">
        <f>E8+E54+E78+E93</f>
        <v>191123577.85342538</v>
      </c>
      <c r="F95" s="334">
        <f>F8+F54+F78+F93</f>
        <v>163077822.82893586</v>
      </c>
      <c r="G95" s="334">
        <f>G8+G54+G78+G93</f>
        <v>630599672.45573711</v>
      </c>
      <c r="H95" s="334"/>
      <c r="I95" s="334"/>
      <c r="J95" s="334">
        <f>J8+J54+J78+J93</f>
        <v>203076441.61375001</v>
      </c>
      <c r="K95" s="334">
        <f>K8+K54+K78+K93</f>
        <v>166650331.04421896</v>
      </c>
      <c r="L95" s="334">
        <f>L8+L54+L78+L93</f>
        <v>250906167.19039118</v>
      </c>
      <c r="M95" s="334">
        <f>M8+M54+M78+M93</f>
        <v>189128701.6457454</v>
      </c>
      <c r="N95" s="334">
        <f>N8+N54+N78+N93</f>
        <v>809761641.49410558</v>
      </c>
      <c r="O95" s="334"/>
      <c r="P95" s="334"/>
      <c r="Q95" s="334">
        <f>Q8+Q54+Q78+Q93</f>
        <v>254576485.67854258</v>
      </c>
      <c r="R95" s="339"/>
      <c r="S95" s="339"/>
      <c r="T95" s="334">
        <f>T8+T54+T78+T93</f>
        <v>1082726339.0911584</v>
      </c>
      <c r="U95" s="334"/>
      <c r="V95" s="334"/>
      <c r="W95" s="334">
        <f>W8+W54+W78+W93</f>
        <v>1471033551.7892373</v>
      </c>
      <c r="X95" s="334"/>
      <c r="Y95" s="334"/>
      <c r="Z95" s="334">
        <f>Z8+Z54+Z78+Z93</f>
        <v>2028845458.2779813</v>
      </c>
      <c r="AA95" s="334"/>
      <c r="AB95" s="340"/>
      <c r="AC95" s="340"/>
      <c r="AD95" s="338" t="s">
        <v>373</v>
      </c>
      <c r="AE95" s="341">
        <f>N95/G95-1</f>
        <v>0.28411364113251136</v>
      </c>
      <c r="AF95" s="341">
        <f>T95/N95-1</f>
        <v>0.33709264999685695</v>
      </c>
      <c r="AG95" s="341">
        <f>W95/T95-1</f>
        <v>0.35863837303895685</v>
      </c>
      <c r="AH95" s="341">
        <f>Z95/W95-1</f>
        <v>0.37919726970895407</v>
      </c>
    </row>
    <row r="96" spans="1:34" s="342" customFormat="1">
      <c r="A96" s="337"/>
      <c r="B96" s="343" t="s">
        <v>374</v>
      </c>
      <c r="C96" s="344"/>
      <c r="D96" s="344"/>
      <c r="E96" s="344"/>
      <c r="F96" s="344"/>
      <c r="G96" s="345">
        <f>G8/G95</f>
        <v>0.41958839976135454</v>
      </c>
      <c r="H96" s="344"/>
      <c r="I96" s="344"/>
      <c r="J96" s="344"/>
      <c r="K96" s="344"/>
      <c r="L96" s="344"/>
      <c r="M96" s="344"/>
      <c r="N96" s="345">
        <f>N8/N95</f>
        <v>0.51546311544709522</v>
      </c>
      <c r="O96" s="344"/>
      <c r="P96" s="344"/>
      <c r="Q96" s="344"/>
      <c r="R96" s="346"/>
      <c r="S96" s="346"/>
      <c r="T96" s="345">
        <f>T8/T95</f>
        <v>0.5782655922702592</v>
      </c>
      <c r="U96" s="344"/>
      <c r="V96" s="344"/>
      <c r="W96" s="345">
        <f>W8/W95</f>
        <v>0.63843212853264353</v>
      </c>
      <c r="X96" s="344"/>
      <c r="Y96" s="344"/>
      <c r="Z96" s="345">
        <f>Z8/Z95</f>
        <v>0.69435186237067714</v>
      </c>
      <c r="AA96" s="344"/>
      <c r="AB96" s="347"/>
      <c r="AC96" s="347"/>
      <c r="AD96" s="348"/>
      <c r="AE96" s="349"/>
      <c r="AF96" s="349"/>
      <c r="AG96" s="349"/>
      <c r="AH96" s="349"/>
    </row>
    <row r="97" spans="1:35" s="342" customFormat="1">
      <c r="A97" s="337"/>
      <c r="B97" s="343" t="s">
        <v>375</v>
      </c>
      <c r="C97" s="344"/>
      <c r="D97" s="344"/>
      <c r="E97" s="344"/>
      <c r="F97" s="344"/>
      <c r="G97" s="345">
        <f>G54/G95</f>
        <v>0.19942831164224442</v>
      </c>
      <c r="H97" s="344"/>
      <c r="I97" s="344"/>
      <c r="J97" s="344"/>
      <c r="K97" s="344"/>
      <c r="L97" s="344"/>
      <c r="M97" s="344"/>
      <c r="N97" s="345">
        <f>N54/N95</f>
        <v>0.15862002152016602</v>
      </c>
      <c r="O97" s="344"/>
      <c r="P97" s="344"/>
      <c r="Q97" s="344"/>
      <c r="R97" s="346"/>
      <c r="S97" s="346"/>
      <c r="T97" s="345">
        <f>T54/T95</f>
        <v>0.13642511964194831</v>
      </c>
      <c r="U97" s="344"/>
      <c r="V97" s="344"/>
      <c r="W97" s="345">
        <f>W54/W95</f>
        <v>0.11547508939948219</v>
      </c>
      <c r="X97" s="344"/>
      <c r="Y97" s="344"/>
      <c r="Z97" s="345">
        <f>Z54/Z95</f>
        <v>9.6285249199650702E-2</v>
      </c>
      <c r="AA97" s="344"/>
      <c r="AB97" s="347"/>
      <c r="AC97" s="347"/>
      <c r="AD97" s="348"/>
      <c r="AE97" s="349"/>
      <c r="AF97" s="349"/>
      <c r="AG97" s="349"/>
      <c r="AH97" s="349"/>
    </row>
    <row r="98" spans="1:35" s="342" customFormat="1">
      <c r="A98" s="337"/>
      <c r="B98" s="343" t="s">
        <v>376</v>
      </c>
      <c r="C98" s="344"/>
      <c r="D98" s="344"/>
      <c r="E98" s="344"/>
      <c r="F98" s="344"/>
      <c r="G98" s="345">
        <f>G78/G95</f>
        <v>0.31293005787891714</v>
      </c>
      <c r="H98" s="344"/>
      <c r="I98" s="344"/>
      <c r="J98" s="344"/>
      <c r="K98" s="344"/>
      <c r="L98" s="344"/>
      <c r="M98" s="344"/>
      <c r="N98" s="345">
        <f>N78/N95</f>
        <v>0.25911126712900406</v>
      </c>
      <c r="O98" s="344"/>
      <c r="P98" s="344"/>
      <c r="Q98" s="344"/>
      <c r="R98" s="346"/>
      <c r="S98" s="346"/>
      <c r="T98" s="345">
        <f>T78/T95</f>
        <v>0.22285513064412932</v>
      </c>
      <c r="U98" s="344"/>
      <c r="V98" s="344"/>
      <c r="W98" s="345">
        <f>W78/W95</f>
        <v>0.18863253484258843</v>
      </c>
      <c r="X98" s="344"/>
      <c r="Y98" s="344"/>
      <c r="Z98" s="345">
        <f>Z78/Z95</f>
        <v>0.15728527008667434</v>
      </c>
      <c r="AA98" s="344"/>
      <c r="AB98" s="347"/>
      <c r="AC98" s="347"/>
      <c r="AD98" s="348"/>
      <c r="AE98" s="349"/>
      <c r="AF98" s="349"/>
      <c r="AG98" s="349"/>
      <c r="AH98" s="349"/>
    </row>
    <row r="99" spans="1:35" s="250" customFormat="1">
      <c r="A99" s="243"/>
      <c r="B99" s="249"/>
      <c r="C99" s="243"/>
      <c r="D99" s="243"/>
      <c r="E99" s="243"/>
      <c r="F99" s="243"/>
      <c r="G99" s="243"/>
      <c r="H99" s="245"/>
      <c r="I99" s="243"/>
      <c r="J99" s="243"/>
      <c r="K99" s="243"/>
      <c r="L99" s="243"/>
      <c r="M99" s="243"/>
      <c r="N99" s="243"/>
      <c r="O99" s="245"/>
      <c r="P99" s="243"/>
      <c r="Q99" s="243"/>
      <c r="R99" s="246"/>
      <c r="S99" s="246"/>
      <c r="T99" s="246"/>
      <c r="U99" s="246"/>
      <c r="V99" s="246"/>
      <c r="W99" s="246"/>
      <c r="X99" s="246"/>
      <c r="Y99" s="246"/>
      <c r="Z99" s="246"/>
      <c r="AA99" s="246"/>
      <c r="AB99" s="248"/>
      <c r="AC99" s="248"/>
      <c r="AD99" s="249"/>
      <c r="AE99" s="249"/>
      <c r="AF99" s="249"/>
      <c r="AG99" s="249"/>
      <c r="AH99" s="249"/>
    </row>
    <row r="100" spans="1:35" s="243" customFormat="1" ht="12">
      <c r="B100" s="350" t="s">
        <v>377</v>
      </c>
      <c r="H100" s="245"/>
      <c r="O100" s="245"/>
      <c r="R100" s="246"/>
      <c r="S100" s="246"/>
      <c r="T100" s="246"/>
      <c r="U100" s="246"/>
      <c r="V100" s="246"/>
      <c r="W100" s="246"/>
      <c r="X100" s="246"/>
      <c r="Y100" s="246"/>
      <c r="Z100" s="246"/>
      <c r="AA100" s="246"/>
      <c r="AB100" s="248"/>
      <c r="AC100" s="248"/>
      <c r="AD100" s="249"/>
      <c r="AE100" s="249"/>
      <c r="AF100" s="249"/>
      <c r="AG100" s="249"/>
      <c r="AH100" s="249"/>
      <c r="AI100" s="250"/>
    </row>
    <row r="101" spans="1:35" s="243" customFormat="1" ht="12">
      <c r="B101" s="351" t="s">
        <v>378</v>
      </c>
      <c r="H101" s="245"/>
      <c r="O101" s="245"/>
      <c r="R101" s="246"/>
      <c r="S101" s="246"/>
      <c r="T101" s="246"/>
      <c r="U101" s="246"/>
      <c r="V101" s="246"/>
      <c r="W101" s="246"/>
      <c r="X101" s="246"/>
      <c r="Y101" s="246"/>
      <c r="Z101" s="246"/>
      <c r="AA101" s="246"/>
      <c r="AB101" s="248"/>
      <c r="AC101" s="248"/>
      <c r="AD101" s="249"/>
      <c r="AE101" s="249"/>
      <c r="AF101" s="249"/>
      <c r="AG101" s="249"/>
      <c r="AH101" s="249"/>
      <c r="AI101" s="250"/>
    </row>
    <row r="102" spans="1:35" s="243" customFormat="1" ht="12">
      <c r="B102" s="350" t="s">
        <v>379</v>
      </c>
      <c r="H102" s="245"/>
      <c r="O102" s="245"/>
      <c r="R102" s="246"/>
      <c r="S102" s="246"/>
      <c r="T102" s="246"/>
      <c r="U102" s="246"/>
      <c r="V102" s="246"/>
      <c r="W102" s="246"/>
      <c r="X102" s="246"/>
      <c r="Y102" s="246"/>
      <c r="Z102" s="246"/>
      <c r="AA102" s="246"/>
      <c r="AB102" s="248"/>
      <c r="AC102" s="248"/>
      <c r="AD102" s="249"/>
      <c r="AE102" s="249"/>
      <c r="AF102" s="249"/>
      <c r="AG102" s="249"/>
      <c r="AH102" s="249"/>
      <c r="AI102" s="250"/>
    </row>
    <row r="103" spans="1:35" s="243" customFormat="1">
      <c r="B103" s="249"/>
      <c r="H103" s="245"/>
      <c r="O103" s="245"/>
      <c r="R103" s="246"/>
      <c r="S103" s="246"/>
      <c r="T103" s="246"/>
      <c r="U103" s="246"/>
      <c r="V103" s="246"/>
      <c r="W103" s="246"/>
      <c r="X103" s="246"/>
      <c r="Y103" s="246"/>
      <c r="Z103" s="246"/>
      <c r="AA103" s="246"/>
      <c r="AB103" s="248"/>
      <c r="AC103" s="248"/>
      <c r="AD103" s="249"/>
      <c r="AE103" s="249"/>
      <c r="AF103" s="249"/>
      <c r="AG103" s="249"/>
      <c r="AH103" s="249"/>
      <c r="AI103" s="250"/>
    </row>
    <row r="104" spans="1:35" s="243" customFormat="1" ht="12">
      <c r="B104" s="352" t="s">
        <v>380</v>
      </c>
      <c r="H104" s="245"/>
      <c r="O104" s="245"/>
      <c r="R104" s="246"/>
      <c r="S104" s="246"/>
      <c r="T104" s="246"/>
      <c r="U104" s="246"/>
      <c r="V104" s="246"/>
      <c r="W104" s="246"/>
      <c r="X104" s="246"/>
      <c r="Y104" s="246"/>
      <c r="Z104" s="246"/>
      <c r="AA104" s="246"/>
      <c r="AB104" s="248"/>
      <c r="AC104" s="248"/>
      <c r="AD104" s="249"/>
      <c r="AE104" s="249"/>
      <c r="AF104" s="249"/>
      <c r="AG104" s="249"/>
      <c r="AH104" s="249"/>
      <c r="AI104" s="250"/>
    </row>
    <row r="105" spans="1:35" s="243" customFormat="1" ht="12">
      <c r="B105" s="352" t="s">
        <v>381</v>
      </c>
      <c r="H105" s="245"/>
      <c r="O105" s="245"/>
      <c r="R105" s="246"/>
      <c r="S105" s="246"/>
      <c r="T105" s="246"/>
      <c r="U105" s="246"/>
      <c r="V105" s="246"/>
      <c r="W105" s="246"/>
      <c r="X105" s="246"/>
      <c r="Y105" s="246"/>
      <c r="Z105" s="246"/>
      <c r="AA105" s="246"/>
      <c r="AB105" s="248"/>
      <c r="AC105" s="248"/>
      <c r="AD105" s="249"/>
      <c r="AE105" s="249"/>
      <c r="AF105" s="249"/>
      <c r="AG105" s="249"/>
      <c r="AH105" s="249"/>
      <c r="AI105" s="250"/>
    </row>
    <row r="106" spans="1:35" s="243" customFormat="1" ht="12">
      <c r="B106" s="352" t="s">
        <v>382</v>
      </c>
      <c r="H106" s="245"/>
      <c r="O106" s="245"/>
      <c r="R106" s="246"/>
      <c r="S106" s="246"/>
      <c r="T106" s="246"/>
      <c r="U106" s="246"/>
      <c r="V106" s="246"/>
      <c r="W106" s="246"/>
      <c r="X106" s="246"/>
      <c r="Y106" s="246"/>
      <c r="Z106" s="246"/>
      <c r="AA106" s="246"/>
      <c r="AB106" s="248"/>
      <c r="AC106" s="248"/>
      <c r="AD106" s="249"/>
      <c r="AE106" s="249"/>
      <c r="AF106" s="249"/>
      <c r="AG106" s="249"/>
      <c r="AH106" s="249"/>
      <c r="AI106" s="250"/>
    </row>
    <row r="107" spans="1:35" s="243" customFormat="1" ht="12">
      <c r="B107" s="352" t="s">
        <v>383</v>
      </c>
      <c r="H107" s="245"/>
      <c r="O107" s="245"/>
      <c r="R107" s="246"/>
      <c r="S107" s="246"/>
      <c r="T107" s="246"/>
      <c r="U107" s="246"/>
      <c r="V107" s="246"/>
      <c r="W107" s="246"/>
      <c r="X107" s="246"/>
      <c r="Y107" s="246"/>
      <c r="Z107" s="246"/>
      <c r="AA107" s="246"/>
      <c r="AB107" s="248"/>
      <c r="AC107" s="248"/>
      <c r="AD107" s="249"/>
      <c r="AE107" s="249"/>
      <c r="AF107" s="249"/>
      <c r="AG107" s="249"/>
      <c r="AH107" s="249"/>
      <c r="AI107" s="250"/>
    </row>
    <row r="108" spans="1:35" s="243" customFormat="1" ht="12">
      <c r="B108" s="352" t="s">
        <v>384</v>
      </c>
      <c r="H108" s="245"/>
      <c r="O108" s="245"/>
      <c r="R108" s="246"/>
      <c r="S108" s="246"/>
      <c r="T108" s="246"/>
      <c r="U108" s="246"/>
      <c r="V108" s="246"/>
      <c r="W108" s="246"/>
      <c r="X108" s="246"/>
      <c r="Y108" s="246"/>
      <c r="Z108" s="246"/>
      <c r="AA108" s="246"/>
      <c r="AB108" s="248"/>
      <c r="AC108" s="248"/>
      <c r="AD108" s="249"/>
      <c r="AE108" s="249"/>
      <c r="AF108" s="249"/>
      <c r="AG108" s="249"/>
      <c r="AH108" s="249"/>
      <c r="AI108" s="250"/>
    </row>
  </sheetData>
  <phoneticPr fontId="11" type="noConversion"/>
  <pageMargins left="0.75" right="0.75" top="1" bottom="1" header="0.5" footer="0.5"/>
  <pageSetup paperSize="9" orientation="portrait" r:id="rId1"/>
  <headerFooter alignWithMargins="0"/>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B40"/>
  <sheetViews>
    <sheetView workbookViewId="0"/>
  </sheetViews>
  <sheetFormatPr defaultColWidth="8.75" defaultRowHeight="15"/>
  <cols>
    <col min="1" max="1" width="33.25" style="194" customWidth="1"/>
    <col min="2" max="3" width="12.58203125" style="194" bestFit="1" customWidth="1"/>
    <col min="4" max="5" width="13.58203125" style="194" bestFit="1" customWidth="1"/>
    <col min="6" max="6" width="9" style="194" bestFit="1" customWidth="1"/>
    <col min="7" max="8" width="6.5" style="194" bestFit="1" customWidth="1"/>
    <col min="9" max="9" width="1.33203125" style="367" customWidth="1"/>
    <col min="10" max="13" width="12.58203125" style="194" bestFit="1" customWidth="1"/>
    <col min="14" max="16" width="9" style="194" bestFit="1" customWidth="1"/>
    <col min="17" max="17" width="1" style="367" customWidth="1"/>
    <col min="18" max="24" width="6.5" style="194" bestFit="1" customWidth="1"/>
    <col min="25" max="25" width="2.33203125" style="367" customWidth="1"/>
    <col min="26" max="29" width="12.58203125" style="194" bestFit="1" customWidth="1"/>
    <col min="30" max="32" width="9" style="194" bestFit="1" customWidth="1"/>
    <col min="33" max="33" width="2.33203125" style="367" customWidth="1"/>
    <col min="34" max="37" width="12.58203125" style="194" bestFit="1" customWidth="1"/>
    <col min="38" max="38" width="9" style="194" bestFit="1" customWidth="1"/>
    <col min="39" max="39" width="6.83203125" style="194" bestFit="1" customWidth="1"/>
    <col min="40" max="40" width="9" style="194" bestFit="1" customWidth="1"/>
    <col min="41" max="41" width="2.33203125" style="367" customWidth="1"/>
    <col min="42" max="48" width="6.5" style="194" bestFit="1" customWidth="1"/>
    <col min="49" max="49" width="2.33203125" style="367" customWidth="1"/>
    <col min="50" max="50" width="18.75" style="194" bestFit="1" customWidth="1"/>
    <col min="51" max="52" width="10.25" style="194" bestFit="1" customWidth="1"/>
    <col min="53" max="53" width="12.58203125" style="194" bestFit="1" customWidth="1"/>
    <col min="54" max="54" width="6.83203125" style="194" bestFit="1" customWidth="1"/>
    <col min="55" max="56" width="6.5" style="194" bestFit="1" customWidth="1"/>
    <col min="57" max="57" width="2.33203125" style="367" customWidth="1"/>
    <col min="58" max="64" width="6.5" style="194" bestFit="1" customWidth="1"/>
    <col min="65" max="65" width="2.33203125" style="367" customWidth="1"/>
    <col min="66" max="68" width="10.25" style="194" bestFit="1" customWidth="1"/>
    <col min="69" max="69" width="12.58203125" style="194" bestFit="1" customWidth="1"/>
    <col min="70" max="70" width="9" style="194" bestFit="1" customWidth="1"/>
    <col min="71" max="71" width="6.83203125" style="194" bestFit="1" customWidth="1"/>
    <col min="72" max="72" width="6.5" style="194" bestFit="1" customWidth="1"/>
    <col min="73" max="73" width="2.33203125" style="367" customWidth="1"/>
    <col min="74" max="80" width="6.5" style="194" bestFit="1" customWidth="1"/>
    <col min="81" max="81" width="2.33203125" style="364" customWidth="1"/>
    <col min="82" max="82" width="12.58203125" style="194" bestFit="1" customWidth="1"/>
    <col min="83" max="85" width="13.58203125" style="194" bestFit="1" customWidth="1"/>
    <col min="86" max="87" width="6.83203125" style="194" bestFit="1" customWidth="1"/>
    <col min="88" max="88" width="6.5" style="194" bestFit="1" customWidth="1"/>
    <col min="89" max="89" width="2.33203125" style="367" customWidth="1"/>
    <col min="90" max="93" width="12.58203125" style="194" bestFit="1" customWidth="1"/>
    <col min="94" max="94" width="6.5" style="194" bestFit="1" customWidth="1"/>
    <col min="95" max="95" width="6.83203125" style="194" bestFit="1" customWidth="1"/>
    <col min="96" max="96" width="6.5" style="194" bestFit="1" customWidth="1"/>
    <col min="97" max="97" width="2.33203125" style="367" customWidth="1"/>
    <col min="98" max="98" width="12.58203125" style="194" bestFit="1" customWidth="1"/>
    <col min="99" max="101" width="13.58203125" style="194" bestFit="1" customWidth="1"/>
    <col min="102" max="102" width="9" style="194" bestFit="1" customWidth="1"/>
    <col min="103" max="103" width="6.83203125" style="194" bestFit="1" customWidth="1"/>
    <col min="104" max="104" width="6.5" style="194" bestFit="1" customWidth="1"/>
    <col min="105" max="105" width="2.33203125" style="364" customWidth="1"/>
    <col min="106" max="106" width="10.25" style="194" bestFit="1" customWidth="1"/>
    <col min="107" max="109" width="12.58203125" style="194" bestFit="1" customWidth="1"/>
    <col min="110" max="111" width="6.83203125" style="194" bestFit="1" customWidth="1"/>
    <col min="112" max="112" width="6.5" style="194" bestFit="1" customWidth="1"/>
    <col min="113" max="113" width="2.33203125" style="367" customWidth="1"/>
    <col min="114" max="117" width="12.58203125" style="194" bestFit="1" customWidth="1"/>
    <col min="118" max="118" width="9" style="194" bestFit="1" customWidth="1"/>
    <col min="119" max="119" width="6.83203125" style="194" bestFit="1" customWidth="1"/>
    <col min="120" max="120" width="6.5" style="194" bestFit="1" customWidth="1"/>
    <col min="121" max="121" width="2.33203125" style="367" customWidth="1"/>
    <col min="122" max="122" width="11.5" style="194" bestFit="1" customWidth="1"/>
    <col min="123" max="123" width="12.58203125" style="194" bestFit="1" customWidth="1"/>
    <col min="124" max="125" width="11.5" style="194" bestFit="1" customWidth="1"/>
    <col min="126" max="126" width="9" style="194" bestFit="1" customWidth="1"/>
    <col min="127" max="127" width="6.83203125" style="194" bestFit="1" customWidth="1"/>
    <col min="128" max="128" width="6.5" style="194" bestFit="1" customWidth="1"/>
    <col min="129" max="129" width="2.33203125" style="367" customWidth="1"/>
    <col min="130" max="133" width="13.58203125" style="194" bestFit="1" customWidth="1"/>
    <col min="134" max="134" width="10" style="194" bestFit="1" customWidth="1"/>
    <col min="135" max="135" width="6.83203125" style="194" bestFit="1" customWidth="1"/>
    <col min="136" max="136" width="6.5" style="194" bestFit="1" customWidth="1"/>
    <col min="137" max="137" width="2.33203125" style="367" customWidth="1"/>
    <col min="138" max="141" width="12.58203125" style="194" bestFit="1" customWidth="1"/>
    <col min="142" max="142" width="10" style="194" customWidth="1"/>
    <col min="143" max="143" width="9" style="194" bestFit="1" customWidth="1"/>
    <col min="144" max="144" width="6.5" style="194" bestFit="1" customWidth="1"/>
    <col min="145" max="145" width="2.33203125" style="367" customWidth="1"/>
    <col min="146" max="149" width="13.58203125" style="194" bestFit="1" customWidth="1"/>
    <col min="150" max="150" width="10" style="194" bestFit="1" customWidth="1"/>
    <col min="151" max="151" width="6.83203125" style="194" bestFit="1" customWidth="1"/>
    <col min="152" max="152" width="6.5" style="194" bestFit="1" customWidth="1"/>
    <col min="153" max="153" width="2.33203125" style="367" customWidth="1"/>
    <col min="154" max="157" width="12.58203125" style="194" bestFit="1" customWidth="1"/>
    <col min="158" max="158" width="7.83203125" style="194" bestFit="1" customWidth="1"/>
    <col min="159" max="159" width="6.83203125" style="194" bestFit="1" customWidth="1"/>
    <col min="160" max="160" width="6.5" style="194" bestFit="1" customWidth="1"/>
    <col min="161" max="161" width="2.33203125" style="367" customWidth="1"/>
    <col min="162" max="162" width="12.58203125" style="194" bestFit="1" customWidth="1"/>
    <col min="163" max="164" width="13.58203125" style="194" bestFit="1" customWidth="1"/>
    <col min="165" max="165" width="12.58203125" style="194" bestFit="1" customWidth="1"/>
    <col min="166" max="166" width="10" style="194" bestFit="1" customWidth="1"/>
    <col min="167" max="167" width="6.83203125" style="194" bestFit="1" customWidth="1"/>
    <col min="168" max="168" width="6.5" style="194" bestFit="1" customWidth="1"/>
    <col min="169" max="169" width="2.33203125" style="367" customWidth="1"/>
    <col min="170" max="171" width="12.58203125" style="194" bestFit="1" customWidth="1"/>
    <col min="172" max="173" width="11.5" style="194" bestFit="1" customWidth="1"/>
    <col min="174" max="174" width="7.83203125" style="194" bestFit="1" customWidth="1"/>
    <col min="175" max="175" width="6.83203125" style="194" bestFit="1" customWidth="1"/>
    <col min="176" max="176" width="6.5" style="194" bestFit="1" customWidth="1"/>
    <col min="177" max="177" width="2.33203125" style="367" customWidth="1"/>
    <col min="178" max="181" width="12.58203125" style="194" bestFit="1" customWidth="1"/>
    <col min="182" max="182" width="10" style="194" bestFit="1" customWidth="1"/>
    <col min="183" max="183" width="6.83203125" style="194" bestFit="1" customWidth="1"/>
    <col min="184" max="184" width="6.5" style="194" bestFit="1" customWidth="1"/>
    <col min="185" max="16384" width="8.75" style="194"/>
  </cols>
  <sheetData>
    <row r="1" spans="1:184">
      <c r="A1" s="353" t="s">
        <v>655</v>
      </c>
    </row>
    <row r="2" spans="1:184" s="216" customFormat="1">
      <c r="B2" s="3548" t="s">
        <v>385</v>
      </c>
      <c r="C2" s="3548"/>
      <c r="D2" s="3548"/>
      <c r="E2" s="3548"/>
      <c r="F2" s="3548"/>
      <c r="G2" s="3548"/>
      <c r="H2" s="3548"/>
      <c r="I2" s="368"/>
      <c r="J2" s="3548" t="s">
        <v>386</v>
      </c>
      <c r="K2" s="3548"/>
      <c r="L2" s="3548"/>
      <c r="M2" s="3548"/>
      <c r="N2" s="3548"/>
      <c r="O2" s="3548"/>
      <c r="P2" s="3548"/>
      <c r="Q2" s="368"/>
      <c r="R2" s="3548" t="s">
        <v>387</v>
      </c>
      <c r="S2" s="3548"/>
      <c r="T2" s="3548"/>
      <c r="U2" s="3548"/>
      <c r="V2" s="3548"/>
      <c r="W2" s="3548"/>
      <c r="X2" s="3548"/>
      <c r="Y2" s="368"/>
      <c r="Z2" s="3549" t="s">
        <v>388</v>
      </c>
      <c r="AA2" s="3549"/>
      <c r="AB2" s="3549"/>
      <c r="AC2" s="3549"/>
      <c r="AD2" s="3549"/>
      <c r="AE2" s="3549"/>
      <c r="AF2" s="3549"/>
      <c r="AG2" s="368"/>
      <c r="AH2" s="3548" t="s">
        <v>389</v>
      </c>
      <c r="AI2" s="3548"/>
      <c r="AJ2" s="3548"/>
      <c r="AK2" s="3548"/>
      <c r="AL2" s="3548"/>
      <c r="AM2" s="3548"/>
      <c r="AN2" s="3548"/>
      <c r="AO2" s="368"/>
      <c r="AP2" s="3548" t="s">
        <v>390</v>
      </c>
      <c r="AQ2" s="3548"/>
      <c r="AR2" s="3548"/>
      <c r="AS2" s="3548"/>
      <c r="AT2" s="3548"/>
      <c r="AU2" s="3548"/>
      <c r="AV2" s="3548"/>
      <c r="AW2" s="368"/>
      <c r="AX2" s="3548" t="s">
        <v>391</v>
      </c>
      <c r="AY2" s="3548"/>
      <c r="AZ2" s="3548"/>
      <c r="BA2" s="3548"/>
      <c r="BB2" s="3548"/>
      <c r="BC2" s="3548"/>
      <c r="BD2" s="3548"/>
      <c r="BE2" s="368"/>
      <c r="BF2" s="3548" t="s">
        <v>392</v>
      </c>
      <c r="BG2" s="3548"/>
      <c r="BH2" s="3548"/>
      <c r="BI2" s="3548"/>
      <c r="BJ2" s="3548"/>
      <c r="BK2" s="3548"/>
      <c r="BL2" s="3548"/>
      <c r="BM2" s="368"/>
      <c r="BN2" s="3548" t="s">
        <v>393</v>
      </c>
      <c r="BO2" s="3548"/>
      <c r="BP2" s="3548"/>
      <c r="BQ2" s="3548"/>
      <c r="BR2" s="3548"/>
      <c r="BS2" s="3548"/>
      <c r="BT2" s="3548"/>
      <c r="BU2" s="368"/>
      <c r="BV2" s="3548" t="s">
        <v>394</v>
      </c>
      <c r="BW2" s="3548"/>
      <c r="BX2" s="3548"/>
      <c r="BY2" s="3548"/>
      <c r="BZ2" s="3548"/>
      <c r="CA2" s="3548"/>
      <c r="CB2" s="3548"/>
      <c r="CC2" s="365"/>
      <c r="CD2" s="3548" t="s">
        <v>410</v>
      </c>
      <c r="CE2" s="3548"/>
      <c r="CF2" s="3548"/>
      <c r="CG2" s="3548"/>
      <c r="CH2" s="3548"/>
      <c r="CI2" s="3548"/>
      <c r="CJ2" s="3548"/>
      <c r="CK2" s="368"/>
      <c r="CL2" s="3548" t="s">
        <v>411</v>
      </c>
      <c r="CM2" s="3548"/>
      <c r="CN2" s="3548"/>
      <c r="CO2" s="3548"/>
      <c r="CP2" s="3548"/>
      <c r="CQ2" s="3548"/>
      <c r="CR2" s="3548"/>
      <c r="CS2" s="368"/>
      <c r="CT2" s="3548" t="s">
        <v>609</v>
      </c>
      <c r="CU2" s="3548"/>
      <c r="CV2" s="3548"/>
      <c r="CW2" s="3548"/>
      <c r="CX2" s="3548"/>
      <c r="CY2" s="3548"/>
      <c r="CZ2" s="3548"/>
      <c r="DA2" s="365"/>
      <c r="DB2" s="3548" t="s">
        <v>412</v>
      </c>
      <c r="DC2" s="3548"/>
      <c r="DD2" s="3548"/>
      <c r="DE2" s="3548"/>
      <c r="DF2" s="3548"/>
      <c r="DG2" s="3548"/>
      <c r="DH2" s="3548"/>
      <c r="DI2" s="368"/>
      <c r="DJ2" s="3548" t="s">
        <v>595</v>
      </c>
      <c r="DK2" s="3548"/>
      <c r="DL2" s="3548"/>
      <c r="DM2" s="3548"/>
      <c r="DN2" s="3548"/>
      <c r="DO2" s="3548"/>
      <c r="DP2" s="3548"/>
      <c r="DQ2" s="368"/>
      <c r="DR2" s="3548" t="s">
        <v>413</v>
      </c>
      <c r="DS2" s="3548"/>
      <c r="DT2" s="3548"/>
      <c r="DU2" s="3548"/>
      <c r="DV2" s="3548"/>
      <c r="DW2" s="3548"/>
      <c r="DX2" s="3548"/>
      <c r="DY2" s="368"/>
      <c r="DZ2" s="3548" t="s">
        <v>414</v>
      </c>
      <c r="EA2" s="3548"/>
      <c r="EB2" s="3548"/>
      <c r="EC2" s="3548"/>
      <c r="ED2" s="3548"/>
      <c r="EE2" s="3548"/>
      <c r="EF2" s="3548"/>
      <c r="EG2" s="368"/>
      <c r="EH2" s="3548" t="s">
        <v>416</v>
      </c>
      <c r="EI2" s="3548"/>
      <c r="EJ2" s="3548"/>
      <c r="EK2" s="3548"/>
      <c r="EL2" s="3548"/>
      <c r="EM2" s="3548"/>
      <c r="EN2" s="3548"/>
      <c r="EO2" s="368"/>
      <c r="EP2" s="3548" t="s">
        <v>417</v>
      </c>
      <c r="EQ2" s="3548"/>
      <c r="ER2" s="3548"/>
      <c r="ES2" s="3548"/>
      <c r="ET2" s="3548"/>
      <c r="EU2" s="3548"/>
      <c r="EV2" s="3548"/>
      <c r="EW2" s="368"/>
      <c r="EX2" s="3548" t="s">
        <v>418</v>
      </c>
      <c r="EY2" s="3548"/>
      <c r="EZ2" s="3548"/>
      <c r="FA2" s="3548"/>
      <c r="FB2" s="3548"/>
      <c r="FC2" s="3548"/>
      <c r="FD2" s="3548"/>
      <c r="FE2" s="368"/>
      <c r="FF2" s="3548" t="s">
        <v>621</v>
      </c>
      <c r="FG2" s="3548"/>
      <c r="FH2" s="3548"/>
      <c r="FI2" s="3548"/>
      <c r="FJ2" s="3548"/>
      <c r="FK2" s="3548"/>
      <c r="FL2" s="3548"/>
      <c r="FM2" s="368"/>
      <c r="FN2" s="3548" t="s">
        <v>419</v>
      </c>
      <c r="FO2" s="3548"/>
      <c r="FP2" s="3548"/>
      <c r="FQ2" s="3548"/>
      <c r="FR2" s="3548"/>
      <c r="FS2" s="3548"/>
      <c r="FT2" s="3548"/>
      <c r="FU2" s="368"/>
      <c r="FV2" s="3548" t="s">
        <v>620</v>
      </c>
      <c r="FW2" s="3548"/>
      <c r="FX2" s="3548"/>
      <c r="FY2" s="3548"/>
      <c r="FZ2" s="3548"/>
      <c r="GA2" s="3548"/>
      <c r="GB2" s="3548"/>
    </row>
    <row r="3" spans="1:184" s="355" customFormat="1">
      <c r="A3" s="354"/>
      <c r="B3" s="355">
        <v>2009</v>
      </c>
      <c r="C3" s="355">
        <v>2010</v>
      </c>
      <c r="D3" s="355">
        <v>2011</v>
      </c>
      <c r="E3" s="355">
        <v>2012</v>
      </c>
      <c r="F3" s="355">
        <v>2013</v>
      </c>
      <c r="G3" s="355">
        <v>2014</v>
      </c>
      <c r="H3" s="355">
        <v>2015</v>
      </c>
      <c r="I3" s="369"/>
      <c r="J3" s="355">
        <v>2009</v>
      </c>
      <c r="K3" s="355">
        <v>2010</v>
      </c>
      <c r="L3" s="355">
        <v>2011</v>
      </c>
      <c r="M3" s="355">
        <v>2012</v>
      </c>
      <c r="N3" s="355">
        <v>2013</v>
      </c>
      <c r="O3" s="355">
        <v>2014</v>
      </c>
      <c r="P3" s="355">
        <v>2015</v>
      </c>
      <c r="Q3" s="369"/>
      <c r="R3" s="355">
        <v>2009</v>
      </c>
      <c r="S3" s="355">
        <v>2010</v>
      </c>
      <c r="T3" s="355">
        <v>2011</v>
      </c>
      <c r="U3" s="355">
        <v>2012</v>
      </c>
      <c r="V3" s="355">
        <v>2013</v>
      </c>
      <c r="W3" s="355">
        <v>2014</v>
      </c>
      <c r="X3" s="355">
        <v>2015</v>
      </c>
      <c r="Y3" s="369"/>
      <c r="Z3" s="355">
        <v>2009</v>
      </c>
      <c r="AA3" s="355">
        <v>2010</v>
      </c>
      <c r="AB3" s="355">
        <v>2011</v>
      </c>
      <c r="AC3" s="355">
        <v>2012</v>
      </c>
      <c r="AD3" s="355">
        <v>2013</v>
      </c>
      <c r="AE3" s="355">
        <v>2014</v>
      </c>
      <c r="AF3" s="355">
        <v>2015</v>
      </c>
      <c r="AG3" s="369"/>
      <c r="AH3" s="355">
        <v>2009</v>
      </c>
      <c r="AI3" s="355">
        <v>2010</v>
      </c>
      <c r="AJ3" s="355">
        <v>2011</v>
      </c>
      <c r="AK3" s="355">
        <v>2012</v>
      </c>
      <c r="AL3" s="355">
        <v>2013</v>
      </c>
      <c r="AM3" s="355">
        <v>2014</v>
      </c>
      <c r="AN3" s="355">
        <v>2015</v>
      </c>
      <c r="AO3" s="369"/>
      <c r="AP3" s="355">
        <v>2009</v>
      </c>
      <c r="AQ3" s="355">
        <v>2010</v>
      </c>
      <c r="AR3" s="355">
        <v>2011</v>
      </c>
      <c r="AS3" s="355">
        <v>2012</v>
      </c>
      <c r="AT3" s="355">
        <v>2013</v>
      </c>
      <c r="AU3" s="355">
        <v>2014</v>
      </c>
      <c r="AV3" s="355">
        <v>2015</v>
      </c>
      <c r="AW3" s="369"/>
      <c r="AX3" s="355">
        <v>2009</v>
      </c>
      <c r="AY3" s="355">
        <v>2010</v>
      </c>
      <c r="AZ3" s="355">
        <v>2011</v>
      </c>
      <c r="BA3" s="355">
        <v>2012</v>
      </c>
      <c r="BB3" s="355">
        <v>2013</v>
      </c>
      <c r="BC3" s="355">
        <v>2014</v>
      </c>
      <c r="BD3" s="355">
        <v>2015</v>
      </c>
      <c r="BE3" s="369"/>
      <c r="BF3" s="355">
        <v>2009</v>
      </c>
      <c r="BG3" s="355">
        <v>2010</v>
      </c>
      <c r="BH3" s="355">
        <v>2011</v>
      </c>
      <c r="BI3" s="355">
        <v>2012</v>
      </c>
      <c r="BJ3" s="355">
        <v>2013</v>
      </c>
      <c r="BK3" s="355">
        <v>2014</v>
      </c>
      <c r="BL3" s="355">
        <v>2015</v>
      </c>
      <c r="BM3" s="369"/>
      <c r="BN3" s="355">
        <v>2009</v>
      </c>
      <c r="BO3" s="355">
        <v>2010</v>
      </c>
      <c r="BP3" s="355">
        <v>2011</v>
      </c>
      <c r="BQ3" s="355">
        <v>2012</v>
      </c>
      <c r="BR3" s="355">
        <v>2013</v>
      </c>
      <c r="BS3" s="355">
        <v>2014</v>
      </c>
      <c r="BT3" s="355">
        <v>2015</v>
      </c>
      <c r="BU3" s="369"/>
      <c r="BV3" s="355">
        <v>2009</v>
      </c>
      <c r="BW3" s="355">
        <v>2010</v>
      </c>
      <c r="BX3" s="355">
        <v>2011</v>
      </c>
      <c r="BY3" s="355">
        <v>2012</v>
      </c>
      <c r="BZ3" s="355">
        <v>2013</v>
      </c>
      <c r="CA3" s="355">
        <v>2014</v>
      </c>
      <c r="CB3" s="355">
        <v>2015</v>
      </c>
      <c r="CC3" s="366"/>
      <c r="CD3" s="355">
        <v>2009</v>
      </c>
      <c r="CE3" s="355">
        <v>2010</v>
      </c>
      <c r="CF3" s="355">
        <v>2011</v>
      </c>
      <c r="CG3" s="355">
        <v>2012</v>
      </c>
      <c r="CH3" s="355">
        <v>2013</v>
      </c>
      <c r="CI3" s="355">
        <v>2014</v>
      </c>
      <c r="CJ3" s="355">
        <v>2015</v>
      </c>
      <c r="CK3" s="369"/>
      <c r="CL3" s="355">
        <v>2009</v>
      </c>
      <c r="CM3" s="355">
        <v>2010</v>
      </c>
      <c r="CN3" s="355">
        <v>2011</v>
      </c>
      <c r="CO3" s="355">
        <v>2012</v>
      </c>
      <c r="CP3" s="355">
        <v>2013</v>
      </c>
      <c r="CQ3" s="355">
        <v>2014</v>
      </c>
      <c r="CR3" s="355">
        <v>2015</v>
      </c>
      <c r="CS3" s="369"/>
      <c r="CT3" s="355">
        <v>2009</v>
      </c>
      <c r="CU3" s="355">
        <v>2010</v>
      </c>
      <c r="CV3" s="355">
        <v>2011</v>
      </c>
      <c r="CW3" s="355">
        <v>2012</v>
      </c>
      <c r="CX3" s="355">
        <v>2013</v>
      </c>
      <c r="CY3" s="355">
        <v>2014</v>
      </c>
      <c r="CZ3" s="355">
        <v>2015</v>
      </c>
      <c r="DA3" s="366"/>
      <c r="DB3" s="355">
        <v>2009</v>
      </c>
      <c r="DC3" s="355">
        <v>2010</v>
      </c>
      <c r="DD3" s="355">
        <v>2011</v>
      </c>
      <c r="DE3" s="355">
        <v>2012</v>
      </c>
      <c r="DF3" s="355">
        <v>2013</v>
      </c>
      <c r="DG3" s="355">
        <v>2014</v>
      </c>
      <c r="DH3" s="355">
        <v>2015</v>
      </c>
      <c r="DI3" s="369"/>
      <c r="DJ3" s="355">
        <v>2009</v>
      </c>
      <c r="DK3" s="355">
        <v>2010</v>
      </c>
      <c r="DL3" s="355">
        <v>2011</v>
      </c>
      <c r="DM3" s="355">
        <v>2012</v>
      </c>
      <c r="DN3" s="355">
        <v>2013</v>
      </c>
      <c r="DO3" s="355">
        <v>2014</v>
      </c>
      <c r="DP3" s="355">
        <v>2015</v>
      </c>
      <c r="DQ3" s="369"/>
      <c r="DR3" s="355">
        <v>2009</v>
      </c>
      <c r="DS3" s="355">
        <v>2010</v>
      </c>
      <c r="DT3" s="355">
        <v>2011</v>
      </c>
      <c r="DU3" s="355">
        <v>2012</v>
      </c>
      <c r="DV3" s="355">
        <v>2013</v>
      </c>
      <c r="DW3" s="355">
        <v>2014</v>
      </c>
      <c r="DX3" s="355">
        <v>2015</v>
      </c>
      <c r="DY3" s="369"/>
      <c r="DZ3" s="355">
        <v>2009</v>
      </c>
      <c r="EA3" s="355">
        <v>2010</v>
      </c>
      <c r="EB3" s="355">
        <v>2011</v>
      </c>
      <c r="EC3" s="355">
        <v>2012</v>
      </c>
      <c r="ED3" s="355">
        <v>2013</v>
      </c>
      <c r="EE3" s="355">
        <v>2014</v>
      </c>
      <c r="EF3" s="355">
        <v>2015</v>
      </c>
      <c r="EG3" s="369"/>
      <c r="EH3" s="355">
        <v>2009</v>
      </c>
      <c r="EI3" s="355">
        <v>2010</v>
      </c>
      <c r="EJ3" s="355">
        <v>2011</v>
      </c>
      <c r="EK3" s="355">
        <v>2012</v>
      </c>
      <c r="EL3" s="355">
        <v>2013</v>
      </c>
      <c r="EM3" s="355">
        <v>2014</v>
      </c>
      <c r="EN3" s="355">
        <v>2015</v>
      </c>
      <c r="EO3" s="369"/>
      <c r="EP3" s="355">
        <v>2009</v>
      </c>
      <c r="EQ3" s="355">
        <v>2010</v>
      </c>
      <c r="ER3" s="355">
        <v>2011</v>
      </c>
      <c r="ES3" s="355">
        <v>2012</v>
      </c>
      <c r="ET3" s="355">
        <v>2013</v>
      </c>
      <c r="EU3" s="355">
        <v>2014</v>
      </c>
      <c r="EV3" s="355">
        <v>2015</v>
      </c>
      <c r="EW3" s="369"/>
      <c r="EX3" s="355">
        <v>2009</v>
      </c>
      <c r="EY3" s="355">
        <v>2010</v>
      </c>
      <c r="EZ3" s="355">
        <v>2011</v>
      </c>
      <c r="FA3" s="355">
        <v>2012</v>
      </c>
      <c r="FB3" s="355">
        <v>2013</v>
      </c>
      <c r="FC3" s="355">
        <v>2014</v>
      </c>
      <c r="FD3" s="355">
        <v>2015</v>
      </c>
      <c r="FE3" s="369"/>
      <c r="FF3" s="355">
        <v>2009</v>
      </c>
      <c r="FG3" s="355">
        <v>2010</v>
      </c>
      <c r="FH3" s="355">
        <v>2011</v>
      </c>
      <c r="FI3" s="355">
        <v>2012</v>
      </c>
      <c r="FJ3" s="355">
        <v>2013</v>
      </c>
      <c r="FK3" s="355">
        <v>2014</v>
      </c>
      <c r="FL3" s="355">
        <v>2015</v>
      </c>
      <c r="FM3" s="369"/>
      <c r="FN3" s="355">
        <v>2009</v>
      </c>
      <c r="FO3" s="355">
        <v>2010</v>
      </c>
      <c r="FP3" s="355">
        <v>2011</v>
      </c>
      <c r="FQ3" s="355">
        <v>2012</v>
      </c>
      <c r="FR3" s="355">
        <v>2013</v>
      </c>
      <c r="FS3" s="355">
        <v>2014</v>
      </c>
      <c r="FT3" s="355">
        <v>2015</v>
      </c>
      <c r="FU3" s="369"/>
      <c r="FV3" s="355">
        <v>2009</v>
      </c>
      <c r="FW3" s="355">
        <v>2010</v>
      </c>
      <c r="FX3" s="355">
        <v>2011</v>
      </c>
      <c r="FY3" s="355">
        <v>2012</v>
      </c>
      <c r="FZ3" s="355">
        <v>2013</v>
      </c>
      <c r="GA3" s="355">
        <v>2014</v>
      </c>
      <c r="GB3" s="355">
        <v>2015</v>
      </c>
    </row>
    <row r="4" spans="1:184">
      <c r="A4" s="216" t="s">
        <v>654</v>
      </c>
      <c r="B4" s="394"/>
      <c r="C4" s="394"/>
      <c r="D4" s="395"/>
      <c r="E4" s="395"/>
      <c r="F4" s="395"/>
      <c r="G4" s="395"/>
      <c r="H4" s="395"/>
      <c r="I4" s="396"/>
      <c r="J4" s="397"/>
      <c r="K4" s="397"/>
      <c r="L4" s="397"/>
      <c r="M4" s="397"/>
      <c r="N4" s="397"/>
      <c r="O4" s="397"/>
      <c r="P4" s="397"/>
      <c r="Q4" s="396"/>
      <c r="R4" s="395"/>
      <c r="S4" s="395"/>
      <c r="T4" s="395"/>
      <c r="U4" s="395"/>
      <c r="V4" s="395"/>
      <c r="W4" s="395"/>
      <c r="X4" s="395"/>
      <c r="Y4" s="396"/>
      <c r="Z4" s="397"/>
      <c r="AA4" s="397"/>
      <c r="AB4" s="397"/>
      <c r="AC4" s="397"/>
      <c r="AD4" s="397"/>
      <c r="AE4" s="397"/>
      <c r="AF4" s="397"/>
      <c r="AG4" s="396"/>
      <c r="AH4" s="397"/>
      <c r="AI4" s="397"/>
      <c r="AJ4" s="397"/>
      <c r="AK4" s="397"/>
      <c r="AL4" s="397"/>
      <c r="AM4" s="397"/>
      <c r="AN4" s="397"/>
      <c r="AO4" s="396"/>
      <c r="AP4" s="358"/>
      <c r="AQ4" s="358"/>
      <c r="AR4" s="359"/>
      <c r="AS4" s="359"/>
      <c r="AT4" s="359"/>
      <c r="AU4" s="359"/>
      <c r="AV4" s="359"/>
      <c r="AX4" s="356"/>
      <c r="AY4" s="356"/>
      <c r="AZ4" s="356"/>
      <c r="BA4" s="356"/>
      <c r="BB4" s="356"/>
      <c r="BC4" s="356"/>
      <c r="BD4" s="356"/>
      <c r="BF4" s="362"/>
      <c r="BG4" s="362"/>
      <c r="BH4" s="359"/>
      <c r="BI4" s="359"/>
      <c r="BJ4" s="359"/>
      <c r="BK4" s="359"/>
      <c r="BL4" s="359"/>
      <c r="CD4" s="395"/>
      <c r="CE4" s="395"/>
      <c r="CF4" s="395"/>
      <c r="CG4" s="395"/>
      <c r="CH4" s="395"/>
      <c r="CI4" s="395"/>
      <c r="CJ4" s="395"/>
      <c r="CK4" s="396"/>
      <c r="CL4" s="395"/>
      <c r="CM4" s="395"/>
      <c r="CN4" s="395"/>
      <c r="CO4" s="395"/>
      <c r="CP4" s="395"/>
      <c r="CQ4" s="395"/>
      <c r="CR4" s="395"/>
      <c r="CS4" s="396"/>
      <c r="CT4" s="395"/>
      <c r="CU4" s="395"/>
      <c r="CV4" s="395"/>
      <c r="CW4" s="395"/>
      <c r="CX4" s="395"/>
      <c r="CY4" s="395"/>
      <c r="CZ4" s="395"/>
      <c r="DA4" s="403"/>
      <c r="DB4" s="395"/>
      <c r="DC4" s="395"/>
      <c r="DD4" s="395"/>
      <c r="DE4" s="395"/>
      <c r="DF4" s="395"/>
      <c r="DZ4" s="395"/>
      <c r="EA4" s="395"/>
      <c r="EB4" s="395"/>
      <c r="EC4" s="395"/>
      <c r="ED4" s="395"/>
      <c r="EE4" s="395"/>
      <c r="EF4" s="395"/>
    </row>
    <row r="5" spans="1:184">
      <c r="A5" s="357" t="s">
        <v>402</v>
      </c>
      <c r="B5" s="394"/>
      <c r="C5" s="394"/>
      <c r="D5" s="395"/>
      <c r="E5" s="395"/>
      <c r="F5" s="395"/>
      <c r="G5" s="395"/>
      <c r="H5" s="395"/>
      <c r="I5" s="396"/>
      <c r="J5" s="397"/>
      <c r="K5" s="397"/>
      <c r="L5" s="397">
        <f>'模拟利润表_Aug 2013'!$G$4/1000000</f>
        <v>288.52307500000001</v>
      </c>
      <c r="M5" s="397">
        <f>'模拟利润表_Aug 2013'!$N$4/1000000</f>
        <v>454.202457315</v>
      </c>
      <c r="N5" s="397">
        <f>'模拟利润表_Aug 2013'!$T$4/1000000</f>
        <v>681.30368597249992</v>
      </c>
      <c r="O5" s="397">
        <f>'模拟利润表_Aug 2013'!$W$4/1000000</f>
        <v>1021.9555289587501</v>
      </c>
      <c r="P5" s="397">
        <f>'模拟利润表_Aug 2013'!$Z$4/1000000</f>
        <v>1532.9332934381252</v>
      </c>
      <c r="Q5" s="396"/>
      <c r="R5" s="395"/>
      <c r="S5" s="395"/>
      <c r="T5" s="395"/>
      <c r="U5" s="395"/>
      <c r="V5" s="395"/>
      <c r="W5" s="395"/>
      <c r="X5" s="395"/>
      <c r="Y5" s="396"/>
      <c r="Z5" s="397"/>
      <c r="AA5" s="397"/>
      <c r="AB5" s="397">
        <f>'模拟利润表_Aug 2013'!$G$8/1000000</f>
        <v>264.59230745573706</v>
      </c>
      <c r="AC5" s="397">
        <f>'模拟利润表_Aug 2013'!$N$8/1000000</f>
        <v>417.40225849410552</v>
      </c>
      <c r="AD5" s="397">
        <f>'模拟利润表_Aug 2013'!$T$8/1000000</f>
        <v>626.10338774115826</v>
      </c>
      <c r="AE5" s="397">
        <f>'模拟利润表_Aug 2013'!$W$8/1000000</f>
        <v>939.1550816117375</v>
      </c>
      <c r="AF5" s="397">
        <f>'模拟利润表_Aug 2013'!$Z$8/1000000</f>
        <v>1408.7326224176063</v>
      </c>
      <c r="AG5" s="396"/>
      <c r="AH5" s="397"/>
      <c r="AI5" s="397"/>
      <c r="AJ5" s="397">
        <f>'模拟利润表_Aug 2013'!$G$15/1000000</f>
        <v>182.13374347426102</v>
      </c>
      <c r="AK5" s="397">
        <f>'模拟利润表_Aug 2013'!$N$15/1000000</f>
        <v>300.55069195032183</v>
      </c>
      <c r="AL5" s="397">
        <f>'模拟利润表_Aug 2013'!$T$15/1000000</f>
        <v>463.34810568030593</v>
      </c>
      <c r="AM5" s="397">
        <f>'模拟利润表_Aug 2013'!$W$15/1000000</f>
        <v>704.41370933657652</v>
      </c>
      <c r="AN5" s="397">
        <f>'模拟利润表_Aug 2013'!$Z$15/1000000</f>
        <v>1070.7078902290407</v>
      </c>
      <c r="AO5" s="396"/>
      <c r="AP5" s="358"/>
      <c r="AQ5" s="358"/>
      <c r="AR5" s="359">
        <f>AJ5/AB5</f>
        <v>0.68835615527004579</v>
      </c>
      <c r="AS5" s="359">
        <f>AK5/AC5</f>
        <v>0.72005046890412583</v>
      </c>
      <c r="AT5" s="359">
        <f>AL5/AD5</f>
        <v>0.74005046890412596</v>
      </c>
      <c r="AU5" s="359">
        <f>AM5/AE5</f>
        <v>0.75005046890412608</v>
      </c>
      <c r="AV5" s="359">
        <f>AN5/AF5</f>
        <v>0.76005046890412598</v>
      </c>
      <c r="AX5" s="397"/>
      <c r="AY5" s="397"/>
      <c r="AZ5" s="397">
        <f>'模拟利润表_Aug 2013'!$G$43/1000000</f>
        <v>-85.970695181664226</v>
      </c>
      <c r="BA5" s="397">
        <f>'模拟利润表_Aug 2013'!$N$43/1000000</f>
        <v>-24.254368844286226</v>
      </c>
      <c r="BB5" s="397">
        <f>'模拟利润表_Aug 2013'!$T$43/1000000</f>
        <v>-11.337417756783038</v>
      </c>
      <c r="BC5" s="397">
        <f>'模拟利润表_Aug 2013'!$W$43/1000000</f>
        <v>1.776974997060381</v>
      </c>
      <c r="BD5" s="397">
        <f>'模拟利润表_Aug 2013'!$Z$43/1000000</f>
        <v>30.840114943942545</v>
      </c>
      <c r="BF5" s="362"/>
      <c r="BG5" s="362"/>
      <c r="BH5" s="359">
        <f>AZ5/AB5</f>
        <v>-0.32491759117390834</v>
      </c>
      <c r="BI5" s="359">
        <f>BA5/AC5</f>
        <v>-5.8107900354422114E-2</v>
      </c>
      <c r="BJ5" s="359">
        <f>BB5/AD5</f>
        <v>-1.8107900354422165E-2</v>
      </c>
      <c r="BK5" s="359">
        <f>BC5/AE5</f>
        <v>1.8920996455780369E-3</v>
      </c>
      <c r="BL5" s="359">
        <f>BD5/AF5</f>
        <v>2.189209964557793E-2</v>
      </c>
      <c r="BN5" s="395"/>
      <c r="BO5" s="395"/>
      <c r="BP5" s="395"/>
      <c r="BQ5" s="395"/>
      <c r="BR5" s="395"/>
      <c r="BS5" s="395"/>
      <c r="BT5" s="395"/>
      <c r="CD5" s="395"/>
      <c r="CE5" s="395"/>
      <c r="CF5" s="395"/>
      <c r="CG5" s="395"/>
      <c r="CH5" s="395"/>
      <c r="CI5" s="395"/>
      <c r="CJ5" s="395"/>
      <c r="CK5" s="396"/>
      <c r="CL5" s="395"/>
      <c r="CM5" s="395"/>
      <c r="CN5" s="395"/>
      <c r="CO5" s="395"/>
      <c r="CP5" s="395"/>
      <c r="CQ5" s="395"/>
      <c r="CR5" s="395"/>
      <c r="CS5" s="396"/>
      <c r="CT5" s="395"/>
      <c r="CU5" s="395"/>
      <c r="CV5" s="395"/>
      <c r="CW5" s="395"/>
      <c r="CX5" s="395"/>
      <c r="CY5" s="395"/>
      <c r="CZ5" s="395"/>
      <c r="DA5" s="403"/>
      <c r="DB5" s="395"/>
      <c r="DC5" s="395"/>
      <c r="DD5" s="395"/>
      <c r="DE5" s="395"/>
      <c r="DF5" s="395"/>
      <c r="DZ5" s="395"/>
      <c r="EA5" s="395"/>
      <c r="EB5" s="395"/>
      <c r="EC5" s="395"/>
      <c r="ED5" s="395"/>
      <c r="EE5" s="395"/>
      <c r="EF5" s="395"/>
      <c r="EP5" s="395"/>
      <c r="EQ5" s="395"/>
      <c r="ER5" s="395"/>
      <c r="ES5" s="395"/>
      <c r="ET5" s="395"/>
      <c r="EU5" s="395"/>
      <c r="EV5" s="395"/>
    </row>
    <row r="6" spans="1:184">
      <c r="A6" s="357" t="s">
        <v>403</v>
      </c>
      <c r="B6" s="394"/>
      <c r="C6" s="394"/>
      <c r="D6" s="395"/>
      <c r="E6" s="395"/>
      <c r="F6" s="395"/>
      <c r="G6" s="395"/>
      <c r="H6" s="395"/>
      <c r="I6" s="396"/>
      <c r="J6" s="397"/>
      <c r="K6" s="397"/>
      <c r="L6" s="397">
        <f>('模拟利润表_Aug 2013'!$G$4+'模拟利润表_Aug 2013'!$G$76)/1000000</f>
        <v>485.85666700000002</v>
      </c>
      <c r="M6" s="397">
        <f>('模拟利润表_Aug 2013'!$N$4+'模拟利润表_Aug 2013'!$N$76)/1000000</f>
        <v>664.02082231500003</v>
      </c>
      <c r="N6" s="397">
        <f>('模拟利润表_Aug 2013'!$T$4+'模拟利润表_Aug 2013'!$T$76)/1000000</f>
        <v>922.59480572249993</v>
      </c>
      <c r="O6" s="397">
        <f>('模拟利润表_Aug 2013'!$W$4+'模拟利润表_Aug 2013'!$W$76)/1000000</f>
        <v>1299.4403166712498</v>
      </c>
      <c r="P6" s="397">
        <f>('模拟利润表_Aug 2013'!$Z$4+'模拟利润表_Aug 2013'!$Z$76)/1000000</f>
        <v>1852.0407993074998</v>
      </c>
      <c r="Q6" s="396"/>
      <c r="R6" s="395"/>
      <c r="S6" s="395"/>
      <c r="T6" s="395"/>
      <c r="U6" s="395"/>
      <c r="V6" s="395"/>
      <c r="W6" s="395"/>
      <c r="X6" s="395"/>
      <c r="Y6" s="396"/>
      <c r="Z6" s="397"/>
      <c r="AA6" s="397"/>
      <c r="AB6" s="397">
        <f>('模拟利润表_Aug 2013'!$G$8+'模拟利润表_Aug 2013'!$G$78)/1000000</f>
        <v>461.92589945573707</v>
      </c>
      <c r="AC6" s="397">
        <f>('模拟利润表_Aug 2013'!$N$8+'模拟利润表_Aug 2013'!$N$78)/1000000</f>
        <v>627.22062349410555</v>
      </c>
      <c r="AD6" s="397">
        <f>('模拟利润表_Aug 2013'!$T$8+'模拟利润表_Aug 2013'!$T$78)/1000000</f>
        <v>867.39450749115827</v>
      </c>
      <c r="AE6" s="397">
        <f>('模拟利润表_Aug 2013'!$W$8+'模拟利润表_Aug 2013'!$W$78)/1000000</f>
        <v>1216.6398693242375</v>
      </c>
      <c r="AF6" s="397">
        <f>('模拟利润表_Aug 2013'!$Z$8+'模拟利润表_Aug 2013'!$Z$78)/1000000</f>
        <v>1727.8401282869811</v>
      </c>
      <c r="AG6" s="396"/>
      <c r="AH6" s="397"/>
      <c r="AI6" s="397"/>
      <c r="AJ6" s="397">
        <f>('模拟利润表_Aug 2013'!$G$15+'模拟利润表_Aug 2013'!$G$80)/1000000</f>
        <v>342.78263847426103</v>
      </c>
      <c r="AK6" s="397">
        <f>('模拟利润表_Aug 2013'!$N$15+'模拟利润表_Aug 2013'!$N$80)/1000000</f>
        <v>474.42027895032186</v>
      </c>
      <c r="AL6" s="397"/>
      <c r="AM6" s="397"/>
      <c r="AN6" s="397"/>
      <c r="AO6" s="396"/>
      <c r="AR6" s="359">
        <f>AJ6/AB6</f>
        <v>0.7420727845703039</v>
      </c>
      <c r="AS6" s="359">
        <f>AK6/AC6</f>
        <v>0.75638501219464493</v>
      </c>
      <c r="AX6" s="395"/>
      <c r="AY6" s="395"/>
      <c r="AZ6" s="397">
        <f>('模拟利润表_Aug 2013'!$G$43+'模拟利润表_Aug 2013'!$G$90)/1000000</f>
        <v>-43.625867181664226</v>
      </c>
      <c r="BA6" s="397">
        <f>('模拟利润表_Aug 2013'!$N$43+'模拟利润表_Aug 2013'!$N$90)/1000000</f>
        <v>25.600832155713775</v>
      </c>
      <c r="BB6" s="395"/>
      <c r="BC6" s="395"/>
      <c r="BD6" s="395"/>
      <c r="BF6" s="362"/>
      <c r="BG6" s="362"/>
      <c r="BH6" s="359">
        <f>AZ6/AB6</f>
        <v>-9.4443431799486208E-2</v>
      </c>
      <c r="BI6" s="359">
        <f>BA6/AC6</f>
        <v>4.0816311193814507E-2</v>
      </c>
      <c r="BJ6" s="362"/>
      <c r="BK6" s="362"/>
      <c r="BL6" s="362"/>
      <c r="BN6" s="395"/>
      <c r="BO6" s="395"/>
      <c r="BP6" s="395"/>
      <c r="BQ6" s="395"/>
      <c r="BR6" s="395"/>
      <c r="BS6" s="395"/>
      <c r="BT6" s="395"/>
      <c r="CD6" s="395"/>
      <c r="CE6" s="395"/>
      <c r="CF6" s="395"/>
      <c r="CG6" s="395"/>
      <c r="CH6" s="395"/>
      <c r="CI6" s="395"/>
      <c r="CJ6" s="395"/>
      <c r="CK6" s="396"/>
      <c r="CL6" s="395"/>
      <c r="CM6" s="395"/>
      <c r="CN6" s="395"/>
      <c r="CO6" s="395"/>
      <c r="CP6" s="395"/>
      <c r="CQ6" s="395"/>
      <c r="CR6" s="395"/>
      <c r="CS6" s="396"/>
      <c r="CT6" s="395"/>
      <c r="CU6" s="395"/>
      <c r="CV6" s="395"/>
      <c r="CW6" s="395"/>
      <c r="CX6" s="395"/>
      <c r="CY6" s="395"/>
      <c r="CZ6" s="395"/>
      <c r="DA6" s="403"/>
      <c r="DB6" s="395"/>
      <c r="DC6" s="395"/>
      <c r="DD6" s="395"/>
      <c r="DE6" s="395"/>
      <c r="DF6" s="395"/>
      <c r="DZ6" s="395"/>
      <c r="EA6" s="395"/>
      <c r="EB6" s="395"/>
      <c r="EC6" s="395"/>
      <c r="ED6" s="395"/>
      <c r="EE6" s="395"/>
      <c r="EF6" s="395"/>
      <c r="EP6" s="395"/>
      <c r="EQ6" s="395"/>
      <c r="ER6" s="395"/>
      <c r="ES6" s="395"/>
      <c r="ET6" s="395"/>
      <c r="EU6" s="395"/>
      <c r="EV6" s="395"/>
    </row>
    <row r="7" spans="1:184">
      <c r="A7" s="216"/>
      <c r="B7" s="394"/>
      <c r="C7" s="394"/>
      <c r="D7" s="395"/>
      <c r="E7" s="395"/>
      <c r="F7" s="395"/>
      <c r="G7" s="395"/>
      <c r="H7" s="395"/>
      <c r="I7" s="396"/>
      <c r="J7" s="397"/>
      <c r="K7" s="397"/>
      <c r="L7" s="397"/>
      <c r="M7" s="397"/>
      <c r="N7" s="397"/>
      <c r="O7" s="397"/>
      <c r="P7" s="397"/>
      <c r="Q7" s="396"/>
      <c r="R7" s="395"/>
      <c r="S7" s="395"/>
      <c r="T7" s="395"/>
      <c r="U7" s="395"/>
      <c r="V7" s="395"/>
      <c r="W7" s="395"/>
      <c r="X7" s="395"/>
      <c r="Y7" s="396"/>
      <c r="Z7" s="397"/>
      <c r="AA7" s="397"/>
      <c r="AB7" s="397"/>
      <c r="AC7" s="397"/>
      <c r="AD7" s="397"/>
      <c r="AE7" s="397"/>
      <c r="AF7" s="397"/>
      <c r="AG7" s="396"/>
      <c r="AH7" s="395"/>
      <c r="AI7" s="395"/>
      <c r="AJ7" s="395"/>
      <c r="AK7" s="395"/>
      <c r="AL7" s="395"/>
      <c r="AM7" s="395"/>
      <c r="AN7" s="395"/>
      <c r="AO7" s="396"/>
      <c r="AX7" s="395"/>
      <c r="AY7" s="395"/>
      <c r="AZ7" s="395"/>
      <c r="BA7" s="395"/>
      <c r="BB7" s="395"/>
      <c r="BC7" s="395"/>
      <c r="BD7" s="395"/>
      <c r="BN7" s="395"/>
      <c r="BO7" s="395"/>
      <c r="BP7" s="395"/>
      <c r="BQ7" s="395"/>
      <c r="BR7" s="395"/>
      <c r="BS7" s="395"/>
      <c r="BT7" s="395"/>
      <c r="CD7" s="395"/>
      <c r="CE7" s="395"/>
      <c r="CF7" s="395"/>
      <c r="CG7" s="395"/>
      <c r="CH7" s="395"/>
      <c r="CI7" s="395"/>
      <c r="CJ7" s="395"/>
      <c r="CK7" s="396"/>
      <c r="CL7" s="395"/>
      <c r="CM7" s="395"/>
      <c r="CN7" s="395"/>
      <c r="CO7" s="395"/>
      <c r="CP7" s="395"/>
      <c r="CQ7" s="395"/>
      <c r="CR7" s="395"/>
      <c r="CS7" s="396"/>
      <c r="CT7" s="395"/>
      <c r="CU7" s="395"/>
      <c r="CV7" s="395"/>
      <c r="CW7" s="395"/>
      <c r="CX7" s="395"/>
      <c r="CY7" s="395"/>
      <c r="CZ7" s="395"/>
      <c r="DA7" s="403"/>
      <c r="DB7" s="395"/>
      <c r="DC7" s="395"/>
      <c r="DD7" s="395"/>
      <c r="DE7" s="395"/>
      <c r="DF7" s="395"/>
      <c r="DZ7" s="395"/>
      <c r="EA7" s="395"/>
      <c r="EB7" s="395"/>
      <c r="EC7" s="395"/>
      <c r="ED7" s="395"/>
      <c r="EE7" s="395"/>
      <c r="EF7" s="395"/>
      <c r="EP7" s="395"/>
      <c r="EQ7" s="395"/>
      <c r="ER7" s="395"/>
      <c r="ES7" s="395"/>
      <c r="ET7" s="395"/>
      <c r="EU7" s="395"/>
      <c r="EV7" s="395"/>
    </row>
    <row r="8" spans="1:184">
      <c r="B8" s="395"/>
      <c r="C8" s="395"/>
      <c r="D8" s="395"/>
      <c r="E8" s="395"/>
      <c r="F8" s="395"/>
      <c r="G8" s="395"/>
      <c r="H8" s="395"/>
      <c r="I8" s="396"/>
      <c r="J8" s="395"/>
      <c r="K8" s="395"/>
      <c r="L8" s="395"/>
      <c r="M8" s="395"/>
      <c r="N8" s="395"/>
      <c r="O8" s="395"/>
      <c r="P8" s="395"/>
      <c r="Q8" s="396"/>
      <c r="R8" s="395"/>
      <c r="S8" s="395"/>
      <c r="T8" s="395"/>
      <c r="U8" s="395"/>
      <c r="V8" s="395"/>
      <c r="W8" s="395"/>
      <c r="X8" s="395"/>
      <c r="Y8" s="396"/>
      <c r="Z8" s="395"/>
      <c r="AA8" s="395"/>
      <c r="AB8" s="395"/>
      <c r="AC8" s="395"/>
      <c r="AD8" s="395"/>
      <c r="AE8" s="395"/>
      <c r="AF8" s="395"/>
      <c r="AG8" s="396"/>
      <c r="AH8" s="395"/>
      <c r="AI8" s="395"/>
      <c r="AJ8" s="395"/>
      <c r="AK8" s="395"/>
      <c r="AL8" s="395"/>
      <c r="AM8" s="395"/>
      <c r="AN8" s="395"/>
      <c r="AO8" s="396"/>
      <c r="AX8" s="395"/>
      <c r="AY8" s="395"/>
      <c r="AZ8" s="395"/>
      <c r="BA8" s="395"/>
      <c r="BB8" s="395"/>
      <c r="BC8" s="395"/>
      <c r="BD8" s="395"/>
      <c r="BN8" s="395"/>
      <c r="BO8" s="395"/>
      <c r="BP8" s="395"/>
      <c r="BQ8" s="395"/>
      <c r="BR8" s="395"/>
      <c r="BS8" s="395"/>
      <c r="BT8" s="395"/>
      <c r="CD8" s="395"/>
      <c r="CE8" s="395"/>
      <c r="CF8" s="395"/>
      <c r="CG8" s="395"/>
      <c r="CH8" s="395"/>
      <c r="CI8" s="395"/>
      <c r="CJ8" s="395"/>
      <c r="CK8" s="396"/>
      <c r="CL8" s="395"/>
      <c r="CM8" s="395"/>
      <c r="CN8" s="395"/>
      <c r="CO8" s="395"/>
      <c r="CP8" s="395"/>
      <c r="CQ8" s="395"/>
      <c r="CR8" s="395"/>
      <c r="CS8" s="396"/>
      <c r="CT8" s="395"/>
      <c r="CU8" s="395"/>
      <c r="CV8" s="395"/>
      <c r="CW8" s="395"/>
      <c r="CX8" s="395"/>
      <c r="CY8" s="395"/>
      <c r="CZ8" s="395"/>
      <c r="DA8" s="403"/>
      <c r="DB8" s="395"/>
      <c r="DC8" s="395"/>
      <c r="DD8" s="395"/>
      <c r="DE8" s="395"/>
      <c r="DF8" s="395"/>
      <c r="DZ8" s="395"/>
      <c r="EA8" s="395"/>
      <c r="EB8" s="395"/>
      <c r="EC8" s="395"/>
      <c r="ED8" s="395"/>
      <c r="EE8" s="395"/>
      <c r="EF8" s="395"/>
      <c r="EP8" s="395"/>
      <c r="EQ8" s="395"/>
      <c r="ER8" s="395"/>
      <c r="ES8" s="395"/>
      <c r="ET8" s="395"/>
      <c r="EU8" s="395"/>
      <c r="EV8" s="395"/>
    </row>
    <row r="9" spans="1:184">
      <c r="A9" s="216" t="s">
        <v>596</v>
      </c>
      <c r="B9" s="398" t="s">
        <v>597</v>
      </c>
      <c r="C9" s="394"/>
      <c r="D9" s="395"/>
      <c r="E9" s="395"/>
      <c r="F9" s="395"/>
      <c r="G9" s="395"/>
      <c r="H9" s="395"/>
      <c r="I9" s="396"/>
      <c r="J9" s="398" t="s">
        <v>598</v>
      </c>
      <c r="K9" s="395"/>
      <c r="L9" s="395"/>
      <c r="M9" s="395"/>
      <c r="N9" s="395"/>
      <c r="O9" s="395"/>
      <c r="P9" s="395"/>
      <c r="Q9" s="396"/>
      <c r="R9" s="398" t="s">
        <v>600</v>
      </c>
      <c r="S9" s="395"/>
      <c r="T9" s="395"/>
      <c r="U9" s="395"/>
      <c r="V9" s="395"/>
      <c r="W9" s="395"/>
      <c r="X9" s="395"/>
      <c r="Y9" s="396"/>
      <c r="Z9" s="398" t="s">
        <v>599</v>
      </c>
      <c r="AA9" s="395"/>
      <c r="AB9" s="395"/>
      <c r="AC9" s="395"/>
      <c r="AD9" s="395"/>
      <c r="AE9" s="395"/>
      <c r="AF9" s="395"/>
      <c r="AG9" s="396"/>
      <c r="AH9" s="398" t="s">
        <v>601</v>
      </c>
      <c r="AI9" s="395"/>
      <c r="AJ9" s="395"/>
      <c r="AK9" s="395"/>
      <c r="AL9" s="395"/>
      <c r="AM9" s="395"/>
      <c r="AN9" s="395"/>
      <c r="AO9" s="396"/>
      <c r="AP9" s="390"/>
      <c r="AX9" s="398" t="s">
        <v>602</v>
      </c>
      <c r="AY9" s="395"/>
      <c r="AZ9" s="395"/>
      <c r="BA9" s="395"/>
      <c r="BB9" s="395"/>
      <c r="BC9" s="395"/>
      <c r="BD9" s="395"/>
      <c r="BF9" s="390" t="s">
        <v>603</v>
      </c>
      <c r="BN9" s="398" t="s">
        <v>604</v>
      </c>
      <c r="BO9" s="395"/>
      <c r="BP9" s="395"/>
      <c r="BQ9" s="395"/>
      <c r="BR9" s="395"/>
      <c r="BS9" s="395"/>
      <c r="BT9" s="395"/>
      <c r="BV9" s="390" t="s">
        <v>605</v>
      </c>
      <c r="CD9" s="398" t="s">
        <v>606</v>
      </c>
      <c r="CE9" s="395"/>
      <c r="CF9" s="395"/>
      <c r="CG9" s="395"/>
      <c r="CH9" s="395"/>
      <c r="CI9" s="395"/>
      <c r="CJ9" s="395"/>
      <c r="CK9" s="396"/>
      <c r="CL9" s="398" t="s">
        <v>607</v>
      </c>
      <c r="CM9" s="395"/>
      <c r="CN9" s="395"/>
      <c r="CO9" s="395"/>
      <c r="CP9" s="395"/>
      <c r="CQ9" s="395"/>
      <c r="CR9" s="395"/>
      <c r="CS9" s="396"/>
      <c r="CT9" s="398" t="s">
        <v>608</v>
      </c>
      <c r="CU9" s="395"/>
      <c r="CV9" s="395"/>
      <c r="CW9" s="395"/>
      <c r="CX9" s="395"/>
      <c r="CY9" s="395"/>
      <c r="CZ9" s="395"/>
      <c r="DA9" s="403"/>
      <c r="DB9" s="398" t="s">
        <v>610</v>
      </c>
      <c r="DC9" s="395"/>
      <c r="DD9" s="395"/>
      <c r="DE9" s="395"/>
      <c r="DF9" s="395"/>
      <c r="DJ9" s="390" t="s">
        <v>611</v>
      </c>
      <c r="DR9" s="390" t="s">
        <v>612</v>
      </c>
      <c r="DZ9" s="398" t="s">
        <v>613</v>
      </c>
      <c r="EA9" s="395"/>
      <c r="EB9" s="395"/>
      <c r="EC9" s="395"/>
      <c r="ED9" s="395"/>
      <c r="EE9" s="395"/>
      <c r="EF9" s="395"/>
      <c r="EH9" s="390" t="s">
        <v>614</v>
      </c>
      <c r="EP9" s="398" t="s">
        <v>615</v>
      </c>
      <c r="EQ9" s="395"/>
      <c r="ER9" s="395"/>
      <c r="ES9" s="395"/>
      <c r="ET9" s="395"/>
      <c r="EU9" s="395"/>
      <c r="EV9" s="395"/>
      <c r="EX9" s="390" t="s">
        <v>616</v>
      </c>
      <c r="FF9" s="390" t="s">
        <v>617</v>
      </c>
      <c r="FN9" s="390" t="s">
        <v>618</v>
      </c>
      <c r="FV9" s="390" t="s">
        <v>619</v>
      </c>
    </row>
    <row r="10" spans="1:184">
      <c r="A10" s="357" t="s">
        <v>395</v>
      </c>
      <c r="B10" s="399">
        <f>'Greater China'!$C$6</f>
        <v>6065</v>
      </c>
      <c r="C10" s="399">
        <f>'Greater China'!$D$6</f>
        <v>9608</v>
      </c>
      <c r="D10" s="399">
        <f>'Greater China'!$E$6</f>
        <v>12695</v>
      </c>
      <c r="E10" s="399">
        <f>'Greater China'!$F$6</f>
        <v>16134</v>
      </c>
      <c r="F10" s="395"/>
      <c r="G10" s="395"/>
      <c r="H10" s="395"/>
      <c r="I10" s="396"/>
      <c r="J10" s="399">
        <f>'Greater China'!$C$20</f>
        <v>1371</v>
      </c>
      <c r="K10" s="399">
        <f>'Greater China'!$D$20</f>
        <v>1812</v>
      </c>
      <c r="L10" s="399">
        <f>'Greater China'!$E$20</f>
        <v>2633</v>
      </c>
      <c r="M10" s="399">
        <f>'Greater China'!$F$20</f>
        <v>3495</v>
      </c>
      <c r="N10" s="395"/>
      <c r="O10" s="395"/>
      <c r="P10" s="395"/>
      <c r="Q10" s="396"/>
      <c r="R10" s="400">
        <f>'Greater China'!$C$7</f>
        <v>0.22605111294311625</v>
      </c>
      <c r="S10" s="400">
        <f>'Greater China'!$D$7</f>
        <v>0.18859283930058285</v>
      </c>
      <c r="T10" s="400">
        <f>'Greater China'!$E$7</f>
        <v>0.20740448995667585</v>
      </c>
      <c r="U10" s="400">
        <f>'Greater China'!$F$7</f>
        <v>0.21662328002975084</v>
      </c>
      <c r="V10" s="395"/>
      <c r="W10" s="395"/>
      <c r="X10" s="395"/>
      <c r="Y10" s="396"/>
      <c r="Z10" s="399">
        <f>'Greater China'!$C$22</f>
        <v>1321</v>
      </c>
      <c r="AA10" s="399">
        <f>'Greater China'!$D$22</f>
        <v>1742</v>
      </c>
      <c r="AB10" s="399">
        <f>'Greater China'!$E$22</f>
        <v>2527</v>
      </c>
      <c r="AC10" s="399">
        <f>'Greater China'!$F$22</f>
        <v>3305</v>
      </c>
      <c r="AD10" s="395"/>
      <c r="AE10" s="395"/>
      <c r="AF10" s="395"/>
      <c r="AG10" s="396"/>
      <c r="AH10" s="399">
        <f>'Greater China'!$C$24</f>
        <v>1321</v>
      </c>
      <c r="AI10" s="399">
        <f>'Greater China'!$D$24</f>
        <v>1742</v>
      </c>
      <c r="AJ10" s="399">
        <f>'Greater China'!$E$24</f>
        <v>2527</v>
      </c>
      <c r="AK10" s="399">
        <f>'Greater China'!$F$24</f>
        <v>3305</v>
      </c>
      <c r="AL10" s="395"/>
      <c r="AM10" s="395"/>
      <c r="AN10" s="395"/>
      <c r="AO10" s="396"/>
      <c r="AP10" s="359">
        <f>AH10/Z10</f>
        <v>1</v>
      </c>
      <c r="AQ10" s="359">
        <f>AI10/AA10</f>
        <v>1</v>
      </c>
      <c r="AR10" s="359">
        <f>AJ10/AB10</f>
        <v>1</v>
      </c>
      <c r="AS10" s="359">
        <f>AK10/AC10</f>
        <v>1</v>
      </c>
      <c r="AT10" s="358"/>
      <c r="AU10" s="358"/>
      <c r="AV10" s="358"/>
      <c r="AX10" s="399">
        <f>'Greater China'!$C$40</f>
        <v>488</v>
      </c>
      <c r="AY10" s="399">
        <f>'Greater China'!$D$40</f>
        <v>590</v>
      </c>
      <c r="AZ10" s="399">
        <f>'Greater China'!$E$40</f>
        <v>955</v>
      </c>
      <c r="BA10" s="399">
        <f>'Greater China'!$F$40</f>
        <v>1346</v>
      </c>
      <c r="BB10" s="395"/>
      <c r="BC10" s="395"/>
      <c r="BD10" s="395"/>
      <c r="BF10" s="391">
        <f>'Greater China'!$C$41</f>
        <v>0.36941710825132473</v>
      </c>
      <c r="BG10" s="391">
        <f>'Greater China'!$D$41</f>
        <v>0.338691159586682</v>
      </c>
      <c r="BH10" s="391">
        <f>'Greater China'!$E$41</f>
        <v>0.37791848041155518</v>
      </c>
      <c r="BI10" s="391">
        <f>'Greater China'!$F$41</f>
        <v>0.40726172465960664</v>
      </c>
      <c r="BN10" s="399">
        <f>'Greater China'!$C$54</f>
        <v>436</v>
      </c>
      <c r="BO10" s="399">
        <f>'Greater China'!$D$54</f>
        <v>555</v>
      </c>
      <c r="BP10" s="399">
        <f>'Greater China'!$E$54</f>
        <v>835</v>
      </c>
      <c r="BQ10" s="399">
        <f>'Greater China'!$F$54</f>
        <v>1180</v>
      </c>
      <c r="BR10" s="395"/>
      <c r="BS10" s="395"/>
      <c r="BT10" s="395"/>
      <c r="BV10" s="391">
        <f>'Greater China'!$C$55</f>
        <v>0.33005299015897049</v>
      </c>
      <c r="BW10" s="391">
        <f>'Greater China'!$D$55</f>
        <v>0.3185993111366246</v>
      </c>
      <c r="BX10" s="391">
        <f>'Greater China'!$E$55</f>
        <v>0.33043134151167391</v>
      </c>
      <c r="BY10" s="391">
        <f>'Greater China'!$F$55</f>
        <v>0.35703479576399394</v>
      </c>
      <c r="CD10" s="399">
        <f>'Greater China'!$C$107</f>
        <v>5499</v>
      </c>
      <c r="CE10" s="399">
        <f>'Greater China'!$D$107</f>
        <v>6483</v>
      </c>
      <c r="CF10" s="399">
        <f>'Greater China'!$E$107</f>
        <v>7696</v>
      </c>
      <c r="CG10" s="399">
        <f>'Greater China'!$F$107</f>
        <v>8930</v>
      </c>
      <c r="CH10" s="395"/>
      <c r="CI10" s="395"/>
      <c r="CJ10" s="395"/>
      <c r="CK10" s="396"/>
      <c r="CL10" s="399">
        <f>'Greater China'!$C$113</f>
        <v>1481</v>
      </c>
      <c r="CM10" s="399">
        <f>'Greater China'!$D$113</f>
        <v>1970</v>
      </c>
      <c r="CN10" s="399">
        <f>'Greater China'!$E$113</f>
        <v>2546</v>
      </c>
      <c r="CO10" s="399">
        <f>'Greater China'!$F$113</f>
        <v>2737</v>
      </c>
      <c r="CP10" s="395"/>
      <c r="CQ10" s="395"/>
      <c r="CR10" s="395"/>
      <c r="CS10" s="396"/>
      <c r="CT10" s="399">
        <f>'Greater China'!$C$116</f>
        <v>4018</v>
      </c>
      <c r="CU10" s="399">
        <f>'Greater China'!$D$116</f>
        <v>4513</v>
      </c>
      <c r="CV10" s="399">
        <f>'Greater China'!$E$116</f>
        <v>5150</v>
      </c>
      <c r="CW10" s="399">
        <f>'Greater China'!$F$116</f>
        <v>6193</v>
      </c>
      <c r="CX10" s="395"/>
      <c r="CY10" s="395"/>
      <c r="CZ10" s="395"/>
      <c r="DA10" s="403"/>
      <c r="DB10" s="399">
        <f>'Greater China'!$C$155</f>
        <v>880</v>
      </c>
      <c r="DC10" s="399">
        <f>'Greater China'!$D$155</f>
        <v>880</v>
      </c>
      <c r="DD10" s="399">
        <f>'Greater China'!$E$155</f>
        <v>880</v>
      </c>
      <c r="DE10" s="399">
        <f>'Greater China'!$F$155</f>
        <v>880</v>
      </c>
      <c r="DF10" s="395"/>
      <c r="DJ10" s="360">
        <f>'Greater China'!$C$156</f>
        <v>58.872843450479238</v>
      </c>
      <c r="DK10" s="360">
        <f>'Greater China'!$D$156</f>
        <v>66.472195121951216</v>
      </c>
      <c r="DL10" s="360">
        <f>'Greater China'!$E$156</f>
        <v>33.696934306569347</v>
      </c>
      <c r="DM10" s="360">
        <f>'Greater China'!$F$156</f>
        <v>23.985685884691851</v>
      </c>
      <c r="DN10" s="361"/>
      <c r="DR10" s="360">
        <f>'Greater China'!$C$157</f>
        <v>2.0300980500165253</v>
      </c>
      <c r="DS10" s="360">
        <f>'Greater China'!$D$157</f>
        <v>11.249140712945591</v>
      </c>
      <c r="DT10" s="360">
        <f>'Greater China'!$E$157</f>
        <v>0.50329395470709348</v>
      </c>
      <c r="DU10" s="360">
        <f>'Greater China'!$F$157</f>
        <v>0.51125653748740452</v>
      </c>
      <c r="DZ10" s="399">
        <f>'Greater China'!$C$163</f>
        <v>18427.2</v>
      </c>
      <c r="EA10" s="399">
        <f>'Greater China'!$D$163</f>
        <v>27253.599999999999</v>
      </c>
      <c r="EB10" s="399">
        <f>'Greater China'!$E$163</f>
        <v>23082.400000000001</v>
      </c>
      <c r="EC10" s="399">
        <f>'Greater China'!$F$163</f>
        <v>24129.600000000002</v>
      </c>
      <c r="ED10" s="395"/>
      <c r="EE10" s="395"/>
      <c r="EF10" s="395"/>
      <c r="EH10" s="360">
        <f>'Greater China'!$C$164</f>
        <v>20.94</v>
      </c>
      <c r="EI10" s="360">
        <f>'Greater China'!$D$164</f>
        <v>30.97</v>
      </c>
      <c r="EJ10" s="360">
        <f>'Greater China'!$E$164</f>
        <v>26.23</v>
      </c>
      <c r="EK10" s="360">
        <f>'Greater China'!$F$164</f>
        <v>27.42</v>
      </c>
      <c r="EP10" s="399">
        <f>'Greater China'!$C$168</f>
        <v>14722.2</v>
      </c>
      <c r="EQ10" s="399">
        <f>'Greater China'!$D$168</f>
        <v>23149.599999999999</v>
      </c>
      <c r="ER10" s="399">
        <f>'Greater China'!$E$168</f>
        <v>18402.400000000001</v>
      </c>
      <c r="ES10" s="399">
        <f>'Greater China'!$F$168</f>
        <v>18529.600000000002</v>
      </c>
      <c r="ET10" s="395"/>
      <c r="EU10" s="395"/>
      <c r="EV10" s="395"/>
      <c r="EX10" s="360">
        <f>'Greater China'!$C$169</f>
        <v>11.144738834216502</v>
      </c>
      <c r="EY10" s="360">
        <f>'Greater China'!$D$169</f>
        <v>13.289092996555683</v>
      </c>
      <c r="EZ10" s="360">
        <f>'Greater China'!$E$169</f>
        <v>7.2823110407597946</v>
      </c>
      <c r="FA10" s="360">
        <f>'Greater China'!$F$169</f>
        <v>5.6065355521936464</v>
      </c>
      <c r="FF10" s="360">
        <f>'Greater China'!$C$170</f>
        <v>30.16844262295082</v>
      </c>
      <c r="FG10" s="360">
        <f>'Greater China'!$D$170</f>
        <v>39.23661016949152</v>
      </c>
      <c r="FH10" s="360">
        <f>'Greater China'!$E$170</f>
        <v>19.269528795811521</v>
      </c>
      <c r="FI10" s="360">
        <f>'Greater China'!$F$170</f>
        <v>13.766419019316494</v>
      </c>
      <c r="FN10" s="360">
        <f>'Greater China'!$C$171</f>
        <v>13.949432248296745</v>
      </c>
      <c r="FO10" s="360">
        <f>'Greater China'!$D$171</f>
        <v>15.645005740528127</v>
      </c>
      <c r="FP10" s="360">
        <f>'Greater China'!$E$171</f>
        <v>9.1343094578551653</v>
      </c>
      <c r="FQ10" s="360">
        <f>'Greater China'!$F$171</f>
        <v>7.3009379727685335</v>
      </c>
      <c r="FV10" s="360">
        <f>'Greater China'!$C$172</f>
        <v>37.760655737704923</v>
      </c>
      <c r="FW10" s="360">
        <f>'Greater China'!$D$172</f>
        <v>46.192542372881356</v>
      </c>
      <c r="FX10" s="360">
        <f>'Greater China'!$E$172</f>
        <v>24.170052356020943</v>
      </c>
      <c r="FY10" s="360">
        <f>'Greater China'!$F$172</f>
        <v>17.926894502228826</v>
      </c>
    </row>
    <row r="11" spans="1:184">
      <c r="A11" s="404" t="s">
        <v>656</v>
      </c>
      <c r="B11" s="405">
        <f>B5/B10</f>
        <v>0</v>
      </c>
      <c r="C11" s="405">
        <f t="shared" ref="C11:H11" si="0">C5/C10</f>
        <v>0</v>
      </c>
      <c r="D11" s="405">
        <f t="shared" si="0"/>
        <v>0</v>
      </c>
      <c r="E11" s="405">
        <f t="shared" si="0"/>
        <v>0</v>
      </c>
      <c r="F11" s="405" t="e">
        <f t="shared" si="0"/>
        <v>#DIV/0!</v>
      </c>
      <c r="G11" s="405" t="e">
        <f t="shared" si="0"/>
        <v>#DIV/0!</v>
      </c>
      <c r="H11" s="405" t="e">
        <f t="shared" si="0"/>
        <v>#DIV/0!</v>
      </c>
      <c r="I11" s="396"/>
      <c r="J11" s="405">
        <f t="shared" ref="J11:P11" si="1">J5/J10</f>
        <v>0</v>
      </c>
      <c r="K11" s="405">
        <f t="shared" si="1"/>
        <v>0</v>
      </c>
      <c r="L11" s="405">
        <f t="shared" si="1"/>
        <v>0.10957959551842006</v>
      </c>
      <c r="M11" s="405">
        <f t="shared" si="1"/>
        <v>0.12995778463948499</v>
      </c>
      <c r="N11" s="405" t="e">
        <f t="shared" si="1"/>
        <v>#DIV/0!</v>
      </c>
      <c r="O11" s="405" t="e">
        <f t="shared" si="1"/>
        <v>#DIV/0!</v>
      </c>
      <c r="P11" s="405" t="e">
        <f t="shared" si="1"/>
        <v>#DIV/0!</v>
      </c>
      <c r="Q11" s="396"/>
      <c r="R11" s="405">
        <f t="shared" ref="R11:X11" si="2">R5/R10</f>
        <v>0</v>
      </c>
      <c r="S11" s="405">
        <f t="shared" si="2"/>
        <v>0</v>
      </c>
      <c r="T11" s="405">
        <f t="shared" si="2"/>
        <v>0</v>
      </c>
      <c r="U11" s="405">
        <f t="shared" si="2"/>
        <v>0</v>
      </c>
      <c r="V11" s="405" t="e">
        <f t="shared" si="2"/>
        <v>#DIV/0!</v>
      </c>
      <c r="W11" s="405" t="e">
        <f t="shared" si="2"/>
        <v>#DIV/0!</v>
      </c>
      <c r="X11" s="405" t="e">
        <f t="shared" si="2"/>
        <v>#DIV/0!</v>
      </c>
      <c r="Y11" s="396"/>
      <c r="Z11" s="405">
        <f t="shared" ref="Z11:AF11" si="3">Z5/Z10</f>
        <v>0</v>
      </c>
      <c r="AA11" s="405">
        <f t="shared" si="3"/>
        <v>0</v>
      </c>
      <c r="AB11" s="405">
        <f t="shared" si="3"/>
        <v>0.10470609713325567</v>
      </c>
      <c r="AC11" s="405">
        <f t="shared" si="3"/>
        <v>0.12629417806175658</v>
      </c>
      <c r="AD11" s="405" t="e">
        <f t="shared" si="3"/>
        <v>#DIV/0!</v>
      </c>
      <c r="AE11" s="405" t="e">
        <f t="shared" si="3"/>
        <v>#DIV/0!</v>
      </c>
      <c r="AF11" s="405" t="e">
        <f t="shared" si="3"/>
        <v>#DIV/0!</v>
      </c>
      <c r="AG11" s="396"/>
      <c r="AH11" s="405">
        <f t="shared" ref="AH11:AN11" si="4">AH5/AH10</f>
        <v>0</v>
      </c>
      <c r="AI11" s="405">
        <f t="shared" si="4"/>
        <v>0</v>
      </c>
      <c r="AJ11" s="405">
        <f t="shared" si="4"/>
        <v>7.2075086455979834E-2</v>
      </c>
      <c r="AK11" s="405">
        <f t="shared" si="4"/>
        <v>9.0938182133229004E-2</v>
      </c>
      <c r="AL11" s="405" t="e">
        <f t="shared" si="4"/>
        <v>#DIV/0!</v>
      </c>
      <c r="AM11" s="405" t="e">
        <f t="shared" si="4"/>
        <v>#DIV/0!</v>
      </c>
      <c r="AN11" s="405" t="e">
        <f t="shared" si="4"/>
        <v>#DIV/0!</v>
      </c>
      <c r="AO11" s="396"/>
      <c r="AP11" s="405">
        <f t="shared" ref="AP11:AV11" si="5">AP5/AP10</f>
        <v>0</v>
      </c>
      <c r="AQ11" s="405">
        <f t="shared" si="5"/>
        <v>0</v>
      </c>
      <c r="AR11" s="405">
        <f t="shared" si="5"/>
        <v>0.68835615527004579</v>
      </c>
      <c r="AS11" s="405">
        <f t="shared" si="5"/>
        <v>0.72005046890412583</v>
      </c>
      <c r="AT11" s="405" t="e">
        <f t="shared" si="5"/>
        <v>#DIV/0!</v>
      </c>
      <c r="AU11" s="405" t="e">
        <f t="shared" si="5"/>
        <v>#DIV/0!</v>
      </c>
      <c r="AV11" s="405" t="e">
        <f t="shared" si="5"/>
        <v>#DIV/0!</v>
      </c>
      <c r="AX11" s="405">
        <f t="shared" ref="AX11:BD11" si="6">AX5/AX10</f>
        <v>0</v>
      </c>
      <c r="AY11" s="405">
        <f t="shared" si="6"/>
        <v>0</v>
      </c>
      <c r="AZ11" s="405">
        <f t="shared" si="6"/>
        <v>-9.0021670347292387E-2</v>
      </c>
      <c r="BA11" s="405">
        <f t="shared" si="6"/>
        <v>-1.8019590523243853E-2</v>
      </c>
      <c r="BB11" s="405" t="e">
        <f t="shared" si="6"/>
        <v>#DIV/0!</v>
      </c>
      <c r="BC11" s="405" t="e">
        <f t="shared" si="6"/>
        <v>#DIV/0!</v>
      </c>
      <c r="BD11" s="405" t="e">
        <f t="shared" si="6"/>
        <v>#DIV/0!</v>
      </c>
      <c r="BF11" s="405">
        <f t="shared" ref="BF11:BL11" si="7">BF5/BF10</f>
        <v>0</v>
      </c>
      <c r="BG11" s="405">
        <f t="shared" si="7"/>
        <v>0</v>
      </c>
      <c r="BH11" s="405">
        <f t="shared" si="7"/>
        <v>-0.85975576219525285</v>
      </c>
      <c r="BI11" s="405">
        <f t="shared" si="7"/>
        <v>-0.14267950272761151</v>
      </c>
      <c r="BJ11" s="405" t="e">
        <f t="shared" si="7"/>
        <v>#DIV/0!</v>
      </c>
      <c r="BK11" s="405" t="e">
        <f t="shared" si="7"/>
        <v>#DIV/0!</v>
      </c>
      <c r="BL11" s="405" t="e">
        <f t="shared" si="7"/>
        <v>#DIV/0!</v>
      </c>
      <c r="BN11" s="405">
        <f t="shared" ref="BN11:BT11" si="8">BN5/BN10</f>
        <v>0</v>
      </c>
      <c r="BO11" s="405">
        <f t="shared" si="8"/>
        <v>0</v>
      </c>
      <c r="BP11" s="405">
        <f t="shared" si="8"/>
        <v>0</v>
      </c>
      <c r="BQ11" s="405">
        <f t="shared" si="8"/>
        <v>0</v>
      </c>
      <c r="BR11" s="405" t="e">
        <f t="shared" si="8"/>
        <v>#DIV/0!</v>
      </c>
      <c r="BS11" s="405" t="e">
        <f t="shared" si="8"/>
        <v>#DIV/0!</v>
      </c>
      <c r="BT11" s="405" t="e">
        <f t="shared" si="8"/>
        <v>#DIV/0!</v>
      </c>
      <c r="BV11" s="405">
        <f t="shared" ref="BV11:CB11" si="9">BV5/BV10</f>
        <v>0</v>
      </c>
      <c r="BW11" s="405">
        <f t="shared" si="9"/>
        <v>0</v>
      </c>
      <c r="BX11" s="405">
        <f t="shared" si="9"/>
        <v>0</v>
      </c>
      <c r="BY11" s="405">
        <f t="shared" si="9"/>
        <v>0</v>
      </c>
      <c r="BZ11" s="405" t="e">
        <f t="shared" si="9"/>
        <v>#DIV/0!</v>
      </c>
      <c r="CA11" s="405" t="e">
        <f t="shared" si="9"/>
        <v>#DIV/0!</v>
      </c>
      <c r="CB11" s="405" t="e">
        <f t="shared" si="9"/>
        <v>#DIV/0!</v>
      </c>
      <c r="CD11" s="405">
        <f t="shared" ref="CD11:CJ11" si="10">CD5/CD10</f>
        <v>0</v>
      </c>
      <c r="CE11" s="405">
        <f t="shared" si="10"/>
        <v>0</v>
      </c>
      <c r="CF11" s="405">
        <f t="shared" si="10"/>
        <v>0</v>
      </c>
      <c r="CG11" s="405">
        <f t="shared" si="10"/>
        <v>0</v>
      </c>
      <c r="CH11" s="405" t="e">
        <f t="shared" si="10"/>
        <v>#DIV/0!</v>
      </c>
      <c r="CI11" s="405" t="e">
        <f t="shared" si="10"/>
        <v>#DIV/0!</v>
      </c>
      <c r="CJ11" s="405" t="e">
        <f t="shared" si="10"/>
        <v>#DIV/0!</v>
      </c>
      <c r="CK11" s="396"/>
      <c r="CL11" s="405">
        <f t="shared" ref="CL11:CR11" si="11">CL5/CL10</f>
        <v>0</v>
      </c>
      <c r="CM11" s="405">
        <f t="shared" si="11"/>
        <v>0</v>
      </c>
      <c r="CN11" s="405">
        <f t="shared" si="11"/>
        <v>0</v>
      </c>
      <c r="CO11" s="405">
        <f t="shared" si="11"/>
        <v>0</v>
      </c>
      <c r="CP11" s="405" t="e">
        <f t="shared" si="11"/>
        <v>#DIV/0!</v>
      </c>
      <c r="CQ11" s="405" t="e">
        <f t="shared" si="11"/>
        <v>#DIV/0!</v>
      </c>
      <c r="CR11" s="405" t="e">
        <f t="shared" si="11"/>
        <v>#DIV/0!</v>
      </c>
      <c r="CS11" s="396"/>
      <c r="CT11" s="405">
        <f t="shared" ref="CT11:CZ11" si="12">CT5/CT10</f>
        <v>0</v>
      </c>
      <c r="CU11" s="405">
        <f t="shared" si="12"/>
        <v>0</v>
      </c>
      <c r="CV11" s="405">
        <f t="shared" si="12"/>
        <v>0</v>
      </c>
      <c r="CW11" s="405">
        <f t="shared" si="12"/>
        <v>0</v>
      </c>
      <c r="CX11" s="405" t="e">
        <f t="shared" si="12"/>
        <v>#DIV/0!</v>
      </c>
      <c r="CY11" s="405" t="e">
        <f t="shared" si="12"/>
        <v>#DIV/0!</v>
      </c>
      <c r="CZ11" s="405" t="e">
        <f t="shared" si="12"/>
        <v>#DIV/0!</v>
      </c>
      <c r="DA11" s="403"/>
      <c r="DB11" s="405">
        <f t="shared" ref="DB11:DH11" si="13">DB5/DB10</f>
        <v>0</v>
      </c>
      <c r="DC11" s="405">
        <f t="shared" si="13"/>
        <v>0</v>
      </c>
      <c r="DD11" s="405">
        <f t="shared" si="13"/>
        <v>0</v>
      </c>
      <c r="DE11" s="405">
        <f t="shared" si="13"/>
        <v>0</v>
      </c>
      <c r="DF11" s="405" t="e">
        <f t="shared" si="13"/>
        <v>#DIV/0!</v>
      </c>
      <c r="DG11" s="405" t="e">
        <f t="shared" si="13"/>
        <v>#DIV/0!</v>
      </c>
      <c r="DH11" s="405" t="e">
        <f t="shared" si="13"/>
        <v>#DIV/0!</v>
      </c>
      <c r="DJ11" s="405">
        <f t="shared" ref="DJ11:DP11" si="14">DJ5/DJ10</f>
        <v>0</v>
      </c>
      <c r="DK11" s="405">
        <f t="shared" si="14"/>
        <v>0</v>
      </c>
      <c r="DL11" s="405">
        <f t="shared" si="14"/>
        <v>0</v>
      </c>
      <c r="DM11" s="405">
        <f t="shared" si="14"/>
        <v>0</v>
      </c>
      <c r="DN11" s="405" t="e">
        <f t="shared" si="14"/>
        <v>#DIV/0!</v>
      </c>
      <c r="DO11" s="405" t="e">
        <f t="shared" si="14"/>
        <v>#DIV/0!</v>
      </c>
      <c r="DP11" s="405" t="e">
        <f t="shared" si="14"/>
        <v>#DIV/0!</v>
      </c>
      <c r="DR11" s="405">
        <f t="shared" ref="DR11:DX11" si="15">DR5/DR10</f>
        <v>0</v>
      </c>
      <c r="DS11" s="405">
        <f t="shared" si="15"/>
        <v>0</v>
      </c>
      <c r="DT11" s="405">
        <f t="shared" si="15"/>
        <v>0</v>
      </c>
      <c r="DU11" s="405">
        <f t="shared" si="15"/>
        <v>0</v>
      </c>
      <c r="DV11" s="405" t="e">
        <f t="shared" si="15"/>
        <v>#DIV/0!</v>
      </c>
      <c r="DW11" s="405" t="e">
        <f t="shared" si="15"/>
        <v>#DIV/0!</v>
      </c>
      <c r="DX11" s="405" t="e">
        <f t="shared" si="15"/>
        <v>#DIV/0!</v>
      </c>
      <c r="DZ11" s="405">
        <f t="shared" ref="DZ11:EF11" si="16">DZ5/DZ10</f>
        <v>0</v>
      </c>
      <c r="EA11" s="405">
        <f t="shared" si="16"/>
        <v>0</v>
      </c>
      <c r="EB11" s="405">
        <f t="shared" si="16"/>
        <v>0</v>
      </c>
      <c r="EC11" s="405">
        <f t="shared" si="16"/>
        <v>0</v>
      </c>
      <c r="ED11" s="405" t="e">
        <f t="shared" si="16"/>
        <v>#DIV/0!</v>
      </c>
      <c r="EE11" s="405" t="e">
        <f t="shared" si="16"/>
        <v>#DIV/0!</v>
      </c>
      <c r="EF11" s="405" t="e">
        <f t="shared" si="16"/>
        <v>#DIV/0!</v>
      </c>
      <c r="EH11" s="405">
        <f t="shared" ref="EH11:EN11" si="17">EH5/EH10</f>
        <v>0</v>
      </c>
      <c r="EI11" s="405">
        <f t="shared" si="17"/>
        <v>0</v>
      </c>
      <c r="EJ11" s="405">
        <f t="shared" si="17"/>
        <v>0</v>
      </c>
      <c r="EK11" s="405">
        <f t="shared" si="17"/>
        <v>0</v>
      </c>
      <c r="EL11" s="405" t="e">
        <f t="shared" si="17"/>
        <v>#DIV/0!</v>
      </c>
      <c r="EM11" s="405" t="e">
        <f t="shared" si="17"/>
        <v>#DIV/0!</v>
      </c>
      <c r="EN11" s="405" t="e">
        <f t="shared" si="17"/>
        <v>#DIV/0!</v>
      </c>
      <c r="EP11" s="405">
        <f t="shared" ref="EP11:EV11" si="18">EP5/EP10</f>
        <v>0</v>
      </c>
      <c r="EQ11" s="405">
        <f t="shared" si="18"/>
        <v>0</v>
      </c>
      <c r="ER11" s="405">
        <f t="shared" si="18"/>
        <v>0</v>
      </c>
      <c r="ES11" s="405">
        <f t="shared" si="18"/>
        <v>0</v>
      </c>
      <c r="ET11" s="405" t="e">
        <f t="shared" si="18"/>
        <v>#DIV/0!</v>
      </c>
      <c r="EU11" s="405" t="e">
        <f t="shared" si="18"/>
        <v>#DIV/0!</v>
      </c>
      <c r="EV11" s="405" t="e">
        <f t="shared" si="18"/>
        <v>#DIV/0!</v>
      </c>
      <c r="EX11" s="405">
        <f t="shared" ref="EX11:FD11" si="19">EX5/EX10</f>
        <v>0</v>
      </c>
      <c r="EY11" s="405">
        <f t="shared" si="19"/>
        <v>0</v>
      </c>
      <c r="EZ11" s="405">
        <f t="shared" si="19"/>
        <v>0</v>
      </c>
      <c r="FA11" s="405">
        <f t="shared" si="19"/>
        <v>0</v>
      </c>
      <c r="FB11" s="405" t="e">
        <f t="shared" si="19"/>
        <v>#DIV/0!</v>
      </c>
      <c r="FC11" s="405" t="e">
        <f t="shared" si="19"/>
        <v>#DIV/0!</v>
      </c>
      <c r="FD11" s="405" t="e">
        <f t="shared" si="19"/>
        <v>#DIV/0!</v>
      </c>
      <c r="FF11" s="405">
        <f t="shared" ref="FF11:FL11" si="20">FF5/FF10</f>
        <v>0</v>
      </c>
      <c r="FG11" s="405">
        <f t="shared" si="20"/>
        <v>0</v>
      </c>
      <c r="FH11" s="405">
        <f t="shared" si="20"/>
        <v>0</v>
      </c>
      <c r="FI11" s="405">
        <f t="shared" si="20"/>
        <v>0</v>
      </c>
      <c r="FJ11" s="405" t="e">
        <f t="shared" si="20"/>
        <v>#DIV/0!</v>
      </c>
      <c r="FK11" s="405" t="e">
        <f t="shared" si="20"/>
        <v>#DIV/0!</v>
      </c>
      <c r="FL11" s="405" t="e">
        <f t="shared" si="20"/>
        <v>#DIV/0!</v>
      </c>
      <c r="FN11" s="405">
        <f t="shared" ref="FN11:FT11" si="21">FN5/FN10</f>
        <v>0</v>
      </c>
      <c r="FO11" s="405">
        <f t="shared" si="21"/>
        <v>0</v>
      </c>
      <c r="FP11" s="405">
        <f t="shared" si="21"/>
        <v>0</v>
      </c>
      <c r="FQ11" s="405">
        <f t="shared" si="21"/>
        <v>0</v>
      </c>
      <c r="FR11" s="405" t="e">
        <f t="shared" si="21"/>
        <v>#DIV/0!</v>
      </c>
      <c r="FS11" s="405" t="e">
        <f t="shared" si="21"/>
        <v>#DIV/0!</v>
      </c>
      <c r="FT11" s="405" t="e">
        <f t="shared" si="21"/>
        <v>#DIV/0!</v>
      </c>
      <c r="FV11" s="405">
        <f t="shared" ref="FV11:GB11" si="22">FV5/FV10</f>
        <v>0</v>
      </c>
      <c r="FW11" s="405">
        <f t="shared" si="22"/>
        <v>0</v>
      </c>
      <c r="FX11" s="405">
        <f t="shared" si="22"/>
        <v>0</v>
      </c>
      <c r="FY11" s="405">
        <f t="shared" si="22"/>
        <v>0</v>
      </c>
      <c r="FZ11" s="405" t="e">
        <f t="shared" si="22"/>
        <v>#DIV/0!</v>
      </c>
      <c r="GA11" s="405" t="e">
        <f t="shared" si="22"/>
        <v>#DIV/0!</v>
      </c>
      <c r="GB11" s="405" t="e">
        <f t="shared" si="22"/>
        <v>#DIV/0!</v>
      </c>
    </row>
    <row r="12" spans="1:184">
      <c r="A12" s="404" t="s">
        <v>657</v>
      </c>
      <c r="B12" s="405">
        <f>B6/B10</f>
        <v>0</v>
      </c>
      <c r="C12" s="405">
        <f t="shared" ref="C12:H12" si="23">C6/C10</f>
        <v>0</v>
      </c>
      <c r="D12" s="405">
        <f t="shared" si="23"/>
        <v>0</v>
      </c>
      <c r="E12" s="405">
        <f t="shared" si="23"/>
        <v>0</v>
      </c>
      <c r="F12" s="405" t="e">
        <f t="shared" si="23"/>
        <v>#DIV/0!</v>
      </c>
      <c r="G12" s="405" t="e">
        <f t="shared" si="23"/>
        <v>#DIV/0!</v>
      </c>
      <c r="H12" s="405" t="e">
        <f t="shared" si="23"/>
        <v>#DIV/0!</v>
      </c>
      <c r="I12" s="396"/>
      <c r="J12" s="405">
        <f>J6/J10</f>
        <v>0</v>
      </c>
      <c r="K12" s="405">
        <f t="shared" ref="K12:P12" si="24">K6/K10</f>
        <v>0</v>
      </c>
      <c r="L12" s="405">
        <f t="shared" si="24"/>
        <v>0.18452588947968099</v>
      </c>
      <c r="M12" s="405">
        <f t="shared" si="24"/>
        <v>0.18999165159227469</v>
      </c>
      <c r="N12" s="405" t="e">
        <f t="shared" si="24"/>
        <v>#DIV/0!</v>
      </c>
      <c r="O12" s="405" t="e">
        <f t="shared" si="24"/>
        <v>#DIV/0!</v>
      </c>
      <c r="P12" s="405" t="e">
        <f t="shared" si="24"/>
        <v>#DIV/0!</v>
      </c>
      <c r="Q12" s="396"/>
      <c r="R12" s="405">
        <f>R6/R10</f>
        <v>0</v>
      </c>
      <c r="S12" s="405">
        <f t="shared" ref="S12:X12" si="25">S6/S10</f>
        <v>0</v>
      </c>
      <c r="T12" s="405">
        <f t="shared" si="25"/>
        <v>0</v>
      </c>
      <c r="U12" s="405">
        <f t="shared" si="25"/>
        <v>0</v>
      </c>
      <c r="V12" s="405" t="e">
        <f t="shared" si="25"/>
        <v>#DIV/0!</v>
      </c>
      <c r="W12" s="405" t="e">
        <f t="shared" si="25"/>
        <v>#DIV/0!</v>
      </c>
      <c r="X12" s="405" t="e">
        <f t="shared" si="25"/>
        <v>#DIV/0!</v>
      </c>
      <c r="Y12" s="396"/>
      <c r="Z12" s="405">
        <f>Z6/Z10</f>
        <v>0</v>
      </c>
      <c r="AA12" s="405">
        <f t="shared" ref="AA12:AF12" si="26">AA6/AA10</f>
        <v>0</v>
      </c>
      <c r="AB12" s="405">
        <f t="shared" si="26"/>
        <v>0.18279616124089318</v>
      </c>
      <c r="AC12" s="405">
        <f t="shared" si="26"/>
        <v>0.18977931119337535</v>
      </c>
      <c r="AD12" s="405" t="e">
        <f t="shared" si="26"/>
        <v>#DIV/0!</v>
      </c>
      <c r="AE12" s="405" t="e">
        <f t="shared" si="26"/>
        <v>#DIV/0!</v>
      </c>
      <c r="AF12" s="405" t="e">
        <f t="shared" si="26"/>
        <v>#DIV/0!</v>
      </c>
      <c r="AG12" s="396"/>
      <c r="AH12" s="405">
        <f>AH6/AH10</f>
        <v>0</v>
      </c>
      <c r="AI12" s="405">
        <f t="shared" ref="AI12:AN12" si="27">AI6/AI10</f>
        <v>0</v>
      </c>
      <c r="AJ12" s="405">
        <f t="shared" si="27"/>
        <v>0.13564805638079186</v>
      </c>
      <c r="AK12" s="405">
        <f t="shared" si="27"/>
        <v>0.14354622661129254</v>
      </c>
      <c r="AL12" s="405" t="e">
        <f t="shared" si="27"/>
        <v>#DIV/0!</v>
      </c>
      <c r="AM12" s="405" t="e">
        <f t="shared" si="27"/>
        <v>#DIV/0!</v>
      </c>
      <c r="AN12" s="405" t="e">
        <f t="shared" si="27"/>
        <v>#DIV/0!</v>
      </c>
      <c r="AO12" s="396"/>
      <c r="AP12" s="405">
        <f>AP6/AP10</f>
        <v>0</v>
      </c>
      <c r="AQ12" s="405">
        <f t="shared" ref="AQ12:AV12" si="28">AQ6/AQ10</f>
        <v>0</v>
      </c>
      <c r="AR12" s="405">
        <f t="shared" si="28"/>
        <v>0.7420727845703039</v>
      </c>
      <c r="AS12" s="405">
        <f t="shared" si="28"/>
        <v>0.75638501219464493</v>
      </c>
      <c r="AT12" s="405" t="e">
        <f t="shared" si="28"/>
        <v>#DIV/0!</v>
      </c>
      <c r="AU12" s="405" t="e">
        <f t="shared" si="28"/>
        <v>#DIV/0!</v>
      </c>
      <c r="AV12" s="405" t="e">
        <f t="shared" si="28"/>
        <v>#DIV/0!</v>
      </c>
      <c r="AX12" s="405">
        <f>AX6/AX10</f>
        <v>0</v>
      </c>
      <c r="AY12" s="405">
        <f t="shared" ref="AY12:BD12" si="29">AY6/AY10</f>
        <v>0</v>
      </c>
      <c r="AZ12" s="405">
        <f t="shared" si="29"/>
        <v>-4.5681536315878769E-2</v>
      </c>
      <c r="BA12" s="405">
        <f t="shared" si="29"/>
        <v>1.9019934736785864E-2</v>
      </c>
      <c r="BB12" s="405" t="e">
        <f t="shared" si="29"/>
        <v>#DIV/0!</v>
      </c>
      <c r="BC12" s="405" t="e">
        <f t="shared" si="29"/>
        <v>#DIV/0!</v>
      </c>
      <c r="BD12" s="405" t="e">
        <f t="shared" si="29"/>
        <v>#DIV/0!</v>
      </c>
      <c r="BF12" s="405">
        <f>BF6/BF10</f>
        <v>0</v>
      </c>
      <c r="BG12" s="405">
        <f t="shared" ref="BG12:BL12" si="30">BG6/BG10</f>
        <v>0</v>
      </c>
      <c r="BH12" s="405">
        <f t="shared" si="30"/>
        <v>-0.24990424309665096</v>
      </c>
      <c r="BI12" s="405">
        <f t="shared" si="30"/>
        <v>0.10022132874855642</v>
      </c>
      <c r="BJ12" s="405" t="e">
        <f t="shared" si="30"/>
        <v>#DIV/0!</v>
      </c>
      <c r="BK12" s="405" t="e">
        <f t="shared" si="30"/>
        <v>#DIV/0!</v>
      </c>
      <c r="BL12" s="405" t="e">
        <f t="shared" si="30"/>
        <v>#DIV/0!</v>
      </c>
      <c r="BN12" s="405">
        <f>BN6/BN10</f>
        <v>0</v>
      </c>
      <c r="BO12" s="405">
        <f t="shared" ref="BO12:BT12" si="31">BO6/BO10</f>
        <v>0</v>
      </c>
      <c r="BP12" s="405">
        <f t="shared" si="31"/>
        <v>0</v>
      </c>
      <c r="BQ12" s="405">
        <f t="shared" si="31"/>
        <v>0</v>
      </c>
      <c r="BR12" s="405" t="e">
        <f t="shared" si="31"/>
        <v>#DIV/0!</v>
      </c>
      <c r="BS12" s="405" t="e">
        <f t="shared" si="31"/>
        <v>#DIV/0!</v>
      </c>
      <c r="BT12" s="405" t="e">
        <f t="shared" si="31"/>
        <v>#DIV/0!</v>
      </c>
      <c r="BV12" s="405">
        <f>BV6/BV10</f>
        <v>0</v>
      </c>
      <c r="BW12" s="405">
        <f t="shared" ref="BW12:CB12" si="32">BW6/BW10</f>
        <v>0</v>
      </c>
      <c r="BX12" s="405">
        <f t="shared" si="32"/>
        <v>0</v>
      </c>
      <c r="BY12" s="405">
        <f t="shared" si="32"/>
        <v>0</v>
      </c>
      <c r="BZ12" s="405" t="e">
        <f t="shared" si="32"/>
        <v>#DIV/0!</v>
      </c>
      <c r="CA12" s="405" t="e">
        <f t="shared" si="32"/>
        <v>#DIV/0!</v>
      </c>
      <c r="CB12" s="405" t="e">
        <f t="shared" si="32"/>
        <v>#DIV/0!</v>
      </c>
      <c r="CD12" s="405">
        <f>CD6/CD10</f>
        <v>0</v>
      </c>
      <c r="CE12" s="405">
        <f t="shared" ref="CE12:CJ12" si="33">CE6/CE10</f>
        <v>0</v>
      </c>
      <c r="CF12" s="405">
        <f t="shared" si="33"/>
        <v>0</v>
      </c>
      <c r="CG12" s="405">
        <f t="shared" si="33"/>
        <v>0</v>
      </c>
      <c r="CH12" s="405" t="e">
        <f t="shared" si="33"/>
        <v>#DIV/0!</v>
      </c>
      <c r="CI12" s="405" t="e">
        <f t="shared" si="33"/>
        <v>#DIV/0!</v>
      </c>
      <c r="CJ12" s="405" t="e">
        <f t="shared" si="33"/>
        <v>#DIV/0!</v>
      </c>
      <c r="CK12" s="396"/>
      <c r="CL12" s="405">
        <f>CL6/CL10</f>
        <v>0</v>
      </c>
      <c r="CM12" s="405">
        <f t="shared" ref="CM12:CR12" si="34">CM6/CM10</f>
        <v>0</v>
      </c>
      <c r="CN12" s="405">
        <f t="shared" si="34"/>
        <v>0</v>
      </c>
      <c r="CO12" s="405">
        <f t="shared" si="34"/>
        <v>0</v>
      </c>
      <c r="CP12" s="405" t="e">
        <f t="shared" si="34"/>
        <v>#DIV/0!</v>
      </c>
      <c r="CQ12" s="405" t="e">
        <f t="shared" si="34"/>
        <v>#DIV/0!</v>
      </c>
      <c r="CR12" s="405" t="e">
        <f t="shared" si="34"/>
        <v>#DIV/0!</v>
      </c>
      <c r="CS12" s="396"/>
      <c r="CT12" s="405">
        <f>CT6/CT10</f>
        <v>0</v>
      </c>
      <c r="CU12" s="405">
        <f t="shared" ref="CU12:CZ12" si="35">CU6/CU10</f>
        <v>0</v>
      </c>
      <c r="CV12" s="405">
        <f t="shared" si="35"/>
        <v>0</v>
      </c>
      <c r="CW12" s="405">
        <f t="shared" si="35"/>
        <v>0</v>
      </c>
      <c r="CX12" s="405" t="e">
        <f t="shared" si="35"/>
        <v>#DIV/0!</v>
      </c>
      <c r="CY12" s="405" t="e">
        <f t="shared" si="35"/>
        <v>#DIV/0!</v>
      </c>
      <c r="CZ12" s="405" t="e">
        <f t="shared" si="35"/>
        <v>#DIV/0!</v>
      </c>
      <c r="DA12" s="403"/>
      <c r="DB12" s="405">
        <f>DB6/DB10</f>
        <v>0</v>
      </c>
      <c r="DC12" s="405">
        <f t="shared" ref="DC12:DH12" si="36">DC6/DC10</f>
        <v>0</v>
      </c>
      <c r="DD12" s="405">
        <f t="shared" si="36"/>
        <v>0</v>
      </c>
      <c r="DE12" s="405">
        <f t="shared" si="36"/>
        <v>0</v>
      </c>
      <c r="DF12" s="405" t="e">
        <f t="shared" si="36"/>
        <v>#DIV/0!</v>
      </c>
      <c r="DG12" s="405" t="e">
        <f t="shared" si="36"/>
        <v>#DIV/0!</v>
      </c>
      <c r="DH12" s="405" t="e">
        <f t="shared" si="36"/>
        <v>#DIV/0!</v>
      </c>
      <c r="DJ12" s="405">
        <f>DJ6/DJ10</f>
        <v>0</v>
      </c>
      <c r="DK12" s="405">
        <f t="shared" ref="DK12:DP12" si="37">DK6/DK10</f>
        <v>0</v>
      </c>
      <c r="DL12" s="405">
        <f t="shared" si="37"/>
        <v>0</v>
      </c>
      <c r="DM12" s="405">
        <f t="shared" si="37"/>
        <v>0</v>
      </c>
      <c r="DN12" s="405" t="e">
        <f t="shared" si="37"/>
        <v>#DIV/0!</v>
      </c>
      <c r="DO12" s="405" t="e">
        <f t="shared" si="37"/>
        <v>#DIV/0!</v>
      </c>
      <c r="DP12" s="405" t="e">
        <f t="shared" si="37"/>
        <v>#DIV/0!</v>
      </c>
      <c r="DR12" s="405">
        <f>DR6/DR10</f>
        <v>0</v>
      </c>
      <c r="DS12" s="405">
        <f t="shared" ref="DS12:DX12" si="38">DS6/DS10</f>
        <v>0</v>
      </c>
      <c r="DT12" s="405">
        <f t="shared" si="38"/>
        <v>0</v>
      </c>
      <c r="DU12" s="405">
        <f t="shared" si="38"/>
        <v>0</v>
      </c>
      <c r="DV12" s="405" t="e">
        <f t="shared" si="38"/>
        <v>#DIV/0!</v>
      </c>
      <c r="DW12" s="405" t="e">
        <f t="shared" si="38"/>
        <v>#DIV/0!</v>
      </c>
      <c r="DX12" s="405" t="e">
        <f t="shared" si="38"/>
        <v>#DIV/0!</v>
      </c>
      <c r="DZ12" s="405">
        <f>DZ6/DZ10</f>
        <v>0</v>
      </c>
      <c r="EA12" s="405">
        <f t="shared" ref="EA12:EF12" si="39">EA6/EA10</f>
        <v>0</v>
      </c>
      <c r="EB12" s="405">
        <f t="shared" si="39"/>
        <v>0</v>
      </c>
      <c r="EC12" s="405">
        <f t="shared" si="39"/>
        <v>0</v>
      </c>
      <c r="ED12" s="405" t="e">
        <f t="shared" si="39"/>
        <v>#DIV/0!</v>
      </c>
      <c r="EE12" s="405" t="e">
        <f t="shared" si="39"/>
        <v>#DIV/0!</v>
      </c>
      <c r="EF12" s="405" t="e">
        <f t="shared" si="39"/>
        <v>#DIV/0!</v>
      </c>
      <c r="EH12" s="405">
        <f>EH6/EH10</f>
        <v>0</v>
      </c>
      <c r="EI12" s="405">
        <f t="shared" ref="EI12:EN12" si="40">EI6/EI10</f>
        <v>0</v>
      </c>
      <c r="EJ12" s="405">
        <f t="shared" si="40"/>
        <v>0</v>
      </c>
      <c r="EK12" s="405">
        <f t="shared" si="40"/>
        <v>0</v>
      </c>
      <c r="EL12" s="405" t="e">
        <f t="shared" si="40"/>
        <v>#DIV/0!</v>
      </c>
      <c r="EM12" s="405" t="e">
        <f t="shared" si="40"/>
        <v>#DIV/0!</v>
      </c>
      <c r="EN12" s="405" t="e">
        <f t="shared" si="40"/>
        <v>#DIV/0!</v>
      </c>
      <c r="EP12" s="405">
        <f>EP6/EP10</f>
        <v>0</v>
      </c>
      <c r="EQ12" s="405">
        <f t="shared" ref="EQ12:EV12" si="41">EQ6/EQ10</f>
        <v>0</v>
      </c>
      <c r="ER12" s="405">
        <f t="shared" si="41"/>
        <v>0</v>
      </c>
      <c r="ES12" s="405">
        <f t="shared" si="41"/>
        <v>0</v>
      </c>
      <c r="ET12" s="405" t="e">
        <f t="shared" si="41"/>
        <v>#DIV/0!</v>
      </c>
      <c r="EU12" s="405" t="e">
        <f t="shared" si="41"/>
        <v>#DIV/0!</v>
      </c>
      <c r="EV12" s="405" t="e">
        <f t="shared" si="41"/>
        <v>#DIV/0!</v>
      </c>
      <c r="EX12" s="405">
        <f>EX6/EX10</f>
        <v>0</v>
      </c>
      <c r="EY12" s="405">
        <f t="shared" ref="EY12:FD12" si="42">EY6/EY10</f>
        <v>0</v>
      </c>
      <c r="EZ12" s="405">
        <f t="shared" si="42"/>
        <v>0</v>
      </c>
      <c r="FA12" s="405">
        <f t="shared" si="42"/>
        <v>0</v>
      </c>
      <c r="FB12" s="405" t="e">
        <f t="shared" si="42"/>
        <v>#DIV/0!</v>
      </c>
      <c r="FC12" s="405" t="e">
        <f t="shared" si="42"/>
        <v>#DIV/0!</v>
      </c>
      <c r="FD12" s="405" t="e">
        <f t="shared" si="42"/>
        <v>#DIV/0!</v>
      </c>
      <c r="FF12" s="405">
        <f>FF6/FF10</f>
        <v>0</v>
      </c>
      <c r="FG12" s="405">
        <f t="shared" ref="FG12:FL12" si="43">FG6/FG10</f>
        <v>0</v>
      </c>
      <c r="FH12" s="405">
        <f t="shared" si="43"/>
        <v>0</v>
      </c>
      <c r="FI12" s="405">
        <f t="shared" si="43"/>
        <v>0</v>
      </c>
      <c r="FJ12" s="405" t="e">
        <f t="shared" si="43"/>
        <v>#DIV/0!</v>
      </c>
      <c r="FK12" s="405" t="e">
        <f t="shared" si="43"/>
        <v>#DIV/0!</v>
      </c>
      <c r="FL12" s="405" t="e">
        <f t="shared" si="43"/>
        <v>#DIV/0!</v>
      </c>
      <c r="FN12" s="405">
        <f>FN6/FN10</f>
        <v>0</v>
      </c>
      <c r="FO12" s="405">
        <f t="shared" ref="FO12:FT12" si="44">FO6/FO10</f>
        <v>0</v>
      </c>
      <c r="FP12" s="405">
        <f t="shared" si="44"/>
        <v>0</v>
      </c>
      <c r="FQ12" s="405">
        <f t="shared" si="44"/>
        <v>0</v>
      </c>
      <c r="FR12" s="405" t="e">
        <f t="shared" si="44"/>
        <v>#DIV/0!</v>
      </c>
      <c r="FS12" s="405" t="e">
        <f t="shared" si="44"/>
        <v>#DIV/0!</v>
      </c>
      <c r="FT12" s="405" t="e">
        <f t="shared" si="44"/>
        <v>#DIV/0!</v>
      </c>
      <c r="FV12" s="405">
        <f>FV6/FV10</f>
        <v>0</v>
      </c>
      <c r="FW12" s="405">
        <f t="shared" ref="FW12:GB12" si="45">FW6/FW10</f>
        <v>0</v>
      </c>
      <c r="FX12" s="405">
        <f t="shared" si="45"/>
        <v>0</v>
      </c>
      <c r="FY12" s="405">
        <f t="shared" si="45"/>
        <v>0</v>
      </c>
      <c r="FZ12" s="405" t="e">
        <f t="shared" si="45"/>
        <v>#DIV/0!</v>
      </c>
      <c r="GA12" s="405" t="e">
        <f t="shared" si="45"/>
        <v>#DIV/0!</v>
      </c>
      <c r="GB12" s="405" t="e">
        <f t="shared" si="45"/>
        <v>#DIV/0!</v>
      </c>
    </row>
    <row r="13" spans="1:184">
      <c r="A13" s="357" t="s">
        <v>396</v>
      </c>
      <c r="B13" s="399"/>
      <c r="C13" s="399">
        <f>'Greater China'!$K$6</f>
        <v>6083</v>
      </c>
      <c r="D13" s="399">
        <f>'Greater China'!$L$6</f>
        <v>8421</v>
      </c>
      <c r="E13" s="399">
        <f>'Greater China'!$M$6</f>
        <v>10280</v>
      </c>
      <c r="F13" s="395"/>
      <c r="G13" s="395"/>
      <c r="H13" s="395"/>
      <c r="I13" s="396"/>
      <c r="J13" s="399"/>
      <c r="K13" s="399">
        <f>'Greater China'!$K$20</f>
        <v>1296</v>
      </c>
      <c r="L13" s="399">
        <f>'Greater China'!$L$20</f>
        <v>1725</v>
      </c>
      <c r="M13" s="399">
        <f>'Greater China'!$M$20</f>
        <v>2051</v>
      </c>
      <c r="N13" s="395"/>
      <c r="O13" s="395"/>
      <c r="P13" s="395"/>
      <c r="Q13" s="396"/>
      <c r="R13" s="400"/>
      <c r="S13" s="400">
        <f>'Greater China'!$K$7</f>
        <v>0.21305277001479533</v>
      </c>
      <c r="T13" s="400">
        <f>'Greater China'!$L$7</f>
        <v>0.20484503028143927</v>
      </c>
      <c r="U13" s="400">
        <f>'Greater China'!$M$7</f>
        <v>0.19951361867704281</v>
      </c>
      <c r="V13" s="395"/>
      <c r="W13" s="395"/>
      <c r="X13" s="395"/>
      <c r="Y13" s="396"/>
      <c r="Z13" s="399"/>
      <c r="AA13" s="399">
        <f>'Greater China'!$K$22</f>
        <v>1234</v>
      </c>
      <c r="AB13" s="399">
        <f>'Greater China'!$L$22</f>
        <v>1581</v>
      </c>
      <c r="AC13" s="399">
        <f>'Greater China'!$M$22</f>
        <v>1812</v>
      </c>
      <c r="AD13" s="395"/>
      <c r="AE13" s="395"/>
      <c r="AF13" s="395"/>
      <c r="AG13" s="396"/>
      <c r="AH13" s="399"/>
      <c r="AI13" s="399">
        <f>'Greater China'!$K$24</f>
        <v>1234</v>
      </c>
      <c r="AJ13" s="399">
        <f>'Greater China'!$L$24</f>
        <v>1581</v>
      </c>
      <c r="AK13" s="399">
        <f>'Greater China'!$M$24</f>
        <v>1812</v>
      </c>
      <c r="AL13" s="395"/>
      <c r="AM13" s="395"/>
      <c r="AN13" s="395"/>
      <c r="AO13" s="396"/>
      <c r="AP13" s="389"/>
      <c r="AQ13" s="359">
        <f t="shared" ref="AQ13:AR16" si="46">AI13/AA13</f>
        <v>1</v>
      </c>
      <c r="AR13" s="359">
        <f t="shared" si="46"/>
        <v>1</v>
      </c>
      <c r="AS13" s="359">
        <f>AK13/AC13</f>
        <v>1</v>
      </c>
      <c r="AT13" s="358"/>
      <c r="AX13" s="399"/>
      <c r="AY13" s="399">
        <f>'Greater China'!$K$40</f>
        <v>473</v>
      </c>
      <c r="AZ13" s="399">
        <f>'Greater China'!$L$40</f>
        <v>711</v>
      </c>
      <c r="BA13" s="399">
        <f>'Greater China'!$M$40</f>
        <v>732</v>
      </c>
      <c r="BB13" s="395"/>
      <c r="BC13" s="395"/>
      <c r="BD13" s="395"/>
      <c r="BF13" s="391"/>
      <c r="BG13" s="391">
        <f>'Greater China'!$K$41</f>
        <v>0.38330632090761751</v>
      </c>
      <c r="BH13" s="391">
        <f>'Greater China'!$L$41</f>
        <v>0.44971537001897532</v>
      </c>
      <c r="BI13" s="391">
        <f>'Greater China'!$M$41</f>
        <v>0.40397350993377484</v>
      </c>
      <c r="BN13" s="399"/>
      <c r="BO13" s="399">
        <f>'Greater China'!$K$54</f>
        <v>420</v>
      </c>
      <c r="BP13" s="399">
        <f>'Greater China'!$L$54</f>
        <v>505</v>
      </c>
      <c r="BQ13" s="399">
        <f>'Greater China'!$M$54</f>
        <v>528</v>
      </c>
      <c r="BR13" s="395"/>
      <c r="BS13" s="395"/>
      <c r="BT13" s="395"/>
      <c r="BV13" s="391"/>
      <c r="BW13" s="391">
        <f>'Greater China'!$K$55</f>
        <v>0.34035656401944897</v>
      </c>
      <c r="BX13" s="391">
        <f>'Greater China'!$L$55</f>
        <v>0.31941808981657177</v>
      </c>
      <c r="BY13" s="391">
        <f>'Greater China'!$M$55</f>
        <v>0.29139072847682118</v>
      </c>
      <c r="CD13" s="399"/>
      <c r="CE13" s="399">
        <f>'Greater China'!$K$107</f>
        <v>7598</v>
      </c>
      <c r="CF13" s="399">
        <f>'Greater China'!$L$107</f>
        <v>8534</v>
      </c>
      <c r="CG13" s="399">
        <f>'Greater China'!$M$107</f>
        <v>7778</v>
      </c>
      <c r="CH13" s="395"/>
      <c r="CI13" s="395"/>
      <c r="CJ13" s="395"/>
      <c r="CK13" s="396"/>
      <c r="CL13" s="399"/>
      <c r="CM13" s="399">
        <f>'Greater China'!$K$113</f>
        <v>4263</v>
      </c>
      <c r="CN13" s="399">
        <f>'Greater China'!$L$113</f>
        <v>4336</v>
      </c>
      <c r="CO13" s="399">
        <f>'Greater China'!$M$113</f>
        <v>3415</v>
      </c>
      <c r="CP13" s="395"/>
      <c r="CQ13" s="395"/>
      <c r="CR13" s="395"/>
      <c r="CS13" s="396"/>
      <c r="CT13" s="399"/>
      <c r="CU13" s="399">
        <f>'Greater China'!$K$116</f>
        <v>3335</v>
      </c>
      <c r="CV13" s="399">
        <f>'Greater China'!$L$116</f>
        <v>4198</v>
      </c>
      <c r="CW13" s="399">
        <f>'Greater China'!$M$116</f>
        <v>4363</v>
      </c>
      <c r="CX13" s="395"/>
      <c r="CY13" s="395"/>
      <c r="CZ13" s="395"/>
      <c r="DA13" s="403"/>
      <c r="DB13" s="399"/>
      <c r="DC13" s="399">
        <f>'Greater China'!$K$155</f>
        <v>415</v>
      </c>
      <c r="DD13" s="399">
        <f>'Greater China'!$L$155</f>
        <v>415</v>
      </c>
      <c r="DE13" s="399">
        <f>'Greater China'!$M$155</f>
        <v>415</v>
      </c>
      <c r="DF13" s="395"/>
      <c r="DJ13" s="360"/>
      <c r="DK13" s="360">
        <f>'Greater China'!$K$156</f>
        <v>22.456981132075473</v>
      </c>
      <c r="DL13" s="360">
        <f>'Greater China'!$L$156</f>
        <v>23.407865168539328</v>
      </c>
      <c r="DM13" s="360">
        <f>'Greater China'!$M$156</f>
        <v>22.39593220338983</v>
      </c>
      <c r="DN13" s="361"/>
      <c r="DR13" s="360"/>
      <c r="DS13" s="360">
        <f>'Greater China'!$K$157</f>
        <v>4.5662528301886747</v>
      </c>
      <c r="DT13" s="360" t="str">
        <f>'Greater China'!$L$157</f>
        <v>-</v>
      </c>
      <c r="DU13" s="360">
        <f>'Greater China'!$M$157</f>
        <v>2.04762808716707</v>
      </c>
      <c r="DZ13" s="399"/>
      <c r="EA13" s="399">
        <f>'Greater China'!$K$163</f>
        <v>5951.1</v>
      </c>
      <c r="EB13" s="399">
        <f>'Greater China'!$L$163</f>
        <v>6249.9000000000005</v>
      </c>
      <c r="EC13" s="399">
        <f>'Greater China'!$M$163</f>
        <v>6606.8</v>
      </c>
      <c r="ED13" s="395"/>
      <c r="EE13" s="395"/>
      <c r="EF13" s="395"/>
      <c r="EH13" s="360"/>
      <c r="EI13" s="360">
        <f>'Greater China'!$K$164</f>
        <v>14.34</v>
      </c>
      <c r="EJ13" s="360">
        <f>'Greater China'!$L$164</f>
        <v>15.06</v>
      </c>
      <c r="EK13" s="360">
        <f>'Greater China'!$M$164</f>
        <v>15.92</v>
      </c>
      <c r="EP13" s="399"/>
      <c r="EQ13" s="399">
        <f>'Greater China'!$K$168</f>
        <v>3623.1000000000004</v>
      </c>
      <c r="ER13" s="399">
        <f>'Greater China'!$L$168</f>
        <v>3698.9000000000005</v>
      </c>
      <c r="ES13" s="399">
        <f>'Greater China'!$M$168</f>
        <v>3741.8</v>
      </c>
      <c r="ET13" s="395"/>
      <c r="EU13" s="395"/>
      <c r="EV13" s="395"/>
      <c r="EX13" s="360"/>
      <c r="EY13" s="360">
        <f>'Greater China'!$K$169</f>
        <v>2.9360615883306322</v>
      </c>
      <c r="EZ13" s="360">
        <f>'Greater China'!$L$169</f>
        <v>2.3395951929158763</v>
      </c>
      <c r="FA13" s="360">
        <f>'Greater China'!$M$169</f>
        <v>2.0650110375275941</v>
      </c>
      <c r="FF13" s="360"/>
      <c r="FG13" s="360">
        <f>'Greater China'!$K$170</f>
        <v>7.6598308668076118</v>
      </c>
      <c r="FH13" s="360">
        <f>'Greater China'!$L$170</f>
        <v>5.2023909985935308</v>
      </c>
      <c r="FI13" s="360">
        <f>'Greater China'!$M$170</f>
        <v>5.111748633879782</v>
      </c>
      <c r="FN13" s="360"/>
      <c r="FO13" s="360">
        <f>'Greater China'!$K$171</f>
        <v>4.8226094003241498</v>
      </c>
      <c r="FP13" s="360">
        <f>'Greater China'!$L$171</f>
        <v>3.9531309297912718</v>
      </c>
      <c r="FQ13" s="360">
        <f>'Greater China'!$M$171</f>
        <v>3.6461368653421635</v>
      </c>
      <c r="FV13" s="360"/>
      <c r="FW13" s="360">
        <f>'Greater China'!$K$172</f>
        <v>12.581606765327697</v>
      </c>
      <c r="FX13" s="360">
        <f>'Greater China'!$L$172</f>
        <v>8.7902953586497894</v>
      </c>
      <c r="FY13" s="360">
        <f>'Greater China'!$M$172</f>
        <v>9.025683060109289</v>
      </c>
    </row>
    <row r="14" spans="1:184">
      <c r="A14" s="404" t="s">
        <v>656</v>
      </c>
      <c r="B14" s="399"/>
      <c r="C14" s="399"/>
      <c r="D14" s="399"/>
      <c r="E14" s="399"/>
      <c r="F14" s="395"/>
      <c r="G14" s="395"/>
      <c r="H14" s="395"/>
      <c r="I14" s="396"/>
      <c r="J14" s="399"/>
      <c r="K14" s="399"/>
      <c r="L14" s="399"/>
      <c r="M14" s="399"/>
      <c r="N14" s="395"/>
      <c r="O14" s="395"/>
      <c r="P14" s="395"/>
      <c r="Q14" s="396"/>
      <c r="R14" s="400"/>
      <c r="S14" s="400"/>
      <c r="T14" s="400"/>
      <c r="U14" s="400"/>
      <c r="V14" s="395"/>
      <c r="W14" s="395"/>
      <c r="X14" s="395"/>
      <c r="Y14" s="396"/>
      <c r="Z14" s="399"/>
      <c r="AA14" s="399"/>
      <c r="AB14" s="399"/>
      <c r="AC14" s="399"/>
      <c r="AD14" s="395"/>
      <c r="AE14" s="395"/>
      <c r="AF14" s="395"/>
      <c r="AG14" s="396"/>
      <c r="AH14" s="399"/>
      <c r="AI14" s="399"/>
      <c r="AJ14" s="399"/>
      <c r="AK14" s="399"/>
      <c r="AL14" s="395"/>
      <c r="AM14" s="395"/>
      <c r="AN14" s="395"/>
      <c r="AO14" s="396"/>
      <c r="AP14" s="389"/>
      <c r="AQ14" s="359"/>
      <c r="AR14" s="359"/>
      <c r="AS14" s="359"/>
      <c r="AT14" s="358"/>
      <c r="AX14" s="399"/>
      <c r="AY14" s="399"/>
      <c r="AZ14" s="399"/>
      <c r="BA14" s="399"/>
      <c r="BB14" s="395"/>
      <c r="BC14" s="395"/>
      <c r="BD14" s="395"/>
      <c r="BF14" s="391"/>
      <c r="BG14" s="391"/>
      <c r="BH14" s="391"/>
      <c r="BI14" s="391"/>
      <c r="BN14" s="399"/>
      <c r="BO14" s="399"/>
      <c r="BP14" s="399"/>
      <c r="BQ14" s="399"/>
      <c r="BR14" s="395"/>
      <c r="BS14" s="395"/>
      <c r="BT14" s="395"/>
      <c r="BV14" s="391"/>
      <c r="BW14" s="391"/>
      <c r="BX14" s="391"/>
      <c r="BY14" s="391"/>
      <c r="CD14" s="399"/>
      <c r="CE14" s="399"/>
      <c r="CF14" s="399"/>
      <c r="CG14" s="399"/>
      <c r="CH14" s="395"/>
      <c r="CI14" s="395"/>
      <c r="CJ14" s="395"/>
      <c r="CK14" s="396"/>
      <c r="CL14" s="399"/>
      <c r="CM14" s="399"/>
      <c r="CN14" s="399"/>
      <c r="CO14" s="399"/>
      <c r="CP14" s="395"/>
      <c r="CQ14" s="395"/>
      <c r="CR14" s="395"/>
      <c r="CS14" s="396"/>
      <c r="CT14" s="399"/>
      <c r="CU14" s="399"/>
      <c r="CV14" s="399"/>
      <c r="CW14" s="399"/>
      <c r="CX14" s="395"/>
      <c r="CY14" s="395"/>
      <c r="CZ14" s="395"/>
      <c r="DA14" s="403"/>
      <c r="DB14" s="399"/>
      <c r="DC14" s="399"/>
      <c r="DD14" s="399"/>
      <c r="DE14" s="399"/>
      <c r="DF14" s="395"/>
      <c r="DJ14" s="360"/>
      <c r="DK14" s="360"/>
      <c r="DL14" s="360"/>
      <c r="DM14" s="360"/>
      <c r="DN14" s="361"/>
      <c r="DR14" s="360"/>
      <c r="DS14" s="360"/>
      <c r="DT14" s="360"/>
      <c r="DU14" s="360"/>
      <c r="DZ14" s="399"/>
      <c r="EA14" s="399"/>
      <c r="EB14" s="399"/>
      <c r="EC14" s="399"/>
      <c r="ED14" s="395"/>
      <c r="EE14" s="395"/>
      <c r="EF14" s="395"/>
      <c r="EH14" s="360"/>
      <c r="EI14" s="360"/>
      <c r="EJ14" s="360"/>
      <c r="EK14" s="360"/>
      <c r="EP14" s="399"/>
      <c r="EQ14" s="399"/>
      <c r="ER14" s="399"/>
      <c r="ES14" s="399"/>
      <c r="ET14" s="395"/>
      <c r="EU14" s="395"/>
      <c r="EV14" s="395"/>
      <c r="EX14" s="360"/>
      <c r="EY14" s="360"/>
      <c r="EZ14" s="360"/>
      <c r="FA14" s="360"/>
      <c r="FF14" s="360"/>
      <c r="FG14" s="360"/>
      <c r="FH14" s="360"/>
      <c r="FI14" s="360"/>
      <c r="FN14" s="360"/>
      <c r="FO14" s="360"/>
      <c r="FP14" s="360"/>
      <c r="FQ14" s="360"/>
      <c r="FV14" s="360"/>
      <c r="FW14" s="360"/>
      <c r="FX14" s="360"/>
      <c r="FY14" s="360"/>
    </row>
    <row r="15" spans="1:184">
      <c r="A15" s="404" t="s">
        <v>657</v>
      </c>
      <c r="B15" s="399"/>
      <c r="C15" s="399"/>
      <c r="D15" s="399"/>
      <c r="E15" s="399"/>
      <c r="F15" s="395"/>
      <c r="G15" s="395"/>
      <c r="H15" s="395"/>
      <c r="I15" s="396"/>
      <c r="J15" s="399"/>
      <c r="K15" s="399"/>
      <c r="L15" s="399"/>
      <c r="M15" s="399"/>
      <c r="N15" s="395"/>
      <c r="O15" s="395"/>
      <c r="P15" s="395"/>
      <c r="Q15" s="396"/>
      <c r="R15" s="400"/>
      <c r="S15" s="400"/>
      <c r="T15" s="400"/>
      <c r="U15" s="400"/>
      <c r="V15" s="395"/>
      <c r="W15" s="395"/>
      <c r="X15" s="395"/>
      <c r="Y15" s="396"/>
      <c r="Z15" s="399"/>
      <c r="AA15" s="399"/>
      <c r="AB15" s="399"/>
      <c r="AC15" s="399"/>
      <c r="AD15" s="395"/>
      <c r="AE15" s="395"/>
      <c r="AF15" s="395"/>
      <c r="AG15" s="396"/>
      <c r="AH15" s="399"/>
      <c r="AI15" s="399"/>
      <c r="AJ15" s="399"/>
      <c r="AK15" s="399"/>
      <c r="AL15" s="395"/>
      <c r="AM15" s="395"/>
      <c r="AN15" s="395"/>
      <c r="AO15" s="396"/>
      <c r="AP15" s="389"/>
      <c r="AQ15" s="359"/>
      <c r="AR15" s="359"/>
      <c r="AS15" s="359"/>
      <c r="AT15" s="358"/>
      <c r="AX15" s="399"/>
      <c r="AY15" s="399"/>
      <c r="AZ15" s="399"/>
      <c r="BA15" s="399"/>
      <c r="BB15" s="395"/>
      <c r="BC15" s="395"/>
      <c r="BD15" s="395"/>
      <c r="BF15" s="391"/>
      <c r="BG15" s="391"/>
      <c r="BH15" s="391"/>
      <c r="BI15" s="391"/>
      <c r="BN15" s="399"/>
      <c r="BO15" s="399"/>
      <c r="BP15" s="399"/>
      <c r="BQ15" s="399"/>
      <c r="BR15" s="395"/>
      <c r="BS15" s="395"/>
      <c r="BT15" s="395"/>
      <c r="BV15" s="391"/>
      <c r="BW15" s="391"/>
      <c r="BX15" s="391"/>
      <c r="BY15" s="391"/>
      <c r="CD15" s="399"/>
      <c r="CE15" s="399"/>
      <c r="CF15" s="399"/>
      <c r="CG15" s="399"/>
      <c r="CH15" s="395"/>
      <c r="CI15" s="395"/>
      <c r="CJ15" s="395"/>
      <c r="CK15" s="396"/>
      <c r="CL15" s="399"/>
      <c r="CM15" s="399"/>
      <c r="CN15" s="399"/>
      <c r="CO15" s="399"/>
      <c r="CP15" s="395"/>
      <c r="CQ15" s="395"/>
      <c r="CR15" s="395"/>
      <c r="CS15" s="396"/>
      <c r="CT15" s="399"/>
      <c r="CU15" s="399"/>
      <c r="CV15" s="399"/>
      <c r="CW15" s="399"/>
      <c r="CX15" s="395"/>
      <c r="CY15" s="395"/>
      <c r="CZ15" s="395"/>
      <c r="DA15" s="403"/>
      <c r="DB15" s="399"/>
      <c r="DC15" s="399"/>
      <c r="DD15" s="399"/>
      <c r="DE15" s="399"/>
      <c r="DF15" s="395"/>
      <c r="DJ15" s="360"/>
      <c r="DK15" s="360"/>
      <c r="DL15" s="360"/>
      <c r="DM15" s="360"/>
      <c r="DN15" s="361"/>
      <c r="DR15" s="360"/>
      <c r="DS15" s="360"/>
      <c r="DT15" s="360"/>
      <c r="DU15" s="360"/>
      <c r="DZ15" s="399"/>
      <c r="EA15" s="399"/>
      <c r="EB15" s="399"/>
      <c r="EC15" s="399"/>
      <c r="ED15" s="395"/>
      <c r="EE15" s="395"/>
      <c r="EF15" s="395"/>
      <c r="EH15" s="360"/>
      <c r="EI15" s="360"/>
      <c r="EJ15" s="360"/>
      <c r="EK15" s="360"/>
      <c r="EP15" s="399"/>
      <c r="EQ15" s="399"/>
      <c r="ER15" s="399"/>
      <c r="ES15" s="399"/>
      <c r="ET15" s="395"/>
      <c r="EU15" s="395"/>
      <c r="EV15" s="395"/>
      <c r="EX15" s="360"/>
      <c r="EY15" s="360"/>
      <c r="EZ15" s="360"/>
      <c r="FA15" s="360"/>
      <c r="FF15" s="360"/>
      <c r="FG15" s="360"/>
      <c r="FH15" s="360"/>
      <c r="FI15" s="360"/>
      <c r="FN15" s="360"/>
      <c r="FO15" s="360"/>
      <c r="FP15" s="360"/>
      <c r="FQ15" s="360"/>
      <c r="FV15" s="360"/>
      <c r="FW15" s="360"/>
      <c r="FX15" s="360"/>
      <c r="FY15" s="360"/>
    </row>
    <row r="16" spans="1:184">
      <c r="A16" s="357" t="s">
        <v>397</v>
      </c>
      <c r="B16" s="399"/>
      <c r="C16" s="399">
        <f>'Greater China'!$R$6</f>
        <v>4465</v>
      </c>
      <c r="D16" s="399">
        <f>'Greater China'!$S$6</f>
        <v>4353</v>
      </c>
      <c r="E16" s="399">
        <f>'Greater China'!$T$6</f>
        <v>4668</v>
      </c>
      <c r="F16" s="395"/>
      <c r="G16" s="395"/>
      <c r="H16" s="395"/>
      <c r="I16" s="396"/>
      <c r="J16" s="399"/>
      <c r="K16" s="399">
        <f>'Greater China'!$R$20</f>
        <v>1920</v>
      </c>
      <c r="L16" s="399">
        <f>'Greater China'!$S$20</f>
        <v>2100</v>
      </c>
      <c r="M16" s="399">
        <f>'Greater China'!$T$20</f>
        <v>2153</v>
      </c>
      <c r="N16" s="395"/>
      <c r="O16" s="395"/>
      <c r="P16" s="395"/>
      <c r="Q16" s="396"/>
      <c r="R16" s="400"/>
      <c r="S16" s="400">
        <f>'Greater China'!$R$7</f>
        <v>0.43001119820828665</v>
      </c>
      <c r="T16" s="400">
        <f>'Greater China'!$S$7</f>
        <v>0.48242591316333561</v>
      </c>
      <c r="U16" s="400">
        <f>'Greater China'!$T$7</f>
        <v>0.46122536418166238</v>
      </c>
      <c r="V16" s="395"/>
      <c r="W16" s="395"/>
      <c r="X16" s="395"/>
      <c r="Y16" s="396"/>
      <c r="Z16" s="399"/>
      <c r="AA16" s="399">
        <f>'Greater China'!$R$22</f>
        <v>1920</v>
      </c>
      <c r="AB16" s="399">
        <f>'Greater China'!$S$22</f>
        <v>2100</v>
      </c>
      <c r="AC16" s="399">
        <f>'Greater China'!$T$22</f>
        <v>2153</v>
      </c>
      <c r="AD16" s="395"/>
      <c r="AE16" s="395"/>
      <c r="AF16" s="395"/>
      <c r="AG16" s="396"/>
      <c r="AH16" s="399"/>
      <c r="AI16" s="399">
        <f>'Greater China'!$R$24</f>
        <v>1920</v>
      </c>
      <c r="AJ16" s="399">
        <f>'Greater China'!$S$24</f>
        <v>2100</v>
      </c>
      <c r="AK16" s="399">
        <f>'Greater China'!$T$24</f>
        <v>2153</v>
      </c>
      <c r="AL16" s="395"/>
      <c r="AM16" s="395"/>
      <c r="AN16" s="395"/>
      <c r="AO16" s="396"/>
      <c r="AP16" s="389"/>
      <c r="AQ16" s="359">
        <f t="shared" si="46"/>
        <v>1</v>
      </c>
      <c r="AR16" s="359">
        <f t="shared" si="46"/>
        <v>1</v>
      </c>
      <c r="AS16" s="359">
        <f>AK16/AC16</f>
        <v>1</v>
      </c>
      <c r="AT16" s="358"/>
      <c r="AX16" s="399"/>
      <c r="AY16" s="399">
        <f>'Greater China'!$R$40</f>
        <v>104</v>
      </c>
      <c r="AZ16" s="399">
        <f>'Greater China'!$S$40</f>
        <v>439</v>
      </c>
      <c r="BA16" s="399">
        <f>'Greater China'!$T$40</f>
        <v>498</v>
      </c>
      <c r="BB16" s="395"/>
      <c r="BC16" s="395"/>
      <c r="BD16" s="395"/>
      <c r="BF16" s="391"/>
      <c r="BG16" s="391">
        <f>'Greater China'!$R$41</f>
        <v>5.4166666666666669E-2</v>
      </c>
      <c r="BH16" s="391">
        <f>'Greater China'!$S$41</f>
        <v>0.20904761904761904</v>
      </c>
      <c r="BI16" s="391">
        <f>'Greater China'!$T$41</f>
        <v>0.23130515559684162</v>
      </c>
      <c r="BN16" s="399"/>
      <c r="BO16" s="399">
        <f>'Greater China'!$R$54</f>
        <v>221</v>
      </c>
      <c r="BP16" s="399">
        <f>'Greater China'!$S$54</f>
        <v>781</v>
      </c>
      <c r="BQ16" s="399">
        <f>'Greater China'!$T$54</f>
        <v>902</v>
      </c>
      <c r="BR16" s="395"/>
      <c r="BS16" s="395"/>
      <c r="BT16" s="395"/>
      <c r="BV16" s="391"/>
      <c r="BW16" s="391">
        <f>'Greater China'!$R$55</f>
        <v>0.11510416666666666</v>
      </c>
      <c r="BX16" s="391">
        <f>'Greater China'!$S$55</f>
        <v>0.3719047619047619</v>
      </c>
      <c r="BY16" s="391">
        <f>'Greater China'!$T$55</f>
        <v>0.41895030190431953</v>
      </c>
      <c r="CD16" s="399"/>
      <c r="CE16" s="399">
        <f>'Greater China'!$R$107</f>
        <v>15038</v>
      </c>
      <c r="CF16" s="399">
        <f>'Greater China'!$S$107</f>
        <v>17087</v>
      </c>
      <c r="CG16" s="399">
        <f>'Greater China'!$T$107</f>
        <v>17410</v>
      </c>
      <c r="CH16" s="395"/>
      <c r="CI16" s="395"/>
      <c r="CJ16" s="395"/>
      <c r="CK16" s="396"/>
      <c r="CL16" s="399"/>
      <c r="CM16" s="399">
        <f>'Greater China'!$R$113</f>
        <v>2510</v>
      </c>
      <c r="CN16" s="399">
        <f>'Greater China'!$S$113</f>
        <v>3315</v>
      </c>
      <c r="CO16" s="399">
        <f>'Greater China'!$T$113</f>
        <v>3132</v>
      </c>
      <c r="CP16" s="395"/>
      <c r="CQ16" s="395"/>
      <c r="CR16" s="395"/>
      <c r="CS16" s="396"/>
      <c r="CT16" s="399"/>
      <c r="CU16" s="399">
        <f>'Greater China'!$R$116</f>
        <v>12528</v>
      </c>
      <c r="CV16" s="399">
        <f>'Greater China'!$S$116</f>
        <v>13772</v>
      </c>
      <c r="CW16" s="399">
        <f>'Greater China'!$T$116</f>
        <v>14278</v>
      </c>
      <c r="CX16" s="395"/>
      <c r="CY16" s="395"/>
      <c r="CZ16" s="395"/>
      <c r="DA16" s="403"/>
      <c r="DB16" s="399"/>
      <c r="DC16" s="399">
        <f>'Greater China'!$R$155</f>
        <v>5695</v>
      </c>
      <c r="DD16" s="399">
        <f>'Greater China'!$S$155</f>
        <v>5695</v>
      </c>
      <c r="DE16" s="399">
        <f>'Greater China'!$T$155</f>
        <v>5674</v>
      </c>
      <c r="DF16" s="395"/>
      <c r="DJ16" s="360"/>
      <c r="DK16" s="360">
        <f>'Greater China'!$R$156</f>
        <v>64.298387096774192</v>
      </c>
      <c r="DL16" s="360">
        <f>'Greater China'!$S$156</f>
        <v>10.734460431654677</v>
      </c>
      <c r="DM16" s="360">
        <f>'Greater China'!$T$156</f>
        <v>11.220970149253731</v>
      </c>
      <c r="DN16" s="361"/>
      <c r="DR16" s="360"/>
      <c r="DS16" s="360">
        <f>'Greater China'!$R$157</f>
        <v>0.14065272177419352</v>
      </c>
      <c r="DT16" s="360">
        <f>'Greater China'!$S$157</f>
        <v>3.0912528458246061E-2</v>
      </c>
      <c r="DU16" s="360">
        <f>'Greater China'!$T$157</f>
        <v>0.70260536165327181</v>
      </c>
      <c r="DZ16" s="399"/>
      <c r="EA16" s="399">
        <f>'Greater China'!$R$163</f>
        <v>9966.25</v>
      </c>
      <c r="EB16" s="399">
        <f>'Greater China'!$S$163</f>
        <v>7460.4500000000007</v>
      </c>
      <c r="EC16" s="399">
        <f>'Greater China'!$T$163</f>
        <v>9021.66</v>
      </c>
      <c r="ED16" s="395"/>
      <c r="EE16" s="395"/>
      <c r="EF16" s="395"/>
      <c r="EH16" s="360"/>
      <c r="EI16" s="360">
        <f>'Greater China'!$R$164</f>
        <v>1.75</v>
      </c>
      <c r="EJ16" s="360">
        <f>'Greater China'!$S$164</f>
        <v>1.31</v>
      </c>
      <c r="EK16" s="360">
        <f>'Greater China'!$T$164</f>
        <v>1.59</v>
      </c>
      <c r="EP16" s="399"/>
      <c r="EQ16" s="399">
        <f>'Greater China'!$R$168</f>
        <v>-2068.75</v>
      </c>
      <c r="ER16" s="399">
        <f>'Greater China'!$S$168</f>
        <v>-5525.5499999999993</v>
      </c>
      <c r="ES16" s="399">
        <f>'Greater China'!$T$168</f>
        <v>-4449.34</v>
      </c>
      <c r="ET16" s="395"/>
      <c r="EU16" s="395"/>
      <c r="EV16" s="395"/>
      <c r="EX16" s="360"/>
      <c r="EY16" s="360">
        <f>'Greater China'!$R$169</f>
        <v>-1.0774739583333333</v>
      </c>
      <c r="EZ16" s="360">
        <f>'Greater China'!$S$169</f>
        <v>-2.6312142857142855</v>
      </c>
      <c r="FA16" s="360">
        <f>'Greater China'!$T$169</f>
        <v>-2.0665768694844404</v>
      </c>
      <c r="FF16" s="360"/>
      <c r="FG16" s="360">
        <f>'Greater China'!$R$170</f>
        <v>-19.891826923076923</v>
      </c>
      <c r="FH16" s="360">
        <f>'Greater China'!$S$170</f>
        <v>-12.586674259681091</v>
      </c>
      <c r="FI16" s="360">
        <f>'Greater China'!$T$170</f>
        <v>-8.9344176706827305</v>
      </c>
      <c r="FN16" s="360"/>
      <c r="FO16" s="360">
        <f>'Greater China'!$R$171</f>
        <v>5.190755208333333</v>
      </c>
      <c r="FP16" s="360">
        <f>'Greater China'!$S$171</f>
        <v>3.5525952380952384</v>
      </c>
      <c r="FQ16" s="360">
        <f>'Greater China'!$T$171</f>
        <v>4.1902740362285185</v>
      </c>
      <c r="FV16" s="360"/>
      <c r="FW16" s="360">
        <f>'Greater China'!$R$172</f>
        <v>95.82932692307692</v>
      </c>
      <c r="FX16" s="360">
        <f>'Greater China'!$S$172</f>
        <v>16.994191343963553</v>
      </c>
      <c r="FY16" s="360">
        <f>'Greater China'!$T$172</f>
        <v>18.115783132530119</v>
      </c>
    </row>
    <row r="17" spans="1:183">
      <c r="A17" s="404" t="s">
        <v>656</v>
      </c>
      <c r="B17" s="399"/>
      <c r="C17" s="399"/>
      <c r="D17" s="399"/>
      <c r="E17" s="399"/>
      <c r="F17" s="395"/>
      <c r="G17" s="395"/>
      <c r="H17" s="395"/>
      <c r="I17" s="396"/>
      <c r="J17" s="399"/>
      <c r="K17" s="399"/>
      <c r="L17" s="399"/>
      <c r="M17" s="399"/>
      <c r="N17" s="395"/>
      <c r="O17" s="395"/>
      <c r="P17" s="395"/>
      <c r="Q17" s="396"/>
      <c r="R17" s="400"/>
      <c r="S17" s="400"/>
      <c r="T17" s="400"/>
      <c r="U17" s="400"/>
      <c r="V17" s="395"/>
      <c r="W17" s="395"/>
      <c r="X17" s="395"/>
      <c r="Y17" s="396"/>
      <c r="Z17" s="399"/>
      <c r="AA17" s="399"/>
      <c r="AB17" s="399"/>
      <c r="AC17" s="399"/>
      <c r="AD17" s="395"/>
      <c r="AE17" s="395"/>
      <c r="AF17" s="395"/>
      <c r="AG17" s="396"/>
      <c r="AH17" s="399"/>
      <c r="AI17" s="399"/>
      <c r="AJ17" s="399"/>
      <c r="AK17" s="399"/>
      <c r="AL17" s="395"/>
      <c r="AM17" s="395"/>
      <c r="AN17" s="395"/>
      <c r="AO17" s="396"/>
      <c r="AP17" s="389"/>
      <c r="AQ17" s="359"/>
      <c r="AR17" s="359"/>
      <c r="AS17" s="359"/>
      <c r="AT17" s="358"/>
      <c r="AX17" s="399"/>
      <c r="AY17" s="399"/>
      <c r="AZ17" s="399"/>
      <c r="BA17" s="399"/>
      <c r="BB17" s="395"/>
      <c r="BC17" s="395"/>
      <c r="BD17" s="395"/>
      <c r="BF17" s="391"/>
      <c r="BG17" s="391"/>
      <c r="BH17" s="391"/>
      <c r="BI17" s="391"/>
      <c r="BN17" s="399"/>
      <c r="BO17" s="399"/>
      <c r="BP17" s="399"/>
      <c r="BQ17" s="399"/>
      <c r="BR17" s="395"/>
      <c r="BS17" s="395"/>
      <c r="BT17" s="395"/>
      <c r="BV17" s="391"/>
      <c r="BW17" s="391"/>
      <c r="BX17" s="391"/>
      <c r="BY17" s="391"/>
      <c r="CD17" s="399"/>
      <c r="CE17" s="399"/>
      <c r="CF17" s="399"/>
      <c r="CG17" s="399"/>
      <c r="CH17" s="395"/>
      <c r="CI17" s="395"/>
      <c r="CJ17" s="395"/>
      <c r="CK17" s="396"/>
      <c r="CL17" s="399"/>
      <c r="CM17" s="399"/>
      <c r="CN17" s="399"/>
      <c r="CO17" s="399"/>
      <c r="CP17" s="395"/>
      <c r="CQ17" s="395"/>
      <c r="CR17" s="395"/>
      <c r="CS17" s="396"/>
      <c r="CT17" s="399"/>
      <c r="CU17" s="399"/>
      <c r="CV17" s="399"/>
      <c r="CW17" s="399"/>
      <c r="CX17" s="395"/>
      <c r="CY17" s="395"/>
      <c r="CZ17" s="395"/>
      <c r="DA17" s="403"/>
      <c r="DB17" s="399"/>
      <c r="DC17" s="399"/>
      <c r="DD17" s="399"/>
      <c r="DE17" s="399"/>
      <c r="DF17" s="395"/>
      <c r="DJ17" s="360"/>
      <c r="DK17" s="360"/>
      <c r="DL17" s="360"/>
      <c r="DM17" s="360"/>
      <c r="DN17" s="361"/>
      <c r="DR17" s="360"/>
      <c r="DS17" s="360"/>
      <c r="DT17" s="360"/>
      <c r="DU17" s="360"/>
      <c r="DZ17" s="399"/>
      <c r="EA17" s="399"/>
      <c r="EB17" s="399"/>
      <c r="EC17" s="399"/>
      <c r="ED17" s="395"/>
      <c r="EE17" s="395"/>
      <c r="EF17" s="395"/>
      <c r="EH17" s="360"/>
      <c r="EI17" s="360"/>
      <c r="EJ17" s="360"/>
      <c r="EK17" s="360"/>
      <c r="EP17" s="399"/>
      <c r="EQ17" s="399"/>
      <c r="ER17" s="399"/>
      <c r="ES17" s="399"/>
      <c r="ET17" s="395"/>
      <c r="EU17" s="395"/>
      <c r="EV17" s="395"/>
      <c r="EX17" s="360"/>
      <c r="EY17" s="360"/>
      <c r="EZ17" s="360"/>
      <c r="FA17" s="360"/>
      <c r="FF17" s="360"/>
      <c r="FG17" s="360"/>
      <c r="FH17" s="360"/>
      <c r="FI17" s="360"/>
      <c r="FN17" s="360"/>
      <c r="FO17" s="360"/>
      <c r="FP17" s="360"/>
      <c r="FQ17" s="360"/>
      <c r="FV17" s="360"/>
      <c r="FW17" s="360"/>
      <c r="FX17" s="360"/>
      <c r="FY17" s="360"/>
    </row>
    <row r="18" spans="1:183">
      <c r="A18" s="404" t="s">
        <v>657</v>
      </c>
      <c r="B18" s="399"/>
      <c r="C18" s="399"/>
      <c r="D18" s="399"/>
      <c r="E18" s="399"/>
      <c r="F18" s="395"/>
      <c r="G18" s="395"/>
      <c r="H18" s="395"/>
      <c r="I18" s="396"/>
      <c r="J18" s="399"/>
      <c r="K18" s="399"/>
      <c r="L18" s="399"/>
      <c r="M18" s="399"/>
      <c r="N18" s="395"/>
      <c r="O18" s="395"/>
      <c r="P18" s="395"/>
      <c r="Q18" s="396"/>
      <c r="R18" s="400"/>
      <c r="S18" s="400"/>
      <c r="T18" s="400"/>
      <c r="U18" s="400"/>
      <c r="V18" s="395"/>
      <c r="W18" s="395"/>
      <c r="X18" s="395"/>
      <c r="Y18" s="396"/>
      <c r="Z18" s="399"/>
      <c r="AA18" s="399"/>
      <c r="AB18" s="399"/>
      <c r="AC18" s="399"/>
      <c r="AD18" s="395"/>
      <c r="AE18" s="395"/>
      <c r="AF18" s="395"/>
      <c r="AG18" s="396"/>
      <c r="AH18" s="399"/>
      <c r="AI18" s="399"/>
      <c r="AJ18" s="399"/>
      <c r="AK18" s="399"/>
      <c r="AL18" s="395"/>
      <c r="AM18" s="395"/>
      <c r="AN18" s="395"/>
      <c r="AO18" s="396"/>
      <c r="AP18" s="389"/>
      <c r="AQ18" s="359"/>
      <c r="AR18" s="359"/>
      <c r="AS18" s="359"/>
      <c r="AT18" s="358"/>
      <c r="AX18" s="399"/>
      <c r="AY18" s="399"/>
      <c r="AZ18" s="399"/>
      <c r="BA18" s="399"/>
      <c r="BB18" s="395"/>
      <c r="BC18" s="395"/>
      <c r="BD18" s="395"/>
      <c r="BF18" s="391"/>
      <c r="BG18" s="391"/>
      <c r="BH18" s="391"/>
      <c r="BI18" s="391"/>
      <c r="BN18" s="399"/>
      <c r="BO18" s="399"/>
      <c r="BP18" s="399"/>
      <c r="BQ18" s="399"/>
      <c r="BR18" s="395"/>
      <c r="BS18" s="395"/>
      <c r="BT18" s="395"/>
      <c r="BV18" s="391"/>
      <c r="BW18" s="391"/>
      <c r="BX18" s="391"/>
      <c r="BY18" s="391"/>
      <c r="CD18" s="399"/>
      <c r="CE18" s="399"/>
      <c r="CF18" s="399"/>
      <c r="CG18" s="399"/>
      <c r="CH18" s="395"/>
      <c r="CI18" s="395"/>
      <c r="CJ18" s="395"/>
      <c r="CK18" s="396"/>
      <c r="CL18" s="399"/>
      <c r="CM18" s="399"/>
      <c r="CN18" s="399"/>
      <c r="CO18" s="399"/>
      <c r="CP18" s="395"/>
      <c r="CQ18" s="395"/>
      <c r="CR18" s="395"/>
      <c r="CS18" s="396"/>
      <c r="CT18" s="399"/>
      <c r="CU18" s="399"/>
      <c r="CV18" s="399"/>
      <c r="CW18" s="399"/>
      <c r="CX18" s="395"/>
      <c r="CY18" s="395"/>
      <c r="CZ18" s="395"/>
      <c r="DA18" s="403"/>
      <c r="DB18" s="399"/>
      <c r="DC18" s="399"/>
      <c r="DD18" s="399"/>
      <c r="DE18" s="399"/>
      <c r="DF18" s="395"/>
      <c r="DJ18" s="360"/>
      <c r="DK18" s="360"/>
      <c r="DL18" s="360"/>
      <c r="DM18" s="360"/>
      <c r="DN18" s="361"/>
      <c r="DR18" s="360"/>
      <c r="DS18" s="360"/>
      <c r="DT18" s="360"/>
      <c r="DU18" s="360"/>
      <c r="DZ18" s="399"/>
      <c r="EA18" s="399"/>
      <c r="EB18" s="399"/>
      <c r="EC18" s="399"/>
      <c r="ED18" s="395"/>
      <c r="EE18" s="395"/>
      <c r="EF18" s="395"/>
      <c r="EH18" s="360"/>
      <c r="EI18" s="360"/>
      <c r="EJ18" s="360"/>
      <c r="EK18" s="360"/>
      <c r="EP18" s="399"/>
      <c r="EQ18" s="399"/>
      <c r="ER18" s="399"/>
      <c r="ES18" s="399"/>
      <c r="ET18" s="395"/>
      <c r="EU18" s="395"/>
      <c r="EV18" s="395"/>
      <c r="EX18" s="360"/>
      <c r="EY18" s="360"/>
      <c r="EZ18" s="360"/>
      <c r="FA18" s="360"/>
      <c r="FF18" s="360"/>
      <c r="FG18" s="360"/>
      <c r="FH18" s="360"/>
      <c r="FI18" s="360"/>
      <c r="FN18" s="360"/>
      <c r="FO18" s="360"/>
      <c r="FP18" s="360"/>
      <c r="FQ18" s="360"/>
      <c r="FV18" s="360"/>
      <c r="FW18" s="360"/>
      <c r="FX18" s="360"/>
      <c r="FY18" s="360"/>
    </row>
    <row r="19" spans="1:183">
      <c r="B19" s="395"/>
      <c r="C19" s="395"/>
      <c r="D19" s="395"/>
      <c r="E19" s="395"/>
      <c r="F19" s="395"/>
      <c r="G19" s="395"/>
      <c r="H19" s="395"/>
      <c r="I19" s="396"/>
      <c r="J19" s="395"/>
      <c r="K19" s="395"/>
      <c r="L19" s="395"/>
      <c r="M19" s="395"/>
      <c r="N19" s="395"/>
      <c r="O19" s="395"/>
      <c r="P19" s="395"/>
      <c r="Q19" s="396"/>
      <c r="R19" s="395"/>
      <c r="S19" s="395"/>
      <c r="T19" s="395"/>
      <c r="U19" s="395"/>
      <c r="V19" s="395"/>
      <c r="W19" s="395"/>
      <c r="X19" s="395"/>
      <c r="Y19" s="396"/>
      <c r="Z19" s="395"/>
      <c r="AA19" s="395"/>
      <c r="AB19" s="395"/>
      <c r="AC19" s="395"/>
      <c r="AD19" s="395"/>
      <c r="AE19" s="395"/>
      <c r="AF19" s="395"/>
      <c r="AG19" s="396"/>
      <c r="AH19" s="395"/>
      <c r="AI19" s="395"/>
      <c r="AJ19" s="395"/>
      <c r="AK19" s="395"/>
      <c r="AL19" s="395"/>
      <c r="AM19" s="395"/>
      <c r="AN19" s="395"/>
      <c r="AO19" s="396"/>
      <c r="AX19" s="395"/>
      <c r="AY19" s="395"/>
      <c r="AZ19" s="395"/>
      <c r="BA19" s="395"/>
      <c r="BB19" s="395"/>
      <c r="BC19" s="395"/>
      <c r="BD19" s="395"/>
      <c r="BN19" s="395"/>
      <c r="BO19" s="395"/>
      <c r="BP19" s="395"/>
      <c r="BQ19" s="395"/>
      <c r="BR19" s="395"/>
      <c r="BS19" s="395"/>
      <c r="BT19" s="395"/>
      <c r="CD19" s="395"/>
      <c r="CE19" s="395"/>
      <c r="CF19" s="395"/>
      <c r="CG19" s="395"/>
      <c r="CH19" s="395"/>
      <c r="CI19" s="395"/>
      <c r="CJ19" s="395"/>
      <c r="CK19" s="396"/>
      <c r="CL19" s="395"/>
      <c r="CM19" s="395"/>
      <c r="CN19" s="395"/>
      <c r="CO19" s="395"/>
      <c r="CP19" s="395"/>
      <c r="CQ19" s="395"/>
      <c r="CR19" s="395"/>
      <c r="CS19" s="396"/>
      <c r="CT19" s="395"/>
      <c r="CU19" s="395"/>
      <c r="CV19" s="395"/>
      <c r="CW19" s="395"/>
      <c r="CX19" s="395"/>
      <c r="CY19" s="395"/>
      <c r="CZ19" s="395"/>
      <c r="DA19" s="403"/>
      <c r="DB19" s="395"/>
      <c r="DC19" s="395"/>
      <c r="DD19" s="395"/>
      <c r="DE19" s="395"/>
      <c r="DF19" s="395"/>
      <c r="DZ19" s="395"/>
      <c r="EA19" s="395"/>
      <c r="EB19" s="395"/>
      <c r="EC19" s="395"/>
      <c r="ED19" s="395"/>
      <c r="EE19" s="395"/>
      <c r="EF19" s="395"/>
      <c r="EP19" s="395"/>
      <c r="EQ19" s="395"/>
      <c r="ER19" s="395"/>
      <c r="ES19" s="395"/>
      <c r="ET19" s="395"/>
      <c r="EU19" s="395"/>
      <c r="EV19" s="395"/>
    </row>
    <row r="20" spans="1:183">
      <c r="A20" s="216"/>
      <c r="B20" s="398"/>
      <c r="C20" s="394"/>
      <c r="D20" s="395"/>
      <c r="E20" s="395"/>
      <c r="F20" s="395"/>
      <c r="G20" s="395"/>
      <c r="H20" s="395"/>
      <c r="I20" s="396"/>
      <c r="J20" s="398"/>
      <c r="K20" s="395"/>
      <c r="L20" s="395"/>
      <c r="M20" s="395"/>
      <c r="N20" s="395"/>
      <c r="O20" s="395"/>
      <c r="P20" s="395"/>
      <c r="Q20" s="396"/>
      <c r="R20" s="398"/>
      <c r="S20" s="395"/>
      <c r="T20" s="395"/>
      <c r="U20" s="395"/>
      <c r="V20" s="395"/>
      <c r="W20" s="395"/>
      <c r="X20" s="395"/>
      <c r="Y20" s="396"/>
      <c r="Z20" s="398"/>
      <c r="AA20" s="395"/>
      <c r="AB20" s="395"/>
      <c r="AC20" s="395"/>
      <c r="AD20" s="395"/>
      <c r="AE20" s="395"/>
      <c r="AF20" s="395"/>
      <c r="AG20" s="396"/>
      <c r="AH20" s="398"/>
      <c r="AI20" s="395"/>
      <c r="AJ20" s="395"/>
      <c r="AK20" s="395"/>
      <c r="AL20" s="395"/>
      <c r="AM20" s="395"/>
      <c r="AN20" s="395"/>
      <c r="AO20" s="396"/>
      <c r="AP20" s="390"/>
      <c r="AX20" s="398"/>
      <c r="AY20" s="395"/>
      <c r="AZ20" s="395"/>
      <c r="BA20" s="395"/>
      <c r="BB20" s="395"/>
      <c r="BC20" s="395"/>
      <c r="BD20" s="395"/>
      <c r="BF20" s="390"/>
      <c r="BN20" s="398"/>
      <c r="BO20" s="395"/>
      <c r="BP20" s="395"/>
      <c r="BQ20" s="395"/>
      <c r="BR20" s="395"/>
      <c r="BS20" s="395"/>
      <c r="BT20" s="395"/>
      <c r="BV20" s="390"/>
      <c r="CD20" s="398"/>
      <c r="CE20" s="395"/>
      <c r="CF20" s="395"/>
      <c r="CG20" s="395"/>
      <c r="CH20" s="395"/>
      <c r="CI20" s="395"/>
      <c r="CJ20" s="395"/>
      <c r="CK20" s="396"/>
      <c r="CL20" s="398"/>
      <c r="CM20" s="395"/>
      <c r="CN20" s="395"/>
      <c r="CO20" s="395"/>
      <c r="CP20" s="395"/>
      <c r="CQ20" s="395"/>
      <c r="CR20" s="395"/>
      <c r="CS20" s="396"/>
      <c r="CT20" s="398"/>
      <c r="CU20" s="395"/>
      <c r="CV20" s="395"/>
      <c r="CW20" s="395"/>
      <c r="CX20" s="395"/>
      <c r="CY20" s="395"/>
      <c r="CZ20" s="395"/>
      <c r="DA20" s="403"/>
      <c r="DB20" s="398"/>
      <c r="DC20" s="395"/>
      <c r="DD20" s="395"/>
      <c r="DE20" s="395"/>
      <c r="DF20" s="395"/>
      <c r="DJ20" s="390"/>
      <c r="DR20" s="390"/>
      <c r="DZ20" s="398"/>
      <c r="EA20" s="395"/>
      <c r="EB20" s="395"/>
      <c r="EC20" s="395"/>
      <c r="ED20" s="395"/>
      <c r="EE20" s="395"/>
      <c r="EF20" s="395"/>
      <c r="EH20" s="390"/>
      <c r="EP20" s="398"/>
      <c r="EQ20" s="395"/>
      <c r="ER20" s="395"/>
      <c r="ES20" s="395"/>
      <c r="ET20" s="395"/>
      <c r="EU20" s="395"/>
      <c r="EV20" s="395"/>
      <c r="EX20" s="390"/>
      <c r="FF20" s="390"/>
      <c r="FN20" s="390"/>
      <c r="FV20" s="390"/>
    </row>
    <row r="21" spans="1:183">
      <c r="A21" s="216" t="s">
        <v>406</v>
      </c>
      <c r="B21" s="398" t="s">
        <v>597</v>
      </c>
      <c r="C21" s="394"/>
      <c r="D21" s="395"/>
      <c r="E21" s="395"/>
      <c r="F21" s="395"/>
      <c r="G21" s="395"/>
      <c r="H21" s="395"/>
      <c r="I21" s="396"/>
      <c r="J21" s="398" t="s">
        <v>598</v>
      </c>
      <c r="K21" s="395"/>
      <c r="L21" s="395"/>
      <c r="M21" s="395"/>
      <c r="N21" s="395"/>
      <c r="O21" s="395"/>
      <c r="P21" s="395"/>
      <c r="Q21" s="396"/>
      <c r="R21" s="398" t="s">
        <v>600</v>
      </c>
      <c r="S21" s="395"/>
      <c r="T21" s="395"/>
      <c r="U21" s="395"/>
      <c r="V21" s="395"/>
      <c r="W21" s="395"/>
      <c r="X21" s="395"/>
      <c r="Y21" s="396"/>
      <c r="Z21" s="398" t="s">
        <v>599</v>
      </c>
      <c r="AA21" s="395"/>
      <c r="AB21" s="395"/>
      <c r="AC21" s="395"/>
      <c r="AD21" s="395"/>
      <c r="AE21" s="395"/>
      <c r="AF21" s="395"/>
      <c r="AG21" s="396"/>
      <c r="AH21" s="398" t="s">
        <v>601</v>
      </c>
      <c r="AI21" s="395"/>
      <c r="AJ21" s="395"/>
      <c r="AK21" s="395"/>
      <c r="AL21" s="395"/>
      <c r="AM21" s="395"/>
      <c r="AN21" s="395"/>
      <c r="AO21" s="396"/>
      <c r="AP21" s="390" t="s">
        <v>622</v>
      </c>
      <c r="AX21" s="398" t="s">
        <v>623</v>
      </c>
      <c r="AY21" s="395"/>
      <c r="AZ21" s="395"/>
      <c r="BA21" s="395"/>
      <c r="BB21" s="395"/>
      <c r="BC21" s="395"/>
      <c r="BD21" s="395"/>
      <c r="BF21" s="390" t="s">
        <v>603</v>
      </c>
      <c r="BN21" s="398" t="s">
        <v>624</v>
      </c>
      <c r="BO21" s="395"/>
      <c r="BP21" s="395"/>
      <c r="BQ21" s="395"/>
      <c r="BR21" s="395"/>
      <c r="BS21" s="395"/>
      <c r="BT21" s="395"/>
      <c r="BV21" s="390" t="s">
        <v>638</v>
      </c>
      <c r="CD21" s="398" t="s">
        <v>625</v>
      </c>
      <c r="CE21" s="395"/>
      <c r="CF21" s="395"/>
      <c r="CG21" s="395"/>
      <c r="CH21" s="395"/>
      <c r="CI21" s="395"/>
      <c r="CJ21" s="395"/>
      <c r="CK21" s="396"/>
      <c r="CL21" s="398" t="s">
        <v>626</v>
      </c>
      <c r="CM21" s="395"/>
      <c r="CN21" s="395"/>
      <c r="CO21" s="395"/>
      <c r="CP21" s="395"/>
      <c r="CQ21" s="395"/>
      <c r="CR21" s="395"/>
      <c r="CS21" s="396"/>
      <c r="CT21" s="398" t="s">
        <v>627</v>
      </c>
      <c r="CU21" s="395"/>
      <c r="CV21" s="395"/>
      <c r="CW21" s="395"/>
      <c r="CX21" s="395"/>
      <c r="CY21" s="395"/>
      <c r="CZ21" s="395"/>
      <c r="DA21" s="403"/>
      <c r="DB21" s="398" t="s">
        <v>628</v>
      </c>
      <c r="DC21" s="395"/>
      <c r="DD21" s="395"/>
      <c r="DE21" s="395"/>
      <c r="DF21" s="395"/>
      <c r="DJ21" s="390" t="s">
        <v>629</v>
      </c>
      <c r="DR21" s="390" t="s">
        <v>630</v>
      </c>
      <c r="DZ21" s="398" t="s">
        <v>631</v>
      </c>
      <c r="EA21" s="395"/>
      <c r="EB21" s="395"/>
      <c r="EC21" s="395"/>
      <c r="ED21" s="395"/>
      <c r="EE21" s="395"/>
      <c r="EF21" s="395"/>
      <c r="EH21" s="390" t="s">
        <v>632</v>
      </c>
      <c r="EP21" s="398" t="s">
        <v>633</v>
      </c>
      <c r="EQ21" s="395"/>
      <c r="ER21" s="395"/>
      <c r="ES21" s="395"/>
      <c r="ET21" s="395"/>
      <c r="EU21" s="395"/>
      <c r="EV21" s="395"/>
      <c r="EX21" s="390" t="s">
        <v>634</v>
      </c>
      <c r="FF21" s="390" t="s">
        <v>635</v>
      </c>
      <c r="FN21" s="390" t="s">
        <v>636</v>
      </c>
      <c r="FV21" s="390" t="s">
        <v>637</v>
      </c>
    </row>
    <row r="22" spans="1:183">
      <c r="A22" s="357" t="s">
        <v>405</v>
      </c>
      <c r="B22" s="395"/>
      <c r="C22" s="395"/>
      <c r="D22" s="395" t="e">
        <f>#REF!</f>
        <v>#REF!</v>
      </c>
      <c r="E22" s="395" t="e">
        <f>#REF!</f>
        <v>#REF!</v>
      </c>
      <c r="F22" s="395" t="e">
        <f>#REF!</f>
        <v>#REF!</v>
      </c>
      <c r="G22" s="395"/>
      <c r="H22" s="395"/>
      <c r="I22" s="396"/>
      <c r="J22" s="395"/>
      <c r="K22" s="395"/>
      <c r="L22" s="395" t="e">
        <f>#REF!</f>
        <v>#REF!</v>
      </c>
      <c r="M22" s="395" t="e">
        <f>#REF!</f>
        <v>#REF!</v>
      </c>
      <c r="N22" s="395" t="e">
        <f>#REF!</f>
        <v>#REF!</v>
      </c>
      <c r="O22" s="395" t="e">
        <f>#REF!</f>
        <v>#REF!</v>
      </c>
      <c r="P22" s="395"/>
      <c r="Q22" s="396"/>
      <c r="R22" s="400"/>
      <c r="S22" s="400"/>
      <c r="T22" s="400" t="e">
        <f>#REF!</f>
        <v>#REF!</v>
      </c>
      <c r="U22" s="400" t="e">
        <f>#REF!</f>
        <v>#REF!</v>
      </c>
      <c r="V22" s="401" t="e">
        <f>#REF!</f>
        <v>#REF!</v>
      </c>
      <c r="W22" s="402"/>
      <c r="X22" s="395"/>
      <c r="Y22" s="396"/>
      <c r="Z22" s="395"/>
      <c r="AA22" s="395"/>
      <c r="AB22" s="395" t="e">
        <f>#REF!</f>
        <v>#REF!</v>
      </c>
      <c r="AC22" s="395" t="e">
        <f>#REF!</f>
        <v>#REF!</v>
      </c>
      <c r="AD22" s="395" t="e">
        <f>#REF!</f>
        <v>#REF!</v>
      </c>
      <c r="AE22" s="395" t="e">
        <f>#REF!</f>
        <v>#REF!</v>
      </c>
      <c r="AF22" s="395"/>
      <c r="AG22" s="396"/>
      <c r="AH22" s="395"/>
      <c r="AI22" s="395"/>
      <c r="AJ22" s="395" t="e">
        <f>#REF!</f>
        <v>#REF!</v>
      </c>
      <c r="AK22" s="395" t="e">
        <f>#REF!</f>
        <v>#REF!</v>
      </c>
      <c r="AL22" s="395" t="e">
        <f>#REF!</f>
        <v>#REF!</v>
      </c>
      <c r="AM22" s="395" t="e">
        <f>#REF!</f>
        <v>#REF!</v>
      </c>
      <c r="AN22" s="395"/>
      <c r="AO22" s="396"/>
      <c r="AP22" s="393"/>
      <c r="AQ22" s="393"/>
      <c r="AR22" s="393" t="e">
        <f>#REF!</f>
        <v>#REF!</v>
      </c>
      <c r="AS22" s="393" t="e">
        <f>#REF!</f>
        <v>#REF!</v>
      </c>
      <c r="AT22" s="393" t="e">
        <f>#REF!</f>
        <v>#REF!</v>
      </c>
      <c r="AU22" s="361"/>
      <c r="AX22" s="395"/>
      <c r="AY22" s="395"/>
      <c r="AZ22" s="395" t="e">
        <f>#REF!</f>
        <v>#REF!</v>
      </c>
      <c r="BA22" s="395" t="e">
        <f>#REF!</f>
        <v>#REF!</v>
      </c>
      <c r="BB22" s="395" t="e">
        <f>#REF!</f>
        <v>#REF!</v>
      </c>
      <c r="BC22" s="395"/>
      <c r="BD22" s="395"/>
      <c r="BF22" s="358"/>
      <c r="BG22" s="358"/>
      <c r="BH22" s="392" t="e">
        <f>#REF!</f>
        <v>#REF!</v>
      </c>
      <c r="BI22" s="392" t="e">
        <f>#REF!</f>
        <v>#REF!</v>
      </c>
      <c r="BJ22" s="392" t="e">
        <f>#REF!</f>
        <v>#REF!</v>
      </c>
      <c r="BN22" s="395"/>
      <c r="BO22" s="395"/>
      <c r="BP22" s="395" t="e">
        <f>#REF!</f>
        <v>#REF!</v>
      </c>
      <c r="BQ22" s="395" t="e">
        <f>#REF!</f>
        <v>#REF!</v>
      </c>
      <c r="BR22" s="395" t="e">
        <f>#REF!</f>
        <v>#REF!</v>
      </c>
      <c r="BS22" s="395" t="e">
        <f>#REF!</f>
        <v>#REF!</v>
      </c>
      <c r="BT22" s="395"/>
      <c r="BV22" s="358"/>
      <c r="BW22" s="358"/>
      <c r="BX22" s="392" t="e">
        <f>#REF!</f>
        <v>#REF!</v>
      </c>
      <c r="BY22" s="392" t="e">
        <f>#REF!</f>
        <v>#REF!</v>
      </c>
      <c r="BZ22" s="392" t="e">
        <f>#REF!</f>
        <v>#REF!</v>
      </c>
      <c r="CA22" s="392"/>
      <c r="CB22" s="358"/>
      <c r="CD22" s="395"/>
      <c r="CE22" s="395"/>
      <c r="CF22" s="395" t="e">
        <f>#REF!</f>
        <v>#REF!</v>
      </c>
      <c r="CG22" s="395" t="e">
        <f>#REF!</f>
        <v>#REF!</v>
      </c>
      <c r="CH22" s="395" t="e">
        <f>#REF!</f>
        <v>#REF!</v>
      </c>
      <c r="CI22" s="395" t="e">
        <f>#REF!</f>
        <v>#REF!</v>
      </c>
      <c r="CJ22" s="395"/>
      <c r="CK22" s="396"/>
      <c r="CL22" s="395"/>
      <c r="CM22" s="395"/>
      <c r="CN22" s="395" t="e">
        <f>#REF!</f>
        <v>#REF!</v>
      </c>
      <c r="CO22" s="395" t="e">
        <f>#REF!</f>
        <v>#REF!</v>
      </c>
      <c r="CP22" s="395" t="e">
        <f>#REF!</f>
        <v>#REF!</v>
      </c>
      <c r="CQ22" s="395" t="e">
        <f>#REF!</f>
        <v>#REF!</v>
      </c>
      <c r="CR22" s="395"/>
      <c r="CS22" s="396"/>
      <c r="CT22" s="395"/>
      <c r="CU22" s="395"/>
      <c r="CV22" s="395" t="e">
        <f>#REF!</f>
        <v>#REF!</v>
      </c>
      <c r="CW22" s="395" t="e">
        <f>#REF!</f>
        <v>#REF!</v>
      </c>
      <c r="CX22" s="395" t="e">
        <f>#REF!</f>
        <v>#REF!</v>
      </c>
      <c r="CY22" s="395" t="e">
        <f>#REF!</f>
        <v>#REF!</v>
      </c>
      <c r="CZ22" s="395"/>
      <c r="DA22" s="403"/>
      <c r="DB22" s="395"/>
      <c r="DC22" s="395"/>
      <c r="DD22" s="395" t="e">
        <f>#REF!</f>
        <v>#REF!</v>
      </c>
      <c r="DE22" s="395" t="e">
        <f>#REF!</f>
        <v>#REF!</v>
      </c>
      <c r="DF22" s="395" t="e">
        <f>#REF!</f>
        <v>#REF!</v>
      </c>
      <c r="DG22" s="361" t="e">
        <f>#REF!</f>
        <v>#REF!</v>
      </c>
      <c r="DJ22" s="363"/>
      <c r="DK22" s="363"/>
      <c r="DL22" s="361" t="e">
        <f>#REF!</f>
        <v>#REF!</v>
      </c>
      <c r="DM22" s="361" t="e">
        <f>#REF!</f>
        <v>#REF!</v>
      </c>
      <c r="DN22" s="361" t="e">
        <f>#REF!</f>
        <v>#REF!</v>
      </c>
      <c r="DO22" s="361" t="e">
        <f>#REF!</f>
        <v>#REF!</v>
      </c>
      <c r="DR22" s="363"/>
      <c r="DS22" s="363"/>
      <c r="DT22" s="361" t="e">
        <f>#REF!</f>
        <v>#REF!</v>
      </c>
      <c r="DU22" s="361" t="e">
        <f>#REF!</f>
        <v>#REF!</v>
      </c>
      <c r="DV22" s="361" t="e">
        <f>#REF!</f>
        <v>#REF!</v>
      </c>
      <c r="DW22" s="361" t="e">
        <f>#REF!</f>
        <v>#REF!</v>
      </c>
      <c r="DZ22" s="395"/>
      <c r="EA22" s="395"/>
      <c r="EB22" s="395" t="e">
        <f>#REF!</f>
        <v>#REF!</v>
      </c>
      <c r="EC22" s="395" t="e">
        <f>#REF!</f>
        <v>#REF!</v>
      </c>
      <c r="ED22" s="395" t="e">
        <f>#REF!</f>
        <v>#REF!</v>
      </c>
      <c r="EE22" s="395" t="e">
        <f>#REF!</f>
        <v>#REF!</v>
      </c>
      <c r="EF22" s="395"/>
      <c r="EH22" s="363"/>
      <c r="EI22" s="363"/>
      <c r="EJ22" s="361" t="e">
        <f>#REF!</f>
        <v>#REF!</v>
      </c>
      <c r="EK22" s="361" t="e">
        <f>#REF!</f>
        <v>#REF!</v>
      </c>
      <c r="EL22" s="361" t="e">
        <f>#REF!</f>
        <v>#REF!</v>
      </c>
      <c r="EM22" s="361" t="e">
        <f>#REF!</f>
        <v>#REF!</v>
      </c>
      <c r="EP22" s="395"/>
      <c r="EQ22" s="395"/>
      <c r="ER22" s="395" t="e">
        <f>#REF!</f>
        <v>#REF!</v>
      </c>
      <c r="ES22" s="395" t="e">
        <f>#REF!</f>
        <v>#REF!</v>
      </c>
      <c r="ET22" s="395" t="e">
        <f>#REF!</f>
        <v>#REF!</v>
      </c>
      <c r="EU22" s="395" t="e">
        <f>#REF!</f>
        <v>#REF!</v>
      </c>
      <c r="EV22" s="395"/>
      <c r="EX22" s="363"/>
      <c r="EY22" s="363"/>
      <c r="EZ22" s="361" t="e">
        <f>#REF!</f>
        <v>#REF!</v>
      </c>
      <c r="FA22" s="361" t="e">
        <f>#REF!</f>
        <v>#REF!</v>
      </c>
      <c r="FB22" s="361" t="e">
        <f>#REF!</f>
        <v>#REF!</v>
      </c>
      <c r="FC22" s="361" t="e">
        <f>#REF!</f>
        <v>#REF!</v>
      </c>
      <c r="FF22" s="363"/>
      <c r="FG22" s="363"/>
      <c r="FH22" s="361" t="e">
        <f>#REF!</f>
        <v>#REF!</v>
      </c>
      <c r="FI22" s="361" t="e">
        <f>#REF!</f>
        <v>#REF!</v>
      </c>
      <c r="FJ22" s="361" t="e">
        <f>#REF!</f>
        <v>#REF!</v>
      </c>
      <c r="FK22" s="361" t="e">
        <f>#REF!</f>
        <v>#REF!</v>
      </c>
      <c r="FN22" s="363"/>
      <c r="FO22" s="363"/>
      <c r="FP22" s="361" t="e">
        <f>#REF!</f>
        <v>#REF!</v>
      </c>
      <c r="FQ22" s="361" t="e">
        <f>#REF!</f>
        <v>#REF!</v>
      </c>
      <c r="FR22" s="361" t="e">
        <f>#REF!</f>
        <v>#REF!</v>
      </c>
      <c r="FS22" s="361" t="e">
        <f>#REF!</f>
        <v>#REF!</v>
      </c>
      <c r="FV22" s="363"/>
      <c r="FW22" s="363"/>
      <c r="FX22" s="361" t="e">
        <f>#REF!</f>
        <v>#REF!</v>
      </c>
      <c r="FY22" s="361" t="e">
        <f>#REF!</f>
        <v>#REF!</v>
      </c>
      <c r="FZ22" s="361" t="e">
        <f>#REF!</f>
        <v>#REF!</v>
      </c>
      <c r="GA22" s="361" t="e">
        <f>#REF!</f>
        <v>#REF!</v>
      </c>
    </row>
    <row r="23" spans="1:183">
      <c r="A23" s="404" t="s">
        <v>656</v>
      </c>
      <c r="B23" s="395"/>
      <c r="C23" s="395"/>
      <c r="D23" s="395"/>
      <c r="E23" s="395"/>
      <c r="F23" s="395"/>
      <c r="G23" s="395"/>
      <c r="H23" s="395"/>
      <c r="I23" s="396"/>
      <c r="J23" s="395"/>
      <c r="K23" s="395"/>
      <c r="L23" s="395"/>
      <c r="M23" s="395"/>
      <c r="N23" s="395"/>
      <c r="O23" s="395"/>
      <c r="P23" s="395"/>
      <c r="Q23" s="396"/>
      <c r="R23" s="400"/>
      <c r="S23" s="400"/>
      <c r="T23" s="400"/>
      <c r="U23" s="400"/>
      <c r="V23" s="401"/>
      <c r="W23" s="402"/>
      <c r="X23" s="395"/>
      <c r="Y23" s="396"/>
      <c r="Z23" s="395"/>
      <c r="AA23" s="395"/>
      <c r="AB23" s="395"/>
      <c r="AC23" s="395"/>
      <c r="AD23" s="395"/>
      <c r="AE23" s="395"/>
      <c r="AF23" s="395"/>
      <c r="AG23" s="396"/>
      <c r="AH23" s="395"/>
      <c r="AI23" s="395"/>
      <c r="AJ23" s="395"/>
      <c r="AK23" s="395"/>
      <c r="AL23" s="395"/>
      <c r="AM23" s="395"/>
      <c r="AN23" s="395"/>
      <c r="AO23" s="396"/>
      <c r="AP23" s="393"/>
      <c r="AQ23" s="393"/>
      <c r="AR23" s="393"/>
      <c r="AS23" s="393"/>
      <c r="AT23" s="393"/>
      <c r="AU23" s="361"/>
      <c r="AX23" s="395"/>
      <c r="AY23" s="395"/>
      <c r="AZ23" s="395"/>
      <c r="BA23" s="395"/>
      <c r="BB23" s="395"/>
      <c r="BC23" s="395"/>
      <c r="BD23" s="395"/>
      <c r="BF23" s="358"/>
      <c r="BG23" s="358"/>
      <c r="BH23" s="392"/>
      <c r="BI23" s="392"/>
      <c r="BJ23" s="392"/>
      <c r="BN23" s="395"/>
      <c r="BO23" s="395"/>
      <c r="BP23" s="395"/>
      <c r="BQ23" s="395"/>
      <c r="BR23" s="395"/>
      <c r="BS23" s="395"/>
      <c r="BT23" s="395"/>
      <c r="BV23" s="358"/>
      <c r="BW23" s="358"/>
      <c r="BX23" s="392"/>
      <c r="BY23" s="392"/>
      <c r="BZ23" s="392"/>
      <c r="CA23" s="392"/>
      <c r="CB23" s="358"/>
      <c r="CD23" s="395"/>
      <c r="CE23" s="395"/>
      <c r="CF23" s="395"/>
      <c r="CG23" s="395"/>
      <c r="CH23" s="395"/>
      <c r="CI23" s="395"/>
      <c r="CJ23" s="395"/>
      <c r="CK23" s="396"/>
      <c r="CL23" s="395"/>
      <c r="CM23" s="395"/>
      <c r="CN23" s="395"/>
      <c r="CO23" s="395"/>
      <c r="CP23" s="395"/>
      <c r="CQ23" s="395"/>
      <c r="CR23" s="395"/>
      <c r="CS23" s="396"/>
      <c r="CT23" s="395"/>
      <c r="CU23" s="395"/>
      <c r="CV23" s="395"/>
      <c r="CW23" s="395"/>
      <c r="CX23" s="395"/>
      <c r="CY23" s="395"/>
      <c r="CZ23" s="395"/>
      <c r="DA23" s="403"/>
      <c r="DB23" s="395"/>
      <c r="DC23" s="395"/>
      <c r="DD23" s="395"/>
      <c r="DE23" s="395"/>
      <c r="DF23" s="395"/>
      <c r="DG23" s="361"/>
      <c r="DJ23" s="363"/>
      <c r="DK23" s="363"/>
      <c r="DL23" s="361"/>
      <c r="DM23" s="361"/>
      <c r="DN23" s="361"/>
      <c r="DO23" s="361"/>
      <c r="DR23" s="363"/>
      <c r="DS23" s="363"/>
      <c r="DT23" s="361"/>
      <c r="DU23" s="361"/>
      <c r="DV23" s="361"/>
      <c r="DW23" s="361"/>
      <c r="DZ23" s="395"/>
      <c r="EA23" s="395"/>
      <c r="EB23" s="395"/>
      <c r="EC23" s="395"/>
      <c r="ED23" s="395"/>
      <c r="EE23" s="395"/>
      <c r="EF23" s="395"/>
      <c r="EH23" s="363"/>
      <c r="EI23" s="363"/>
      <c r="EJ23" s="361"/>
      <c r="EK23" s="361"/>
      <c r="EL23" s="361"/>
      <c r="EM23" s="361"/>
      <c r="EP23" s="395"/>
      <c r="EQ23" s="395"/>
      <c r="ER23" s="395"/>
      <c r="ES23" s="395"/>
      <c r="ET23" s="395"/>
      <c r="EU23" s="395"/>
      <c r="EV23" s="395"/>
      <c r="EX23" s="363"/>
      <c r="EY23" s="363"/>
      <c r="EZ23" s="361"/>
      <c r="FA23" s="361"/>
      <c r="FB23" s="361"/>
      <c r="FC23" s="361"/>
      <c r="FF23" s="363"/>
      <c r="FG23" s="363"/>
      <c r="FH23" s="361"/>
      <c r="FI23" s="361"/>
      <c r="FJ23" s="361"/>
      <c r="FK23" s="361"/>
      <c r="FN23" s="363"/>
      <c r="FO23" s="363"/>
      <c r="FP23" s="361"/>
      <c r="FQ23" s="361"/>
      <c r="FR23" s="361"/>
      <c r="FS23" s="361"/>
      <c r="FV23" s="363"/>
      <c r="FW23" s="363"/>
      <c r="FX23" s="361"/>
      <c r="FY23" s="361"/>
      <c r="FZ23" s="361"/>
      <c r="GA23" s="361"/>
    </row>
    <row r="24" spans="1:183">
      <c r="A24" s="404" t="s">
        <v>657</v>
      </c>
      <c r="B24" s="395"/>
      <c r="C24" s="395"/>
      <c r="D24" s="395"/>
      <c r="E24" s="395"/>
      <c r="F24" s="395"/>
      <c r="G24" s="395"/>
      <c r="H24" s="395"/>
      <c r="I24" s="396"/>
      <c r="J24" s="395"/>
      <c r="K24" s="395"/>
      <c r="L24" s="395"/>
      <c r="M24" s="395"/>
      <c r="N24" s="395"/>
      <c r="O24" s="395"/>
      <c r="P24" s="395"/>
      <c r="Q24" s="396"/>
      <c r="R24" s="400"/>
      <c r="S24" s="400"/>
      <c r="T24" s="400"/>
      <c r="U24" s="400"/>
      <c r="V24" s="401"/>
      <c r="W24" s="402"/>
      <c r="X24" s="395"/>
      <c r="Y24" s="396"/>
      <c r="Z24" s="395"/>
      <c r="AA24" s="395"/>
      <c r="AB24" s="395"/>
      <c r="AC24" s="395"/>
      <c r="AD24" s="395"/>
      <c r="AE24" s="395"/>
      <c r="AF24" s="395"/>
      <c r="AG24" s="396"/>
      <c r="AH24" s="395"/>
      <c r="AI24" s="395"/>
      <c r="AJ24" s="395"/>
      <c r="AK24" s="395"/>
      <c r="AL24" s="395"/>
      <c r="AM24" s="395"/>
      <c r="AN24" s="395"/>
      <c r="AO24" s="396"/>
      <c r="AP24" s="393"/>
      <c r="AQ24" s="393"/>
      <c r="AR24" s="393"/>
      <c r="AS24" s="393"/>
      <c r="AT24" s="393"/>
      <c r="AU24" s="361"/>
      <c r="AX24" s="395"/>
      <c r="AY24" s="395"/>
      <c r="AZ24" s="395"/>
      <c r="BA24" s="395"/>
      <c r="BB24" s="395"/>
      <c r="BC24" s="395"/>
      <c r="BD24" s="395"/>
      <c r="BF24" s="358"/>
      <c r="BG24" s="358"/>
      <c r="BH24" s="392"/>
      <c r="BI24" s="392"/>
      <c r="BJ24" s="392"/>
      <c r="BN24" s="395"/>
      <c r="BO24" s="395"/>
      <c r="BP24" s="395"/>
      <c r="BQ24" s="395"/>
      <c r="BR24" s="395"/>
      <c r="BS24" s="395"/>
      <c r="BT24" s="395"/>
      <c r="BV24" s="358"/>
      <c r="BW24" s="358"/>
      <c r="BX24" s="392"/>
      <c r="BY24" s="392"/>
      <c r="BZ24" s="392"/>
      <c r="CA24" s="392"/>
      <c r="CB24" s="358"/>
      <c r="CD24" s="395"/>
      <c r="CE24" s="395"/>
      <c r="CF24" s="395"/>
      <c r="CG24" s="395"/>
      <c r="CH24" s="395"/>
      <c r="CI24" s="395"/>
      <c r="CJ24" s="395"/>
      <c r="CK24" s="396"/>
      <c r="CL24" s="395"/>
      <c r="CM24" s="395"/>
      <c r="CN24" s="395"/>
      <c r="CO24" s="395"/>
      <c r="CP24" s="395"/>
      <c r="CQ24" s="395"/>
      <c r="CR24" s="395"/>
      <c r="CS24" s="396"/>
      <c r="CT24" s="395"/>
      <c r="CU24" s="395"/>
      <c r="CV24" s="395"/>
      <c r="CW24" s="395"/>
      <c r="CX24" s="395"/>
      <c r="CY24" s="395"/>
      <c r="CZ24" s="395"/>
      <c r="DA24" s="403"/>
      <c r="DB24" s="395"/>
      <c r="DC24" s="395"/>
      <c r="DD24" s="395"/>
      <c r="DE24" s="395"/>
      <c r="DF24" s="395"/>
      <c r="DG24" s="361"/>
      <c r="DJ24" s="363"/>
      <c r="DK24" s="363"/>
      <c r="DL24" s="361"/>
      <c r="DM24" s="361"/>
      <c r="DN24" s="361"/>
      <c r="DO24" s="361"/>
      <c r="DR24" s="363"/>
      <c r="DS24" s="363"/>
      <c r="DT24" s="361"/>
      <c r="DU24" s="361"/>
      <c r="DV24" s="361"/>
      <c r="DW24" s="361"/>
      <c r="DZ24" s="395"/>
      <c r="EA24" s="395"/>
      <c r="EB24" s="395"/>
      <c r="EC24" s="395"/>
      <c r="ED24" s="395"/>
      <c r="EE24" s="395"/>
      <c r="EF24" s="395"/>
      <c r="EH24" s="363"/>
      <c r="EI24" s="363"/>
      <c r="EJ24" s="361"/>
      <c r="EK24" s="361"/>
      <c r="EL24" s="361"/>
      <c r="EM24" s="361"/>
      <c r="EP24" s="395"/>
      <c r="EQ24" s="395"/>
      <c r="ER24" s="395"/>
      <c r="ES24" s="395"/>
      <c r="ET24" s="395"/>
      <c r="EU24" s="395"/>
      <c r="EV24" s="395"/>
      <c r="EX24" s="363"/>
      <c r="EY24" s="363"/>
      <c r="EZ24" s="361"/>
      <c r="FA24" s="361"/>
      <c r="FB24" s="361"/>
      <c r="FC24" s="361"/>
      <c r="FF24" s="363"/>
      <c r="FG24" s="363"/>
      <c r="FH24" s="361"/>
      <c r="FI24" s="361"/>
      <c r="FJ24" s="361"/>
      <c r="FK24" s="361"/>
      <c r="FN24" s="363"/>
      <c r="FO24" s="363"/>
      <c r="FP24" s="361"/>
      <c r="FQ24" s="361"/>
      <c r="FR24" s="361"/>
      <c r="FS24" s="361"/>
      <c r="FV24" s="363"/>
      <c r="FW24" s="363"/>
      <c r="FX24" s="361"/>
      <c r="FY24" s="361"/>
      <c r="FZ24" s="361"/>
      <c r="GA24" s="361"/>
    </row>
    <row r="25" spans="1:183">
      <c r="A25" s="357" t="s">
        <v>398</v>
      </c>
      <c r="B25" s="395"/>
      <c r="C25" s="395" t="e">
        <f>#REF!</f>
        <v>#REF!</v>
      </c>
      <c r="D25" s="395" t="e">
        <f>#REF!</f>
        <v>#REF!</v>
      </c>
      <c r="E25" s="395" t="e">
        <f>#REF!</f>
        <v>#REF!</v>
      </c>
      <c r="F25" s="395"/>
      <c r="G25" s="395"/>
      <c r="H25" s="395"/>
      <c r="I25" s="396"/>
      <c r="J25" s="395"/>
      <c r="K25" s="395" t="e">
        <f>#REF!</f>
        <v>#REF!</v>
      </c>
      <c r="L25" s="395" t="e">
        <f>#REF!</f>
        <v>#REF!</v>
      </c>
      <c r="M25" s="395" t="e">
        <f>#REF!</f>
        <v>#REF!</v>
      </c>
      <c r="N25" s="395" t="e">
        <f>#REF!</f>
        <v>#REF!</v>
      </c>
      <c r="O25" s="395"/>
      <c r="P25" s="395"/>
      <c r="Q25" s="396"/>
      <c r="R25" s="400"/>
      <c r="S25" s="400" t="e">
        <f>#REF!</f>
        <v>#REF!</v>
      </c>
      <c r="T25" s="400" t="e">
        <f>#REF!</f>
        <v>#REF!</v>
      </c>
      <c r="U25" s="400" t="e">
        <f>#REF!</f>
        <v>#REF!</v>
      </c>
      <c r="V25" s="402"/>
      <c r="W25" s="402"/>
      <c r="X25" s="395"/>
      <c r="Y25" s="396"/>
      <c r="Z25" s="395"/>
      <c r="AA25" s="395" t="e">
        <f>#REF!</f>
        <v>#REF!</v>
      </c>
      <c r="AB25" s="395" t="e">
        <f>#REF!</f>
        <v>#REF!</v>
      </c>
      <c r="AC25" s="395" t="e">
        <f>#REF!</f>
        <v>#REF!</v>
      </c>
      <c r="AD25" s="395" t="e">
        <f>#REF!</f>
        <v>#REF!</v>
      </c>
      <c r="AE25" s="395"/>
      <c r="AF25" s="395"/>
      <c r="AG25" s="396"/>
      <c r="AH25" s="395"/>
      <c r="AI25" s="395" t="e">
        <f>#REF!</f>
        <v>#REF!</v>
      </c>
      <c r="AJ25" s="395" t="e">
        <f>#REF!</f>
        <v>#REF!</v>
      </c>
      <c r="AK25" s="395" t="e">
        <f>#REF!</f>
        <v>#REF!</v>
      </c>
      <c r="AL25" s="395" t="e">
        <f>#REF!</f>
        <v>#REF!</v>
      </c>
      <c r="AM25" s="395"/>
      <c r="AN25" s="395"/>
      <c r="AO25" s="396"/>
      <c r="AP25" s="393"/>
      <c r="AQ25" s="393" t="e">
        <f>#REF!</f>
        <v>#REF!</v>
      </c>
      <c r="AR25" s="393" t="e">
        <f>#REF!</f>
        <v>#REF!</v>
      </c>
      <c r="AS25" s="393" t="e">
        <f>#REF!</f>
        <v>#REF!</v>
      </c>
      <c r="AT25" s="393" t="e">
        <f>#REF!</f>
        <v>#REF!</v>
      </c>
      <c r="AU25" s="359"/>
      <c r="AX25" s="395"/>
      <c r="AY25" s="395" t="e">
        <f>#REF!</f>
        <v>#REF!</v>
      </c>
      <c r="AZ25" s="395" t="e">
        <f>#REF!</f>
        <v>#REF!</v>
      </c>
      <c r="BA25" s="395" t="e">
        <f>#REF!</f>
        <v>#REF!</v>
      </c>
      <c r="BB25" s="395"/>
      <c r="BC25" s="395"/>
      <c r="BD25" s="395"/>
      <c r="BF25" s="392"/>
      <c r="BG25" s="392" t="e">
        <f>#REF!</f>
        <v>#REF!</v>
      </c>
      <c r="BH25" s="392" t="e">
        <f>#REF!</f>
        <v>#REF!</v>
      </c>
      <c r="BI25" s="392" t="e">
        <f>#REF!</f>
        <v>#REF!</v>
      </c>
      <c r="BJ25" s="392"/>
      <c r="BN25" s="395"/>
      <c r="BO25" s="395" t="e">
        <f>#REF!</f>
        <v>#REF!</v>
      </c>
      <c r="BP25" s="395" t="e">
        <f>#REF!</f>
        <v>#REF!</v>
      </c>
      <c r="BQ25" s="395" t="e">
        <f>#REF!</f>
        <v>#REF!</v>
      </c>
      <c r="BR25" s="395" t="e">
        <f>#REF!</f>
        <v>#REF!</v>
      </c>
      <c r="BS25" s="395"/>
      <c r="BT25" s="395"/>
      <c r="BV25" s="392"/>
      <c r="BW25" s="392" t="e">
        <f>#REF!</f>
        <v>#REF!</v>
      </c>
      <c r="BX25" s="392" t="e">
        <f>#REF!</f>
        <v>#REF!</v>
      </c>
      <c r="BY25" s="392" t="e">
        <f>#REF!</f>
        <v>#REF!</v>
      </c>
      <c r="BZ25" s="392" t="e">
        <f>#REF!</f>
        <v>#REF!</v>
      </c>
      <c r="CA25" s="358"/>
      <c r="CB25" s="358"/>
      <c r="CD25" s="395"/>
      <c r="CE25" s="395" t="e">
        <f>#REF!</f>
        <v>#REF!</v>
      </c>
      <c r="CF25" s="395" t="e">
        <f>#REF!</f>
        <v>#REF!</v>
      </c>
      <c r="CG25" s="395" t="e">
        <f>#REF!</f>
        <v>#REF!</v>
      </c>
      <c r="CH25" s="395" t="e">
        <f>#REF!</f>
        <v>#REF!</v>
      </c>
      <c r="CI25" s="395"/>
      <c r="CJ25" s="395"/>
      <c r="CK25" s="396"/>
      <c r="CL25" s="395"/>
      <c r="CM25" s="395" t="e">
        <f>#REF!</f>
        <v>#REF!</v>
      </c>
      <c r="CN25" s="395" t="e">
        <f>#REF!</f>
        <v>#REF!</v>
      </c>
      <c r="CO25" s="395" t="e">
        <f>#REF!</f>
        <v>#REF!</v>
      </c>
      <c r="CP25" s="395" t="e">
        <f>#REF!</f>
        <v>#REF!</v>
      </c>
      <c r="CQ25" s="395"/>
      <c r="CR25" s="395"/>
      <c r="CS25" s="396"/>
      <c r="CT25" s="395"/>
      <c r="CU25" s="395" t="e">
        <f>#REF!</f>
        <v>#REF!</v>
      </c>
      <c r="CV25" s="395" t="e">
        <f>#REF!</f>
        <v>#REF!</v>
      </c>
      <c r="CW25" s="395" t="e">
        <f>#REF!</f>
        <v>#REF!</v>
      </c>
      <c r="CX25" s="395" t="e">
        <f>#REF!</f>
        <v>#REF!</v>
      </c>
      <c r="CY25" s="395"/>
      <c r="CZ25" s="395"/>
      <c r="DA25" s="403"/>
      <c r="DB25" s="395"/>
      <c r="DC25" s="395" t="e">
        <f>#REF!</f>
        <v>#REF!</v>
      </c>
      <c r="DD25" s="395" t="e">
        <f>#REF!</f>
        <v>#REF!</v>
      </c>
      <c r="DE25" s="395" t="e">
        <f>#REF!</f>
        <v>#REF!</v>
      </c>
      <c r="DF25" s="395" t="e">
        <f>#REF!</f>
        <v>#REF!</v>
      </c>
      <c r="DJ25" s="361"/>
      <c r="DK25" s="361" t="e">
        <f>#REF!</f>
        <v>#REF!</v>
      </c>
      <c r="DL25" s="361" t="e">
        <f>#REF!</f>
        <v>#REF!</v>
      </c>
      <c r="DM25" s="361" t="e">
        <f>#REF!</f>
        <v>#REF!</v>
      </c>
      <c r="DN25" s="361" t="e">
        <f>#REF!</f>
        <v>#REF!</v>
      </c>
      <c r="DR25" s="361"/>
      <c r="DS25" s="361" t="e">
        <f>#REF!</f>
        <v>#REF!</v>
      </c>
      <c r="DT25" s="361" t="e">
        <f>#REF!</f>
        <v>#REF!</v>
      </c>
      <c r="DU25" s="361" t="e">
        <f>#REF!</f>
        <v>#REF!</v>
      </c>
      <c r="DV25" s="361" t="e">
        <f>#REF!</f>
        <v>#REF!</v>
      </c>
      <c r="DZ25" s="395"/>
      <c r="EA25" s="395" t="e">
        <f>#REF!</f>
        <v>#REF!</v>
      </c>
      <c r="EB25" s="395" t="e">
        <f>#REF!</f>
        <v>#REF!</v>
      </c>
      <c r="EC25" s="395" t="e">
        <f>#REF!</f>
        <v>#REF!</v>
      </c>
      <c r="ED25" s="395" t="e">
        <f>#REF!</f>
        <v>#REF!</v>
      </c>
      <c r="EE25" s="395"/>
      <c r="EF25" s="395"/>
      <c r="EH25" s="361"/>
      <c r="EI25" s="361" t="e">
        <f>#REF!</f>
        <v>#REF!</v>
      </c>
      <c r="EJ25" s="361" t="e">
        <f>#REF!</f>
        <v>#REF!</v>
      </c>
      <c r="EK25" s="361" t="e">
        <f>#REF!</f>
        <v>#REF!</v>
      </c>
      <c r="EL25" s="361" t="e">
        <f>#REF!</f>
        <v>#REF!</v>
      </c>
      <c r="EP25" s="395"/>
      <c r="EQ25" s="395" t="e">
        <f>#REF!</f>
        <v>#REF!</v>
      </c>
      <c r="ER25" s="395" t="e">
        <f>#REF!</f>
        <v>#REF!</v>
      </c>
      <c r="ES25" s="395" t="e">
        <f>#REF!</f>
        <v>#REF!</v>
      </c>
      <c r="ET25" s="395" t="e">
        <f>#REF!</f>
        <v>#REF!</v>
      </c>
      <c r="EU25" s="395"/>
      <c r="EV25" s="395"/>
      <c r="EX25" s="361"/>
      <c r="EY25" s="361" t="e">
        <f>#REF!</f>
        <v>#REF!</v>
      </c>
      <c r="EZ25" s="361" t="e">
        <f>#REF!</f>
        <v>#REF!</v>
      </c>
      <c r="FA25" s="361" t="e">
        <f>#REF!</f>
        <v>#REF!</v>
      </c>
      <c r="FB25" s="361" t="e">
        <f>#REF!</f>
        <v>#REF!</v>
      </c>
      <c r="FF25" s="361"/>
      <c r="FG25" s="361" t="e">
        <f>#REF!</f>
        <v>#REF!</v>
      </c>
      <c r="FH25" s="361" t="e">
        <f>#REF!</f>
        <v>#REF!</v>
      </c>
      <c r="FI25" s="361" t="e">
        <f>#REF!</f>
        <v>#REF!</v>
      </c>
      <c r="FJ25" s="361" t="e">
        <f>#REF!</f>
        <v>#REF!</v>
      </c>
      <c r="FN25" s="361"/>
      <c r="FO25" s="361" t="e">
        <f>#REF!</f>
        <v>#REF!</v>
      </c>
      <c r="FP25" s="361" t="e">
        <f>#REF!</f>
        <v>#REF!</v>
      </c>
      <c r="FQ25" s="361" t="e">
        <f>#REF!</f>
        <v>#REF!</v>
      </c>
      <c r="FR25" s="361" t="e">
        <f>#REF!</f>
        <v>#REF!</v>
      </c>
      <c r="FV25" s="361"/>
      <c r="FW25" s="361" t="e">
        <f>#REF!</f>
        <v>#REF!</v>
      </c>
      <c r="FX25" s="361" t="e">
        <f>#REF!</f>
        <v>#REF!</v>
      </c>
      <c r="FY25" s="361" t="e">
        <f>#REF!</f>
        <v>#REF!</v>
      </c>
      <c r="FZ25" s="361" t="e">
        <f>#REF!</f>
        <v>#REF!</v>
      </c>
    </row>
    <row r="26" spans="1:183">
      <c r="A26" s="404" t="s">
        <v>656</v>
      </c>
      <c r="B26" s="395"/>
      <c r="C26" s="395"/>
      <c r="D26" s="395"/>
      <c r="E26" s="395"/>
      <c r="F26" s="395"/>
      <c r="G26" s="395"/>
      <c r="H26" s="395"/>
      <c r="I26" s="396"/>
      <c r="J26" s="395"/>
      <c r="K26" s="395"/>
      <c r="L26" s="395"/>
      <c r="M26" s="395"/>
      <c r="N26" s="395"/>
      <c r="O26" s="395"/>
      <c r="P26" s="395"/>
      <c r="Q26" s="396"/>
      <c r="R26" s="400"/>
      <c r="S26" s="400"/>
      <c r="T26" s="400"/>
      <c r="U26" s="400"/>
      <c r="V26" s="402"/>
      <c r="W26" s="402"/>
      <c r="X26" s="395"/>
      <c r="Y26" s="396"/>
      <c r="Z26" s="395"/>
      <c r="AA26" s="395"/>
      <c r="AB26" s="395"/>
      <c r="AC26" s="395"/>
      <c r="AD26" s="395"/>
      <c r="AE26" s="395"/>
      <c r="AF26" s="395"/>
      <c r="AG26" s="396"/>
      <c r="AH26" s="395"/>
      <c r="AI26" s="395"/>
      <c r="AJ26" s="395"/>
      <c r="AK26" s="395"/>
      <c r="AL26" s="395"/>
      <c r="AM26" s="395"/>
      <c r="AN26" s="395"/>
      <c r="AO26" s="396"/>
      <c r="AP26" s="393"/>
      <c r="AQ26" s="393"/>
      <c r="AR26" s="393"/>
      <c r="AS26" s="393"/>
      <c r="AT26" s="393"/>
      <c r="AU26" s="359"/>
      <c r="AX26" s="395"/>
      <c r="AY26" s="395"/>
      <c r="AZ26" s="395"/>
      <c r="BA26" s="395"/>
      <c r="BB26" s="395"/>
      <c r="BC26" s="395"/>
      <c r="BD26" s="395"/>
      <c r="BF26" s="392"/>
      <c r="BG26" s="392"/>
      <c r="BH26" s="392"/>
      <c r="BI26" s="392"/>
      <c r="BJ26" s="392"/>
      <c r="BN26" s="395"/>
      <c r="BO26" s="395"/>
      <c r="BP26" s="395"/>
      <c r="BQ26" s="395"/>
      <c r="BR26" s="395"/>
      <c r="BS26" s="395"/>
      <c r="BT26" s="395"/>
      <c r="BV26" s="392"/>
      <c r="BW26" s="392"/>
      <c r="BX26" s="392"/>
      <c r="BY26" s="392"/>
      <c r="BZ26" s="392"/>
      <c r="CA26" s="358"/>
      <c r="CB26" s="358"/>
      <c r="CD26" s="395"/>
      <c r="CE26" s="395"/>
      <c r="CF26" s="395"/>
      <c r="CG26" s="395"/>
      <c r="CH26" s="395"/>
      <c r="CI26" s="395"/>
      <c r="CJ26" s="395"/>
      <c r="CK26" s="396"/>
      <c r="CL26" s="395"/>
      <c r="CM26" s="395"/>
      <c r="CN26" s="395"/>
      <c r="CO26" s="395"/>
      <c r="CP26" s="395"/>
      <c r="CQ26" s="395"/>
      <c r="CR26" s="395"/>
      <c r="CS26" s="396"/>
      <c r="CT26" s="395"/>
      <c r="CU26" s="395"/>
      <c r="CV26" s="395"/>
      <c r="CW26" s="395"/>
      <c r="CX26" s="395"/>
      <c r="CY26" s="395"/>
      <c r="CZ26" s="395"/>
      <c r="DA26" s="403"/>
      <c r="DB26" s="395"/>
      <c r="DC26" s="395"/>
      <c r="DD26" s="395"/>
      <c r="DE26" s="395"/>
      <c r="DF26" s="395"/>
      <c r="DJ26" s="361"/>
      <c r="DK26" s="361"/>
      <c r="DL26" s="361"/>
      <c r="DM26" s="361"/>
      <c r="DN26" s="361"/>
      <c r="DR26" s="361"/>
      <c r="DS26" s="361"/>
      <c r="DT26" s="361"/>
      <c r="DU26" s="361"/>
      <c r="DV26" s="361"/>
      <c r="DZ26" s="395"/>
      <c r="EA26" s="395"/>
      <c r="EB26" s="395"/>
      <c r="EC26" s="395"/>
      <c r="ED26" s="395"/>
      <c r="EE26" s="395"/>
      <c r="EF26" s="395"/>
      <c r="EH26" s="361"/>
      <c r="EI26" s="361"/>
      <c r="EJ26" s="361"/>
      <c r="EK26" s="361"/>
      <c r="EL26" s="361"/>
      <c r="EP26" s="395"/>
      <c r="EQ26" s="395"/>
      <c r="ER26" s="395"/>
      <c r="ES26" s="395"/>
      <c r="ET26" s="395"/>
      <c r="EU26" s="395"/>
      <c r="EV26" s="395"/>
      <c r="EX26" s="361"/>
      <c r="EY26" s="361"/>
      <c r="EZ26" s="361"/>
      <c r="FA26" s="361"/>
      <c r="FB26" s="361"/>
      <c r="FF26" s="361"/>
      <c r="FG26" s="361"/>
      <c r="FH26" s="361"/>
      <c r="FI26" s="361"/>
      <c r="FJ26" s="361"/>
      <c r="FN26" s="361"/>
      <c r="FO26" s="361"/>
      <c r="FP26" s="361"/>
      <c r="FQ26" s="361"/>
      <c r="FR26" s="361"/>
      <c r="FV26" s="361"/>
      <c r="FW26" s="361"/>
      <c r="FX26" s="361"/>
      <c r="FY26" s="361"/>
      <c r="FZ26" s="361"/>
    </row>
    <row r="27" spans="1:183">
      <c r="A27" s="404" t="s">
        <v>657</v>
      </c>
      <c r="B27" s="395"/>
      <c r="C27" s="395"/>
      <c r="D27" s="395"/>
      <c r="E27" s="395"/>
      <c r="F27" s="395"/>
      <c r="G27" s="395"/>
      <c r="H27" s="395"/>
      <c r="I27" s="396"/>
      <c r="J27" s="395"/>
      <c r="K27" s="395"/>
      <c r="L27" s="395"/>
      <c r="M27" s="395"/>
      <c r="N27" s="395"/>
      <c r="O27" s="395"/>
      <c r="P27" s="395"/>
      <c r="Q27" s="396"/>
      <c r="R27" s="400"/>
      <c r="S27" s="400"/>
      <c r="T27" s="400"/>
      <c r="U27" s="400"/>
      <c r="V27" s="402"/>
      <c r="W27" s="402"/>
      <c r="X27" s="395"/>
      <c r="Y27" s="396"/>
      <c r="Z27" s="395"/>
      <c r="AA27" s="395"/>
      <c r="AB27" s="395"/>
      <c r="AC27" s="395"/>
      <c r="AD27" s="395"/>
      <c r="AE27" s="395"/>
      <c r="AF27" s="395"/>
      <c r="AG27" s="396"/>
      <c r="AH27" s="395"/>
      <c r="AI27" s="395"/>
      <c r="AJ27" s="395"/>
      <c r="AK27" s="395"/>
      <c r="AL27" s="395"/>
      <c r="AM27" s="395"/>
      <c r="AN27" s="395"/>
      <c r="AO27" s="396"/>
      <c r="AP27" s="393"/>
      <c r="AQ27" s="393"/>
      <c r="AR27" s="393"/>
      <c r="AS27" s="393"/>
      <c r="AT27" s="393"/>
      <c r="AU27" s="359"/>
      <c r="AX27" s="395"/>
      <c r="AY27" s="395"/>
      <c r="AZ27" s="395"/>
      <c r="BA27" s="395"/>
      <c r="BB27" s="395"/>
      <c r="BC27" s="395"/>
      <c r="BD27" s="395"/>
      <c r="BF27" s="392"/>
      <c r="BG27" s="392"/>
      <c r="BH27" s="392"/>
      <c r="BI27" s="392"/>
      <c r="BJ27" s="392"/>
      <c r="BN27" s="395"/>
      <c r="BO27" s="395"/>
      <c r="BP27" s="395"/>
      <c r="BQ27" s="395"/>
      <c r="BR27" s="395"/>
      <c r="BS27" s="395"/>
      <c r="BT27" s="395"/>
      <c r="BV27" s="392"/>
      <c r="BW27" s="392"/>
      <c r="BX27" s="392"/>
      <c r="BY27" s="392"/>
      <c r="BZ27" s="392"/>
      <c r="CA27" s="358"/>
      <c r="CB27" s="358"/>
      <c r="CD27" s="395"/>
      <c r="CE27" s="395"/>
      <c r="CF27" s="395"/>
      <c r="CG27" s="395"/>
      <c r="CH27" s="395"/>
      <c r="CI27" s="395"/>
      <c r="CJ27" s="395"/>
      <c r="CK27" s="396"/>
      <c r="CL27" s="395"/>
      <c r="CM27" s="395"/>
      <c r="CN27" s="395"/>
      <c r="CO27" s="395"/>
      <c r="CP27" s="395"/>
      <c r="CQ27" s="395"/>
      <c r="CR27" s="395"/>
      <c r="CS27" s="396"/>
      <c r="CT27" s="395"/>
      <c r="CU27" s="395"/>
      <c r="CV27" s="395"/>
      <c r="CW27" s="395"/>
      <c r="CX27" s="395"/>
      <c r="CY27" s="395"/>
      <c r="CZ27" s="395"/>
      <c r="DA27" s="403"/>
      <c r="DB27" s="395"/>
      <c r="DC27" s="395"/>
      <c r="DD27" s="395"/>
      <c r="DE27" s="395"/>
      <c r="DF27" s="395"/>
      <c r="DJ27" s="361"/>
      <c r="DK27" s="361"/>
      <c r="DL27" s="361"/>
      <c r="DM27" s="361"/>
      <c r="DN27" s="361"/>
      <c r="DR27" s="361"/>
      <c r="DS27" s="361"/>
      <c r="DT27" s="361"/>
      <c r="DU27" s="361"/>
      <c r="DV27" s="361"/>
      <c r="DZ27" s="395"/>
      <c r="EA27" s="395"/>
      <c r="EB27" s="395"/>
      <c r="EC27" s="395"/>
      <c r="ED27" s="395"/>
      <c r="EE27" s="395"/>
      <c r="EF27" s="395"/>
      <c r="EH27" s="361"/>
      <c r="EI27" s="361"/>
      <c r="EJ27" s="361"/>
      <c r="EK27" s="361"/>
      <c r="EL27" s="361"/>
      <c r="EP27" s="395"/>
      <c r="EQ27" s="395"/>
      <c r="ER27" s="395"/>
      <c r="ES27" s="395"/>
      <c r="ET27" s="395"/>
      <c r="EU27" s="395"/>
      <c r="EV27" s="395"/>
      <c r="EX27" s="361"/>
      <c r="EY27" s="361"/>
      <c r="EZ27" s="361"/>
      <c r="FA27" s="361"/>
      <c r="FB27" s="361"/>
      <c r="FF27" s="361"/>
      <c r="FG27" s="361"/>
      <c r="FH27" s="361"/>
      <c r="FI27" s="361"/>
      <c r="FJ27" s="361"/>
      <c r="FN27" s="361"/>
      <c r="FO27" s="361"/>
      <c r="FP27" s="361"/>
      <c r="FQ27" s="361"/>
      <c r="FR27" s="361"/>
      <c r="FV27" s="361"/>
      <c r="FW27" s="361"/>
      <c r="FX27" s="361"/>
      <c r="FY27" s="361"/>
      <c r="FZ27" s="361"/>
    </row>
    <row r="28" spans="1:183">
      <c r="A28" s="357" t="s">
        <v>399</v>
      </c>
      <c r="B28" s="395"/>
      <c r="C28" s="395" t="e">
        <f>#REF!</f>
        <v>#REF!</v>
      </c>
      <c r="D28" s="395" t="e">
        <f>#REF!</f>
        <v>#REF!</v>
      </c>
      <c r="E28" s="395" t="e">
        <f>#REF!</f>
        <v>#REF!</v>
      </c>
      <c r="F28" s="395"/>
      <c r="G28" s="395"/>
      <c r="H28" s="395"/>
      <c r="I28" s="396"/>
      <c r="J28" s="395"/>
      <c r="K28" s="395" t="e">
        <f>#REF!</f>
        <v>#REF!</v>
      </c>
      <c r="L28" s="395" t="e">
        <f>#REF!</f>
        <v>#REF!</v>
      </c>
      <c r="M28" s="395" t="e">
        <f>#REF!</f>
        <v>#REF!</v>
      </c>
      <c r="N28" s="395" t="e">
        <f>#REF!</f>
        <v>#REF!</v>
      </c>
      <c r="O28" s="395"/>
      <c r="P28" s="395"/>
      <c r="Q28" s="396"/>
      <c r="R28" s="400"/>
      <c r="S28" s="400" t="e">
        <f>#REF!</f>
        <v>#REF!</v>
      </c>
      <c r="T28" s="400" t="e">
        <f>#REF!</f>
        <v>#REF!</v>
      </c>
      <c r="U28" s="400" t="e">
        <f>#REF!</f>
        <v>#REF!</v>
      </c>
      <c r="V28" s="402"/>
      <c r="W28" s="395"/>
      <c r="X28" s="395"/>
      <c r="Y28" s="396"/>
      <c r="Z28" s="395"/>
      <c r="AA28" s="395" t="e">
        <f>#REF!</f>
        <v>#REF!</v>
      </c>
      <c r="AB28" s="395" t="e">
        <f>#REF!</f>
        <v>#REF!</v>
      </c>
      <c r="AC28" s="395" t="e">
        <f>#REF!</f>
        <v>#REF!</v>
      </c>
      <c r="AD28" s="395" t="e">
        <f>#REF!</f>
        <v>#REF!</v>
      </c>
      <c r="AE28" s="395"/>
      <c r="AF28" s="395"/>
      <c r="AG28" s="396"/>
      <c r="AH28" s="395"/>
      <c r="AI28" s="395" t="e">
        <f>#REF!</f>
        <v>#REF!</v>
      </c>
      <c r="AJ28" s="395" t="e">
        <f>#REF!</f>
        <v>#REF!</v>
      </c>
      <c r="AK28" s="395" t="e">
        <f>#REF!</f>
        <v>#REF!</v>
      </c>
      <c r="AL28" s="395" t="e">
        <f>#REF!</f>
        <v>#REF!</v>
      </c>
      <c r="AM28" s="395"/>
      <c r="AN28" s="395"/>
      <c r="AO28" s="396"/>
      <c r="AP28" s="393"/>
      <c r="AQ28" s="393" t="e">
        <f>#REF!</f>
        <v>#REF!</v>
      </c>
      <c r="AR28" s="393" t="e">
        <f>#REF!</f>
        <v>#REF!</v>
      </c>
      <c r="AS28" s="393" t="e">
        <f>#REF!</f>
        <v>#REF!</v>
      </c>
      <c r="AT28" s="393" t="e">
        <f>#REF!</f>
        <v>#REF!</v>
      </c>
      <c r="AU28" s="359"/>
      <c r="AX28" s="395"/>
      <c r="AY28" s="395" t="e">
        <f>#REF!</f>
        <v>#REF!</v>
      </c>
      <c r="AZ28" s="395" t="e">
        <f>#REF!</f>
        <v>#REF!</v>
      </c>
      <c r="BA28" s="395" t="e">
        <f>#REF!</f>
        <v>#REF!</v>
      </c>
      <c r="BB28" s="395"/>
      <c r="BC28" s="395"/>
      <c r="BD28" s="395"/>
      <c r="BF28" s="392"/>
      <c r="BG28" s="392" t="e">
        <f>#REF!</f>
        <v>#REF!</v>
      </c>
      <c r="BH28" s="392" t="e">
        <f>#REF!</f>
        <v>#REF!</v>
      </c>
      <c r="BI28" s="392" t="e">
        <f>#REF!</f>
        <v>#REF!</v>
      </c>
      <c r="BJ28" s="392"/>
      <c r="BN28" s="395"/>
      <c r="BO28" s="395" t="e">
        <f>#REF!</f>
        <v>#REF!</v>
      </c>
      <c r="BP28" s="395" t="e">
        <f>#REF!</f>
        <v>#REF!</v>
      </c>
      <c r="BQ28" s="395" t="e">
        <f>#REF!</f>
        <v>#REF!</v>
      </c>
      <c r="BR28" s="395" t="e">
        <f>#REF!</f>
        <v>#REF!</v>
      </c>
      <c r="BS28" s="395"/>
      <c r="BT28" s="395"/>
      <c r="BV28" s="392"/>
      <c r="BW28" s="392" t="e">
        <f>#REF!</f>
        <v>#REF!</v>
      </c>
      <c r="BX28" s="392" t="e">
        <f>#REF!</f>
        <v>#REF!</v>
      </c>
      <c r="BY28" s="392" t="e">
        <f>#REF!</f>
        <v>#REF!</v>
      </c>
      <c r="BZ28" s="392" t="e">
        <f>#REF!</f>
        <v>#REF!</v>
      </c>
      <c r="CA28" s="358"/>
      <c r="CB28" s="358"/>
      <c r="CD28" s="395"/>
      <c r="CE28" s="395" t="e">
        <f>#REF!</f>
        <v>#REF!</v>
      </c>
      <c r="CF28" s="395" t="e">
        <f>#REF!</f>
        <v>#REF!</v>
      </c>
      <c r="CG28" s="395" t="e">
        <f>#REF!</f>
        <v>#REF!</v>
      </c>
      <c r="CH28" s="395" t="e">
        <f>#REF!</f>
        <v>#REF!</v>
      </c>
      <c r="CI28" s="395"/>
      <c r="CJ28" s="395"/>
      <c r="CK28" s="396"/>
      <c r="CL28" s="395"/>
      <c r="CM28" s="395" t="e">
        <f>#REF!</f>
        <v>#REF!</v>
      </c>
      <c r="CN28" s="395" t="e">
        <f>#REF!</f>
        <v>#REF!</v>
      </c>
      <c r="CO28" s="395" t="e">
        <f>#REF!</f>
        <v>#REF!</v>
      </c>
      <c r="CP28" s="395" t="e">
        <f>#REF!</f>
        <v>#REF!</v>
      </c>
      <c r="CQ28" s="395"/>
      <c r="CR28" s="395"/>
      <c r="CS28" s="396"/>
      <c r="CT28" s="395"/>
      <c r="CU28" s="395" t="e">
        <f>#REF!</f>
        <v>#REF!</v>
      </c>
      <c r="CV28" s="395" t="e">
        <f>#REF!</f>
        <v>#REF!</v>
      </c>
      <c r="CW28" s="395" t="e">
        <f>#REF!</f>
        <v>#REF!</v>
      </c>
      <c r="CX28" s="395" t="e">
        <f>#REF!</f>
        <v>#REF!</v>
      </c>
      <c r="CY28" s="395"/>
      <c r="CZ28" s="395"/>
      <c r="DA28" s="403"/>
      <c r="DB28" s="395"/>
      <c r="DC28" s="395" t="e">
        <f>#REF!</f>
        <v>#REF!</v>
      </c>
      <c r="DD28" s="395" t="e">
        <f>#REF!</f>
        <v>#REF!</v>
      </c>
      <c r="DE28" s="395" t="e">
        <f>#REF!</f>
        <v>#REF!</v>
      </c>
      <c r="DF28" s="395" t="e">
        <f>#REF!</f>
        <v>#REF!</v>
      </c>
      <c r="DJ28" s="361"/>
      <c r="DK28" s="361" t="e">
        <f>#REF!</f>
        <v>#REF!</v>
      </c>
      <c r="DL28" s="361" t="e">
        <f>#REF!</f>
        <v>#REF!</v>
      </c>
      <c r="DM28" s="361" t="e">
        <f>#REF!</f>
        <v>#REF!</v>
      </c>
      <c r="DN28" s="361" t="e">
        <f>#REF!</f>
        <v>#REF!</v>
      </c>
      <c r="DR28" s="361"/>
      <c r="DS28" s="361" t="e">
        <f>#REF!</f>
        <v>#REF!</v>
      </c>
      <c r="DT28" s="361" t="e">
        <f>#REF!</f>
        <v>#REF!</v>
      </c>
      <c r="DU28" s="361" t="e">
        <f>#REF!</f>
        <v>#REF!</v>
      </c>
      <c r="DV28" s="361" t="e">
        <f>#REF!</f>
        <v>#REF!</v>
      </c>
      <c r="DZ28" s="395"/>
      <c r="EA28" s="395" t="e">
        <f>#REF!</f>
        <v>#REF!</v>
      </c>
      <c r="EB28" s="395" t="e">
        <f>#REF!</f>
        <v>#REF!</v>
      </c>
      <c r="EC28" s="395" t="e">
        <f>#REF!</f>
        <v>#REF!</v>
      </c>
      <c r="ED28" s="395" t="e">
        <f>#REF!</f>
        <v>#REF!</v>
      </c>
      <c r="EE28" s="395"/>
      <c r="EF28" s="395"/>
      <c r="EH28" s="361"/>
      <c r="EI28" s="361" t="e">
        <f>#REF!</f>
        <v>#REF!</v>
      </c>
      <c r="EJ28" s="361" t="e">
        <f>#REF!</f>
        <v>#REF!</v>
      </c>
      <c r="EK28" s="361" t="e">
        <f>#REF!</f>
        <v>#REF!</v>
      </c>
      <c r="EL28" s="361" t="e">
        <f>#REF!</f>
        <v>#REF!</v>
      </c>
      <c r="EP28" s="395"/>
      <c r="EQ28" s="395" t="e">
        <f>#REF!</f>
        <v>#REF!</v>
      </c>
      <c r="ER28" s="395" t="e">
        <f>#REF!</f>
        <v>#REF!</v>
      </c>
      <c r="ES28" s="395" t="e">
        <f>#REF!</f>
        <v>#REF!</v>
      </c>
      <c r="ET28" s="395" t="e">
        <f>#REF!</f>
        <v>#REF!</v>
      </c>
      <c r="EU28" s="395"/>
      <c r="EV28" s="395"/>
      <c r="EX28" s="361"/>
      <c r="EY28" s="361" t="e">
        <f>#REF!</f>
        <v>#REF!</v>
      </c>
      <c r="EZ28" s="361" t="e">
        <f>#REF!</f>
        <v>#REF!</v>
      </c>
      <c r="FA28" s="361" t="e">
        <f>#REF!</f>
        <v>#REF!</v>
      </c>
      <c r="FB28" s="361" t="e">
        <f>#REF!</f>
        <v>#REF!</v>
      </c>
      <c r="FF28" s="361"/>
      <c r="FG28" s="361" t="e">
        <f>#REF!</f>
        <v>#REF!</v>
      </c>
      <c r="FH28" s="361" t="e">
        <f>#REF!</f>
        <v>#REF!</v>
      </c>
      <c r="FI28" s="361" t="e">
        <f>#REF!</f>
        <v>#REF!</v>
      </c>
      <c r="FJ28" s="361" t="e">
        <f>#REF!</f>
        <v>#REF!</v>
      </c>
      <c r="FN28" s="361"/>
      <c r="FO28" s="361" t="e">
        <f>#REF!</f>
        <v>#REF!</v>
      </c>
      <c r="FP28" s="361" t="e">
        <f>#REF!</f>
        <v>#REF!</v>
      </c>
      <c r="FQ28" s="361" t="e">
        <f>#REF!</f>
        <v>#REF!</v>
      </c>
      <c r="FR28" s="361" t="e">
        <f>#REF!</f>
        <v>#REF!</v>
      </c>
      <c r="FV28" s="361"/>
      <c r="FW28" s="361" t="e">
        <f>#REF!</f>
        <v>#REF!</v>
      </c>
      <c r="FX28" s="361" t="e">
        <f>#REF!</f>
        <v>#REF!</v>
      </c>
      <c r="FY28" s="361" t="e">
        <f>#REF!</f>
        <v>#REF!</v>
      </c>
      <c r="FZ28" s="361" t="e">
        <f>#REF!</f>
        <v>#REF!</v>
      </c>
    </row>
    <row r="29" spans="1:183">
      <c r="A29" s="404" t="s">
        <v>656</v>
      </c>
      <c r="B29" s="395"/>
      <c r="C29" s="395"/>
      <c r="D29" s="395"/>
      <c r="E29" s="395"/>
      <c r="F29" s="395"/>
      <c r="G29" s="395"/>
      <c r="H29" s="395"/>
      <c r="I29" s="396"/>
      <c r="J29" s="395"/>
      <c r="K29" s="395"/>
      <c r="L29" s="395"/>
      <c r="M29" s="395"/>
      <c r="N29" s="395"/>
      <c r="O29" s="395"/>
      <c r="P29" s="395"/>
      <c r="Q29" s="396"/>
      <c r="R29" s="400"/>
      <c r="S29" s="400"/>
      <c r="T29" s="400"/>
      <c r="U29" s="400"/>
      <c r="V29" s="402"/>
      <c r="W29" s="395"/>
      <c r="X29" s="395"/>
      <c r="Y29" s="396"/>
      <c r="Z29" s="395"/>
      <c r="AA29" s="395"/>
      <c r="AB29" s="395"/>
      <c r="AC29" s="395"/>
      <c r="AD29" s="395"/>
      <c r="AE29" s="395"/>
      <c r="AF29" s="395"/>
      <c r="AG29" s="396"/>
      <c r="AH29" s="395"/>
      <c r="AI29" s="395"/>
      <c r="AJ29" s="395"/>
      <c r="AK29" s="395"/>
      <c r="AL29" s="395"/>
      <c r="AM29" s="395"/>
      <c r="AN29" s="395"/>
      <c r="AO29" s="396"/>
      <c r="AP29" s="393"/>
      <c r="AQ29" s="393"/>
      <c r="AR29" s="393"/>
      <c r="AS29" s="393"/>
      <c r="AT29" s="393"/>
      <c r="AU29" s="359"/>
      <c r="AX29" s="395"/>
      <c r="AY29" s="395"/>
      <c r="AZ29" s="395"/>
      <c r="BA29" s="395"/>
      <c r="BB29" s="395"/>
      <c r="BC29" s="395"/>
      <c r="BD29" s="395"/>
      <c r="BF29" s="392"/>
      <c r="BG29" s="392"/>
      <c r="BH29" s="392"/>
      <c r="BI29" s="392"/>
      <c r="BJ29" s="392"/>
      <c r="BN29" s="395"/>
      <c r="BO29" s="395"/>
      <c r="BP29" s="395"/>
      <c r="BQ29" s="395"/>
      <c r="BR29" s="395"/>
      <c r="BS29" s="395"/>
      <c r="BT29" s="395"/>
      <c r="BV29" s="392"/>
      <c r="BW29" s="392"/>
      <c r="BX29" s="392"/>
      <c r="BY29" s="392"/>
      <c r="BZ29" s="392"/>
      <c r="CA29" s="358"/>
      <c r="CB29" s="358"/>
      <c r="CD29" s="395"/>
      <c r="CE29" s="395"/>
      <c r="CF29" s="395"/>
      <c r="CG29" s="395"/>
      <c r="CH29" s="395"/>
      <c r="CI29" s="395"/>
      <c r="CJ29" s="395"/>
      <c r="CK29" s="396"/>
      <c r="CL29" s="395"/>
      <c r="CM29" s="395"/>
      <c r="CN29" s="395"/>
      <c r="CO29" s="395"/>
      <c r="CP29" s="395"/>
      <c r="CQ29" s="395"/>
      <c r="CR29" s="395"/>
      <c r="CS29" s="396"/>
      <c r="CT29" s="395"/>
      <c r="CU29" s="395"/>
      <c r="CV29" s="395"/>
      <c r="CW29" s="395"/>
      <c r="CX29" s="395"/>
      <c r="CY29" s="395"/>
      <c r="CZ29" s="395"/>
      <c r="DA29" s="403"/>
      <c r="DB29" s="395"/>
      <c r="DC29" s="395"/>
      <c r="DD29" s="395"/>
      <c r="DE29" s="395"/>
      <c r="DF29" s="395"/>
      <c r="DJ29" s="361"/>
      <c r="DK29" s="361"/>
      <c r="DL29" s="361"/>
      <c r="DM29" s="361"/>
      <c r="DN29" s="361"/>
      <c r="DR29" s="361"/>
      <c r="DS29" s="361"/>
      <c r="DT29" s="361"/>
      <c r="DU29" s="361"/>
      <c r="DV29" s="361"/>
      <c r="DZ29" s="395"/>
      <c r="EA29" s="395"/>
      <c r="EB29" s="395"/>
      <c r="EC29" s="395"/>
      <c r="ED29" s="395"/>
      <c r="EE29" s="395"/>
      <c r="EF29" s="395"/>
      <c r="EH29" s="361"/>
      <c r="EI29" s="361"/>
      <c r="EJ29" s="361"/>
      <c r="EK29" s="361"/>
      <c r="EL29" s="361"/>
      <c r="EP29" s="395"/>
      <c r="EQ29" s="395"/>
      <c r="ER29" s="395"/>
      <c r="ES29" s="395"/>
      <c r="ET29" s="395"/>
      <c r="EU29" s="395"/>
      <c r="EV29" s="395"/>
      <c r="EX29" s="361"/>
      <c r="EY29" s="361"/>
      <c r="EZ29" s="361"/>
      <c r="FA29" s="361"/>
      <c r="FB29" s="361"/>
      <c r="FF29" s="361"/>
      <c r="FG29" s="361"/>
      <c r="FH29" s="361"/>
      <c r="FI29" s="361"/>
      <c r="FJ29" s="361"/>
      <c r="FN29" s="361"/>
      <c r="FO29" s="361"/>
      <c r="FP29" s="361"/>
      <c r="FQ29" s="361"/>
      <c r="FR29" s="361"/>
      <c r="FV29" s="361"/>
      <c r="FW29" s="361"/>
      <c r="FX29" s="361"/>
      <c r="FY29" s="361"/>
      <c r="FZ29" s="361"/>
    </row>
    <row r="30" spans="1:183">
      <c r="A30" s="404" t="s">
        <v>657</v>
      </c>
      <c r="B30" s="395"/>
      <c r="C30" s="395"/>
      <c r="D30" s="395"/>
      <c r="E30" s="395"/>
      <c r="F30" s="395"/>
      <c r="G30" s="395"/>
      <c r="H30" s="395"/>
      <c r="I30" s="396"/>
      <c r="J30" s="395"/>
      <c r="K30" s="395"/>
      <c r="L30" s="395"/>
      <c r="M30" s="395"/>
      <c r="N30" s="395"/>
      <c r="O30" s="395"/>
      <c r="P30" s="395"/>
      <c r="Q30" s="396"/>
      <c r="R30" s="400"/>
      <c r="S30" s="400"/>
      <c r="T30" s="400"/>
      <c r="U30" s="400"/>
      <c r="V30" s="402"/>
      <c r="W30" s="395"/>
      <c r="X30" s="395"/>
      <c r="Y30" s="396"/>
      <c r="Z30" s="395"/>
      <c r="AA30" s="395"/>
      <c r="AB30" s="395"/>
      <c r="AC30" s="395"/>
      <c r="AD30" s="395"/>
      <c r="AE30" s="395"/>
      <c r="AF30" s="395"/>
      <c r="AG30" s="396"/>
      <c r="AH30" s="395"/>
      <c r="AI30" s="395"/>
      <c r="AJ30" s="395"/>
      <c r="AK30" s="395"/>
      <c r="AL30" s="395"/>
      <c r="AM30" s="395"/>
      <c r="AN30" s="395"/>
      <c r="AO30" s="396"/>
      <c r="AP30" s="393"/>
      <c r="AQ30" s="393"/>
      <c r="AR30" s="393"/>
      <c r="AS30" s="393"/>
      <c r="AT30" s="393"/>
      <c r="AU30" s="359"/>
      <c r="AX30" s="395"/>
      <c r="AY30" s="395"/>
      <c r="AZ30" s="395"/>
      <c r="BA30" s="395"/>
      <c r="BB30" s="395"/>
      <c r="BC30" s="395"/>
      <c r="BD30" s="395"/>
      <c r="BF30" s="392"/>
      <c r="BG30" s="392"/>
      <c r="BH30" s="392"/>
      <c r="BI30" s="392"/>
      <c r="BJ30" s="392"/>
      <c r="BN30" s="395"/>
      <c r="BO30" s="395"/>
      <c r="BP30" s="395"/>
      <c r="BQ30" s="395"/>
      <c r="BR30" s="395"/>
      <c r="BS30" s="395"/>
      <c r="BT30" s="395"/>
      <c r="BV30" s="392"/>
      <c r="BW30" s="392"/>
      <c r="BX30" s="392"/>
      <c r="BY30" s="392"/>
      <c r="BZ30" s="392"/>
      <c r="CA30" s="358"/>
      <c r="CB30" s="358"/>
      <c r="CD30" s="395"/>
      <c r="CE30" s="395"/>
      <c r="CF30" s="395"/>
      <c r="CG30" s="395"/>
      <c r="CH30" s="395"/>
      <c r="CI30" s="395"/>
      <c r="CJ30" s="395"/>
      <c r="CK30" s="396"/>
      <c r="CL30" s="395"/>
      <c r="CM30" s="395"/>
      <c r="CN30" s="395"/>
      <c r="CO30" s="395"/>
      <c r="CP30" s="395"/>
      <c r="CQ30" s="395"/>
      <c r="CR30" s="395"/>
      <c r="CS30" s="396"/>
      <c r="CT30" s="395"/>
      <c r="CU30" s="395"/>
      <c r="CV30" s="395"/>
      <c r="CW30" s="395"/>
      <c r="CX30" s="395"/>
      <c r="CY30" s="395"/>
      <c r="CZ30" s="395"/>
      <c r="DA30" s="403"/>
      <c r="DB30" s="395"/>
      <c r="DC30" s="395"/>
      <c r="DD30" s="395"/>
      <c r="DE30" s="395"/>
      <c r="DF30" s="395"/>
      <c r="DJ30" s="361"/>
      <c r="DK30" s="361"/>
      <c r="DL30" s="361"/>
      <c r="DM30" s="361"/>
      <c r="DN30" s="361"/>
      <c r="DR30" s="361"/>
      <c r="DS30" s="361"/>
      <c r="DT30" s="361"/>
      <c r="DU30" s="361"/>
      <c r="DV30" s="361"/>
      <c r="DZ30" s="395"/>
      <c r="EA30" s="395"/>
      <c r="EB30" s="395"/>
      <c r="EC30" s="395"/>
      <c r="ED30" s="395"/>
      <c r="EE30" s="395"/>
      <c r="EF30" s="395"/>
      <c r="EH30" s="361"/>
      <c r="EI30" s="361"/>
      <c r="EJ30" s="361"/>
      <c r="EK30" s="361"/>
      <c r="EL30" s="361"/>
      <c r="EP30" s="395"/>
      <c r="EQ30" s="395"/>
      <c r="ER30" s="395"/>
      <c r="ES30" s="395"/>
      <c r="ET30" s="395"/>
      <c r="EU30" s="395"/>
      <c r="EV30" s="395"/>
      <c r="EX30" s="361"/>
      <c r="EY30" s="361"/>
      <c r="EZ30" s="361"/>
      <c r="FA30" s="361"/>
      <c r="FB30" s="361"/>
      <c r="FF30" s="361"/>
      <c r="FG30" s="361"/>
      <c r="FH30" s="361"/>
      <c r="FI30" s="361"/>
      <c r="FJ30" s="361"/>
      <c r="FN30" s="361"/>
      <c r="FO30" s="361"/>
      <c r="FP30" s="361"/>
      <c r="FQ30" s="361"/>
      <c r="FR30" s="361"/>
      <c r="FV30" s="361"/>
      <c r="FW30" s="361"/>
      <c r="FX30" s="361"/>
      <c r="FY30" s="361"/>
      <c r="FZ30" s="361"/>
    </row>
    <row r="31" spans="1:183">
      <c r="B31" s="395"/>
      <c r="C31" s="395"/>
      <c r="D31" s="395"/>
      <c r="E31" s="395"/>
      <c r="F31" s="395"/>
      <c r="G31" s="395"/>
      <c r="H31" s="395"/>
      <c r="I31" s="396"/>
      <c r="J31" s="395"/>
      <c r="K31" s="395"/>
      <c r="L31" s="395"/>
      <c r="M31" s="395"/>
      <c r="N31" s="395"/>
      <c r="O31" s="395"/>
      <c r="P31" s="395"/>
      <c r="Q31" s="396"/>
      <c r="R31" s="395"/>
      <c r="S31" s="395"/>
      <c r="T31" s="395"/>
      <c r="U31" s="395"/>
      <c r="V31" s="395"/>
      <c r="W31" s="395"/>
      <c r="X31" s="395"/>
      <c r="Y31" s="396"/>
      <c r="Z31" s="395"/>
      <c r="AA31" s="395"/>
      <c r="AB31" s="395"/>
      <c r="AC31" s="395"/>
      <c r="AD31" s="395"/>
      <c r="AE31" s="395"/>
      <c r="AF31" s="395"/>
      <c r="AG31" s="396"/>
      <c r="AH31" s="395"/>
      <c r="AI31" s="395"/>
      <c r="AJ31" s="395"/>
      <c r="AK31" s="395"/>
      <c r="AL31" s="395"/>
      <c r="AM31" s="395"/>
      <c r="AN31" s="395"/>
      <c r="AO31" s="396"/>
      <c r="AX31" s="395"/>
      <c r="AY31" s="395"/>
      <c r="AZ31" s="395"/>
      <c r="BA31" s="395"/>
      <c r="BB31" s="395"/>
      <c r="BC31" s="395"/>
      <c r="BD31" s="395"/>
      <c r="BN31" s="395"/>
      <c r="BO31" s="395"/>
      <c r="BP31" s="395"/>
      <c r="BQ31" s="395"/>
      <c r="BR31" s="395"/>
      <c r="BS31" s="395"/>
      <c r="BT31" s="395"/>
      <c r="CD31" s="395"/>
      <c r="CE31" s="395"/>
      <c r="CF31" s="395"/>
      <c r="CG31" s="395"/>
      <c r="CH31" s="395"/>
      <c r="CI31" s="395"/>
      <c r="CJ31" s="395"/>
      <c r="CK31" s="396"/>
      <c r="CL31" s="395"/>
      <c r="CM31" s="395"/>
      <c r="CN31" s="395"/>
      <c r="CO31" s="395"/>
      <c r="CP31" s="395"/>
      <c r="CQ31" s="395"/>
      <c r="CR31" s="395"/>
      <c r="CS31" s="396"/>
      <c r="CT31" s="395"/>
      <c r="CU31" s="395"/>
      <c r="CV31" s="395"/>
      <c r="CW31" s="395"/>
      <c r="CX31" s="395"/>
      <c r="CY31" s="395"/>
      <c r="CZ31" s="395"/>
      <c r="DA31" s="403"/>
      <c r="DB31" s="395"/>
      <c r="DC31" s="395"/>
      <c r="DD31" s="395"/>
      <c r="DE31" s="395"/>
      <c r="DF31" s="395"/>
      <c r="DZ31" s="395"/>
      <c r="EA31" s="395"/>
      <c r="EB31" s="395"/>
      <c r="EC31" s="395"/>
      <c r="ED31" s="395"/>
      <c r="EE31" s="395"/>
      <c r="EF31" s="395"/>
      <c r="EP31" s="395"/>
      <c r="EQ31" s="395"/>
      <c r="ER31" s="395"/>
      <c r="ES31" s="395"/>
      <c r="ET31" s="395"/>
      <c r="EU31" s="395"/>
      <c r="EV31" s="395"/>
    </row>
    <row r="32" spans="1:183">
      <c r="A32" s="216" t="s">
        <v>407</v>
      </c>
      <c r="B32" s="398" t="s">
        <v>597</v>
      </c>
      <c r="C32" s="394"/>
      <c r="D32" s="395"/>
      <c r="E32" s="395"/>
      <c r="F32" s="395"/>
      <c r="G32" s="395"/>
      <c r="H32" s="395"/>
      <c r="I32" s="396"/>
      <c r="J32" s="398" t="s">
        <v>598</v>
      </c>
      <c r="K32" s="395"/>
      <c r="L32" s="395"/>
      <c r="M32" s="395"/>
      <c r="N32" s="395"/>
      <c r="O32" s="395"/>
      <c r="P32" s="395"/>
      <c r="Q32" s="396"/>
      <c r="R32" s="398" t="s">
        <v>600</v>
      </c>
      <c r="S32" s="395"/>
      <c r="T32" s="395"/>
      <c r="U32" s="395"/>
      <c r="V32" s="395"/>
      <c r="W32" s="395"/>
      <c r="X32" s="395"/>
      <c r="Y32" s="396"/>
      <c r="Z32" s="398" t="s">
        <v>599</v>
      </c>
      <c r="AA32" s="395"/>
      <c r="AB32" s="395"/>
      <c r="AC32" s="395"/>
      <c r="AD32" s="395"/>
      <c r="AE32" s="395"/>
      <c r="AF32" s="395"/>
      <c r="AG32" s="396"/>
      <c r="AH32" s="398" t="s">
        <v>601</v>
      </c>
      <c r="AI32" s="395"/>
      <c r="AJ32" s="395"/>
      <c r="AK32" s="395"/>
      <c r="AL32" s="395"/>
      <c r="AM32" s="395"/>
      <c r="AN32" s="395"/>
      <c r="AO32" s="396"/>
      <c r="AP32" s="390" t="s">
        <v>622</v>
      </c>
      <c r="AX32" s="398" t="s">
        <v>639</v>
      </c>
      <c r="AY32" s="395"/>
      <c r="AZ32" s="395"/>
      <c r="BA32" s="395"/>
      <c r="BB32" s="395"/>
      <c r="BC32" s="395"/>
      <c r="BD32" s="395"/>
      <c r="BF32" s="390" t="s">
        <v>640</v>
      </c>
      <c r="BN32" s="398" t="s">
        <v>641</v>
      </c>
      <c r="BO32" s="395"/>
      <c r="BP32" s="395"/>
      <c r="BQ32" s="395"/>
      <c r="BR32" s="395"/>
      <c r="BS32" s="395"/>
      <c r="BT32" s="395"/>
      <c r="BV32" s="390" t="s">
        <v>642</v>
      </c>
      <c r="CD32" s="398" t="s">
        <v>643</v>
      </c>
      <c r="CE32" s="395"/>
      <c r="CF32" s="395"/>
      <c r="CG32" s="395"/>
      <c r="CH32" s="395"/>
      <c r="CI32" s="395"/>
      <c r="CJ32" s="395"/>
      <c r="CK32" s="396"/>
      <c r="CL32" s="398" t="s">
        <v>644</v>
      </c>
      <c r="CM32" s="395"/>
      <c r="CN32" s="395"/>
      <c r="CO32" s="395"/>
      <c r="CP32" s="395"/>
      <c r="CQ32" s="395"/>
      <c r="CR32" s="395"/>
      <c r="CS32" s="396"/>
      <c r="CT32" s="398" t="s">
        <v>645</v>
      </c>
      <c r="CU32" s="395"/>
      <c r="CV32" s="395"/>
      <c r="CW32" s="395"/>
      <c r="CX32" s="395"/>
      <c r="CY32" s="395"/>
      <c r="CZ32" s="395"/>
      <c r="DA32" s="403"/>
      <c r="DB32" s="398" t="s">
        <v>646</v>
      </c>
      <c r="DC32" s="395"/>
      <c r="DD32" s="395"/>
      <c r="DE32" s="395"/>
      <c r="DF32" s="395"/>
      <c r="DJ32" s="390" t="s">
        <v>648</v>
      </c>
      <c r="DR32" s="390" t="s">
        <v>647</v>
      </c>
      <c r="DZ32" s="398" t="s">
        <v>649</v>
      </c>
      <c r="EA32" s="395"/>
      <c r="EB32" s="395"/>
      <c r="EC32" s="395"/>
      <c r="ED32" s="395"/>
      <c r="EE32" s="395"/>
      <c r="EF32" s="395"/>
      <c r="EH32" s="390" t="s">
        <v>650</v>
      </c>
      <c r="EP32" s="398" t="s">
        <v>613</v>
      </c>
      <c r="EQ32" s="395"/>
      <c r="ER32" s="395"/>
      <c r="ES32" s="395"/>
      <c r="ET32" s="395"/>
      <c r="EU32" s="395"/>
      <c r="EV32" s="395"/>
      <c r="EX32" s="390" t="s">
        <v>614</v>
      </c>
      <c r="FF32" s="390" t="s">
        <v>651</v>
      </c>
      <c r="FN32" s="390" t="s">
        <v>652</v>
      </c>
      <c r="FV32" s="390" t="s">
        <v>653</v>
      </c>
    </row>
    <row r="33" spans="1:181">
      <c r="A33" s="357" t="s">
        <v>400</v>
      </c>
      <c r="B33" s="395"/>
      <c r="C33" s="395">
        <f>Europe!$D$6</f>
        <v>8890.1</v>
      </c>
      <c r="D33" s="395">
        <f>Europe!$E$6</f>
        <v>9808.9</v>
      </c>
      <c r="E33" s="395">
        <f>Europe!$F$6</f>
        <v>9491</v>
      </c>
      <c r="F33" s="395"/>
      <c r="G33" s="395"/>
      <c r="H33" s="395"/>
      <c r="I33" s="396"/>
      <c r="J33" s="395"/>
      <c r="K33" s="395">
        <f>Europe!$D$20</f>
        <v>2063</v>
      </c>
      <c r="L33" s="395">
        <f>Europe!$E$20</f>
        <v>2098</v>
      </c>
      <c r="M33" s="395">
        <f>Europe!$F$20</f>
        <v>2075</v>
      </c>
      <c r="N33" s="395"/>
      <c r="O33" s="395"/>
      <c r="P33" s="395"/>
      <c r="Q33" s="396"/>
      <c r="R33" s="402"/>
      <c r="S33" s="395">
        <f>Europe!$D$7</f>
        <v>0.2320558823860249</v>
      </c>
      <c r="T33" s="395">
        <f>Europe!$E$7</f>
        <v>0.21388738798438153</v>
      </c>
      <c r="U33" s="395">
        <f>Europe!$F$7</f>
        <v>0.21862817405963544</v>
      </c>
      <c r="V33" s="395"/>
      <c r="W33" s="395"/>
      <c r="X33" s="395"/>
      <c r="Y33" s="396"/>
      <c r="Z33" s="395"/>
      <c r="AA33" s="395">
        <f>Europe!$D$22</f>
        <v>2063</v>
      </c>
      <c r="AB33" s="395">
        <f>Europe!$E$22</f>
        <v>2098</v>
      </c>
      <c r="AC33" s="395">
        <f>Europe!$F$22</f>
        <v>2075</v>
      </c>
      <c r="AD33" s="395"/>
      <c r="AE33" s="395"/>
      <c r="AF33" s="395"/>
      <c r="AG33" s="396"/>
      <c r="AH33" s="395"/>
      <c r="AI33" s="395">
        <f>Europe!$D$24</f>
        <v>2063</v>
      </c>
      <c r="AJ33" s="395">
        <f>Europe!$E$24</f>
        <v>2098</v>
      </c>
      <c r="AK33" s="395">
        <f>Europe!$F$24</f>
        <v>2075</v>
      </c>
      <c r="AL33" s="395"/>
      <c r="AM33" s="395"/>
      <c r="AN33" s="395"/>
      <c r="AO33" s="396"/>
      <c r="AQ33" s="359">
        <f>AI33/AA33</f>
        <v>1</v>
      </c>
      <c r="AR33" s="359">
        <f>AJ33/AB33</f>
        <v>1</v>
      </c>
      <c r="AS33" s="359">
        <f>AK33/AC33</f>
        <v>1</v>
      </c>
      <c r="AX33" s="395"/>
      <c r="AY33" s="395">
        <f>Europe!$D$38</f>
        <v>167</v>
      </c>
      <c r="AZ33" s="395">
        <f>Europe!$E$38</f>
        <v>-266.30000000000018</v>
      </c>
      <c r="BA33" s="395">
        <f>Europe!$F$38</f>
        <v>-319</v>
      </c>
      <c r="BB33" s="395"/>
      <c r="BC33" s="395"/>
      <c r="BD33" s="395"/>
      <c r="BF33" s="359"/>
      <c r="BG33" s="392">
        <f>Europe!$D$39</f>
        <v>8.0950072709646145E-2</v>
      </c>
      <c r="BH33" s="392">
        <f>Europe!$E$39</f>
        <v>-0.1269304099142041</v>
      </c>
      <c r="BI33" s="392">
        <f>Europe!$F$39</f>
        <v>-0.15373493975903615</v>
      </c>
      <c r="BN33" s="395"/>
      <c r="BO33" s="395">
        <f>Europe!$D$49</f>
        <v>2.8</v>
      </c>
      <c r="BP33" s="395">
        <f>Europe!$E$49</f>
        <v>-518</v>
      </c>
      <c r="BQ33" s="395">
        <f>Europe!$F$49</f>
        <v>-590</v>
      </c>
      <c r="BR33" s="395"/>
      <c r="BS33" s="395"/>
      <c r="BT33" s="395"/>
      <c r="BV33" s="359"/>
      <c r="BW33" s="392">
        <f>Europe!$D$50</f>
        <v>1.3572467280659234E-3</v>
      </c>
      <c r="BX33" s="392">
        <f>Europe!$E$50</f>
        <v>-0.24690181124880839</v>
      </c>
      <c r="BY33" s="392">
        <f>Europe!$F$50</f>
        <v>-0.28433734939759037</v>
      </c>
      <c r="CD33" s="395"/>
      <c r="CE33" s="395">
        <f>Europe!$D$102</f>
        <v>6900.6</v>
      </c>
      <c r="CF33" s="395">
        <f>Europe!$E$102</f>
        <v>6689.8</v>
      </c>
      <c r="CG33" s="395">
        <f>Europe!$F$102</f>
        <v>5907</v>
      </c>
      <c r="CH33" s="395"/>
      <c r="CI33" s="395"/>
      <c r="CJ33" s="395"/>
      <c r="CK33" s="396"/>
      <c r="CL33" s="395"/>
      <c r="CM33" s="395">
        <f>Europe!$D$108</f>
        <v>5157.8999999999996</v>
      </c>
      <c r="CN33" s="395">
        <f>Europe!$E$108</f>
        <v>5506.6</v>
      </c>
      <c r="CO33" s="395">
        <f>Europe!$F$108</f>
        <v>5449</v>
      </c>
      <c r="CP33" s="395"/>
      <c r="CQ33" s="395"/>
      <c r="CR33" s="395"/>
      <c r="CS33" s="396"/>
      <c r="CT33" s="395"/>
      <c r="CU33" s="395">
        <f>Europe!$D$111</f>
        <v>1742.7000000000007</v>
      </c>
      <c r="CV33" s="395">
        <f>Europe!$E$111</f>
        <v>1183.1999999999998</v>
      </c>
      <c r="CW33" s="395">
        <f>Europe!$F$111</f>
        <v>458</v>
      </c>
      <c r="CX33" s="395"/>
      <c r="CY33" s="395"/>
      <c r="CZ33" s="395"/>
      <c r="DA33" s="403"/>
      <c r="DB33" s="395"/>
      <c r="DC33" s="395">
        <f>Europe!$D$150</f>
        <v>853.8</v>
      </c>
      <c r="DD33" s="395">
        <f>Europe!$E$150</f>
        <v>858.2</v>
      </c>
      <c r="DE33" s="395">
        <f>Europe!$F$150</f>
        <v>871.9</v>
      </c>
      <c r="DF33" s="395"/>
      <c r="DJ33" s="361"/>
      <c r="DK33" s="361" t="str">
        <f>Europe!$D$151</f>
        <v>-</v>
      </c>
      <c r="DL33" s="361" t="str">
        <f>Europe!$E$151</f>
        <v>-</v>
      </c>
      <c r="DM33" s="361" t="str">
        <f>Europe!$F$151</f>
        <v>-</v>
      </c>
      <c r="DR33" s="361"/>
      <c r="DS33" s="361" t="str">
        <f>Europe!$D$152</f>
        <v>-</v>
      </c>
      <c r="DT33" s="361" t="str">
        <f>Europe!$E$152</f>
        <v>-</v>
      </c>
      <c r="DU33" s="361" t="str">
        <f>Europe!$F$152</f>
        <v>-</v>
      </c>
      <c r="DZ33" s="395"/>
      <c r="EA33" s="395">
        <f>Europe!$D$158</f>
        <v>1619.6586</v>
      </c>
      <c r="EB33" s="395">
        <f>Europe!$E$158</f>
        <v>126.58450000000001</v>
      </c>
      <c r="EC33" s="395">
        <f>Europe!$F$158</f>
        <v>418.512</v>
      </c>
      <c r="ED33" s="395"/>
      <c r="EE33" s="395"/>
      <c r="EF33" s="395"/>
      <c r="EH33" s="361"/>
      <c r="EI33" s="361">
        <f>Europe!$D$159</f>
        <v>1.897</v>
      </c>
      <c r="EJ33" s="361">
        <f>Europe!$E$159</f>
        <v>0.14749999999999999</v>
      </c>
      <c r="EK33" s="361">
        <f>Europe!$F$159</f>
        <v>0.48</v>
      </c>
      <c r="EP33" s="395"/>
      <c r="EQ33" s="395">
        <f>Europe!$D$163</f>
        <v>-299.39999999999998</v>
      </c>
      <c r="ER33" s="395">
        <f>Europe!$E$163</f>
        <v>-288.49800000000005</v>
      </c>
      <c r="ES33" s="395">
        <f>Europe!$F$163</f>
        <v>-288.49800000000005</v>
      </c>
      <c r="ET33" s="395"/>
      <c r="EU33" s="395"/>
      <c r="EV33" s="395"/>
      <c r="EX33" s="361"/>
      <c r="EY33" s="361">
        <f>Europe!$D$164</f>
        <v>-0.14512845370819194</v>
      </c>
      <c r="EZ33" s="361">
        <f>Europe!$E$164</f>
        <v>-0.137510962821735</v>
      </c>
      <c r="FA33" s="361">
        <f>Europe!$F$164</f>
        <v>-0.13903518072289159</v>
      </c>
      <c r="FF33" s="361"/>
      <c r="FG33" s="361" t="str">
        <f>Europe!$D$165</f>
        <v>-</v>
      </c>
      <c r="FH33" s="361" t="str">
        <f>Europe!$E$165</f>
        <v>-</v>
      </c>
      <c r="FI33" s="361" t="str">
        <f>Europe!$F$165</f>
        <v>-</v>
      </c>
      <c r="FN33" s="361"/>
      <c r="FO33" s="361">
        <f>Europe!$D$166</f>
        <v>0.78509869122636933</v>
      </c>
      <c r="FP33" s="361">
        <f>Europe!$E$166</f>
        <v>6.0335795996186846E-2</v>
      </c>
      <c r="FQ33" s="361">
        <f>Europe!$F$166</f>
        <v>0.20169253012048194</v>
      </c>
      <c r="FV33" s="361"/>
      <c r="FW33" s="361">
        <f>Europe!$D$167</f>
        <v>0</v>
      </c>
      <c r="FX33" s="361" t="str">
        <f>Europe!$E$167</f>
        <v>-</v>
      </c>
      <c r="FY33" s="361" t="str">
        <f>Europe!$F$167</f>
        <v>-</v>
      </c>
    </row>
    <row r="34" spans="1:181">
      <c r="A34" s="404" t="s">
        <v>656</v>
      </c>
      <c r="B34" s="395"/>
      <c r="C34" s="395"/>
      <c r="D34" s="395"/>
      <c r="E34" s="395"/>
      <c r="F34" s="395"/>
      <c r="G34" s="395"/>
      <c r="H34" s="395"/>
      <c r="I34" s="396"/>
      <c r="J34" s="395"/>
      <c r="K34" s="395"/>
      <c r="L34" s="395"/>
      <c r="M34" s="395"/>
      <c r="N34" s="395"/>
      <c r="O34" s="395"/>
      <c r="P34" s="395"/>
      <c r="Q34" s="396"/>
      <c r="R34" s="402"/>
      <c r="S34" s="395"/>
      <c r="T34" s="395"/>
      <c r="U34" s="395"/>
      <c r="V34" s="395"/>
      <c r="W34" s="395"/>
      <c r="X34" s="395"/>
      <c r="Y34" s="396"/>
      <c r="Z34" s="395"/>
      <c r="AA34" s="395"/>
      <c r="AB34" s="395"/>
      <c r="AC34" s="395"/>
      <c r="AD34" s="395"/>
      <c r="AE34" s="395"/>
      <c r="AF34" s="395"/>
      <c r="AG34" s="396"/>
      <c r="AH34" s="395"/>
      <c r="AI34" s="395"/>
      <c r="AJ34" s="395"/>
      <c r="AK34" s="395"/>
      <c r="AL34" s="395"/>
      <c r="AM34" s="395"/>
      <c r="AN34" s="395"/>
      <c r="AO34" s="396"/>
      <c r="AQ34" s="359"/>
      <c r="AR34" s="359"/>
      <c r="AS34" s="359"/>
      <c r="AX34" s="395"/>
      <c r="AY34" s="395"/>
      <c r="AZ34" s="395"/>
      <c r="BA34" s="395"/>
      <c r="BB34" s="395"/>
      <c r="BC34" s="395"/>
      <c r="BD34" s="395"/>
      <c r="BF34" s="359"/>
      <c r="BG34" s="392"/>
      <c r="BH34" s="392"/>
      <c r="BI34" s="392"/>
      <c r="BN34" s="395"/>
      <c r="BO34" s="395"/>
      <c r="BP34" s="395"/>
      <c r="BQ34" s="395"/>
      <c r="BR34" s="395"/>
      <c r="BS34" s="395"/>
      <c r="BT34" s="395"/>
      <c r="BV34" s="359"/>
      <c r="BW34" s="392"/>
      <c r="BX34" s="392"/>
      <c r="BY34" s="392"/>
      <c r="CD34" s="395"/>
      <c r="CE34" s="395"/>
      <c r="CF34" s="395"/>
      <c r="CG34" s="395"/>
      <c r="CH34" s="395"/>
      <c r="CI34" s="395"/>
      <c r="CJ34" s="395"/>
      <c r="CK34" s="396"/>
      <c r="CL34" s="395"/>
      <c r="CM34" s="395"/>
      <c r="CN34" s="395"/>
      <c r="CO34" s="395"/>
      <c r="CP34" s="395"/>
      <c r="CQ34" s="395"/>
      <c r="CR34" s="395"/>
      <c r="CS34" s="396"/>
      <c r="CT34" s="395"/>
      <c r="CU34" s="395"/>
      <c r="CV34" s="395"/>
      <c r="CW34" s="395"/>
      <c r="CX34" s="395"/>
      <c r="CY34" s="395"/>
      <c r="CZ34" s="395"/>
      <c r="DA34" s="403"/>
      <c r="DB34" s="395"/>
      <c r="DC34" s="395"/>
      <c r="DD34" s="395"/>
      <c r="DE34" s="395"/>
      <c r="DF34" s="395"/>
      <c r="DJ34" s="361"/>
      <c r="DK34" s="361"/>
      <c r="DL34" s="361"/>
      <c r="DM34" s="361"/>
      <c r="DR34" s="361"/>
      <c r="DS34" s="361"/>
      <c r="DT34" s="361"/>
      <c r="DU34" s="361"/>
      <c r="DZ34" s="395"/>
      <c r="EA34" s="395"/>
      <c r="EB34" s="395"/>
      <c r="EC34" s="395"/>
      <c r="ED34" s="395"/>
      <c r="EE34" s="395"/>
      <c r="EF34" s="395"/>
      <c r="EH34" s="361"/>
      <c r="EI34" s="361"/>
      <c r="EJ34" s="361"/>
      <c r="EK34" s="361"/>
      <c r="EP34" s="395"/>
      <c r="EQ34" s="395"/>
      <c r="ER34" s="395"/>
      <c r="ES34" s="395"/>
      <c r="ET34" s="395"/>
      <c r="EU34" s="395"/>
      <c r="EV34" s="395"/>
      <c r="EX34" s="361"/>
      <c r="EY34" s="361"/>
      <c r="EZ34" s="361"/>
      <c r="FA34" s="361"/>
      <c r="FF34" s="361"/>
      <c r="FG34" s="361"/>
      <c r="FH34" s="361"/>
      <c r="FI34" s="361"/>
      <c r="FN34" s="361"/>
      <c r="FO34" s="361"/>
      <c r="FP34" s="361"/>
      <c r="FQ34" s="361"/>
      <c r="FV34" s="361"/>
      <c r="FW34" s="361"/>
      <c r="FX34" s="361"/>
      <c r="FY34" s="361"/>
    </row>
    <row r="35" spans="1:181">
      <c r="A35" s="404" t="s">
        <v>657</v>
      </c>
      <c r="B35" s="395"/>
      <c r="C35" s="395"/>
      <c r="D35" s="395"/>
      <c r="E35" s="395"/>
      <c r="F35" s="395"/>
      <c r="G35" s="395"/>
      <c r="H35" s="395"/>
      <c r="I35" s="396"/>
      <c r="J35" s="395"/>
      <c r="K35" s="395"/>
      <c r="L35" s="395"/>
      <c r="M35" s="395"/>
      <c r="N35" s="395"/>
      <c r="O35" s="395"/>
      <c r="P35" s="395"/>
      <c r="Q35" s="396"/>
      <c r="R35" s="402"/>
      <c r="S35" s="395"/>
      <c r="T35" s="395"/>
      <c r="U35" s="395"/>
      <c r="V35" s="395"/>
      <c r="W35" s="395"/>
      <c r="X35" s="395"/>
      <c r="Y35" s="396"/>
      <c r="Z35" s="395"/>
      <c r="AA35" s="395"/>
      <c r="AB35" s="395"/>
      <c r="AC35" s="395"/>
      <c r="AD35" s="395"/>
      <c r="AE35" s="395"/>
      <c r="AF35" s="395"/>
      <c r="AG35" s="396"/>
      <c r="AH35" s="395"/>
      <c r="AI35" s="395"/>
      <c r="AJ35" s="395"/>
      <c r="AK35" s="395"/>
      <c r="AL35" s="395"/>
      <c r="AM35" s="395"/>
      <c r="AN35" s="395"/>
      <c r="AO35" s="396"/>
      <c r="AQ35" s="359"/>
      <c r="AR35" s="359"/>
      <c r="AS35" s="359"/>
      <c r="AX35" s="395"/>
      <c r="AY35" s="395"/>
      <c r="AZ35" s="395"/>
      <c r="BA35" s="395"/>
      <c r="BB35" s="395"/>
      <c r="BC35" s="395"/>
      <c r="BD35" s="395"/>
      <c r="BF35" s="359"/>
      <c r="BG35" s="392"/>
      <c r="BH35" s="392"/>
      <c r="BI35" s="392"/>
      <c r="BN35" s="395"/>
      <c r="BO35" s="395"/>
      <c r="BP35" s="395"/>
      <c r="BQ35" s="395"/>
      <c r="BR35" s="395"/>
      <c r="BS35" s="395"/>
      <c r="BT35" s="395"/>
      <c r="BV35" s="359"/>
      <c r="BW35" s="392"/>
      <c r="BX35" s="392"/>
      <c r="BY35" s="392"/>
      <c r="CD35" s="395"/>
      <c r="CE35" s="395"/>
      <c r="CF35" s="395"/>
      <c r="CG35" s="395"/>
      <c r="CH35" s="395"/>
      <c r="CI35" s="395"/>
      <c r="CJ35" s="395"/>
      <c r="CK35" s="396"/>
      <c r="CL35" s="395"/>
      <c r="CM35" s="395"/>
      <c r="CN35" s="395"/>
      <c r="CO35" s="395"/>
      <c r="CP35" s="395"/>
      <c r="CQ35" s="395"/>
      <c r="CR35" s="395"/>
      <c r="CS35" s="396"/>
      <c r="CT35" s="395"/>
      <c r="CU35" s="395"/>
      <c r="CV35" s="395"/>
      <c r="CW35" s="395"/>
      <c r="CX35" s="395"/>
      <c r="CY35" s="395"/>
      <c r="CZ35" s="395"/>
      <c r="DA35" s="403"/>
      <c r="DB35" s="395"/>
      <c r="DC35" s="395"/>
      <c r="DD35" s="395"/>
      <c r="DE35" s="395"/>
      <c r="DF35" s="395"/>
      <c r="DJ35" s="361"/>
      <c r="DK35" s="361"/>
      <c r="DL35" s="361"/>
      <c r="DM35" s="361"/>
      <c r="DR35" s="361"/>
      <c r="DS35" s="361"/>
      <c r="DT35" s="361"/>
      <c r="DU35" s="361"/>
      <c r="DZ35" s="395"/>
      <c r="EA35" s="395"/>
      <c r="EB35" s="395"/>
      <c r="EC35" s="395"/>
      <c r="ED35" s="395"/>
      <c r="EE35" s="395"/>
      <c r="EF35" s="395"/>
      <c r="EH35" s="361"/>
      <c r="EI35" s="361"/>
      <c r="EJ35" s="361"/>
      <c r="EK35" s="361"/>
      <c r="EP35" s="395"/>
      <c r="EQ35" s="395"/>
      <c r="ER35" s="395"/>
      <c r="ES35" s="395"/>
      <c r="ET35" s="395"/>
      <c r="EU35" s="395"/>
      <c r="EV35" s="395"/>
      <c r="EX35" s="361"/>
      <c r="EY35" s="361"/>
      <c r="EZ35" s="361"/>
      <c r="FA35" s="361"/>
      <c r="FF35" s="361"/>
      <c r="FG35" s="361"/>
      <c r="FH35" s="361"/>
      <c r="FI35" s="361"/>
      <c r="FN35" s="361"/>
      <c r="FO35" s="361"/>
      <c r="FP35" s="361"/>
      <c r="FQ35" s="361"/>
      <c r="FV35" s="361"/>
      <c r="FW35" s="361"/>
      <c r="FX35" s="361"/>
      <c r="FY35" s="361"/>
    </row>
    <row r="36" spans="1:181">
      <c r="A36" s="357" t="s">
        <v>401</v>
      </c>
      <c r="B36" s="395"/>
      <c r="C36" s="395">
        <f>Europe!$L$6</f>
        <v>13514</v>
      </c>
      <c r="D36" s="395">
        <f>Europe!$M$6</f>
        <v>14687</v>
      </c>
      <c r="E36" s="395">
        <f>Europe!$N$6</f>
        <v>14460</v>
      </c>
      <c r="F36" s="395"/>
      <c r="G36" s="395"/>
      <c r="H36" s="395"/>
      <c r="I36" s="396"/>
      <c r="J36" s="395"/>
      <c r="K36" s="395">
        <f>Europe!$L$20</f>
        <v>1171</v>
      </c>
      <c r="L36" s="395">
        <f>Europe!$M$20</f>
        <v>1336</v>
      </c>
      <c r="M36" s="395">
        <f>Europe!$N$20</f>
        <v>1495</v>
      </c>
      <c r="N36" s="395"/>
      <c r="O36" s="395"/>
      <c r="P36" s="395"/>
      <c r="Q36" s="396"/>
      <c r="R36" s="402"/>
      <c r="S36" s="395">
        <f>Europe!$L$7</f>
        <v>8.6650880568299546E-2</v>
      </c>
      <c r="T36" s="395">
        <f>Europe!$M$7</f>
        <v>9.0964798801661334E-2</v>
      </c>
      <c r="U36" s="395">
        <f>Europe!$N$7</f>
        <v>0.10338865836791147</v>
      </c>
      <c r="V36" s="395"/>
      <c r="W36" s="395"/>
      <c r="X36" s="395"/>
      <c r="Y36" s="396"/>
      <c r="Z36" s="395"/>
      <c r="AA36" s="395">
        <f>Europe!$L$22</f>
        <v>1171</v>
      </c>
      <c r="AB36" s="395">
        <f>Europe!$M$22</f>
        <v>1336</v>
      </c>
      <c r="AC36" s="395">
        <f>Europe!$N$22</f>
        <v>1495</v>
      </c>
      <c r="AD36" s="395"/>
      <c r="AE36" s="395"/>
      <c r="AF36" s="395"/>
      <c r="AG36" s="396"/>
      <c r="AH36" s="395"/>
      <c r="AI36" s="395">
        <f>Europe!$L$24</f>
        <v>1171</v>
      </c>
      <c r="AJ36" s="395">
        <f>Europe!$M$24</f>
        <v>1336</v>
      </c>
      <c r="AK36" s="395">
        <f>Europe!$N$24</f>
        <v>1495</v>
      </c>
      <c r="AL36" s="395"/>
      <c r="AM36" s="395"/>
      <c r="AN36" s="395"/>
      <c r="AO36" s="396"/>
      <c r="AQ36" s="359">
        <f>AI36/AA36</f>
        <v>1</v>
      </c>
      <c r="AR36" s="359">
        <f>AJ36/AB36</f>
        <v>1</v>
      </c>
      <c r="AS36" s="359">
        <f>AK36/AC36</f>
        <v>1</v>
      </c>
      <c r="AX36" s="395"/>
      <c r="AY36" s="395">
        <f>Europe!$L$38</f>
        <v>44</v>
      </c>
      <c r="AZ36" s="395">
        <f>Europe!$M$38</f>
        <v>255</v>
      </c>
      <c r="BA36" s="395">
        <f>Europe!$N$38</f>
        <v>301</v>
      </c>
      <c r="BB36" s="395"/>
      <c r="BC36" s="395"/>
      <c r="BD36" s="395"/>
      <c r="BF36" s="359"/>
      <c r="BG36" s="392">
        <f>Europe!$L$39</f>
        <v>3.7574722459436376E-2</v>
      </c>
      <c r="BH36" s="392">
        <f>Europe!$M$39</f>
        <v>0.19086826347305388</v>
      </c>
      <c r="BI36" s="392">
        <f>Europe!$N$39</f>
        <v>0.20133779264214047</v>
      </c>
      <c r="BN36" s="395"/>
      <c r="BO36" s="395">
        <f>Europe!$L$49</f>
        <v>-123</v>
      </c>
      <c r="BP36" s="395">
        <f>Europe!$M$49</f>
        <v>87</v>
      </c>
      <c r="BQ36" s="395">
        <f>Europe!$N$49</f>
        <v>137</v>
      </c>
      <c r="BR36" s="395"/>
      <c r="BS36" s="395"/>
      <c r="BT36" s="395"/>
      <c r="BV36" s="359"/>
      <c r="BW36" s="392">
        <f>Europe!$L$50</f>
        <v>-0.10503842869342442</v>
      </c>
      <c r="BX36" s="392">
        <f>Europe!$M$50</f>
        <v>6.5119760479041916E-2</v>
      </c>
      <c r="BY36" s="392">
        <f>Europe!$N$50</f>
        <v>9.1638795986622071E-2</v>
      </c>
      <c r="CD36" s="395"/>
      <c r="CE36" s="395">
        <f>Europe!$L$102</f>
        <v>9287</v>
      </c>
      <c r="CF36" s="395">
        <f>Europe!$M$102</f>
        <v>9053</v>
      </c>
      <c r="CG36" s="395">
        <f>Europe!$N$102</f>
        <v>8621</v>
      </c>
      <c r="CH36" s="395"/>
      <c r="CI36" s="395"/>
      <c r="CJ36" s="395"/>
      <c r="CK36" s="396"/>
      <c r="CL36" s="395"/>
      <c r="CM36" s="395">
        <f>Europe!$L$108</f>
        <v>7311</v>
      </c>
      <c r="CN36" s="395">
        <f>Europe!$M$108</f>
        <v>7115</v>
      </c>
      <c r="CO36" s="395">
        <f>Europe!$N$108</f>
        <v>7012</v>
      </c>
      <c r="CP36" s="395"/>
      <c r="CQ36" s="395"/>
      <c r="CR36" s="395"/>
      <c r="CS36" s="396"/>
      <c r="CT36" s="395"/>
      <c r="CU36" s="395">
        <f>Europe!$L$111</f>
        <v>1976</v>
      </c>
      <c r="CV36" s="395">
        <f>Europe!$M$111</f>
        <v>1938</v>
      </c>
      <c r="CW36" s="395">
        <f>Europe!$N$111</f>
        <v>1609</v>
      </c>
      <c r="CX36" s="395"/>
      <c r="CY36" s="395"/>
      <c r="CZ36" s="395"/>
      <c r="DA36" s="403"/>
      <c r="DB36" s="395"/>
      <c r="DC36" s="395">
        <f>Europe!$L$150</f>
        <v>1107</v>
      </c>
      <c r="DD36" s="395">
        <f>Europe!$M$150</f>
        <v>1107</v>
      </c>
      <c r="DE36" s="395">
        <f>Europe!$N$150</f>
        <v>1108</v>
      </c>
      <c r="DF36" s="395"/>
      <c r="DJ36" s="361"/>
      <c r="DK36" s="361" t="str">
        <f>Europe!$L$151</f>
        <v>-</v>
      </c>
      <c r="DL36" s="361">
        <f>Europe!$M$151</f>
        <v>21.096620689655172</v>
      </c>
      <c r="DM36" s="361">
        <f>Europe!$N$151</f>
        <v>22.847445255474454</v>
      </c>
      <c r="DR36" s="361"/>
      <c r="DS36" s="361" t="str">
        <f>Europe!$L$152</f>
        <v>-</v>
      </c>
      <c r="DT36" s="361">
        <f>Europe!$M$152</f>
        <v>0.12455983492296405</v>
      </c>
      <c r="DU36" s="361">
        <f>Europe!$N$152</f>
        <v>0.36651110097323603</v>
      </c>
      <c r="DZ36" s="395"/>
      <c r="EA36" s="395">
        <f>Europe!$L$158</f>
        <v>2725.4340000000002</v>
      </c>
      <c r="EB36" s="395">
        <f>Europe!$M$158</f>
        <v>1835.4059999999999</v>
      </c>
      <c r="EC36" s="395">
        <f>Europe!$N$158</f>
        <v>3130.1000000000004</v>
      </c>
      <c r="ED36" s="395"/>
      <c r="EE36" s="395"/>
      <c r="EF36" s="395"/>
      <c r="EH36" s="361"/>
      <c r="EI36" s="361">
        <f>Europe!$L$159</f>
        <v>2.4620000000000002</v>
      </c>
      <c r="EJ36" s="361">
        <f>Europe!$M$159</f>
        <v>1.6579999999999999</v>
      </c>
      <c r="EK36" s="361">
        <f>Europe!$N$159</f>
        <v>2.8250000000000002</v>
      </c>
      <c r="EP36" s="395"/>
      <c r="EQ36" s="395">
        <f>Europe!$L$163</f>
        <v>749.4340000000002</v>
      </c>
      <c r="ER36" s="395">
        <f>Europe!$M$163</f>
        <v>-102.59400000000005</v>
      </c>
      <c r="ES36" s="395">
        <f>Europe!$N$163</f>
        <v>1521.1000000000004</v>
      </c>
      <c r="ET36" s="395"/>
      <c r="EU36" s="395"/>
      <c r="EV36" s="395"/>
      <c r="EX36" s="361"/>
      <c r="EY36" s="361">
        <f>Europe!$L$164</f>
        <v>0.63999487617421025</v>
      </c>
      <c r="EZ36" s="361">
        <f>Europe!$M$164</f>
        <v>-7.6791916167664703E-2</v>
      </c>
      <c r="FA36" s="361">
        <f>Europe!$N$164</f>
        <v>1.0174581939799334</v>
      </c>
      <c r="FF36" s="361"/>
      <c r="FG36" s="361">
        <f>Europe!$L$165</f>
        <v>17.032590909090914</v>
      </c>
      <c r="FH36" s="361">
        <f>Europe!$M$165</f>
        <v>-0.4023294117647061</v>
      </c>
      <c r="FI36" s="361">
        <f>Europe!$N$165</f>
        <v>5.0534883720930246</v>
      </c>
      <c r="FN36" s="361"/>
      <c r="FO36" s="361">
        <f>Europe!$L$166</f>
        <v>2.3274415029888984</v>
      </c>
      <c r="FP36" s="361">
        <f>Europe!$M$166</f>
        <v>1.3738068862275448</v>
      </c>
      <c r="FQ36" s="361">
        <f>Europe!$N$166</f>
        <v>2.0937123745819401</v>
      </c>
      <c r="FV36" s="361"/>
      <c r="FW36" s="361">
        <f>Europe!$L$167</f>
        <v>61.94168181818182</v>
      </c>
      <c r="FX36" s="361">
        <f>Europe!$M$167</f>
        <v>7.1976705882352938</v>
      </c>
      <c r="FY36" s="361">
        <f>Europe!$N$167</f>
        <v>10.399003322259137</v>
      </c>
    </row>
    <row r="37" spans="1:181">
      <c r="A37" s="404" t="s">
        <v>656</v>
      </c>
      <c r="B37" s="395"/>
      <c r="C37" s="395"/>
      <c r="D37" s="395"/>
      <c r="E37" s="395"/>
      <c r="F37" s="395"/>
      <c r="G37" s="395"/>
      <c r="H37" s="395"/>
      <c r="I37" s="396"/>
      <c r="J37" s="395"/>
      <c r="K37" s="395"/>
      <c r="L37" s="395"/>
      <c r="M37" s="395"/>
      <c r="N37" s="395"/>
      <c r="O37" s="395"/>
      <c r="P37" s="395"/>
      <c r="Q37" s="396"/>
      <c r="R37" s="395"/>
      <c r="S37" s="395"/>
      <c r="T37" s="395"/>
      <c r="U37" s="395"/>
      <c r="V37" s="395"/>
      <c r="W37" s="395"/>
      <c r="X37" s="395"/>
      <c r="Y37" s="396"/>
      <c r="Z37" s="395"/>
      <c r="AA37" s="395"/>
      <c r="AB37" s="395"/>
      <c r="AC37" s="395"/>
      <c r="AD37" s="395"/>
      <c r="AE37" s="395"/>
      <c r="AF37" s="395"/>
      <c r="AG37" s="396"/>
      <c r="AH37" s="395"/>
      <c r="AI37" s="395"/>
      <c r="AJ37" s="395"/>
      <c r="AK37" s="395"/>
      <c r="AL37" s="395"/>
      <c r="AM37" s="395"/>
      <c r="AN37" s="395"/>
      <c r="AO37" s="396"/>
      <c r="AX37" s="395"/>
      <c r="AY37" s="395"/>
      <c r="AZ37" s="395"/>
      <c r="BA37" s="395"/>
      <c r="BB37" s="395"/>
      <c r="BC37" s="395"/>
      <c r="BD37" s="395"/>
      <c r="BN37" s="395"/>
      <c r="BO37" s="395"/>
      <c r="BP37" s="395"/>
      <c r="BQ37" s="395"/>
      <c r="BR37" s="395"/>
      <c r="BS37" s="395"/>
      <c r="BT37" s="395"/>
      <c r="CD37" s="395"/>
      <c r="CE37" s="395"/>
      <c r="CF37" s="395"/>
      <c r="CG37" s="395"/>
      <c r="CH37" s="395"/>
      <c r="CI37" s="395"/>
      <c r="CJ37" s="395"/>
      <c r="CK37" s="396"/>
      <c r="CL37" s="395"/>
      <c r="CM37" s="395"/>
      <c r="CN37" s="395"/>
      <c r="CO37" s="395"/>
      <c r="CP37" s="395"/>
      <c r="CQ37" s="395"/>
      <c r="CR37" s="395"/>
      <c r="CS37" s="396"/>
      <c r="CT37" s="395"/>
      <c r="CU37" s="395"/>
      <c r="CV37" s="395"/>
      <c r="CW37" s="395"/>
      <c r="CX37" s="395"/>
      <c r="CY37" s="395"/>
      <c r="CZ37" s="395"/>
      <c r="DA37" s="403"/>
      <c r="DB37" s="395"/>
      <c r="DC37" s="395"/>
      <c r="DD37" s="395"/>
      <c r="DE37" s="395"/>
      <c r="DF37" s="395"/>
      <c r="DZ37" s="395"/>
      <c r="EA37" s="395"/>
      <c r="EB37" s="395"/>
      <c r="EC37" s="395"/>
      <c r="ED37" s="395"/>
      <c r="EE37" s="395"/>
      <c r="EF37" s="395"/>
      <c r="EP37" s="395"/>
      <c r="EQ37" s="395"/>
      <c r="ER37" s="395"/>
      <c r="ES37" s="395"/>
      <c r="ET37" s="395"/>
      <c r="EU37" s="395"/>
      <c r="EV37" s="395"/>
    </row>
    <row r="38" spans="1:181">
      <c r="A38" s="404" t="s">
        <v>657</v>
      </c>
      <c r="AX38" s="395"/>
      <c r="AY38" s="395"/>
      <c r="AZ38" s="395"/>
      <c r="BA38" s="395"/>
      <c r="BB38" s="395"/>
      <c r="BC38" s="395"/>
      <c r="BD38" s="395"/>
      <c r="BN38" s="395"/>
      <c r="BO38" s="395"/>
      <c r="BP38" s="395"/>
      <c r="BQ38" s="395"/>
      <c r="BR38" s="395"/>
      <c r="BS38" s="395"/>
      <c r="BT38" s="395"/>
      <c r="DZ38" s="395"/>
      <c r="EA38" s="395"/>
      <c r="EB38" s="395"/>
      <c r="EC38" s="395"/>
      <c r="ED38" s="395"/>
      <c r="EE38" s="395"/>
      <c r="EF38" s="395"/>
      <c r="EP38" s="395"/>
      <c r="EQ38" s="395"/>
      <c r="ER38" s="395"/>
      <c r="ES38" s="395"/>
      <c r="ET38" s="395"/>
      <c r="EU38" s="395"/>
      <c r="EV38" s="395"/>
    </row>
    <row r="39" spans="1:181">
      <c r="AX39" s="395"/>
      <c r="AY39" s="395"/>
      <c r="AZ39" s="395"/>
      <c r="BA39" s="395"/>
      <c r="BB39" s="395"/>
      <c r="BC39" s="395"/>
      <c r="BD39" s="395"/>
      <c r="BN39" s="395"/>
      <c r="BO39" s="395"/>
      <c r="BP39" s="395"/>
      <c r="BQ39" s="395"/>
      <c r="BR39" s="395"/>
      <c r="BS39" s="395"/>
      <c r="BT39" s="395"/>
      <c r="EP39" s="395"/>
      <c r="EQ39" s="395"/>
      <c r="ER39" s="395"/>
      <c r="ES39" s="395"/>
      <c r="ET39" s="395"/>
      <c r="EU39" s="395"/>
      <c r="EV39" s="395"/>
    </row>
    <row r="40" spans="1:181">
      <c r="EP40" s="395"/>
      <c r="EQ40" s="395"/>
      <c r="ER40" s="395"/>
      <c r="ES40" s="395"/>
      <c r="ET40" s="395"/>
      <c r="EU40" s="395"/>
      <c r="EV40" s="395"/>
    </row>
  </sheetData>
  <mergeCells count="23">
    <mergeCell ref="FN2:FT2"/>
    <mergeCell ref="FV2:GB2"/>
    <mergeCell ref="DZ2:EF2"/>
    <mergeCell ref="EH2:EN2"/>
    <mergeCell ref="EP2:EV2"/>
    <mergeCell ref="EX2:FD2"/>
    <mergeCell ref="FF2:FL2"/>
    <mergeCell ref="DR2:DX2"/>
    <mergeCell ref="AX2:BD2"/>
    <mergeCell ref="BF2:BL2"/>
    <mergeCell ref="BN2:BT2"/>
    <mergeCell ref="BV2:CB2"/>
    <mergeCell ref="CD2:CJ2"/>
    <mergeCell ref="CL2:CR2"/>
    <mergeCell ref="CT2:CZ2"/>
    <mergeCell ref="DB2:DH2"/>
    <mergeCell ref="DJ2:DP2"/>
    <mergeCell ref="AP2:AV2"/>
    <mergeCell ref="B2:H2"/>
    <mergeCell ref="J2:P2"/>
    <mergeCell ref="R2:X2"/>
    <mergeCell ref="Z2:AF2"/>
    <mergeCell ref="AH2:AN2"/>
  </mergeCells>
  <phoneticPr fontId="11"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5"/>
  <sheetViews>
    <sheetView workbookViewId="0"/>
  </sheetViews>
  <sheetFormatPr defaultRowHeight="15"/>
  <sheetData>
    <row r="1" spans="1:8">
      <c r="A1" s="511" t="s">
        <v>676</v>
      </c>
      <c r="B1" s="511" t="s">
        <v>677</v>
      </c>
      <c r="C1" s="511" t="s">
        <v>678</v>
      </c>
      <c r="D1" s="511" t="s">
        <v>679</v>
      </c>
      <c r="E1" s="511" t="s">
        <v>680</v>
      </c>
      <c r="F1" s="511" t="s">
        <v>681</v>
      </c>
      <c r="G1" s="511" t="s">
        <v>682</v>
      </c>
      <c r="H1" s="511" t="s">
        <v>683</v>
      </c>
    </row>
    <row r="2" spans="1:8">
      <c r="E2">
        <v>1129</v>
      </c>
      <c r="F2">
        <v>1308</v>
      </c>
      <c r="G2">
        <v>1268</v>
      </c>
      <c r="H2">
        <v>1044</v>
      </c>
    </row>
    <row r="3" spans="1:8">
      <c r="A3">
        <v>1975</v>
      </c>
      <c r="B3">
        <v>2256</v>
      </c>
      <c r="C3">
        <v>2885</v>
      </c>
      <c r="D3">
        <v>2363</v>
      </c>
      <c r="E3">
        <f>A3*1.781</f>
        <v>3517.4749999999999</v>
      </c>
      <c r="F3">
        <f>B3*1.785</f>
        <v>4026.96</v>
      </c>
      <c r="G3">
        <f>C3*1.614</f>
        <v>4656.3900000000003</v>
      </c>
      <c r="H3">
        <f>D3*1.669</f>
        <v>3943.8470000000002</v>
      </c>
    </row>
    <row r="4" spans="1:8">
      <c r="A4">
        <v>2965</v>
      </c>
      <c r="B4">
        <v>3410</v>
      </c>
      <c r="C4">
        <v>4006</v>
      </c>
      <c r="D4">
        <v>3265</v>
      </c>
      <c r="E4">
        <f>SUM(E2:E3)</f>
        <v>4646.4750000000004</v>
      </c>
      <c r="F4">
        <f>SUM(F2:F3)</f>
        <v>5334.96</v>
      </c>
      <c r="G4">
        <f>SUM(G2:G3)</f>
        <v>5924.39</v>
      </c>
      <c r="H4">
        <f>SUM(H2:H3)</f>
        <v>4987.8469999999998</v>
      </c>
    </row>
    <row r="5" spans="1:8">
      <c r="E5" s="512">
        <f>SUM(E4:H4)/SUM(A4:D4)-1</f>
        <v>0.53112062142752436</v>
      </c>
    </row>
  </sheetData>
  <phoneticPr fontId="1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20"/>
  <sheetViews>
    <sheetView workbookViewId="0"/>
  </sheetViews>
  <sheetFormatPr defaultRowHeight="15"/>
  <sheetData>
    <row r="1" spans="1:1">
      <c r="A1" s="653">
        <v>2015</v>
      </c>
    </row>
    <row r="2" spans="1:1">
      <c r="A2" s="643"/>
    </row>
    <row r="3" spans="1:1">
      <c r="A3" s="645">
        <v>55528</v>
      </c>
    </row>
    <row r="4" spans="1:1">
      <c r="A4" s="647">
        <v>0.1</v>
      </c>
    </row>
    <row r="5" spans="1:1">
      <c r="A5" s="647">
        <v>0.25</v>
      </c>
    </row>
    <row r="6" spans="1:1">
      <c r="A6" s="649">
        <v>8591.8070000000007</v>
      </c>
    </row>
    <row r="7" spans="1:1">
      <c r="A7" s="647">
        <v>0.13</v>
      </c>
    </row>
    <row r="8" spans="1:1">
      <c r="A8" s="647">
        <v>0.27</v>
      </c>
    </row>
    <row r="9" spans="1:1">
      <c r="A9" s="649">
        <v>3450.1589999999997</v>
      </c>
    </row>
    <row r="10" spans="1:1">
      <c r="A10" s="647">
        <v>0.40156383866630146</v>
      </c>
    </row>
    <row r="11" spans="1:1">
      <c r="A11" s="650"/>
    </row>
    <row r="12" spans="1:1">
      <c r="A12" s="650"/>
    </row>
    <row r="13" spans="1:1">
      <c r="A13" s="645">
        <v>59680</v>
      </c>
    </row>
    <row r="14" spans="1:1">
      <c r="A14" s="647">
        <v>0.24</v>
      </c>
    </row>
    <row r="15" spans="1:1">
      <c r="A15" s="647">
        <v>0.3</v>
      </c>
    </row>
    <row r="16" spans="1:1">
      <c r="A16" s="649">
        <v>6631</v>
      </c>
    </row>
    <row r="17" spans="1:1">
      <c r="A17" s="647">
        <v>0.19</v>
      </c>
    </row>
    <row r="18" spans="1:1">
      <c r="A18" s="647">
        <v>0.28000000000000003</v>
      </c>
    </row>
    <row r="19" spans="1:1">
      <c r="A19" s="651">
        <v>602.76600000000008</v>
      </c>
    </row>
    <row r="20" spans="1:1">
      <c r="A20" s="652">
        <v>9.0901221535213406E-2</v>
      </c>
    </row>
  </sheetData>
  <phoneticPr fontId="11"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4"/>
  <sheetViews>
    <sheetView workbookViewId="0"/>
  </sheetViews>
  <sheetFormatPr defaultRowHeight="15"/>
  <cols>
    <col min="2" max="5" width="12.75" bestFit="1" customWidth="1"/>
    <col min="6" max="6" width="10.75" customWidth="1"/>
  </cols>
  <sheetData>
    <row r="1" spans="1:7">
      <c r="B1" s="511" t="s">
        <v>762</v>
      </c>
      <c r="C1" s="511" t="s">
        <v>763</v>
      </c>
      <c r="D1" s="511" t="s">
        <v>764</v>
      </c>
      <c r="E1" s="511" t="s">
        <v>765</v>
      </c>
      <c r="F1" s="511" t="s">
        <v>769</v>
      </c>
    </row>
    <row r="2" spans="1:7">
      <c r="A2" s="511" t="s">
        <v>766</v>
      </c>
      <c r="B2" s="397">
        <v>14534</v>
      </c>
      <c r="C2" s="397">
        <v>15369</v>
      </c>
      <c r="D2" s="397">
        <v>15757</v>
      </c>
      <c r="E2" s="397">
        <v>12978</v>
      </c>
      <c r="F2" s="656">
        <f>SUM(B2:E2)</f>
        <v>58638</v>
      </c>
      <c r="G2" s="512">
        <f>F2/F4</f>
        <v>0.86120902361649632</v>
      </c>
    </row>
    <row r="3" spans="1:7">
      <c r="A3" s="511" t="s">
        <v>767</v>
      </c>
      <c r="B3" s="397">
        <v>2119</v>
      </c>
      <c r="C3" s="397">
        <v>2494</v>
      </c>
      <c r="D3" s="397">
        <v>2703</v>
      </c>
      <c r="E3" s="397">
        <v>2134</v>
      </c>
      <c r="F3" s="656">
        <f>SUM(B3:E3)</f>
        <v>9450</v>
      </c>
      <c r="G3" s="512">
        <f>F3/F4</f>
        <v>0.13879097638350371</v>
      </c>
    </row>
    <row r="4" spans="1:7">
      <c r="A4" s="511" t="s">
        <v>768</v>
      </c>
      <c r="B4" s="397">
        <f>SUM(B2:B3)</f>
        <v>16653</v>
      </c>
      <c r="C4" s="397">
        <f>SUM(C2:C3)</f>
        <v>17863</v>
      </c>
      <c r="D4" s="397">
        <f>SUM(D2:D3)</f>
        <v>18460</v>
      </c>
      <c r="E4" s="397">
        <f>SUM(E2:E3)</f>
        <v>15112</v>
      </c>
      <c r="F4" s="656">
        <f>SUM(B4:E4)</f>
        <v>68088</v>
      </c>
    </row>
  </sheetData>
  <phoneticPr fontId="11"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B2:F10"/>
  <sheetViews>
    <sheetView workbookViewId="0"/>
  </sheetViews>
  <sheetFormatPr defaultRowHeight="15"/>
  <cols>
    <col min="2" max="2" width="33.33203125" customWidth="1"/>
    <col min="3" max="3" width="15.75" style="684" customWidth="1"/>
    <col min="4" max="4" width="17.25" style="684" customWidth="1"/>
    <col min="5" max="5" width="22.08203125" style="684" customWidth="1"/>
    <col min="6" max="6" width="16.33203125" customWidth="1"/>
  </cols>
  <sheetData>
    <row r="2" spans="2:6">
      <c r="C2" s="683" t="s">
        <v>817</v>
      </c>
      <c r="D2" s="684" t="s">
        <v>816</v>
      </c>
      <c r="E2" s="683" t="s">
        <v>818</v>
      </c>
      <c r="F2" s="683" t="s">
        <v>827</v>
      </c>
    </row>
    <row r="3" spans="2:6">
      <c r="B3" s="511" t="s">
        <v>819</v>
      </c>
      <c r="C3" s="685">
        <v>0.27</v>
      </c>
      <c r="D3" s="684" t="s">
        <v>807</v>
      </c>
      <c r="E3" s="685">
        <v>0.3</v>
      </c>
    </row>
    <row r="4" spans="2:6">
      <c r="B4" s="511" t="s">
        <v>820</v>
      </c>
      <c r="C4" s="685">
        <v>0.24</v>
      </c>
      <c r="D4" s="684" t="s">
        <v>808</v>
      </c>
    </row>
    <row r="5" spans="2:6">
      <c r="B5" s="511" t="s">
        <v>821</v>
      </c>
      <c r="C5" s="685">
        <v>0.27</v>
      </c>
      <c r="D5" s="684" t="s">
        <v>809</v>
      </c>
    </row>
    <row r="6" spans="2:6">
      <c r="B6" t="s">
        <v>810</v>
      </c>
      <c r="C6" s="685">
        <v>0.16</v>
      </c>
      <c r="D6" s="684" t="s">
        <v>811</v>
      </c>
      <c r="E6" s="688">
        <f>(2447*0.9355)/(2148*94.01%)-1</f>
        <v>0.13362504325681912</v>
      </c>
      <c r="F6" s="689">
        <v>0.14499999999999999</v>
      </c>
    </row>
    <row r="7" spans="2:6">
      <c r="B7" t="s">
        <v>812</v>
      </c>
      <c r="C7" s="685">
        <v>0.17</v>
      </c>
      <c r="D7" s="684" t="s">
        <v>813</v>
      </c>
    </row>
    <row r="8" spans="2:6">
      <c r="B8" t="s">
        <v>814</v>
      </c>
      <c r="C8" s="686">
        <v>9.11</v>
      </c>
      <c r="D8" s="683" t="s">
        <v>824</v>
      </c>
      <c r="E8" s="684">
        <v>7.9859999999999998</v>
      </c>
      <c r="F8">
        <v>8.0399999999999991</v>
      </c>
    </row>
    <row r="9" spans="2:6">
      <c r="B9" s="511" t="s">
        <v>822</v>
      </c>
      <c r="C9" s="687" t="s">
        <v>823</v>
      </c>
      <c r="D9" s="683" t="s">
        <v>825</v>
      </c>
      <c r="E9" s="684">
        <v>602.95500000000004</v>
      </c>
    </row>
    <row r="10" spans="2:6">
      <c r="B10" t="s">
        <v>815</v>
      </c>
      <c r="C10" s="686">
        <v>9.8800000000000008</v>
      </c>
      <c r="D10" s="683" t="s">
        <v>826</v>
      </c>
      <c r="E10" s="684">
        <v>8.8330000000000002</v>
      </c>
    </row>
  </sheetData>
  <phoneticPr fontId="11"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M7"/>
  <sheetViews>
    <sheetView workbookViewId="0"/>
  </sheetViews>
  <sheetFormatPr defaultRowHeight="15"/>
  <cols>
    <col min="1" max="1" width="43.33203125" customWidth="1"/>
  </cols>
  <sheetData>
    <row r="1" spans="1:13">
      <c r="A1" s="714" t="s">
        <v>40</v>
      </c>
      <c r="B1" s="715" t="s">
        <v>843</v>
      </c>
      <c r="C1" s="715" t="s">
        <v>843</v>
      </c>
      <c r="D1" s="715" t="s">
        <v>843</v>
      </c>
      <c r="E1" s="716" t="s">
        <v>843</v>
      </c>
      <c r="F1" s="715" t="s">
        <v>843</v>
      </c>
      <c r="G1" s="715" t="s">
        <v>843</v>
      </c>
      <c r="H1" s="715" t="s">
        <v>843</v>
      </c>
      <c r="I1" s="716" t="s">
        <v>843</v>
      </c>
      <c r="J1" s="717" t="s">
        <v>843</v>
      </c>
      <c r="K1" s="717" t="s">
        <v>843</v>
      </c>
      <c r="L1" s="717" t="s">
        <v>843</v>
      </c>
      <c r="M1" s="718" t="s">
        <v>843</v>
      </c>
    </row>
    <row r="2" spans="1:13">
      <c r="A2" s="61"/>
      <c r="B2" s="5" t="s">
        <v>832</v>
      </c>
      <c r="C2" s="5" t="s">
        <v>829</v>
      </c>
      <c r="D2" s="5" t="s">
        <v>830</v>
      </c>
      <c r="E2" s="96" t="s">
        <v>831</v>
      </c>
      <c r="F2" s="5" t="s">
        <v>748</v>
      </c>
      <c r="G2" s="5" t="s">
        <v>703</v>
      </c>
      <c r="H2" s="5" t="s">
        <v>699</v>
      </c>
      <c r="I2" s="96" t="s">
        <v>700</v>
      </c>
      <c r="J2" s="208" t="s">
        <v>696</v>
      </c>
      <c r="K2" s="208" t="s">
        <v>744</v>
      </c>
      <c r="L2" s="208" t="s">
        <v>760</v>
      </c>
      <c r="M2" s="510" t="s">
        <v>775</v>
      </c>
    </row>
    <row r="3" spans="1:13">
      <c r="A3" s="159" t="s">
        <v>853</v>
      </c>
      <c r="B3" s="703">
        <v>0.12</v>
      </c>
      <c r="C3" s="703">
        <v>0.13</v>
      </c>
      <c r="D3" s="703">
        <v>0.13</v>
      </c>
      <c r="E3" s="704">
        <v>0.15</v>
      </c>
      <c r="F3" s="703">
        <v>0.15</v>
      </c>
      <c r="G3" s="703">
        <v>0.15</v>
      </c>
      <c r="H3" s="703">
        <v>0.15</v>
      </c>
      <c r="I3" s="704">
        <v>0.15</v>
      </c>
      <c r="J3" s="705">
        <v>0.158</v>
      </c>
      <c r="K3" s="705">
        <v>0.16200000000000001</v>
      </c>
      <c r="L3" s="705"/>
      <c r="M3" s="706">
        <v>0.17</v>
      </c>
    </row>
    <row r="4" spans="1:13">
      <c r="A4" s="159" t="s">
        <v>856</v>
      </c>
      <c r="B4" s="703"/>
      <c r="C4" s="703"/>
      <c r="D4" s="703"/>
      <c r="E4" s="704"/>
      <c r="F4" s="703"/>
      <c r="G4" s="703"/>
      <c r="H4" s="703"/>
      <c r="I4" s="704"/>
      <c r="J4" s="705"/>
      <c r="K4" s="705">
        <v>0.5</v>
      </c>
      <c r="L4" s="705"/>
      <c r="M4" s="706"/>
    </row>
    <row r="5" spans="1:13">
      <c r="A5" s="159" t="s">
        <v>855</v>
      </c>
      <c r="B5" s="703"/>
      <c r="C5" s="703"/>
      <c r="D5" s="703"/>
      <c r="E5" s="704"/>
      <c r="F5" s="703">
        <v>0.22600000000000001</v>
      </c>
      <c r="G5" s="703"/>
      <c r="H5" s="703"/>
      <c r="I5" s="704">
        <v>0.25</v>
      </c>
      <c r="J5" s="705">
        <v>0.28999999999999998</v>
      </c>
      <c r="K5" s="705">
        <v>0.28000000000000003</v>
      </c>
      <c r="L5" s="705">
        <v>0.27</v>
      </c>
      <c r="M5" s="706"/>
    </row>
    <row r="6" spans="1:13">
      <c r="A6" s="159" t="s">
        <v>857</v>
      </c>
      <c r="B6" s="703"/>
      <c r="C6" s="703"/>
      <c r="D6" s="703"/>
      <c r="E6" s="704"/>
      <c r="F6" s="703"/>
      <c r="G6" s="703"/>
      <c r="H6" s="703"/>
      <c r="I6" s="704">
        <v>2.3E-2</v>
      </c>
      <c r="J6" s="705"/>
      <c r="K6" s="705"/>
      <c r="L6" s="705"/>
      <c r="M6" s="706">
        <v>0.05</v>
      </c>
    </row>
    <row r="7" spans="1:13">
      <c r="A7" s="719" t="s">
        <v>854</v>
      </c>
      <c r="B7" s="720"/>
      <c r="C7" s="720"/>
      <c r="D7" s="720"/>
      <c r="E7" s="721"/>
      <c r="F7" s="720"/>
      <c r="G7" s="720">
        <v>0.4</v>
      </c>
      <c r="H7" s="720"/>
      <c r="I7" s="721"/>
      <c r="J7" s="722"/>
      <c r="K7" s="722"/>
      <c r="L7" s="722"/>
      <c r="M7" s="723"/>
    </row>
  </sheetData>
  <phoneticPr fontId="1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档" ma:contentTypeID="0x010100DF16C1720C6ABA4E86BA5B93E98D29BE" ma:contentTypeVersion="0" ma:contentTypeDescription="新建文档。" ma:contentTypeScope="" ma:versionID="6a319204535be82b52ee9bc20294d30c">
  <xsd:schema xmlns:xsd="http://www.w3.org/2001/XMLSchema" xmlns:p="http://schemas.microsoft.com/office/2006/metadata/properties" targetNamespace="http://schemas.microsoft.com/office/2006/metadata/properties" ma:root="true" ma:fieldsID="b51e50da1bca0add1c6bbfbefcbaaafa">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ma:readOnly="true"/>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2C87A487-FC25-4F20-920E-58E25F65E25C}">
  <ds:schemaRefs>
    <ds:schemaRef ds:uri="http://purl.org/dc/terms/"/>
    <ds:schemaRef ds:uri="http://schemas.openxmlformats.org/package/2006/metadata/core-properties"/>
    <ds:schemaRef ds:uri="http://purl.org/dc/elements/1.1/"/>
    <ds:schemaRef ds:uri="http://schemas.microsoft.com/office/2006/metadata/properties"/>
    <ds:schemaRef ds:uri="http://www.w3.org/XML/1998/namespace"/>
    <ds:schemaRef ds:uri="http://schemas.microsoft.com/office/2006/documentManagement/types"/>
    <ds:schemaRef ds:uri="http://purl.org/dc/dcmitype/"/>
  </ds:schemaRefs>
</ds:datastoreItem>
</file>

<file path=customXml/itemProps2.xml><?xml version="1.0" encoding="utf-8"?>
<ds:datastoreItem xmlns:ds="http://schemas.openxmlformats.org/officeDocument/2006/customXml" ds:itemID="{F84F2A78-181E-4D43-98D9-47B839A1A0BD}">
  <ds:schemaRefs>
    <ds:schemaRef ds:uri="http://schemas.microsoft.com/sharepoint/v3/contenttype/forms"/>
  </ds:schemaRefs>
</ds:datastoreItem>
</file>

<file path=customXml/itemProps3.xml><?xml version="1.0" encoding="utf-8"?>
<ds:datastoreItem xmlns:ds="http://schemas.openxmlformats.org/officeDocument/2006/customXml" ds:itemID="{301E36C7-54E4-4C88-98BE-DCE52778F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45</vt:i4>
      </vt:variant>
      <vt:variant>
        <vt:lpstr>命名范围</vt:lpstr>
      </vt:variant>
      <vt:variant>
        <vt:i4>8</vt:i4>
      </vt:variant>
    </vt:vector>
  </HeadingPairs>
  <TitlesOfParts>
    <vt:vector size="53" baseType="lpstr">
      <vt:lpstr>同程艺龙</vt:lpstr>
      <vt:lpstr>同程艺龙 Peers</vt:lpstr>
      <vt:lpstr>同程艺龙Charts</vt:lpstr>
      <vt:lpstr>DESP Quarterly</vt:lpstr>
      <vt:lpstr>DESP Annual</vt:lpstr>
      <vt:lpstr>DESP Charts</vt:lpstr>
      <vt:lpstr>MMYT (2)</vt:lpstr>
      <vt:lpstr>MMYT charts (2)</vt:lpstr>
      <vt:lpstr>BKNG</vt:lpstr>
      <vt:lpstr>BKNG Quarterly Charts</vt:lpstr>
      <vt:lpstr>Sheet6</vt:lpstr>
      <vt:lpstr>EXPE</vt:lpstr>
      <vt:lpstr>EXPE Quarterly Charts</vt:lpstr>
      <vt:lpstr>Egencia </vt:lpstr>
      <vt:lpstr>Egencia</vt:lpstr>
      <vt:lpstr>ABNB</vt:lpstr>
      <vt:lpstr>ABNB Quarterly Charts</vt:lpstr>
      <vt:lpstr>Quarterly Charts </vt:lpstr>
      <vt:lpstr>MMYT</vt:lpstr>
      <vt:lpstr>MMYT charts</vt:lpstr>
      <vt:lpstr>OYO Estimation</vt:lpstr>
      <vt:lpstr>OWW</vt:lpstr>
      <vt:lpstr>Despegar Quarterly</vt:lpstr>
      <vt:lpstr>Despegar Annual</vt:lpstr>
      <vt:lpstr>Despegar Charts</vt:lpstr>
      <vt:lpstr>TOUR (RMB)</vt:lpstr>
      <vt:lpstr>TOUR charts</vt:lpstr>
      <vt:lpstr>TOUR Finanicals</vt:lpstr>
      <vt:lpstr>TOUR Assumptions</vt:lpstr>
      <vt:lpstr>TOUR DCF</vt:lpstr>
      <vt:lpstr>Forms</vt:lpstr>
      <vt:lpstr>TOUR VS. CTRIP</vt:lpstr>
      <vt:lpstr>TRIP</vt:lpstr>
      <vt:lpstr>Comparison</vt:lpstr>
      <vt:lpstr>Annual Charts</vt:lpstr>
      <vt:lpstr>Sheet1 (2)</vt:lpstr>
      <vt:lpstr>Greater China</vt:lpstr>
      <vt:lpstr>Europe</vt:lpstr>
      <vt:lpstr>模拟利润表_Aug 2013</vt:lpstr>
      <vt:lpstr>Summary</vt:lpstr>
      <vt:lpstr>Sheet1</vt:lpstr>
      <vt:lpstr>Sheet2</vt:lpstr>
      <vt:lpstr>Sheet3</vt:lpstr>
      <vt:lpstr>Sheet4</vt:lpstr>
      <vt:lpstr>Sheet5</vt:lpstr>
      <vt:lpstr>BKNG!Print_Area</vt:lpstr>
      <vt:lpstr>EXPE!Print_Area</vt:lpstr>
      <vt:lpstr>OWW!Print_Area</vt:lpstr>
      <vt:lpstr>TRIP!Print_Area</vt:lpstr>
      <vt:lpstr>BKNG!Print_Titles</vt:lpstr>
      <vt:lpstr>EXPE!Print_Titles</vt:lpstr>
      <vt:lpstr>OWW!Print_Titles</vt:lpstr>
      <vt:lpstr>TRIP!Print_Titles</vt:lpstr>
    </vt:vector>
  </TitlesOfParts>
  <Company>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z_lin</dc:creator>
  <cp:lastModifiedBy>Zeyi Chen (SME, 121090077)</cp:lastModifiedBy>
  <cp:lastPrinted>2020-04-01T06:35:34Z</cp:lastPrinted>
  <dcterms:created xsi:type="dcterms:W3CDTF">2012-03-09T05:55:17Z</dcterms:created>
  <dcterms:modified xsi:type="dcterms:W3CDTF">2026-08-07T09:41:49Z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0x010100DF16C1720C6ABA4E86BA5B93E98D29BE;0x010100DF16C1720C6ABA4E86BA5B93E98D29BE;0x010100EF316044E059D84393D33441E240EA3D;0x010100DF16C1720C6ABA4E86BA5B93E98D29BE;0x010100EF316044E059D84393D33441E240EA3D;0x010100EF316044E059D84393D33441E240EA3D;0x010100D</vt:lpwstr>
  </property>
  <property fmtid="{D5CDD505-2E9C-101B-9397-08002B2CF9AE}" pid="3" name="KSOProductBuildVer">
    <vt:lpwstr>2052-3.8.1.6116;2052-3.7.0.5920;2052-3.8.1.6116;2052-10.1.0.7469;2052-3.8.1.6116;2052-3.7.0.5920;2052-3.7.0.5920;2052-3.8.1.6116;2052-10.1.0.7469;2052-3.8.1.6116;2052-3.7.0.5920;2052-3.8.1.6116;2052-3.7.0.5920;2052-3.8.1.6116;2052-10.1.0.7469;2052-3.8.1.6</vt:lpwstr>
  </property>
  <property fmtid="{D5CDD505-2E9C-101B-9397-08002B2CF9AE}" pid="4" name="EM_Doc_Temp_ID">
    <vt:lpwstr>b6bbcfe9</vt:lpwstr>
  </property>
  <property fmtid="{D5CDD505-2E9C-101B-9397-08002B2CF9AE}" pid="5" name="ERCompanyUploadState">
    <vt:lpwstr>P</vt:lpwstr>
  </property>
  <property fmtid="{D5CDD505-2E9C-101B-9397-08002B2CF9AE}" pid="6" name="ERModPubCompanyName">
    <vt:lpwstr>Booking Holdings Inc</vt:lpwstr>
  </property>
  <property fmtid="{D5CDD505-2E9C-101B-9397-08002B2CF9AE}" pid="7" name="ERModPubTicket">
    <vt:lpwstr>NA</vt:lpwstr>
  </property>
  <property fmtid="{D5CDD505-2E9C-101B-9397-08002B2CF9AE}" pid="8" name="GrammarlyDocumentId">
    <vt:lpwstr>c5179a4134ae40b57e780959a66367aa34239372cb327793a2f6f2ab4929a576;656af847-9fcd-4e51-ab25-618185bce2d8;3e7a2d8f-2568-4ac6-a507-e41b908663ba;a111bfab55115bd0ca759a9158a351a8ac035433a42b3d295336a209bb18cb79;a111bfab55115bd0ca759a9158a351a8ac035433a42b3d29533</vt:lpwstr>
  </property>
  <property fmtid="{D5CDD505-2E9C-101B-9397-08002B2CF9AE}" pid="9" name="LinkingAutoNameNumberLinking_Range_">
    <vt:lpwstr>67</vt:lpwstr>
  </property>
  <property fmtid="{D5CDD505-2E9C-101B-9397-08002B2CF9AE}" pid="10" name="MSDH34TAG">
    <vt:lpwstr>.TEZUF76X5TAHATHESADREYAK-00-INB160+*94600-06=1115924a/-2269/-11ed/-b8bf/-0f7b55e2557b,MD=20220822183748/-0400,ZZ=000Z-d0f9.</vt:lpwstr>
  </property>
  <property fmtid="{D5CDD505-2E9C-101B-9397-08002B2CF9AE}" pid="11" name="MSIP_Label_07f119e6-c6cd-44b0-a5ee-ac1aff68c56e_ActionId">
    <vt:lpwstr>27631c8a-40ca-4c1b-a9cd-35153f78c478</vt:lpwstr>
  </property>
  <property fmtid="{D5CDD505-2E9C-101B-9397-08002B2CF9AE}" pid="12" name="MSIP_Label_07f119e6-c6cd-44b0-a5ee-ac1aff68c56e_ContentBits">
    <vt:lpwstr>0</vt:lpwstr>
  </property>
  <property fmtid="{D5CDD505-2E9C-101B-9397-08002B2CF9AE}" pid="13" name="MSIP_Label_07f119e6-c6cd-44b0-a5ee-ac1aff68c56e_Enabled">
    <vt:lpwstr>true</vt:lpwstr>
  </property>
  <property fmtid="{D5CDD505-2E9C-101B-9397-08002B2CF9AE}" pid="14" name="MSIP_Label_07f119e6-c6cd-44b0-a5ee-ac1aff68c56e_Method">
    <vt:lpwstr>Standard</vt:lpwstr>
  </property>
  <property fmtid="{D5CDD505-2E9C-101B-9397-08002B2CF9AE}" pid="15" name="MSIP_Label_07f119e6-c6cd-44b0-a5ee-ac1aff68c56e_Name">
    <vt:lpwstr>Confidential v1</vt:lpwstr>
  </property>
  <property fmtid="{D5CDD505-2E9C-101B-9397-08002B2CF9AE}" pid="16" name="MSIP_Label_07f119e6-c6cd-44b0-a5ee-ac1aff68c56e_SetDate">
    <vt:lpwstr>2022-04-06T15:02:51Z</vt:lpwstr>
  </property>
  <property fmtid="{D5CDD505-2E9C-101B-9397-08002B2CF9AE}" pid="17" name="MSIP_Label_07f119e6-c6cd-44b0-a5ee-ac1aff68c56e_SiteId">
    <vt:lpwstr>e29b8111-49f8-418d-ac2a-935335a52614</vt:lpwstr>
  </property>
  <property fmtid="{D5CDD505-2E9C-101B-9397-08002B2CF9AE}" pid="18" name="ModelId">
    <vt:lpwstr>9292783</vt:lpwstr>
  </property>
  <property fmtid="{D5CDD505-2E9C-101B-9397-08002B2CF9AE}" pid="19" name="{A44787D4-0540-4523-9961-78E4036D8C6D}">
    <vt:lpwstr>{B8E37D21-F801-414B-83AB-EEE00DA84B03}</vt:lpwstr>
  </property>
  <property fmtid="{D5CDD505-2E9C-101B-9397-08002B2CF9AE}" pid="20" name="Created By">
    <vt:lpwstr>SoftArtisans OfficeWriter for Excel 8.6.2.281 (http://officewriter.softartisans.com)</vt:lpwstr>
  </property>
  <property fmtid="{D5CDD505-2E9C-101B-9397-08002B2CF9AE}" pid="21" name="FDSMenuDocLevelBtnStates">
    <vt:lpwstr>&lt;btnStates&gt;&lt;btn tag="1001" state="UP"/&gt;&lt;/btnStates&gt;_x000d_</vt:lpwstr>
  </property>
</Properties>
</file>